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omments1.xml" ContentType="application/vnd.openxmlformats-officedocument.spreadsheetml.comments+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Users\jberrioc\OneDrive - Comfenalco Antioquia\Documentos\GitHub\Curso_Phyton\"/>
    </mc:Choice>
  </mc:AlternateContent>
  <xr:revisionPtr revIDLastSave="0" documentId="13_ncr:1_{DE996F8A-4704-40C4-9D94-363D6F27A4B8}" xr6:coauthVersionLast="47" xr6:coauthVersionMax="47" xr10:uidLastSave="{00000000-0000-0000-0000-000000000000}"/>
  <bookViews>
    <workbookView xWindow="-120" yWindow="-120" windowWidth="29040" windowHeight="15840" firstSheet="4" activeTab="8" xr2:uid="{36996115-99F4-4A4F-8849-FA6B68EFFC7D}"/>
  </bookViews>
  <sheets>
    <sheet name="Negocios" sheetId="1" state="hidden" r:id="rId1"/>
    <sheet name="Detalle Regiones" sheetId="3" state="hidden" r:id="rId2"/>
    <sheet name="Ruta de trabajo" sheetId="6" r:id="rId3"/>
    <sheet name="Maestro de indicadores" sheetId="7" r:id="rId4"/>
    <sheet name="Árbol de Visión Anual" sheetId="9" r:id="rId5"/>
    <sheet name="Dinam_Elem_Vis_Anual_" sheetId="10" state="hidden" r:id="rId6"/>
    <sheet name="Elem_Vis_Anual_Anali" sheetId="8" r:id="rId7"/>
    <sheet name="Dinam_Elem_Vis_Seguim" sheetId="11" r:id="rId8"/>
    <sheet name="Dinam_Neg_Segim" sheetId="5" r:id="rId9"/>
    <sheet name="Dinam_Reg_Segim" sheetId="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1_" localSheetId="4">[1]NUTRICION!#REF!</definedName>
    <definedName name="_1_">[1]NUTRICION!#REF!</definedName>
    <definedName name="_2006" localSheetId="4">#REF!</definedName>
    <definedName name="_2006">#REF!</definedName>
    <definedName name="_xlnm._FilterDatabase" localSheetId="4" hidden="1">'Árbol de Visión Anual'!$A$2:$E$2</definedName>
    <definedName name="_xlnm._FilterDatabase" localSheetId="5" hidden="1">Dinam_Elem_Vis_Anual_!$A$1:$Q$45</definedName>
    <definedName name="_xlnm._FilterDatabase" localSheetId="7" hidden="1">Dinam_Elem_Vis_Seguim!$A$1:$M$225</definedName>
    <definedName name="_xlnm._FilterDatabase" localSheetId="8" hidden="1">Dinam_Neg_Segim!$M$1:$M$1</definedName>
    <definedName name="_xlnm._FilterDatabase" localSheetId="9" hidden="1">Dinam_Reg_Segim!$A$1:$I$456</definedName>
    <definedName name="_xlnm._FilterDatabase" localSheetId="6" hidden="1">Elem_Vis_Anual_Anali!$B$3:$U$47</definedName>
    <definedName name="_xlnm._FilterDatabase" localSheetId="3" hidden="1">'Maestro de indicadores'!$B$3:$H$73</definedName>
    <definedName name="_Regression_Out" localSheetId="4" hidden="1">#REF!</definedName>
    <definedName name="_Regression_Out" hidden="1">#REF!</definedName>
    <definedName name="_Regression_X" localSheetId="4" hidden="1">#REF!</definedName>
    <definedName name="_Regression_X" hidden="1">#REF!</definedName>
    <definedName name="_Regression_Y" localSheetId="4" hidden="1">#REF!</definedName>
    <definedName name="_Regression_Y" hidden="1">#REF!</definedName>
    <definedName name="ADMON_DE_ESPACIOS_LOS_TAMARIND">#REF!</definedName>
    <definedName name="CC">'[2]Conf-Servicios'!$W$3:$W$300</definedName>
    <definedName name="CONSO" localSheetId="4">#REF!</definedName>
    <definedName name="CONSO">#REF!</definedName>
    <definedName name="CSDIC">'[3]CyE(D)'!$EO$3:$EO$300</definedName>
    <definedName name="CSENE">'[2]CyE(D)'!$Q$3:$Q$300</definedName>
    <definedName name="CSJUL">'[4]CyE(D)'!$DI$3:$DI$300</definedName>
    <definedName name="CSMAR">'[5]CyE(D)'!$AW$3:$AW$300</definedName>
    <definedName name="D" localSheetId="4">[6]NUTRICION!#REF!</definedName>
    <definedName name="D">[6]NUTRICION!#REF!</definedName>
    <definedName name="DAD" localSheetId="4">[7]CAPAC!#REF!</definedName>
    <definedName name="DAD">[7]CAPAC!#REF!</definedName>
    <definedName name="DME" localSheetId="4">[8]EPSCONTRI!#REF!</definedName>
    <definedName name="DME">[8]EPSCONTRI!#REF!</definedName>
    <definedName name="dtf" localSheetId="4">'[9]Sensib (2)'!#REF!</definedName>
    <definedName name="dtf">'[9]Sensib (2)'!#REF!</definedName>
    <definedName name="Festivos" localSheetId="4">[10]Festivos!$A$3:$A$97</definedName>
    <definedName name="Festivos">[11]Festivos!$A$3:$A$97</definedName>
    <definedName name="NADIC">'[3]CyE(D)'!$EQ$3:$EQ$300</definedName>
    <definedName name="NAENE">'[2]CyE(D)'!$S$3:$S$300</definedName>
    <definedName name="NAJUL">'[4]CyE(D)'!$DK$3:$DK$300</definedName>
    <definedName name="NAMAR">'[5]CyE(D)'!$AY$3:$AY$300</definedName>
    <definedName name="Remun">'[12]Funciones para hoja de cálculo'!$H$11:$H$16</definedName>
    <definedName name="S">'[4]Conf-Servicios'!$W$3:$W$300</definedName>
    <definedName name="SSDIC">'[3]CyE(D)'!$EP$3:$EP$300</definedName>
    <definedName name="SSENE">'[2]CyE(D)'!$R$3:$R$300</definedName>
    <definedName name="SSJUL">'[4]CyE(D)'!$DJ$3:$DJ$300</definedName>
    <definedName name="SSMAR">'[5]CyE(D)'!$AX$3:$AX$300</definedName>
    <definedName name="t">'[5]Conf-Servicios'!$W$3:$W$300</definedName>
    <definedName name="Texto_Muestra">'[12]Funciones para hoja de cálculo'!$C$33</definedName>
    <definedName name="TIP_COB">'[3]Conf-Servicios'!$S$3:$S$300</definedName>
  </definedNames>
  <calcPr calcId="191028"/>
  <pivotCaches>
    <pivotCache cacheId="5" r:id="rId23"/>
    <pivotCache cacheId="6" r:id="rId2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28" i="5" l="1"/>
  <c r="H428" i="5"/>
  <c r="J428" i="5"/>
  <c r="K428" i="5" s="1"/>
  <c r="F429" i="5"/>
  <c r="H429" i="5"/>
  <c r="J429" i="5"/>
  <c r="K429" i="5" s="1"/>
  <c r="F430" i="5"/>
  <c r="H430" i="5"/>
  <c r="J430" i="5"/>
  <c r="K430" i="5" s="1"/>
  <c r="F431" i="5"/>
  <c r="H431" i="5"/>
  <c r="J431" i="5"/>
  <c r="K431" i="5" s="1"/>
  <c r="F432" i="5"/>
  <c r="H432" i="5"/>
  <c r="J432" i="5"/>
  <c r="L432" i="5" s="1"/>
  <c r="P225" i="11"/>
  <c r="Q225" i="11" s="1"/>
  <c r="R225" i="11" s="1"/>
  <c r="N225" i="11"/>
  <c r="L225" i="11"/>
  <c r="G225" i="11"/>
  <c r="H225" i="11" s="1"/>
  <c r="P224" i="11"/>
  <c r="Q224" i="11" s="1"/>
  <c r="R224" i="11" s="1"/>
  <c r="N224" i="11"/>
  <c r="L224" i="11"/>
  <c r="P223" i="11"/>
  <c r="Q223" i="11" s="1"/>
  <c r="R223" i="11" s="1"/>
  <c r="N223" i="11"/>
  <c r="L223" i="11"/>
  <c r="G223" i="11"/>
  <c r="H223" i="11" s="1"/>
  <c r="P222" i="11"/>
  <c r="Q222" i="11" s="1"/>
  <c r="R222" i="11" s="1"/>
  <c r="N222" i="11"/>
  <c r="L222" i="11"/>
  <c r="P221" i="11"/>
  <c r="Q221" i="11" s="1"/>
  <c r="R221" i="11" s="1"/>
  <c r="N221" i="11"/>
  <c r="L221" i="11"/>
  <c r="P220" i="11"/>
  <c r="Q220" i="11" s="1"/>
  <c r="R220" i="11" s="1"/>
  <c r="N220" i="11"/>
  <c r="L220" i="11"/>
  <c r="G220" i="11"/>
  <c r="H220" i="11" s="1"/>
  <c r="P219" i="11"/>
  <c r="Q219" i="11" s="1"/>
  <c r="R219" i="11" s="1"/>
  <c r="N219" i="11"/>
  <c r="L219" i="11"/>
  <c r="P218" i="11"/>
  <c r="Q218" i="11" s="1"/>
  <c r="R218" i="11" s="1"/>
  <c r="N218" i="11"/>
  <c r="L218" i="11"/>
  <c r="G218" i="11"/>
  <c r="H218" i="11" s="1"/>
  <c r="P217" i="11"/>
  <c r="Q217" i="11" s="1"/>
  <c r="R217" i="11" s="1"/>
  <c r="N217" i="11"/>
  <c r="L217" i="11"/>
  <c r="P216" i="11"/>
  <c r="Q216" i="11" s="1"/>
  <c r="R216" i="11" s="1"/>
  <c r="N216" i="11"/>
  <c r="L216" i="11"/>
  <c r="G216" i="11"/>
  <c r="H216" i="11" s="1"/>
  <c r="P215" i="11"/>
  <c r="Q215" i="11" s="1"/>
  <c r="R215" i="11" s="1"/>
  <c r="N215" i="11"/>
  <c r="L215" i="11"/>
  <c r="G215" i="11"/>
  <c r="H215" i="11" s="1"/>
  <c r="P214" i="11"/>
  <c r="Q214" i="11" s="1"/>
  <c r="R214" i="11" s="1"/>
  <c r="N214" i="11"/>
  <c r="L214" i="11"/>
  <c r="G214" i="11"/>
  <c r="H214" i="11" s="1"/>
  <c r="P213" i="11"/>
  <c r="Q213" i="11" s="1"/>
  <c r="R213" i="11" s="1"/>
  <c r="N213" i="11"/>
  <c r="L213" i="11"/>
  <c r="P212" i="11"/>
  <c r="Q212" i="11" s="1"/>
  <c r="R212" i="11" s="1"/>
  <c r="N212" i="11"/>
  <c r="L212" i="11"/>
  <c r="P211" i="11"/>
  <c r="Q211" i="11" s="1"/>
  <c r="R211" i="11" s="1"/>
  <c r="N211" i="11"/>
  <c r="L211" i="11"/>
  <c r="G211" i="11"/>
  <c r="H211" i="11" s="1"/>
  <c r="P210" i="11"/>
  <c r="Q210" i="11" s="1"/>
  <c r="R210" i="11" s="1"/>
  <c r="N210" i="11"/>
  <c r="L210" i="11"/>
  <c r="G210" i="11"/>
  <c r="H210" i="11" s="1"/>
  <c r="P209" i="11"/>
  <c r="Q209" i="11" s="1"/>
  <c r="R209" i="11" s="1"/>
  <c r="N209" i="11"/>
  <c r="L209" i="11"/>
  <c r="G209" i="11"/>
  <c r="H209" i="11" s="1"/>
  <c r="P208" i="11"/>
  <c r="Q208" i="11" s="1"/>
  <c r="R208" i="11" s="1"/>
  <c r="N208" i="11"/>
  <c r="L208" i="11"/>
  <c r="G208" i="11"/>
  <c r="H208" i="11" s="1"/>
  <c r="P207" i="11"/>
  <c r="Q207" i="11" s="1"/>
  <c r="R207" i="11" s="1"/>
  <c r="N207" i="11"/>
  <c r="L207" i="11"/>
  <c r="G207" i="11"/>
  <c r="H207" i="11" s="1"/>
  <c r="P206" i="11"/>
  <c r="Q206" i="11" s="1"/>
  <c r="R206" i="11" s="1"/>
  <c r="N206" i="11"/>
  <c r="L206" i="11"/>
  <c r="G206" i="11"/>
  <c r="H206" i="11" s="1"/>
  <c r="P205" i="11"/>
  <c r="Q205" i="11" s="1"/>
  <c r="R205" i="11" s="1"/>
  <c r="N205" i="11"/>
  <c r="L205" i="11"/>
  <c r="G205" i="11"/>
  <c r="H205" i="11" s="1"/>
  <c r="P204" i="11"/>
  <c r="Q204" i="11" s="1"/>
  <c r="R204" i="11" s="1"/>
  <c r="N204" i="11"/>
  <c r="L204" i="11"/>
  <c r="G204" i="11"/>
  <c r="H204" i="11" s="1"/>
  <c r="P203" i="11"/>
  <c r="Q203" i="11" s="1"/>
  <c r="R203" i="11" s="1"/>
  <c r="N203" i="11"/>
  <c r="L203" i="11"/>
  <c r="G203" i="11"/>
  <c r="H203" i="11" s="1"/>
  <c r="P202" i="11"/>
  <c r="Q202" i="11" s="1"/>
  <c r="R202" i="11" s="1"/>
  <c r="N202" i="11"/>
  <c r="L202" i="11"/>
  <c r="P201" i="11"/>
  <c r="Q201" i="11" s="1"/>
  <c r="R201" i="11" s="1"/>
  <c r="N201" i="11"/>
  <c r="L201" i="11"/>
  <c r="G201" i="11"/>
  <c r="H201" i="11" s="1"/>
  <c r="P200" i="11"/>
  <c r="Q200" i="11" s="1"/>
  <c r="R200" i="11" s="1"/>
  <c r="N200" i="11"/>
  <c r="L200" i="11"/>
  <c r="G200" i="11"/>
  <c r="H200" i="11" s="1"/>
  <c r="P199" i="11"/>
  <c r="Q199" i="11" s="1"/>
  <c r="R199" i="11" s="1"/>
  <c r="N199" i="11"/>
  <c r="L199" i="11"/>
  <c r="G199" i="11"/>
  <c r="H199" i="11" s="1"/>
  <c r="P198" i="11"/>
  <c r="Q198" i="11" s="1"/>
  <c r="R198" i="11" s="1"/>
  <c r="N198" i="11"/>
  <c r="L198" i="11"/>
  <c r="G198" i="11"/>
  <c r="H198" i="11" s="1"/>
  <c r="P197" i="11"/>
  <c r="Q197" i="11" s="1"/>
  <c r="R197" i="11" s="1"/>
  <c r="N197" i="11"/>
  <c r="L197" i="11"/>
  <c r="G197" i="11"/>
  <c r="H197" i="11" s="1"/>
  <c r="P196" i="11"/>
  <c r="Q196" i="11" s="1"/>
  <c r="R196" i="11" s="1"/>
  <c r="N196" i="11"/>
  <c r="L196" i="11"/>
  <c r="G196" i="11"/>
  <c r="H196" i="11" s="1"/>
  <c r="P195" i="11"/>
  <c r="Q195" i="11" s="1"/>
  <c r="R195" i="11" s="1"/>
  <c r="N195" i="11"/>
  <c r="L195" i="11"/>
  <c r="G195" i="11"/>
  <c r="G202" i="11" s="1"/>
  <c r="H202" i="11" s="1"/>
  <c r="P194" i="11"/>
  <c r="Q194" i="11" s="1"/>
  <c r="R194" i="11" s="1"/>
  <c r="N194" i="11"/>
  <c r="L194" i="11"/>
  <c r="G194" i="11"/>
  <c r="H194" i="11" s="1"/>
  <c r="P193" i="11"/>
  <c r="Q193" i="11" s="1"/>
  <c r="R193" i="11" s="1"/>
  <c r="N193" i="11"/>
  <c r="L193" i="11"/>
  <c r="G193" i="11"/>
  <c r="H193" i="11" s="1"/>
  <c r="P192" i="11"/>
  <c r="Q192" i="11" s="1"/>
  <c r="R192" i="11" s="1"/>
  <c r="N192" i="11"/>
  <c r="L192" i="11"/>
  <c r="G192" i="11"/>
  <c r="H192" i="11" s="1"/>
  <c r="P191" i="11"/>
  <c r="Q191" i="11" s="1"/>
  <c r="R191" i="11" s="1"/>
  <c r="N191" i="11"/>
  <c r="L191" i="11"/>
  <c r="G191" i="11"/>
  <c r="H191" i="11" s="1"/>
  <c r="P190" i="11"/>
  <c r="Q190" i="11" s="1"/>
  <c r="R190" i="11" s="1"/>
  <c r="N190" i="11"/>
  <c r="L190" i="11"/>
  <c r="G190" i="11"/>
  <c r="H190" i="11" s="1"/>
  <c r="P189" i="11"/>
  <c r="Q189" i="11" s="1"/>
  <c r="R189" i="11" s="1"/>
  <c r="N189" i="11"/>
  <c r="L189" i="11"/>
  <c r="H189" i="11"/>
  <c r="P188" i="11"/>
  <c r="Q188" i="11" s="1"/>
  <c r="R188" i="11" s="1"/>
  <c r="N188" i="11"/>
  <c r="L188" i="11"/>
  <c r="G188" i="11"/>
  <c r="H188" i="11" s="1"/>
  <c r="P187" i="11"/>
  <c r="Q187" i="11" s="1"/>
  <c r="R187" i="11" s="1"/>
  <c r="N187" i="11"/>
  <c r="L187" i="11"/>
  <c r="G187" i="11"/>
  <c r="H187" i="11" s="1"/>
  <c r="P186" i="11"/>
  <c r="Q186" i="11" s="1"/>
  <c r="R186" i="11" s="1"/>
  <c r="N186" i="11"/>
  <c r="L186" i="11"/>
  <c r="G186" i="11"/>
  <c r="H186" i="11" s="1"/>
  <c r="P185" i="11"/>
  <c r="Q185" i="11" s="1"/>
  <c r="R185" i="11" s="1"/>
  <c r="N185" i="11"/>
  <c r="L185" i="11"/>
  <c r="G185" i="11"/>
  <c r="H185" i="11" s="1"/>
  <c r="P184" i="11"/>
  <c r="Q184" i="11" s="1"/>
  <c r="R184" i="11" s="1"/>
  <c r="N184" i="11"/>
  <c r="L184" i="11"/>
  <c r="G184" i="11"/>
  <c r="H184" i="11" s="1"/>
  <c r="P183" i="11"/>
  <c r="Q183" i="11" s="1"/>
  <c r="R183" i="11" s="1"/>
  <c r="N183" i="11"/>
  <c r="L183" i="11"/>
  <c r="G183" i="11"/>
  <c r="H183" i="11" s="1"/>
  <c r="F183" i="11"/>
  <c r="P182" i="11"/>
  <c r="Q182" i="11" s="1"/>
  <c r="R182" i="11" s="1"/>
  <c r="N182" i="11"/>
  <c r="L182" i="11"/>
  <c r="G182" i="11"/>
  <c r="H182" i="11" s="1"/>
  <c r="P181" i="11"/>
  <c r="Q181" i="11" s="1"/>
  <c r="R181" i="11" s="1"/>
  <c r="N181" i="11"/>
  <c r="L181" i="11"/>
  <c r="G181" i="11"/>
  <c r="H181" i="11" s="1"/>
  <c r="I92" i="4"/>
  <c r="J92" i="4" s="1"/>
  <c r="K92" i="4" s="1"/>
  <c r="G92" i="4"/>
  <c r="E92" i="4"/>
  <c r="I91" i="4"/>
  <c r="J91" i="4" s="1"/>
  <c r="K91" i="4" s="1"/>
  <c r="G91" i="4"/>
  <c r="E91" i="4"/>
  <c r="I90" i="4"/>
  <c r="J90" i="4" s="1"/>
  <c r="K90" i="4" s="1"/>
  <c r="G90" i="4"/>
  <c r="E90" i="4"/>
  <c r="I89" i="4"/>
  <c r="J89" i="4" s="1"/>
  <c r="K89" i="4" s="1"/>
  <c r="G89" i="4"/>
  <c r="E89" i="4"/>
  <c r="I88" i="4"/>
  <c r="J88" i="4" s="1"/>
  <c r="K88" i="4" s="1"/>
  <c r="G88" i="4"/>
  <c r="E88" i="4"/>
  <c r="I87" i="4"/>
  <c r="J87" i="4" s="1"/>
  <c r="K87" i="4" s="1"/>
  <c r="G87" i="4"/>
  <c r="E87" i="4"/>
  <c r="I86" i="4"/>
  <c r="J86" i="4" s="1"/>
  <c r="K86" i="4" s="1"/>
  <c r="G86" i="4"/>
  <c r="E86" i="4"/>
  <c r="I85" i="4"/>
  <c r="J85" i="4" s="1"/>
  <c r="K85" i="4" s="1"/>
  <c r="G85" i="4"/>
  <c r="E85" i="4"/>
  <c r="I84" i="4"/>
  <c r="J84" i="4" s="1"/>
  <c r="K84" i="4" s="1"/>
  <c r="G84" i="4"/>
  <c r="E84" i="4"/>
  <c r="I83" i="4"/>
  <c r="J83" i="4" s="1"/>
  <c r="K83" i="4" s="1"/>
  <c r="G83" i="4"/>
  <c r="E83" i="4"/>
  <c r="I82" i="4"/>
  <c r="J82" i="4" s="1"/>
  <c r="K82" i="4" s="1"/>
  <c r="G82" i="4"/>
  <c r="E82" i="4"/>
  <c r="I81" i="4"/>
  <c r="J81" i="4" s="1"/>
  <c r="K81" i="4" s="1"/>
  <c r="G81" i="4"/>
  <c r="E81" i="4"/>
  <c r="I80" i="4"/>
  <c r="J80" i="4" s="1"/>
  <c r="K80" i="4" s="1"/>
  <c r="G80" i="4"/>
  <c r="E80" i="4"/>
  <c r="I79" i="4"/>
  <c r="J79" i="4" s="1"/>
  <c r="K79" i="4" s="1"/>
  <c r="G79" i="4"/>
  <c r="E79" i="4"/>
  <c r="I78" i="4"/>
  <c r="J78" i="4" s="1"/>
  <c r="K78" i="4" s="1"/>
  <c r="G78" i="4"/>
  <c r="E78" i="4"/>
  <c r="I77" i="4"/>
  <c r="J77" i="4" s="1"/>
  <c r="K77" i="4" s="1"/>
  <c r="G77" i="4"/>
  <c r="E77" i="4"/>
  <c r="I76" i="4"/>
  <c r="J76" i="4" s="1"/>
  <c r="K76" i="4" s="1"/>
  <c r="G76" i="4"/>
  <c r="E76" i="4"/>
  <c r="I75" i="4"/>
  <c r="J75" i="4" s="1"/>
  <c r="K75" i="4" s="1"/>
  <c r="G75" i="4"/>
  <c r="E75" i="4"/>
  <c r="I74" i="4"/>
  <c r="J74" i="4" s="1"/>
  <c r="K74" i="4" s="1"/>
  <c r="G74" i="4"/>
  <c r="E74" i="4"/>
  <c r="I73" i="4"/>
  <c r="J73" i="4" s="1"/>
  <c r="K73" i="4" s="1"/>
  <c r="G73" i="4"/>
  <c r="E73" i="4"/>
  <c r="I72" i="4"/>
  <c r="J72" i="4" s="1"/>
  <c r="K72" i="4" s="1"/>
  <c r="G72" i="4"/>
  <c r="E72" i="4"/>
  <c r="I71" i="4"/>
  <c r="J71" i="4" s="1"/>
  <c r="K71" i="4" s="1"/>
  <c r="G71" i="4"/>
  <c r="E71" i="4"/>
  <c r="I70" i="4"/>
  <c r="J70" i="4" s="1"/>
  <c r="K70" i="4" s="1"/>
  <c r="G70" i="4"/>
  <c r="E70" i="4"/>
  <c r="I69" i="4"/>
  <c r="J69" i="4" s="1"/>
  <c r="K69" i="4" s="1"/>
  <c r="G69" i="4"/>
  <c r="E69" i="4"/>
  <c r="I68" i="4"/>
  <c r="J68" i="4" s="1"/>
  <c r="K68" i="4" s="1"/>
  <c r="G68" i="4"/>
  <c r="E68" i="4"/>
  <c r="I67" i="4"/>
  <c r="J67" i="4" s="1"/>
  <c r="K67" i="4" s="1"/>
  <c r="G67" i="4"/>
  <c r="E67" i="4"/>
  <c r="I66" i="4"/>
  <c r="J66" i="4" s="1"/>
  <c r="K66" i="4" s="1"/>
  <c r="G66" i="4"/>
  <c r="E66" i="4"/>
  <c r="I65" i="4"/>
  <c r="J65" i="4" s="1"/>
  <c r="K65" i="4" s="1"/>
  <c r="G65" i="4"/>
  <c r="E65" i="4"/>
  <c r="I64" i="4"/>
  <c r="J64" i="4" s="1"/>
  <c r="K64" i="4" s="1"/>
  <c r="G64" i="4"/>
  <c r="E64" i="4"/>
  <c r="I63" i="4"/>
  <c r="J63" i="4" s="1"/>
  <c r="K63" i="4" s="1"/>
  <c r="G63" i="4"/>
  <c r="E63" i="4"/>
  <c r="I62" i="4"/>
  <c r="J62" i="4" s="1"/>
  <c r="K62" i="4" s="1"/>
  <c r="G62" i="4"/>
  <c r="E62" i="4"/>
  <c r="I61" i="4"/>
  <c r="J61" i="4" s="1"/>
  <c r="K61" i="4" s="1"/>
  <c r="G61" i="4"/>
  <c r="E61" i="4"/>
  <c r="I60" i="4"/>
  <c r="J60" i="4" s="1"/>
  <c r="K60" i="4" s="1"/>
  <c r="G60" i="4"/>
  <c r="E60" i="4"/>
  <c r="I59" i="4"/>
  <c r="J59" i="4" s="1"/>
  <c r="K59" i="4" s="1"/>
  <c r="G59" i="4"/>
  <c r="E59" i="4"/>
  <c r="I58" i="4"/>
  <c r="J58" i="4" s="1"/>
  <c r="K58" i="4" s="1"/>
  <c r="G58" i="4"/>
  <c r="E58" i="4"/>
  <c r="I57" i="4"/>
  <c r="J57" i="4" s="1"/>
  <c r="K57" i="4" s="1"/>
  <c r="G57" i="4"/>
  <c r="E57" i="4"/>
  <c r="I56" i="4"/>
  <c r="J56" i="4" s="1"/>
  <c r="K56" i="4" s="1"/>
  <c r="G56" i="4"/>
  <c r="E56" i="4"/>
  <c r="I55" i="4"/>
  <c r="J55" i="4" s="1"/>
  <c r="K55" i="4" s="1"/>
  <c r="G55" i="4"/>
  <c r="E55" i="4"/>
  <c r="I54" i="4"/>
  <c r="J54" i="4" s="1"/>
  <c r="K54" i="4" s="1"/>
  <c r="G54" i="4"/>
  <c r="E54" i="4"/>
  <c r="I53" i="4"/>
  <c r="J53" i="4" s="1"/>
  <c r="K53" i="4" s="1"/>
  <c r="G53" i="4"/>
  <c r="E53" i="4"/>
  <c r="I52" i="4"/>
  <c r="J52" i="4" s="1"/>
  <c r="K52" i="4" s="1"/>
  <c r="G52" i="4"/>
  <c r="E52" i="4"/>
  <c r="I51" i="4"/>
  <c r="J51" i="4" s="1"/>
  <c r="K51" i="4" s="1"/>
  <c r="G51" i="4"/>
  <c r="E51" i="4"/>
  <c r="I50" i="4"/>
  <c r="J50" i="4" s="1"/>
  <c r="K50" i="4" s="1"/>
  <c r="G50" i="4"/>
  <c r="E50" i="4"/>
  <c r="I49" i="4"/>
  <c r="J49" i="4" s="1"/>
  <c r="K49" i="4" s="1"/>
  <c r="G49" i="4"/>
  <c r="E49" i="4"/>
  <c r="I48" i="4"/>
  <c r="J48" i="4" s="1"/>
  <c r="K48" i="4" s="1"/>
  <c r="G48" i="4"/>
  <c r="E48" i="4"/>
  <c r="I47" i="4"/>
  <c r="J47" i="4" s="1"/>
  <c r="K47" i="4" s="1"/>
  <c r="G47" i="4"/>
  <c r="E47" i="4"/>
  <c r="I46" i="4"/>
  <c r="J46" i="4" s="1"/>
  <c r="K46" i="4" s="1"/>
  <c r="G46" i="4"/>
  <c r="E46" i="4"/>
  <c r="I45" i="4"/>
  <c r="J45" i="4" s="1"/>
  <c r="K45" i="4" s="1"/>
  <c r="G45" i="4"/>
  <c r="E45" i="4"/>
  <c r="I44" i="4"/>
  <c r="J44" i="4" s="1"/>
  <c r="K44" i="4" s="1"/>
  <c r="G44" i="4"/>
  <c r="E44" i="4"/>
  <c r="I43" i="4"/>
  <c r="J43" i="4" s="1"/>
  <c r="K43" i="4" s="1"/>
  <c r="G43" i="4"/>
  <c r="E43" i="4"/>
  <c r="I42" i="4"/>
  <c r="J42" i="4" s="1"/>
  <c r="K42" i="4" s="1"/>
  <c r="G42" i="4"/>
  <c r="E42" i="4"/>
  <c r="I41" i="4"/>
  <c r="J41" i="4" s="1"/>
  <c r="K41" i="4" s="1"/>
  <c r="G41" i="4"/>
  <c r="E41" i="4"/>
  <c r="I40" i="4"/>
  <c r="J40" i="4" s="1"/>
  <c r="K40" i="4" s="1"/>
  <c r="G40" i="4"/>
  <c r="E40" i="4"/>
  <c r="I39" i="4"/>
  <c r="J39" i="4" s="1"/>
  <c r="K39" i="4" s="1"/>
  <c r="G39" i="4"/>
  <c r="E39" i="4"/>
  <c r="I38" i="4"/>
  <c r="J38" i="4" s="1"/>
  <c r="K38" i="4" s="1"/>
  <c r="G38" i="4"/>
  <c r="E38" i="4"/>
  <c r="I37" i="4"/>
  <c r="J37" i="4" s="1"/>
  <c r="K37" i="4" s="1"/>
  <c r="G37" i="4"/>
  <c r="E37" i="4"/>
  <c r="I36" i="4"/>
  <c r="J36" i="4" s="1"/>
  <c r="K36" i="4" s="1"/>
  <c r="G36" i="4"/>
  <c r="E36" i="4"/>
  <c r="I35" i="4"/>
  <c r="J35" i="4" s="1"/>
  <c r="K35" i="4" s="1"/>
  <c r="G35" i="4"/>
  <c r="E35" i="4"/>
  <c r="I34" i="4"/>
  <c r="J34" i="4" s="1"/>
  <c r="K34" i="4" s="1"/>
  <c r="G34" i="4"/>
  <c r="E34" i="4"/>
  <c r="I33" i="4"/>
  <c r="J33" i="4" s="1"/>
  <c r="K33" i="4" s="1"/>
  <c r="G33" i="4"/>
  <c r="E33" i="4"/>
  <c r="I32" i="4"/>
  <c r="J32" i="4" s="1"/>
  <c r="K32" i="4" s="1"/>
  <c r="G32" i="4"/>
  <c r="E32" i="4"/>
  <c r="I31" i="4"/>
  <c r="J31" i="4" s="1"/>
  <c r="K31" i="4" s="1"/>
  <c r="G31" i="4"/>
  <c r="E31" i="4"/>
  <c r="I30" i="4"/>
  <c r="J30" i="4" s="1"/>
  <c r="K30" i="4" s="1"/>
  <c r="G30" i="4"/>
  <c r="E30" i="4"/>
  <c r="I29" i="4"/>
  <c r="J29" i="4" s="1"/>
  <c r="K29" i="4" s="1"/>
  <c r="G29" i="4"/>
  <c r="E29" i="4"/>
  <c r="I28" i="4"/>
  <c r="J28" i="4" s="1"/>
  <c r="K28" i="4" s="1"/>
  <c r="G28" i="4"/>
  <c r="E28" i="4"/>
  <c r="I27" i="4"/>
  <c r="J27" i="4" s="1"/>
  <c r="G27" i="4"/>
  <c r="E27" i="4"/>
  <c r="I26" i="4"/>
  <c r="J26" i="4" s="1"/>
  <c r="K26" i="4" s="1"/>
  <c r="G26" i="4"/>
  <c r="E26" i="4"/>
  <c r="I25" i="4"/>
  <c r="J25" i="4" s="1"/>
  <c r="K25" i="4" s="1"/>
  <c r="G25" i="4"/>
  <c r="E25" i="4"/>
  <c r="I24" i="4"/>
  <c r="J24" i="4" s="1"/>
  <c r="K24" i="4" s="1"/>
  <c r="G24" i="4"/>
  <c r="E24" i="4"/>
  <c r="I23" i="4"/>
  <c r="J23" i="4" s="1"/>
  <c r="K23" i="4" s="1"/>
  <c r="G23" i="4"/>
  <c r="E23" i="4"/>
  <c r="I22" i="4"/>
  <c r="J22" i="4" s="1"/>
  <c r="K22" i="4" s="1"/>
  <c r="G22" i="4"/>
  <c r="E22" i="4"/>
  <c r="I21" i="4"/>
  <c r="J21" i="4" s="1"/>
  <c r="K21" i="4" s="1"/>
  <c r="G21" i="4"/>
  <c r="E21" i="4"/>
  <c r="I20" i="4"/>
  <c r="J20" i="4" s="1"/>
  <c r="K20" i="4" s="1"/>
  <c r="G20" i="4"/>
  <c r="E20" i="4"/>
  <c r="I19" i="4"/>
  <c r="J19" i="4" s="1"/>
  <c r="K19" i="4" s="1"/>
  <c r="G19" i="4"/>
  <c r="E19" i="4"/>
  <c r="I18" i="4"/>
  <c r="J18" i="4" s="1"/>
  <c r="K18" i="4" s="1"/>
  <c r="G18" i="4"/>
  <c r="E18" i="4"/>
  <c r="I17" i="4"/>
  <c r="J17" i="4" s="1"/>
  <c r="K17" i="4" s="1"/>
  <c r="G17" i="4"/>
  <c r="E17" i="4"/>
  <c r="I16" i="4"/>
  <c r="J16" i="4" s="1"/>
  <c r="K16" i="4" s="1"/>
  <c r="G16" i="4"/>
  <c r="E16" i="4"/>
  <c r="I15" i="4"/>
  <c r="J15" i="4" s="1"/>
  <c r="K15" i="4" s="1"/>
  <c r="G15" i="4"/>
  <c r="E15" i="4"/>
  <c r="I14" i="4"/>
  <c r="J14" i="4" s="1"/>
  <c r="K14" i="4" s="1"/>
  <c r="G14" i="4"/>
  <c r="E14" i="4"/>
  <c r="I13" i="4"/>
  <c r="J13" i="4" s="1"/>
  <c r="K13" i="4" s="1"/>
  <c r="G13" i="4"/>
  <c r="E13" i="4"/>
  <c r="I12" i="4"/>
  <c r="J12" i="4" s="1"/>
  <c r="K12" i="4" s="1"/>
  <c r="G12" i="4"/>
  <c r="E12" i="4"/>
  <c r="I11" i="4"/>
  <c r="J11" i="4" s="1"/>
  <c r="K11" i="4" s="1"/>
  <c r="G11" i="4"/>
  <c r="E11" i="4"/>
  <c r="I10" i="4"/>
  <c r="J10" i="4" s="1"/>
  <c r="K10" i="4" s="1"/>
  <c r="G10" i="4"/>
  <c r="E10" i="4"/>
  <c r="I9" i="4"/>
  <c r="J9" i="4" s="1"/>
  <c r="K9" i="4" s="1"/>
  <c r="G9" i="4"/>
  <c r="E9" i="4"/>
  <c r="I8" i="4"/>
  <c r="J8" i="4" s="1"/>
  <c r="K8" i="4" s="1"/>
  <c r="G8" i="4"/>
  <c r="E8" i="4"/>
  <c r="I7" i="4"/>
  <c r="J7" i="4" s="1"/>
  <c r="K7" i="4" s="1"/>
  <c r="G7" i="4"/>
  <c r="E7" i="4"/>
  <c r="I6" i="4"/>
  <c r="J6" i="4" s="1"/>
  <c r="K6" i="4" s="1"/>
  <c r="G6" i="4"/>
  <c r="E6" i="4"/>
  <c r="I5" i="4"/>
  <c r="J5" i="4" s="1"/>
  <c r="K5" i="4" s="1"/>
  <c r="G5" i="4"/>
  <c r="E5" i="4"/>
  <c r="I4" i="4"/>
  <c r="J4" i="4" s="1"/>
  <c r="K4" i="4" s="1"/>
  <c r="G4" i="4"/>
  <c r="E4" i="4"/>
  <c r="I3" i="4"/>
  <c r="J3" i="4" s="1"/>
  <c r="K3" i="4" s="1"/>
  <c r="G3" i="4"/>
  <c r="E3" i="4"/>
  <c r="I2" i="4"/>
  <c r="J2" i="4" s="1"/>
  <c r="K2" i="4" s="1"/>
  <c r="G2" i="4"/>
  <c r="E2" i="4"/>
  <c r="P135" i="11"/>
  <c r="Q135" i="11" s="1"/>
  <c r="R135" i="11" s="1"/>
  <c r="N135" i="11"/>
  <c r="L135" i="11"/>
  <c r="P134" i="11"/>
  <c r="Q134" i="11" s="1"/>
  <c r="R134" i="11" s="1"/>
  <c r="N134" i="11"/>
  <c r="L134" i="11"/>
  <c r="P133" i="11"/>
  <c r="Q133" i="11" s="1"/>
  <c r="R133" i="11" s="1"/>
  <c r="N133" i="11"/>
  <c r="L133" i="11"/>
  <c r="P132" i="11"/>
  <c r="Q132" i="11" s="1"/>
  <c r="R132" i="11" s="1"/>
  <c r="N132" i="11"/>
  <c r="L132" i="11"/>
  <c r="P131" i="11"/>
  <c r="Q131" i="11" s="1"/>
  <c r="R131" i="11" s="1"/>
  <c r="N131" i="11"/>
  <c r="L131" i="11"/>
  <c r="P130" i="11"/>
  <c r="Q130" i="11" s="1"/>
  <c r="R130" i="11" s="1"/>
  <c r="N130" i="11"/>
  <c r="L130" i="11"/>
  <c r="P129" i="11"/>
  <c r="Q129" i="11" s="1"/>
  <c r="R129" i="11" s="1"/>
  <c r="N129" i="11"/>
  <c r="L129" i="11"/>
  <c r="P128" i="11"/>
  <c r="Q128" i="11" s="1"/>
  <c r="R128" i="11" s="1"/>
  <c r="N128" i="11"/>
  <c r="L128" i="11"/>
  <c r="P127" i="11"/>
  <c r="Q127" i="11" s="1"/>
  <c r="R127" i="11" s="1"/>
  <c r="N127" i="11"/>
  <c r="L127" i="11"/>
  <c r="P126" i="11"/>
  <c r="Q126" i="11" s="1"/>
  <c r="R126" i="11" s="1"/>
  <c r="N126" i="11"/>
  <c r="L126" i="11"/>
  <c r="P125" i="11"/>
  <c r="Q125" i="11" s="1"/>
  <c r="R125" i="11" s="1"/>
  <c r="N125" i="11"/>
  <c r="L125" i="11"/>
  <c r="P124" i="11"/>
  <c r="Q124" i="11" s="1"/>
  <c r="R124" i="11" s="1"/>
  <c r="N124" i="11"/>
  <c r="L124" i="11"/>
  <c r="P123" i="11"/>
  <c r="Q123" i="11" s="1"/>
  <c r="R123" i="11" s="1"/>
  <c r="N123" i="11"/>
  <c r="L123" i="11"/>
  <c r="P122" i="11"/>
  <c r="Q122" i="11" s="1"/>
  <c r="R122" i="11" s="1"/>
  <c r="N122" i="11"/>
  <c r="L122" i="11"/>
  <c r="P121" i="11"/>
  <c r="Q121" i="11" s="1"/>
  <c r="R121" i="11" s="1"/>
  <c r="N121" i="11"/>
  <c r="L121" i="11"/>
  <c r="P120" i="11"/>
  <c r="Q120" i="11" s="1"/>
  <c r="R120" i="11" s="1"/>
  <c r="N120" i="11"/>
  <c r="L120" i="11"/>
  <c r="P119" i="11"/>
  <c r="Q119" i="11" s="1"/>
  <c r="R119" i="11" s="1"/>
  <c r="N119" i="11"/>
  <c r="L119" i="11"/>
  <c r="P118" i="11"/>
  <c r="Q118" i="11" s="1"/>
  <c r="R118" i="11" s="1"/>
  <c r="N118" i="11"/>
  <c r="L118" i="11"/>
  <c r="P117" i="11"/>
  <c r="Q117" i="11" s="1"/>
  <c r="R117" i="11" s="1"/>
  <c r="N117" i="11"/>
  <c r="L117" i="11"/>
  <c r="P116" i="11"/>
  <c r="Q116" i="11" s="1"/>
  <c r="R116" i="11" s="1"/>
  <c r="N116" i="11"/>
  <c r="L116" i="11"/>
  <c r="P115" i="11"/>
  <c r="Q115" i="11" s="1"/>
  <c r="R115" i="11" s="1"/>
  <c r="N115" i="11"/>
  <c r="L115" i="11"/>
  <c r="P114" i="11"/>
  <c r="Q114" i="11" s="1"/>
  <c r="R114" i="11" s="1"/>
  <c r="N114" i="11"/>
  <c r="L114" i="11"/>
  <c r="P113" i="11"/>
  <c r="Q113" i="11" s="1"/>
  <c r="R113" i="11" s="1"/>
  <c r="N113" i="11"/>
  <c r="L113" i="11"/>
  <c r="P112" i="11"/>
  <c r="Q112" i="11" s="1"/>
  <c r="R112" i="11" s="1"/>
  <c r="N112" i="11"/>
  <c r="L112" i="11"/>
  <c r="P111" i="11"/>
  <c r="Q111" i="11" s="1"/>
  <c r="R111" i="11" s="1"/>
  <c r="N111" i="11"/>
  <c r="L111" i="11"/>
  <c r="P110" i="11"/>
  <c r="Q110" i="11" s="1"/>
  <c r="R110" i="11" s="1"/>
  <c r="N110" i="11"/>
  <c r="L110" i="11"/>
  <c r="P109" i="11"/>
  <c r="Q109" i="11" s="1"/>
  <c r="R109" i="11" s="1"/>
  <c r="N109" i="11"/>
  <c r="L109" i="11"/>
  <c r="P108" i="11"/>
  <c r="Q108" i="11" s="1"/>
  <c r="R108" i="11" s="1"/>
  <c r="N108" i="11"/>
  <c r="L108" i="11"/>
  <c r="P107" i="11"/>
  <c r="Q107" i="11" s="1"/>
  <c r="R107" i="11" s="1"/>
  <c r="N107" i="11"/>
  <c r="L107" i="11"/>
  <c r="P106" i="11"/>
  <c r="Q106" i="11" s="1"/>
  <c r="R106" i="11" s="1"/>
  <c r="N106" i="11"/>
  <c r="L106" i="11"/>
  <c r="P105" i="11"/>
  <c r="Q105" i="11" s="1"/>
  <c r="R105" i="11" s="1"/>
  <c r="N105" i="11"/>
  <c r="L105" i="11"/>
  <c r="P104" i="11"/>
  <c r="Q104" i="11" s="1"/>
  <c r="R104" i="11" s="1"/>
  <c r="N104" i="11"/>
  <c r="L104" i="11"/>
  <c r="P103" i="11"/>
  <c r="Q103" i="11" s="1"/>
  <c r="R103" i="11" s="1"/>
  <c r="N103" i="11"/>
  <c r="L103" i="11"/>
  <c r="P102" i="11"/>
  <c r="Q102" i="11" s="1"/>
  <c r="R102" i="11" s="1"/>
  <c r="N102" i="11"/>
  <c r="L102" i="11"/>
  <c r="P101" i="11"/>
  <c r="Q101" i="11" s="1"/>
  <c r="R101" i="11" s="1"/>
  <c r="N101" i="11"/>
  <c r="L101" i="11"/>
  <c r="P100" i="11"/>
  <c r="Q100" i="11" s="1"/>
  <c r="R100" i="11" s="1"/>
  <c r="N100" i="11"/>
  <c r="L100" i="11"/>
  <c r="P99" i="11"/>
  <c r="Q99" i="11" s="1"/>
  <c r="R99" i="11" s="1"/>
  <c r="N99" i="11"/>
  <c r="L99" i="11"/>
  <c r="P98" i="11"/>
  <c r="Q98" i="11" s="1"/>
  <c r="R98" i="11" s="1"/>
  <c r="N98" i="11"/>
  <c r="L98" i="11"/>
  <c r="P97" i="11"/>
  <c r="Q97" i="11" s="1"/>
  <c r="R97" i="11" s="1"/>
  <c r="N97" i="11"/>
  <c r="L97" i="11"/>
  <c r="P96" i="11"/>
  <c r="Q96" i="11" s="1"/>
  <c r="R96" i="11" s="1"/>
  <c r="N96" i="11"/>
  <c r="L96" i="11"/>
  <c r="P95" i="11"/>
  <c r="Q95" i="11" s="1"/>
  <c r="R95" i="11" s="1"/>
  <c r="N95" i="11"/>
  <c r="L95" i="11"/>
  <c r="P94" i="11"/>
  <c r="Q94" i="11" s="1"/>
  <c r="R94" i="11" s="1"/>
  <c r="N94" i="11"/>
  <c r="L94" i="11"/>
  <c r="P93" i="11"/>
  <c r="Q93" i="11" s="1"/>
  <c r="R93" i="11" s="1"/>
  <c r="N93" i="11"/>
  <c r="L93" i="11"/>
  <c r="P92" i="11"/>
  <c r="Q92" i="11" s="1"/>
  <c r="R92" i="11" s="1"/>
  <c r="N92" i="11"/>
  <c r="L92" i="11"/>
  <c r="P91" i="11"/>
  <c r="Q91" i="11" s="1"/>
  <c r="R91" i="11" s="1"/>
  <c r="N91" i="11"/>
  <c r="L91" i="11"/>
  <c r="L54" i="11"/>
  <c r="N54" i="11"/>
  <c r="P54" i="11"/>
  <c r="Q54" i="11" s="1"/>
  <c r="R54" i="11" s="1"/>
  <c r="P46" i="11"/>
  <c r="Q46" i="11" s="1"/>
  <c r="R46" i="11" s="1"/>
  <c r="L46" i="11"/>
  <c r="N46" i="11"/>
  <c r="L47" i="11"/>
  <c r="N47" i="11"/>
  <c r="P47" i="11"/>
  <c r="Q47" i="11" s="1"/>
  <c r="R47" i="11" s="1"/>
  <c r="L48" i="11"/>
  <c r="N48" i="11"/>
  <c r="P48" i="11"/>
  <c r="Q48" i="11" s="1"/>
  <c r="R48" i="11" s="1"/>
  <c r="L49" i="11"/>
  <c r="N49" i="11"/>
  <c r="P49" i="11"/>
  <c r="Q49" i="11" s="1"/>
  <c r="R49" i="11" s="1"/>
  <c r="L50" i="11"/>
  <c r="N50" i="11"/>
  <c r="P50" i="11"/>
  <c r="Q50" i="11" s="1"/>
  <c r="R50" i="11" s="1"/>
  <c r="L51" i="11"/>
  <c r="N51" i="11"/>
  <c r="P51" i="11"/>
  <c r="Q51" i="11" s="1"/>
  <c r="R51" i="11" s="1"/>
  <c r="L52" i="11"/>
  <c r="N52" i="11"/>
  <c r="P52" i="11"/>
  <c r="Q52" i="11" s="1"/>
  <c r="R52" i="11" s="1"/>
  <c r="L53" i="11"/>
  <c r="N53" i="11"/>
  <c r="P53" i="11"/>
  <c r="Q53" i="11" s="1"/>
  <c r="R53" i="11" s="1"/>
  <c r="L55" i="11"/>
  <c r="N55" i="11"/>
  <c r="P55" i="11"/>
  <c r="Q55" i="11" s="1"/>
  <c r="R55" i="11" s="1"/>
  <c r="L56" i="11"/>
  <c r="N56" i="11"/>
  <c r="P56" i="11"/>
  <c r="Q56" i="11" s="1"/>
  <c r="R56" i="11" s="1"/>
  <c r="L57" i="11"/>
  <c r="N57" i="11"/>
  <c r="P57" i="11"/>
  <c r="Q57" i="11" s="1"/>
  <c r="R57" i="11" s="1"/>
  <c r="L58" i="11"/>
  <c r="N58" i="11"/>
  <c r="P58" i="11"/>
  <c r="Q58" i="11" s="1"/>
  <c r="R58" i="11" s="1"/>
  <c r="L59" i="11"/>
  <c r="N59" i="11"/>
  <c r="P59" i="11"/>
  <c r="Q59" i="11" s="1"/>
  <c r="R59" i="11" s="1"/>
  <c r="L60" i="11"/>
  <c r="N60" i="11"/>
  <c r="P60" i="11"/>
  <c r="Q60" i="11" s="1"/>
  <c r="R60" i="11" s="1"/>
  <c r="L61" i="11"/>
  <c r="N61" i="11"/>
  <c r="P61" i="11"/>
  <c r="Q61" i="11" s="1"/>
  <c r="R61" i="11" s="1"/>
  <c r="L62" i="11"/>
  <c r="N62" i="11"/>
  <c r="P62" i="11"/>
  <c r="Q62" i="11" s="1"/>
  <c r="R62" i="11" s="1"/>
  <c r="L63" i="11"/>
  <c r="N63" i="11"/>
  <c r="P63" i="11"/>
  <c r="Q63" i="11" s="1"/>
  <c r="R63" i="11" s="1"/>
  <c r="L64" i="11"/>
  <c r="N64" i="11"/>
  <c r="P64" i="11"/>
  <c r="Q64" i="11" s="1"/>
  <c r="R64" i="11" s="1"/>
  <c r="L65" i="11"/>
  <c r="N65" i="11"/>
  <c r="P65" i="11"/>
  <c r="Q65" i="11" s="1"/>
  <c r="R65" i="11" s="1"/>
  <c r="L66" i="11"/>
  <c r="N66" i="11"/>
  <c r="P66" i="11"/>
  <c r="Q66" i="11" s="1"/>
  <c r="R66" i="11" s="1"/>
  <c r="L67" i="11"/>
  <c r="N67" i="11"/>
  <c r="P67" i="11"/>
  <c r="Q67" i="11" s="1"/>
  <c r="R67" i="11" s="1"/>
  <c r="L68" i="11"/>
  <c r="N68" i="11"/>
  <c r="P68" i="11"/>
  <c r="Q68" i="11" s="1"/>
  <c r="R68" i="11" s="1"/>
  <c r="L69" i="11"/>
  <c r="N69" i="11"/>
  <c r="P69" i="11"/>
  <c r="Q69" i="11" s="1"/>
  <c r="R69" i="11" s="1"/>
  <c r="L70" i="11"/>
  <c r="N70" i="11"/>
  <c r="P70" i="11"/>
  <c r="Q70" i="11" s="1"/>
  <c r="R70" i="11" s="1"/>
  <c r="L71" i="11"/>
  <c r="N71" i="11"/>
  <c r="P71" i="11"/>
  <c r="Q71" i="11" s="1"/>
  <c r="R71" i="11" s="1"/>
  <c r="L72" i="11"/>
  <c r="N72" i="11"/>
  <c r="P72" i="11"/>
  <c r="Q72" i="11" s="1"/>
  <c r="R72" i="11" s="1"/>
  <c r="L73" i="11"/>
  <c r="N73" i="11"/>
  <c r="P73" i="11"/>
  <c r="Q73" i="11" s="1"/>
  <c r="R73" i="11" s="1"/>
  <c r="L74" i="11"/>
  <c r="N74" i="11"/>
  <c r="P74" i="11"/>
  <c r="Q74" i="11" s="1"/>
  <c r="R74" i="11" s="1"/>
  <c r="L75" i="11"/>
  <c r="N75" i="11"/>
  <c r="P75" i="11"/>
  <c r="Q75" i="11" s="1"/>
  <c r="R75" i="11" s="1"/>
  <c r="L76" i="11"/>
  <c r="N76" i="11"/>
  <c r="P76" i="11"/>
  <c r="Q76" i="11" s="1"/>
  <c r="R76" i="11" s="1"/>
  <c r="L77" i="11"/>
  <c r="N77" i="11"/>
  <c r="P77" i="11"/>
  <c r="Q77" i="11" s="1"/>
  <c r="R77" i="11" s="1"/>
  <c r="L78" i="11"/>
  <c r="N78" i="11"/>
  <c r="P78" i="11"/>
  <c r="Q78" i="11" s="1"/>
  <c r="R78" i="11" s="1"/>
  <c r="L79" i="11"/>
  <c r="N79" i="11"/>
  <c r="P79" i="11"/>
  <c r="Q79" i="11" s="1"/>
  <c r="R79" i="11" s="1"/>
  <c r="L80" i="11"/>
  <c r="N80" i="11"/>
  <c r="P80" i="11"/>
  <c r="Q80" i="11" s="1"/>
  <c r="R80" i="11" s="1"/>
  <c r="L81" i="11"/>
  <c r="N81" i="11"/>
  <c r="P81" i="11"/>
  <c r="Q81" i="11" s="1"/>
  <c r="R81" i="11" s="1"/>
  <c r="L82" i="11"/>
  <c r="N82" i="11"/>
  <c r="P82" i="11"/>
  <c r="Q82" i="11" s="1"/>
  <c r="R82" i="11" s="1"/>
  <c r="L83" i="11"/>
  <c r="N83" i="11"/>
  <c r="P83" i="11"/>
  <c r="Q83" i="11" s="1"/>
  <c r="R83" i="11" s="1"/>
  <c r="L84" i="11"/>
  <c r="N84" i="11"/>
  <c r="P84" i="11"/>
  <c r="Q84" i="11" s="1"/>
  <c r="R84" i="11" s="1"/>
  <c r="L85" i="11"/>
  <c r="N85" i="11"/>
  <c r="P85" i="11"/>
  <c r="Q85" i="11" s="1"/>
  <c r="R85" i="11" s="1"/>
  <c r="L86" i="11"/>
  <c r="N86" i="11"/>
  <c r="P86" i="11"/>
  <c r="Q86" i="11" s="1"/>
  <c r="R86" i="11" s="1"/>
  <c r="L87" i="11"/>
  <c r="N87" i="11"/>
  <c r="P87" i="11"/>
  <c r="Q87" i="11" s="1"/>
  <c r="R87" i="11" s="1"/>
  <c r="L88" i="11"/>
  <c r="N88" i="11"/>
  <c r="P88" i="11"/>
  <c r="Q88" i="11" s="1"/>
  <c r="R88" i="11" s="1"/>
  <c r="L89" i="11"/>
  <c r="N89" i="11"/>
  <c r="P89" i="11"/>
  <c r="Q89" i="11" s="1"/>
  <c r="R89" i="11" s="1"/>
  <c r="L90" i="11"/>
  <c r="N90" i="11"/>
  <c r="P90" i="11"/>
  <c r="Q90" i="11" s="1"/>
  <c r="R90" i="11" s="1"/>
  <c r="F433" i="5"/>
  <c r="H433" i="5"/>
  <c r="J433" i="5"/>
  <c r="K433" i="5" s="1"/>
  <c r="F434" i="5"/>
  <c r="H434" i="5"/>
  <c r="J434" i="5"/>
  <c r="K434" i="5" s="1"/>
  <c r="F435" i="5"/>
  <c r="H435" i="5"/>
  <c r="J435" i="5"/>
  <c r="K435" i="5" s="1"/>
  <c r="F436" i="5"/>
  <c r="H436" i="5"/>
  <c r="J436" i="5"/>
  <c r="K436" i="5" s="1"/>
  <c r="F437" i="5"/>
  <c r="H437" i="5"/>
  <c r="J437" i="5"/>
  <c r="L437" i="5" s="1"/>
  <c r="F438" i="5"/>
  <c r="H438" i="5"/>
  <c r="J438" i="5"/>
  <c r="L438" i="5" s="1"/>
  <c r="F439" i="5"/>
  <c r="H439" i="5"/>
  <c r="J439" i="5"/>
  <c r="L439" i="5" s="1"/>
  <c r="F440" i="5"/>
  <c r="H440" i="5"/>
  <c r="J440" i="5"/>
  <c r="K440" i="5" s="1"/>
  <c r="F441" i="5"/>
  <c r="H441" i="5"/>
  <c r="J441" i="5"/>
  <c r="K441" i="5" s="1"/>
  <c r="F442" i="5"/>
  <c r="H442" i="5"/>
  <c r="J442" i="5"/>
  <c r="K442" i="5" s="1"/>
  <c r="F443" i="5"/>
  <c r="H443" i="5"/>
  <c r="J443" i="5"/>
  <c r="K443" i="5" s="1"/>
  <c r="F444" i="5"/>
  <c r="H444" i="5"/>
  <c r="J444" i="5"/>
  <c r="L444" i="5" s="1"/>
  <c r="F445" i="5"/>
  <c r="H445" i="5"/>
  <c r="J445" i="5"/>
  <c r="L445" i="5" s="1"/>
  <c r="F446" i="5"/>
  <c r="H446" i="5"/>
  <c r="J446" i="5"/>
  <c r="L446" i="5" s="1"/>
  <c r="F447" i="5"/>
  <c r="H447" i="5"/>
  <c r="J447" i="5"/>
  <c r="K447" i="5" s="1"/>
  <c r="F448" i="5"/>
  <c r="H448" i="5"/>
  <c r="J448" i="5"/>
  <c r="L448" i="5" s="1"/>
  <c r="F449" i="5"/>
  <c r="H449" i="5"/>
  <c r="J449" i="5"/>
  <c r="K449" i="5" s="1"/>
  <c r="F450" i="5"/>
  <c r="H450" i="5"/>
  <c r="J450" i="5"/>
  <c r="K450" i="5" s="1"/>
  <c r="F451" i="5"/>
  <c r="H451" i="5"/>
  <c r="J451" i="5"/>
  <c r="K451" i="5" s="1"/>
  <c r="F452" i="5"/>
  <c r="H452" i="5"/>
  <c r="J452" i="5"/>
  <c r="L452" i="5" s="1"/>
  <c r="F453" i="5"/>
  <c r="H453" i="5"/>
  <c r="J453" i="5"/>
  <c r="L453" i="5" s="1"/>
  <c r="F454" i="5"/>
  <c r="H454" i="5"/>
  <c r="J454" i="5"/>
  <c r="L454" i="5" s="1"/>
  <c r="F455" i="5"/>
  <c r="H455" i="5"/>
  <c r="J455" i="5"/>
  <c r="K455" i="5" s="1"/>
  <c r="F456" i="5"/>
  <c r="H456" i="5"/>
  <c r="J456" i="5"/>
  <c r="K456" i="5" s="1"/>
  <c r="F457" i="5"/>
  <c r="H457" i="5"/>
  <c r="J457" i="5"/>
  <c r="K457" i="5" s="1"/>
  <c r="F458" i="5"/>
  <c r="H458" i="5"/>
  <c r="J458" i="5"/>
  <c r="K458" i="5" s="1"/>
  <c r="F459" i="5"/>
  <c r="H459" i="5"/>
  <c r="J459" i="5"/>
  <c r="K459" i="5" s="1"/>
  <c r="F460" i="5"/>
  <c r="H460" i="5"/>
  <c r="J460" i="5"/>
  <c r="L460" i="5" s="1"/>
  <c r="F461" i="5"/>
  <c r="H461" i="5"/>
  <c r="J461" i="5"/>
  <c r="L461" i="5" s="1"/>
  <c r="F462" i="5"/>
  <c r="H462" i="5"/>
  <c r="J462" i="5"/>
  <c r="L462" i="5" s="1"/>
  <c r="F463" i="5"/>
  <c r="H463" i="5"/>
  <c r="J463" i="5"/>
  <c r="K463" i="5" s="1"/>
  <c r="F464" i="5"/>
  <c r="H464" i="5"/>
  <c r="J464" i="5"/>
  <c r="K464" i="5" s="1"/>
  <c r="F465" i="5"/>
  <c r="H465" i="5"/>
  <c r="J465" i="5"/>
  <c r="K465" i="5" s="1"/>
  <c r="F466" i="5"/>
  <c r="H466" i="5"/>
  <c r="J466" i="5"/>
  <c r="K466" i="5" s="1"/>
  <c r="F467" i="5"/>
  <c r="H467" i="5"/>
  <c r="J467" i="5"/>
  <c r="K467" i="5" s="1"/>
  <c r="F468" i="5"/>
  <c r="H468" i="5"/>
  <c r="J468" i="5"/>
  <c r="L468" i="5" s="1"/>
  <c r="F469" i="5"/>
  <c r="H469" i="5"/>
  <c r="J469" i="5"/>
  <c r="L469" i="5" s="1"/>
  <c r="F470" i="5"/>
  <c r="H470" i="5"/>
  <c r="J470" i="5"/>
  <c r="L470" i="5" s="1"/>
  <c r="F471" i="5"/>
  <c r="H471" i="5"/>
  <c r="J471" i="5"/>
  <c r="L471" i="5" s="1"/>
  <c r="F472" i="5"/>
  <c r="H472" i="5"/>
  <c r="J472" i="5"/>
  <c r="K472" i="5" s="1"/>
  <c r="F473" i="5"/>
  <c r="H473" i="5"/>
  <c r="J473" i="5"/>
  <c r="K473" i="5" s="1"/>
  <c r="F474" i="5"/>
  <c r="H474" i="5"/>
  <c r="J474" i="5"/>
  <c r="K474" i="5" s="1"/>
  <c r="F475" i="5"/>
  <c r="H475" i="5"/>
  <c r="J475" i="5"/>
  <c r="K475" i="5" s="1"/>
  <c r="F476" i="5"/>
  <c r="H476" i="5"/>
  <c r="J476" i="5"/>
  <c r="L476" i="5" s="1"/>
  <c r="F477" i="5"/>
  <c r="H477" i="5"/>
  <c r="J477" i="5"/>
  <c r="L477" i="5" s="1"/>
  <c r="F478" i="5"/>
  <c r="H478" i="5"/>
  <c r="J478" i="5"/>
  <c r="L478" i="5" s="1"/>
  <c r="F479" i="5"/>
  <c r="H479" i="5"/>
  <c r="J479" i="5"/>
  <c r="K479" i="5" s="1"/>
  <c r="F480" i="5"/>
  <c r="H480" i="5"/>
  <c r="J480" i="5"/>
  <c r="K480" i="5" s="1"/>
  <c r="F481" i="5"/>
  <c r="H481" i="5"/>
  <c r="J481" i="5"/>
  <c r="K481" i="5" s="1"/>
  <c r="F482" i="5"/>
  <c r="H482" i="5"/>
  <c r="J482" i="5"/>
  <c r="K482" i="5" s="1"/>
  <c r="F483" i="5"/>
  <c r="H483" i="5"/>
  <c r="J483" i="5"/>
  <c r="K483" i="5" s="1"/>
  <c r="F484" i="5"/>
  <c r="H484" i="5"/>
  <c r="J484" i="5"/>
  <c r="L484" i="5" s="1"/>
  <c r="F485" i="5"/>
  <c r="H485" i="5"/>
  <c r="J485" i="5"/>
  <c r="L485" i="5" s="1"/>
  <c r="F486" i="5"/>
  <c r="H486" i="5"/>
  <c r="J486" i="5"/>
  <c r="L486" i="5" s="1"/>
  <c r="F487" i="5"/>
  <c r="H487" i="5"/>
  <c r="J487" i="5"/>
  <c r="K487" i="5" s="1"/>
  <c r="F488" i="5"/>
  <c r="H488" i="5"/>
  <c r="J488" i="5"/>
  <c r="L488" i="5" s="1"/>
  <c r="F489" i="5"/>
  <c r="H489" i="5"/>
  <c r="J489" i="5"/>
  <c r="K489" i="5" s="1"/>
  <c r="F490" i="5"/>
  <c r="H490" i="5"/>
  <c r="J490" i="5"/>
  <c r="K490" i="5" s="1"/>
  <c r="F491" i="5"/>
  <c r="H491" i="5"/>
  <c r="J491" i="5"/>
  <c r="K491" i="5" s="1"/>
  <c r="F492" i="5"/>
  <c r="H492" i="5"/>
  <c r="J492" i="5"/>
  <c r="L492" i="5" s="1"/>
  <c r="F493" i="5"/>
  <c r="H493" i="5"/>
  <c r="J493" i="5"/>
  <c r="L493" i="5" s="1"/>
  <c r="F494" i="5"/>
  <c r="H494" i="5"/>
  <c r="J494" i="5"/>
  <c r="L494" i="5" s="1"/>
  <c r="F495" i="5"/>
  <c r="H495" i="5"/>
  <c r="J495" i="5"/>
  <c r="K495" i="5" s="1"/>
  <c r="F496" i="5"/>
  <c r="H496" i="5"/>
  <c r="J496" i="5"/>
  <c r="K496" i="5" s="1"/>
  <c r="F497" i="5"/>
  <c r="H497" i="5"/>
  <c r="J497" i="5"/>
  <c r="K497" i="5" s="1"/>
  <c r="F498" i="5"/>
  <c r="H498" i="5"/>
  <c r="J498" i="5"/>
  <c r="K498" i="5" s="1"/>
  <c r="F499" i="5"/>
  <c r="H499" i="5"/>
  <c r="J499" i="5"/>
  <c r="K499" i="5" s="1"/>
  <c r="F500" i="5"/>
  <c r="H500" i="5"/>
  <c r="J500" i="5"/>
  <c r="L500" i="5" s="1"/>
  <c r="F501" i="5"/>
  <c r="H501" i="5"/>
  <c r="J501" i="5"/>
  <c r="L501" i="5" s="1"/>
  <c r="F502" i="5"/>
  <c r="H502" i="5"/>
  <c r="J502" i="5"/>
  <c r="L502" i="5" s="1"/>
  <c r="F503" i="5"/>
  <c r="H503" i="5"/>
  <c r="J503" i="5"/>
  <c r="K503" i="5" s="1"/>
  <c r="F504" i="5"/>
  <c r="H504" i="5"/>
  <c r="J504" i="5"/>
  <c r="K504" i="5" s="1"/>
  <c r="F505" i="5"/>
  <c r="H505" i="5"/>
  <c r="J505" i="5"/>
  <c r="K505" i="5" s="1"/>
  <c r="F506" i="5"/>
  <c r="H506" i="5"/>
  <c r="J506" i="5"/>
  <c r="K506" i="5" s="1"/>
  <c r="F507" i="5"/>
  <c r="H507" i="5"/>
  <c r="J507" i="5"/>
  <c r="K507" i="5" s="1"/>
  <c r="F508" i="5"/>
  <c r="H508" i="5"/>
  <c r="J508" i="5"/>
  <c r="L508" i="5" s="1"/>
  <c r="F509" i="5"/>
  <c r="H509" i="5"/>
  <c r="J509" i="5"/>
  <c r="L509" i="5" s="1"/>
  <c r="F510" i="5"/>
  <c r="H510" i="5"/>
  <c r="J510" i="5"/>
  <c r="L510" i="5" s="1"/>
  <c r="F511" i="5"/>
  <c r="H511" i="5"/>
  <c r="J511" i="5"/>
  <c r="K511" i="5" s="1"/>
  <c r="F512" i="5"/>
  <c r="H512" i="5"/>
  <c r="J512" i="5"/>
  <c r="K512" i="5" s="1"/>
  <c r="F513" i="5"/>
  <c r="H513" i="5"/>
  <c r="J513" i="5"/>
  <c r="K513" i="5" s="1"/>
  <c r="F514" i="5"/>
  <c r="H514" i="5"/>
  <c r="J514" i="5"/>
  <c r="K514" i="5" s="1"/>
  <c r="F515" i="5"/>
  <c r="H515" i="5"/>
  <c r="J515" i="5"/>
  <c r="K515" i="5" s="1"/>
  <c r="F516" i="5"/>
  <c r="H516" i="5"/>
  <c r="J516" i="5"/>
  <c r="L516" i="5" s="1"/>
  <c r="F517" i="5"/>
  <c r="H517" i="5"/>
  <c r="J517" i="5"/>
  <c r="L517" i="5" s="1"/>
  <c r="F518" i="5"/>
  <c r="H518" i="5"/>
  <c r="J518" i="5"/>
  <c r="L518" i="5" s="1"/>
  <c r="F519" i="5"/>
  <c r="H519" i="5"/>
  <c r="J519" i="5"/>
  <c r="K519" i="5" s="1"/>
  <c r="F520" i="5"/>
  <c r="H520" i="5"/>
  <c r="J520" i="5"/>
  <c r="K520" i="5" s="1"/>
  <c r="F521" i="5"/>
  <c r="H521" i="5"/>
  <c r="J521" i="5"/>
  <c r="K521" i="5" s="1"/>
  <c r="F522" i="5"/>
  <c r="H522" i="5"/>
  <c r="J522" i="5"/>
  <c r="K522" i="5" s="1"/>
  <c r="F523" i="5"/>
  <c r="H523" i="5"/>
  <c r="J523" i="5"/>
  <c r="K523" i="5" s="1"/>
  <c r="F524" i="5"/>
  <c r="H524" i="5"/>
  <c r="J524" i="5"/>
  <c r="L524" i="5" s="1"/>
  <c r="F525" i="5"/>
  <c r="H525" i="5"/>
  <c r="J525" i="5"/>
  <c r="L525" i="5" s="1"/>
  <c r="F526" i="5"/>
  <c r="H526" i="5"/>
  <c r="J526" i="5"/>
  <c r="L526" i="5" s="1"/>
  <c r="F527" i="5"/>
  <c r="H527" i="5"/>
  <c r="J527" i="5"/>
  <c r="K527" i="5" s="1"/>
  <c r="F528" i="5"/>
  <c r="H528" i="5"/>
  <c r="J528" i="5"/>
  <c r="K528" i="5" s="1"/>
  <c r="F529" i="5"/>
  <c r="H529" i="5"/>
  <c r="J529" i="5"/>
  <c r="K529" i="5" s="1"/>
  <c r="F530" i="5"/>
  <c r="H530" i="5"/>
  <c r="J530" i="5"/>
  <c r="K530" i="5" s="1"/>
  <c r="F531" i="5"/>
  <c r="H531" i="5"/>
  <c r="J531" i="5"/>
  <c r="K531" i="5" s="1"/>
  <c r="F532" i="5"/>
  <c r="H532" i="5"/>
  <c r="J532" i="5"/>
  <c r="L532" i="5" s="1"/>
  <c r="F533" i="5"/>
  <c r="H533" i="5"/>
  <c r="J533" i="5"/>
  <c r="L533" i="5" s="1"/>
  <c r="F534" i="5"/>
  <c r="H534" i="5"/>
  <c r="J534" i="5"/>
  <c r="L534" i="5" s="1"/>
  <c r="F535" i="5"/>
  <c r="H535" i="5"/>
  <c r="J535" i="5"/>
  <c r="K535" i="5" s="1"/>
  <c r="F536" i="5"/>
  <c r="H536" i="5"/>
  <c r="J536" i="5"/>
  <c r="K536" i="5" s="1"/>
  <c r="F537" i="5"/>
  <c r="H537" i="5"/>
  <c r="J537" i="5"/>
  <c r="K537" i="5" s="1"/>
  <c r="F538" i="5"/>
  <c r="H538" i="5"/>
  <c r="J538" i="5"/>
  <c r="K538" i="5" s="1"/>
  <c r="F539" i="5"/>
  <c r="H539" i="5"/>
  <c r="J539" i="5"/>
  <c r="K539" i="5" s="1"/>
  <c r="E339" i="4"/>
  <c r="I328" i="4"/>
  <c r="I327" i="4"/>
  <c r="I326" i="4"/>
  <c r="I325" i="4"/>
  <c r="I324" i="4"/>
  <c r="I323" i="4"/>
  <c r="I322" i="4"/>
  <c r="I321" i="4"/>
  <c r="I320" i="4"/>
  <c r="I319" i="4"/>
  <c r="I318" i="4"/>
  <c r="I317" i="4"/>
  <c r="I316" i="4"/>
  <c r="I315" i="4"/>
  <c r="I314" i="4"/>
  <c r="I313" i="4"/>
  <c r="I312" i="4"/>
  <c r="I311" i="4"/>
  <c r="I310" i="4"/>
  <c r="I309" i="4"/>
  <c r="I308" i="4"/>
  <c r="I307" i="4"/>
  <c r="I306" i="4"/>
  <c r="I305" i="4"/>
  <c r="I304" i="4"/>
  <c r="I303" i="4"/>
  <c r="I302" i="4"/>
  <c r="I301" i="4"/>
  <c r="I300" i="4"/>
  <c r="I299" i="4"/>
  <c r="I298" i="4"/>
  <c r="I297" i="4"/>
  <c r="I296" i="4"/>
  <c r="I295" i="4"/>
  <c r="I294" i="4"/>
  <c r="I293" i="4"/>
  <c r="I292" i="4"/>
  <c r="I291" i="4"/>
  <c r="I290" i="4"/>
  <c r="I289" i="4"/>
  <c r="I288" i="4"/>
  <c r="I287" i="4"/>
  <c r="I286" i="4"/>
  <c r="I285" i="4"/>
  <c r="I284" i="4"/>
  <c r="I283" i="4"/>
  <c r="I282" i="4"/>
  <c r="I281" i="4"/>
  <c r="I280" i="4"/>
  <c r="I279" i="4"/>
  <c r="I278" i="4"/>
  <c r="I277" i="4"/>
  <c r="I276" i="4"/>
  <c r="I275" i="4"/>
  <c r="I274" i="4"/>
  <c r="I273" i="4"/>
  <c r="I272" i="4"/>
  <c r="I271" i="4"/>
  <c r="I270" i="4"/>
  <c r="I269" i="4"/>
  <c r="I268" i="4"/>
  <c r="I267" i="4"/>
  <c r="I266" i="4"/>
  <c r="I265" i="4"/>
  <c r="I264" i="4"/>
  <c r="I263" i="4"/>
  <c r="I262" i="4"/>
  <c r="I261" i="4"/>
  <c r="I260" i="4"/>
  <c r="I259" i="4"/>
  <c r="I258" i="4"/>
  <c r="I257" i="4"/>
  <c r="K257" i="4" s="1"/>
  <c r="I256" i="4"/>
  <c r="J256" i="4" s="1"/>
  <c r="I255" i="4"/>
  <c r="I254" i="4"/>
  <c r="I253" i="4"/>
  <c r="K253" i="4" s="1"/>
  <c r="I252" i="4"/>
  <c r="J252" i="4" s="1"/>
  <c r="I251" i="4"/>
  <c r="K251" i="4" s="1"/>
  <c r="I250" i="4"/>
  <c r="J250" i="4" s="1"/>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I193" i="4"/>
  <c r="I192" i="4"/>
  <c r="I191" i="4"/>
  <c r="I190" i="4"/>
  <c r="I189" i="4"/>
  <c r="I188" i="4"/>
  <c r="I187" i="4"/>
  <c r="I186" i="4"/>
  <c r="I185" i="4"/>
  <c r="I184" i="4"/>
  <c r="I183" i="4"/>
  <c r="J183" i="4" s="1"/>
  <c r="I182" i="4"/>
  <c r="J182" i="4" s="1"/>
  <c r="I181" i="4"/>
  <c r="J181" i="4" s="1"/>
  <c r="I180" i="4"/>
  <c r="J180" i="4" s="1"/>
  <c r="I179" i="4"/>
  <c r="J179" i="4" s="1"/>
  <c r="I178" i="4"/>
  <c r="J178" i="4" s="1"/>
  <c r="I177" i="4"/>
  <c r="J177" i="4" s="1"/>
  <c r="I176" i="4"/>
  <c r="J176" i="4" s="1"/>
  <c r="I175" i="4"/>
  <c r="J175" i="4" s="1"/>
  <c r="I174" i="4"/>
  <c r="J174" i="4" s="1"/>
  <c r="I173" i="4"/>
  <c r="J173" i="4" s="1"/>
  <c r="I172" i="4"/>
  <c r="J172" i="4" s="1"/>
  <c r="I171" i="4"/>
  <c r="J171" i="4" s="1"/>
  <c r="I170" i="4"/>
  <c r="J170" i="4" s="1"/>
  <c r="I169" i="4"/>
  <c r="J169" i="4" s="1"/>
  <c r="I168" i="4"/>
  <c r="J168" i="4" s="1"/>
  <c r="I167" i="4"/>
  <c r="J167" i="4" s="1"/>
  <c r="I166" i="4"/>
  <c r="J166" i="4" s="1"/>
  <c r="I165" i="4"/>
  <c r="J165" i="4" s="1"/>
  <c r="I164" i="4"/>
  <c r="J164" i="4" s="1"/>
  <c r="I163" i="4"/>
  <c r="J163" i="4" s="1"/>
  <c r="I162" i="4"/>
  <c r="J162" i="4" s="1"/>
  <c r="I161" i="4"/>
  <c r="J161" i="4" s="1"/>
  <c r="I160" i="4"/>
  <c r="J160" i="4" s="1"/>
  <c r="I159" i="4"/>
  <c r="J159" i="4" s="1"/>
  <c r="I158" i="4"/>
  <c r="J158" i="4" s="1"/>
  <c r="I157" i="4"/>
  <c r="J157" i="4" s="1"/>
  <c r="I156" i="4"/>
  <c r="J156" i="4" s="1"/>
  <c r="I155" i="4"/>
  <c r="J155" i="4" s="1"/>
  <c r="I154" i="4"/>
  <c r="J154" i="4" s="1"/>
  <c r="I153" i="4"/>
  <c r="J153" i="4" s="1"/>
  <c r="I152" i="4"/>
  <c r="J152" i="4" s="1"/>
  <c r="I151" i="4"/>
  <c r="J151" i="4" s="1"/>
  <c r="I150" i="4"/>
  <c r="J150" i="4" s="1"/>
  <c r="I149" i="4"/>
  <c r="J149" i="4" s="1"/>
  <c r="I148" i="4"/>
  <c r="J148" i="4" s="1"/>
  <c r="I147" i="4"/>
  <c r="J147" i="4" s="1"/>
  <c r="I146" i="4"/>
  <c r="J146" i="4" s="1"/>
  <c r="I145" i="4"/>
  <c r="J145" i="4" s="1"/>
  <c r="I144" i="4"/>
  <c r="J144" i="4" s="1"/>
  <c r="I143" i="4"/>
  <c r="J143" i="4" s="1"/>
  <c r="I142" i="4"/>
  <c r="J142" i="4" s="1"/>
  <c r="I141" i="4"/>
  <c r="J141" i="4" s="1"/>
  <c r="I140" i="4"/>
  <c r="J140" i="4" s="1"/>
  <c r="I139" i="4"/>
  <c r="J139" i="4" s="1"/>
  <c r="I138" i="4"/>
  <c r="J138" i="4" s="1"/>
  <c r="I137" i="4"/>
  <c r="J137" i="4" s="1"/>
  <c r="I136" i="4"/>
  <c r="J136" i="4" s="1"/>
  <c r="I135" i="4"/>
  <c r="J135" i="4" s="1"/>
  <c r="I134" i="4"/>
  <c r="J134" i="4" s="1"/>
  <c r="I133" i="4"/>
  <c r="J133" i="4" s="1"/>
  <c r="I132" i="4"/>
  <c r="J132" i="4" s="1"/>
  <c r="I131" i="4"/>
  <c r="J131" i="4" s="1"/>
  <c r="I130" i="4"/>
  <c r="J130" i="4" s="1"/>
  <c r="I129" i="4"/>
  <c r="J129" i="4" s="1"/>
  <c r="I128" i="4"/>
  <c r="J128" i="4" s="1"/>
  <c r="I127" i="4"/>
  <c r="J127" i="4" s="1"/>
  <c r="I126" i="4"/>
  <c r="J126" i="4" s="1"/>
  <c r="I125" i="4"/>
  <c r="J125" i="4" s="1"/>
  <c r="I124" i="4"/>
  <c r="J124" i="4" s="1"/>
  <c r="I123" i="4"/>
  <c r="J123" i="4" s="1"/>
  <c r="I122" i="4"/>
  <c r="J122" i="4" s="1"/>
  <c r="I121" i="4"/>
  <c r="J121" i="4" s="1"/>
  <c r="I120" i="4"/>
  <c r="J120" i="4" s="1"/>
  <c r="I119" i="4"/>
  <c r="J119" i="4" s="1"/>
  <c r="I118" i="4"/>
  <c r="J118" i="4" s="1"/>
  <c r="I117" i="4"/>
  <c r="J117" i="4" s="1"/>
  <c r="I116" i="4"/>
  <c r="J116" i="4" s="1"/>
  <c r="I115" i="4"/>
  <c r="J115" i="4" s="1"/>
  <c r="I114" i="4"/>
  <c r="J114" i="4" s="1"/>
  <c r="I113" i="4"/>
  <c r="J113" i="4" s="1"/>
  <c r="I112" i="4"/>
  <c r="J112" i="4" s="1"/>
  <c r="I111" i="4"/>
  <c r="J111" i="4" s="1"/>
  <c r="I110" i="4"/>
  <c r="J110" i="4" s="1"/>
  <c r="I109" i="4"/>
  <c r="J109" i="4" s="1"/>
  <c r="I108" i="4"/>
  <c r="J108" i="4" s="1"/>
  <c r="I107" i="4"/>
  <c r="J107" i="4" s="1"/>
  <c r="I106" i="4"/>
  <c r="J106" i="4" s="1"/>
  <c r="I105" i="4"/>
  <c r="J105" i="4" s="1"/>
  <c r="I104" i="4"/>
  <c r="J104" i="4" s="1"/>
  <c r="I103" i="4"/>
  <c r="J103" i="4" s="1"/>
  <c r="I102" i="4"/>
  <c r="J102" i="4" s="1"/>
  <c r="I101" i="4"/>
  <c r="J101" i="4" s="1"/>
  <c r="I100" i="4"/>
  <c r="J100" i="4" s="1"/>
  <c r="I99" i="4"/>
  <c r="J99" i="4" s="1"/>
  <c r="I98" i="4"/>
  <c r="J98" i="4" s="1"/>
  <c r="I97" i="4"/>
  <c r="J97" i="4" s="1"/>
  <c r="I96" i="4"/>
  <c r="J96" i="4" s="1"/>
  <c r="I95" i="4"/>
  <c r="J95" i="4" s="1"/>
  <c r="I94" i="4"/>
  <c r="J94" i="4" s="1"/>
  <c r="I93" i="4"/>
  <c r="J93" i="4" s="1"/>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7" i="4"/>
  <c r="I358" i="4"/>
  <c r="I359" i="4"/>
  <c r="I360" i="4"/>
  <c r="I361" i="4"/>
  <c r="I362" i="4"/>
  <c r="I363" i="4"/>
  <c r="I366" i="4"/>
  <c r="J366" i="4" s="1"/>
  <c r="I367" i="4"/>
  <c r="J367" i="4" s="1"/>
  <c r="I368" i="4"/>
  <c r="J368" i="4" s="1"/>
  <c r="I369" i="4"/>
  <c r="J369" i="4" s="1"/>
  <c r="I370" i="4"/>
  <c r="J370" i="4" s="1"/>
  <c r="I371" i="4"/>
  <c r="J371" i="4" s="1"/>
  <c r="I373" i="4"/>
  <c r="J373" i="4" s="1"/>
  <c r="I377" i="4"/>
  <c r="J377" i="4" s="1"/>
  <c r="I378" i="4"/>
  <c r="J378" i="4" s="1"/>
  <c r="I382" i="4"/>
  <c r="J382" i="4" s="1"/>
  <c r="I386" i="4"/>
  <c r="J386" i="4" s="1"/>
  <c r="I387" i="4"/>
  <c r="J387" i="4" s="1"/>
  <c r="I394" i="4"/>
  <c r="J394" i="4" s="1"/>
  <c r="I395" i="4"/>
  <c r="J395" i="4" s="1"/>
  <c r="I399" i="4"/>
  <c r="J399" i="4" s="1"/>
  <c r="I403" i="4"/>
  <c r="J403" i="4" s="1"/>
  <c r="I404" i="4"/>
  <c r="J404" i="4" s="1"/>
  <c r="I408" i="4"/>
  <c r="J408" i="4" s="1"/>
  <c r="I412" i="4"/>
  <c r="J412" i="4" s="1"/>
  <c r="I413" i="4"/>
  <c r="J413" i="4" s="1"/>
  <c r="I421" i="4"/>
  <c r="J421" i="4" s="1"/>
  <c r="I422" i="4"/>
  <c r="J422" i="4" s="1"/>
  <c r="I429" i="4"/>
  <c r="J429" i="4" s="1"/>
  <c r="I430" i="4"/>
  <c r="J430" i="4" s="1"/>
  <c r="I437" i="4"/>
  <c r="J437" i="4" s="1"/>
  <c r="I438" i="4"/>
  <c r="J438" i="4" s="1"/>
  <c r="I445" i="4"/>
  <c r="J445" i="4" s="1"/>
  <c r="I446" i="4"/>
  <c r="J446" i="4" s="1"/>
  <c r="I453" i="4"/>
  <c r="J453" i="4" s="1"/>
  <c r="I454" i="4"/>
  <c r="J454" i="4" s="1"/>
  <c r="E350" i="4"/>
  <c r="G350" i="4"/>
  <c r="E351" i="4"/>
  <c r="G351" i="4"/>
  <c r="E352" i="4"/>
  <c r="G352" i="4"/>
  <c r="E353" i="4"/>
  <c r="E354" i="4"/>
  <c r="G354" i="4"/>
  <c r="E355" i="4"/>
  <c r="G355" i="4"/>
  <c r="E356" i="4"/>
  <c r="G356" i="4"/>
  <c r="E357" i="4"/>
  <c r="E358" i="4"/>
  <c r="E359" i="4"/>
  <c r="G359" i="4"/>
  <c r="E360" i="4"/>
  <c r="G360" i="4"/>
  <c r="E361" i="4"/>
  <c r="G361" i="4"/>
  <c r="E362" i="4"/>
  <c r="G362" i="4"/>
  <c r="E363" i="4"/>
  <c r="G363" i="4"/>
  <c r="E364" i="4"/>
  <c r="G364" i="4"/>
  <c r="E365" i="4"/>
  <c r="F365" i="4"/>
  <c r="G365" i="4" s="1"/>
  <c r="E275" i="4"/>
  <c r="G275" i="4"/>
  <c r="E276" i="4"/>
  <c r="G276" i="4"/>
  <c r="E277" i="4"/>
  <c r="G277" i="4"/>
  <c r="E278" i="4"/>
  <c r="E279" i="4"/>
  <c r="G279" i="4"/>
  <c r="E280" i="4"/>
  <c r="G280" i="4"/>
  <c r="E281" i="4"/>
  <c r="E282" i="4"/>
  <c r="G282" i="4"/>
  <c r="E283" i="4"/>
  <c r="G283" i="4"/>
  <c r="E284" i="4"/>
  <c r="G284" i="4"/>
  <c r="E285" i="4"/>
  <c r="G285" i="4"/>
  <c r="E286" i="4"/>
  <c r="G286" i="4"/>
  <c r="E287" i="4"/>
  <c r="G287" i="4"/>
  <c r="E288" i="4"/>
  <c r="G288" i="4"/>
  <c r="E289" i="4"/>
  <c r="G289" i="4"/>
  <c r="E290" i="4"/>
  <c r="G290" i="4"/>
  <c r="E291" i="4"/>
  <c r="G291" i="4"/>
  <c r="E292" i="4"/>
  <c r="E293" i="4"/>
  <c r="G293" i="4"/>
  <c r="E294" i="4"/>
  <c r="G294" i="4"/>
  <c r="E295" i="4"/>
  <c r="G295" i="4"/>
  <c r="E296" i="4"/>
  <c r="G296" i="4"/>
  <c r="E297" i="4"/>
  <c r="G297" i="4"/>
  <c r="E298" i="4"/>
  <c r="G298" i="4"/>
  <c r="E299" i="4"/>
  <c r="G299" i="4"/>
  <c r="E300" i="4"/>
  <c r="G300" i="4"/>
  <c r="E301" i="4"/>
  <c r="G301" i="4"/>
  <c r="E302" i="4"/>
  <c r="G302" i="4"/>
  <c r="E303" i="4"/>
  <c r="G303" i="4"/>
  <c r="E304" i="4"/>
  <c r="G304" i="4"/>
  <c r="E305" i="4"/>
  <c r="G305" i="4"/>
  <c r="E306" i="4"/>
  <c r="G306" i="4"/>
  <c r="E307" i="4"/>
  <c r="G307" i="4"/>
  <c r="E308" i="4"/>
  <c r="G308" i="4"/>
  <c r="E309" i="4"/>
  <c r="G309" i="4"/>
  <c r="E310" i="4"/>
  <c r="G310" i="4"/>
  <c r="E311" i="4"/>
  <c r="G311" i="4"/>
  <c r="E312" i="4"/>
  <c r="G312" i="4"/>
  <c r="E313" i="4"/>
  <c r="G313" i="4"/>
  <c r="E314" i="4"/>
  <c r="G314" i="4"/>
  <c r="E315" i="4"/>
  <c r="G315" i="4"/>
  <c r="E316" i="4"/>
  <c r="G316" i="4"/>
  <c r="E317" i="4"/>
  <c r="G317" i="4"/>
  <c r="E318" i="4"/>
  <c r="G318" i="4"/>
  <c r="E319" i="4"/>
  <c r="G319" i="4"/>
  <c r="E320" i="4"/>
  <c r="G320" i="4"/>
  <c r="E321" i="4"/>
  <c r="G321" i="4"/>
  <c r="E322" i="4"/>
  <c r="G322" i="4"/>
  <c r="E323" i="4"/>
  <c r="G323" i="4"/>
  <c r="E324" i="4"/>
  <c r="G324" i="4"/>
  <c r="E325" i="4"/>
  <c r="G325" i="4"/>
  <c r="E326" i="4"/>
  <c r="G326" i="4"/>
  <c r="E327" i="4"/>
  <c r="G327" i="4"/>
  <c r="E328" i="4"/>
  <c r="G328" i="4"/>
  <c r="E329" i="4"/>
  <c r="G329" i="4"/>
  <c r="E330" i="4"/>
  <c r="E331" i="4"/>
  <c r="G331" i="4"/>
  <c r="E332" i="4"/>
  <c r="G332" i="4"/>
  <c r="E333" i="4"/>
  <c r="G333" i="4"/>
  <c r="E334" i="4"/>
  <c r="G334" i="4"/>
  <c r="E335" i="4"/>
  <c r="E336" i="4"/>
  <c r="G336" i="4"/>
  <c r="E337" i="4"/>
  <c r="G337" i="4"/>
  <c r="E338" i="4"/>
  <c r="G338" i="4"/>
  <c r="G339" i="4"/>
  <c r="E340" i="4"/>
  <c r="G340" i="4"/>
  <c r="E341" i="4"/>
  <c r="G341" i="4"/>
  <c r="E342" i="4"/>
  <c r="G342" i="4"/>
  <c r="E343" i="4"/>
  <c r="G343" i="4"/>
  <c r="E344" i="4"/>
  <c r="G344" i="4"/>
  <c r="E241" i="4"/>
  <c r="E238" i="4"/>
  <c r="E221" i="4"/>
  <c r="E192" i="4"/>
  <c r="E186" i="4"/>
  <c r="E184" i="4"/>
  <c r="G215" i="4"/>
  <c r="E215" i="4"/>
  <c r="G214" i="4"/>
  <c r="E214" i="4"/>
  <c r="G213" i="4"/>
  <c r="E213" i="4"/>
  <c r="G212" i="4"/>
  <c r="E212" i="4"/>
  <c r="G211" i="4"/>
  <c r="E211" i="4"/>
  <c r="G210" i="4"/>
  <c r="E210" i="4"/>
  <c r="G209" i="4"/>
  <c r="E209" i="4"/>
  <c r="G208" i="4"/>
  <c r="E208" i="4"/>
  <c r="G201" i="4"/>
  <c r="E201" i="4"/>
  <c r="G200" i="4"/>
  <c r="E200" i="4"/>
  <c r="G199" i="4"/>
  <c r="E199" i="4"/>
  <c r="G198" i="4"/>
  <c r="E198" i="4"/>
  <c r="G197" i="4"/>
  <c r="E197" i="4"/>
  <c r="G196" i="4"/>
  <c r="E196" i="4"/>
  <c r="G195" i="4"/>
  <c r="E195" i="4"/>
  <c r="G194" i="4"/>
  <c r="E194" i="4"/>
  <c r="G193" i="4"/>
  <c r="E193" i="4"/>
  <c r="G192" i="4"/>
  <c r="G191" i="4"/>
  <c r="E191" i="4"/>
  <c r="G190" i="4"/>
  <c r="E190" i="4"/>
  <c r="G189" i="4"/>
  <c r="E189" i="4"/>
  <c r="G188" i="4"/>
  <c r="E188" i="4"/>
  <c r="G187" i="4"/>
  <c r="E187" i="4"/>
  <c r="G186" i="4"/>
  <c r="G185" i="4"/>
  <c r="E185" i="4"/>
  <c r="G184" i="4"/>
  <c r="G207" i="4"/>
  <c r="E207" i="4"/>
  <c r="G206" i="4"/>
  <c r="E206" i="4"/>
  <c r="G205" i="4"/>
  <c r="E205" i="4"/>
  <c r="G204" i="4"/>
  <c r="E204" i="4"/>
  <c r="G203" i="4"/>
  <c r="E203" i="4"/>
  <c r="G202" i="4"/>
  <c r="E202"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E249" i="4"/>
  <c r="G249" i="4"/>
  <c r="E250" i="4"/>
  <c r="G250" i="4"/>
  <c r="E251" i="4"/>
  <c r="G251" i="4"/>
  <c r="E252" i="4"/>
  <c r="G252" i="4"/>
  <c r="E253" i="4"/>
  <c r="G253" i="4"/>
  <c r="E254" i="4"/>
  <c r="G254" i="4"/>
  <c r="E255" i="4"/>
  <c r="G255" i="4"/>
  <c r="E256" i="4"/>
  <c r="G256" i="4"/>
  <c r="E257" i="4"/>
  <c r="G257" i="4"/>
  <c r="E258" i="4"/>
  <c r="G258" i="4"/>
  <c r="E259" i="4"/>
  <c r="E260" i="4"/>
  <c r="G260" i="4"/>
  <c r="E261" i="4"/>
  <c r="G261" i="4"/>
  <c r="E262" i="4"/>
  <c r="G262" i="4"/>
  <c r="E263" i="4"/>
  <c r="G263" i="4"/>
  <c r="E264" i="4"/>
  <c r="G264" i="4"/>
  <c r="E265" i="4"/>
  <c r="G265" i="4"/>
  <c r="E266" i="4"/>
  <c r="G266" i="4"/>
  <c r="E267" i="4"/>
  <c r="G267" i="4"/>
  <c r="E268" i="4"/>
  <c r="G268" i="4"/>
  <c r="E269" i="4"/>
  <c r="G269" i="4"/>
  <c r="E270" i="4"/>
  <c r="G270" i="4"/>
  <c r="E271" i="4"/>
  <c r="G271" i="4"/>
  <c r="E272" i="4"/>
  <c r="G272" i="4"/>
  <c r="E273" i="4"/>
  <c r="G273" i="4"/>
  <c r="E274" i="4"/>
  <c r="G274" i="4"/>
  <c r="E345" i="4"/>
  <c r="E346" i="4"/>
  <c r="G346" i="4"/>
  <c r="E347" i="4"/>
  <c r="G347" i="4"/>
  <c r="E348" i="4"/>
  <c r="G348" i="4"/>
  <c r="E349" i="4"/>
  <c r="G349" i="4"/>
  <c r="E216" i="4"/>
  <c r="G216" i="4"/>
  <c r="E217" i="4"/>
  <c r="G217" i="4"/>
  <c r="E218" i="4"/>
  <c r="G218" i="4"/>
  <c r="E219" i="4"/>
  <c r="E220" i="4"/>
  <c r="G220" i="4"/>
  <c r="E222" i="4"/>
  <c r="G222" i="4"/>
  <c r="E223" i="4"/>
  <c r="G223" i="4"/>
  <c r="E224" i="4"/>
  <c r="G224" i="4"/>
  <c r="E225" i="4"/>
  <c r="G225" i="4"/>
  <c r="E226" i="4"/>
  <c r="G226" i="4"/>
  <c r="E227" i="4"/>
  <c r="G227" i="4"/>
  <c r="E228" i="4"/>
  <c r="G228" i="4"/>
  <c r="E229" i="4"/>
  <c r="G229" i="4"/>
  <c r="E230" i="4"/>
  <c r="G230" i="4"/>
  <c r="E231" i="4"/>
  <c r="G231" i="4"/>
  <c r="E232" i="4"/>
  <c r="G232" i="4"/>
  <c r="E233" i="4"/>
  <c r="G233" i="4"/>
  <c r="E234" i="4"/>
  <c r="G234" i="4"/>
  <c r="E235" i="4"/>
  <c r="G235" i="4"/>
  <c r="E236" i="4"/>
  <c r="E237" i="4"/>
  <c r="G237" i="4"/>
  <c r="E239" i="4"/>
  <c r="G239" i="4"/>
  <c r="E240" i="4"/>
  <c r="G240" i="4"/>
  <c r="G241" i="4"/>
  <c r="E242" i="4"/>
  <c r="G242" i="4"/>
  <c r="E243" i="4"/>
  <c r="E244" i="4"/>
  <c r="G244" i="4"/>
  <c r="E245" i="4"/>
  <c r="G245" i="4"/>
  <c r="E246" i="4"/>
  <c r="G246" i="4"/>
  <c r="E247" i="4"/>
  <c r="E248" i="4"/>
  <c r="G248" i="4"/>
  <c r="J325" i="5"/>
  <c r="L325" i="5" s="1"/>
  <c r="H325" i="5"/>
  <c r="F325" i="5"/>
  <c r="J324" i="5"/>
  <c r="L324" i="5" s="1"/>
  <c r="H324" i="5"/>
  <c r="F324" i="5"/>
  <c r="J323" i="5"/>
  <c r="K323" i="5" s="1"/>
  <c r="H323" i="5"/>
  <c r="F323" i="5"/>
  <c r="J322" i="5"/>
  <c r="L322" i="5" s="1"/>
  <c r="H322" i="5"/>
  <c r="F322" i="5"/>
  <c r="J321" i="5"/>
  <c r="L321" i="5" s="1"/>
  <c r="H321" i="5"/>
  <c r="F321" i="5"/>
  <c r="J320" i="5"/>
  <c r="L320" i="5" s="1"/>
  <c r="H320" i="5"/>
  <c r="F320" i="5"/>
  <c r="J319" i="5"/>
  <c r="L319" i="5" s="1"/>
  <c r="H319" i="5"/>
  <c r="F319" i="5"/>
  <c r="J318" i="5"/>
  <c r="L318" i="5" s="1"/>
  <c r="H318" i="5"/>
  <c r="F318" i="5"/>
  <c r="J317" i="5"/>
  <c r="L317" i="5" s="1"/>
  <c r="H317" i="5"/>
  <c r="F317" i="5"/>
  <c r="J316" i="5"/>
  <c r="L316" i="5" s="1"/>
  <c r="H316" i="5"/>
  <c r="F316" i="5"/>
  <c r="J315" i="5"/>
  <c r="L315" i="5" s="1"/>
  <c r="H315" i="5"/>
  <c r="F315" i="5"/>
  <c r="J314" i="5"/>
  <c r="L314" i="5" s="1"/>
  <c r="H314" i="5"/>
  <c r="F314" i="5"/>
  <c r="J313" i="5"/>
  <c r="L313" i="5" s="1"/>
  <c r="H313" i="5"/>
  <c r="F313" i="5"/>
  <c r="J312" i="5"/>
  <c r="L312" i="5" s="1"/>
  <c r="H312" i="5"/>
  <c r="F312" i="5"/>
  <c r="J311" i="5"/>
  <c r="L311" i="5" s="1"/>
  <c r="H311" i="5"/>
  <c r="F311" i="5"/>
  <c r="J310" i="5"/>
  <c r="L310" i="5" s="1"/>
  <c r="H310" i="5"/>
  <c r="F310" i="5"/>
  <c r="J309" i="5"/>
  <c r="L309" i="5" s="1"/>
  <c r="H309" i="5"/>
  <c r="F309" i="5"/>
  <c r="J308" i="5"/>
  <c r="L308" i="5" s="1"/>
  <c r="H308" i="5"/>
  <c r="F308" i="5"/>
  <c r="J307" i="5"/>
  <c r="L307" i="5" s="1"/>
  <c r="H307" i="5"/>
  <c r="F307" i="5"/>
  <c r="J306" i="5"/>
  <c r="L306" i="5" s="1"/>
  <c r="H306" i="5"/>
  <c r="F306" i="5"/>
  <c r="J305" i="5"/>
  <c r="L305" i="5" s="1"/>
  <c r="H305" i="5"/>
  <c r="F305" i="5"/>
  <c r="J304" i="5"/>
  <c r="L304" i="5" s="1"/>
  <c r="H304" i="5"/>
  <c r="F304" i="5"/>
  <c r="J303" i="5"/>
  <c r="L303" i="5" s="1"/>
  <c r="H303" i="5"/>
  <c r="F303" i="5"/>
  <c r="J302" i="5"/>
  <c r="L302" i="5" s="1"/>
  <c r="H302" i="5"/>
  <c r="F302" i="5"/>
  <c r="J301" i="5"/>
  <c r="L301" i="5" s="1"/>
  <c r="H301" i="5"/>
  <c r="F301" i="5"/>
  <c r="J300" i="5"/>
  <c r="L300" i="5" s="1"/>
  <c r="H300" i="5"/>
  <c r="F300" i="5"/>
  <c r="J299" i="5"/>
  <c r="L299" i="5" s="1"/>
  <c r="H299" i="5"/>
  <c r="F299" i="5"/>
  <c r="J298" i="5"/>
  <c r="L298" i="5" s="1"/>
  <c r="H298" i="5"/>
  <c r="F298" i="5"/>
  <c r="J297" i="5"/>
  <c r="L297" i="5" s="1"/>
  <c r="H297" i="5"/>
  <c r="F297" i="5"/>
  <c r="J296" i="5"/>
  <c r="L296" i="5" s="1"/>
  <c r="H296" i="5"/>
  <c r="F296" i="5"/>
  <c r="J295" i="5"/>
  <c r="L295" i="5" s="1"/>
  <c r="H295" i="5"/>
  <c r="F295" i="5"/>
  <c r="J294" i="5"/>
  <c r="K294" i="5" s="1"/>
  <c r="H294" i="5"/>
  <c r="F294" i="5"/>
  <c r="J293" i="5"/>
  <c r="L293" i="5" s="1"/>
  <c r="H293" i="5"/>
  <c r="F293" i="5"/>
  <c r="J292" i="5"/>
  <c r="L292" i="5" s="1"/>
  <c r="H292" i="5"/>
  <c r="F292" i="5"/>
  <c r="J291" i="5"/>
  <c r="L291" i="5" s="1"/>
  <c r="H291" i="5"/>
  <c r="F291" i="5"/>
  <c r="J290" i="5"/>
  <c r="L290" i="5" s="1"/>
  <c r="H290" i="5"/>
  <c r="F290" i="5"/>
  <c r="J289" i="5"/>
  <c r="L289" i="5" s="1"/>
  <c r="H289" i="5"/>
  <c r="F289" i="5"/>
  <c r="J288" i="5"/>
  <c r="L288" i="5" s="1"/>
  <c r="H288" i="5"/>
  <c r="F288" i="5"/>
  <c r="J287" i="5"/>
  <c r="L287" i="5" s="1"/>
  <c r="H287" i="5"/>
  <c r="F287" i="5"/>
  <c r="J286" i="5"/>
  <c r="K286" i="5" s="1"/>
  <c r="H286" i="5"/>
  <c r="F286" i="5"/>
  <c r="J285" i="5"/>
  <c r="L285" i="5" s="1"/>
  <c r="H285" i="5"/>
  <c r="F285" i="5"/>
  <c r="J284" i="5"/>
  <c r="L284" i="5" s="1"/>
  <c r="H284" i="5"/>
  <c r="F284" i="5"/>
  <c r="J283" i="5"/>
  <c r="L283" i="5" s="1"/>
  <c r="H283" i="5"/>
  <c r="F283" i="5"/>
  <c r="J282" i="5"/>
  <c r="L282" i="5" s="1"/>
  <c r="H282" i="5"/>
  <c r="F282" i="5"/>
  <c r="J281" i="5"/>
  <c r="L281" i="5" s="1"/>
  <c r="H281" i="5"/>
  <c r="F281" i="5"/>
  <c r="J280" i="5"/>
  <c r="L280" i="5" s="1"/>
  <c r="H280" i="5"/>
  <c r="F280" i="5"/>
  <c r="J279" i="5"/>
  <c r="L279" i="5" s="1"/>
  <c r="H279" i="5"/>
  <c r="F279" i="5"/>
  <c r="J278" i="5"/>
  <c r="K278" i="5" s="1"/>
  <c r="H278" i="5"/>
  <c r="F278" i="5"/>
  <c r="J277" i="5"/>
  <c r="L277" i="5" s="1"/>
  <c r="H277" i="5"/>
  <c r="F277" i="5"/>
  <c r="J276" i="5"/>
  <c r="L276" i="5" s="1"/>
  <c r="H276" i="5"/>
  <c r="F276" i="5"/>
  <c r="J275" i="5"/>
  <c r="L275" i="5" s="1"/>
  <c r="H275" i="5"/>
  <c r="F275" i="5"/>
  <c r="J274" i="5"/>
  <c r="K274" i="5" s="1"/>
  <c r="H274" i="5"/>
  <c r="F274" i="5"/>
  <c r="J273" i="5"/>
  <c r="L273" i="5" s="1"/>
  <c r="H273" i="5"/>
  <c r="F273" i="5"/>
  <c r="J272" i="5"/>
  <c r="L272" i="5" s="1"/>
  <c r="H272" i="5"/>
  <c r="F272" i="5"/>
  <c r="J271" i="5"/>
  <c r="L271" i="5" s="1"/>
  <c r="H271" i="5"/>
  <c r="F271" i="5"/>
  <c r="J270" i="5"/>
  <c r="K270" i="5" s="1"/>
  <c r="H270" i="5"/>
  <c r="F270" i="5"/>
  <c r="J269" i="5"/>
  <c r="L269" i="5" s="1"/>
  <c r="H269" i="5"/>
  <c r="F269" i="5"/>
  <c r="J268" i="5"/>
  <c r="L268" i="5" s="1"/>
  <c r="H268" i="5"/>
  <c r="F268" i="5"/>
  <c r="J267" i="5"/>
  <c r="L267" i="5" s="1"/>
  <c r="H267" i="5"/>
  <c r="F267" i="5"/>
  <c r="J266" i="5"/>
  <c r="L266" i="5" s="1"/>
  <c r="H266" i="5"/>
  <c r="F266" i="5"/>
  <c r="J265" i="5"/>
  <c r="L265" i="5" s="1"/>
  <c r="H265" i="5"/>
  <c r="F265" i="5"/>
  <c r="J264" i="5"/>
  <c r="L264" i="5" s="1"/>
  <c r="H264" i="5"/>
  <c r="F264" i="5"/>
  <c r="J263" i="5"/>
  <c r="L263" i="5" s="1"/>
  <c r="H263" i="5"/>
  <c r="F263" i="5"/>
  <c r="J262" i="5"/>
  <c r="K262" i="5" s="1"/>
  <c r="H262" i="5"/>
  <c r="F262" i="5"/>
  <c r="J261" i="5"/>
  <c r="L261" i="5" s="1"/>
  <c r="H261" i="5"/>
  <c r="F261" i="5"/>
  <c r="J260" i="5"/>
  <c r="L260" i="5" s="1"/>
  <c r="H260" i="5"/>
  <c r="F260" i="5"/>
  <c r="J259" i="5"/>
  <c r="L259" i="5" s="1"/>
  <c r="H259" i="5"/>
  <c r="F259" i="5"/>
  <c r="J258" i="5"/>
  <c r="L258" i="5" s="1"/>
  <c r="H258" i="5"/>
  <c r="F258" i="5"/>
  <c r="J257" i="5"/>
  <c r="L257" i="5" s="1"/>
  <c r="H257" i="5"/>
  <c r="F257" i="5"/>
  <c r="J256" i="5"/>
  <c r="L256" i="5" s="1"/>
  <c r="H256" i="5"/>
  <c r="F256" i="5"/>
  <c r="J255" i="5"/>
  <c r="L255" i="5" s="1"/>
  <c r="H255" i="5"/>
  <c r="F255" i="5"/>
  <c r="J254" i="5"/>
  <c r="K254" i="5" s="1"/>
  <c r="H254" i="5"/>
  <c r="F254" i="5"/>
  <c r="J253" i="5"/>
  <c r="L253" i="5" s="1"/>
  <c r="H253" i="5"/>
  <c r="F253" i="5"/>
  <c r="J252" i="5"/>
  <c r="L252" i="5" s="1"/>
  <c r="H252" i="5"/>
  <c r="F252" i="5"/>
  <c r="J251" i="5"/>
  <c r="K251" i="5" s="1"/>
  <c r="H251" i="5"/>
  <c r="F251" i="5"/>
  <c r="J250" i="5"/>
  <c r="L250" i="5" s="1"/>
  <c r="H250" i="5"/>
  <c r="F250" i="5"/>
  <c r="J249" i="5"/>
  <c r="L249" i="5" s="1"/>
  <c r="H249" i="5"/>
  <c r="F249" i="5"/>
  <c r="J248" i="5"/>
  <c r="L248" i="5" s="1"/>
  <c r="H248" i="5"/>
  <c r="F248" i="5"/>
  <c r="J247" i="5"/>
  <c r="L247" i="5" s="1"/>
  <c r="H247" i="5"/>
  <c r="F247" i="5"/>
  <c r="J246" i="5"/>
  <c r="K246" i="5" s="1"/>
  <c r="H246" i="5"/>
  <c r="F246" i="5"/>
  <c r="J245" i="5"/>
  <c r="L245" i="5" s="1"/>
  <c r="H245" i="5"/>
  <c r="F245" i="5"/>
  <c r="J244" i="5"/>
  <c r="L244" i="5" s="1"/>
  <c r="H244" i="5"/>
  <c r="F244" i="5"/>
  <c r="J243" i="5"/>
  <c r="L243" i="5" s="1"/>
  <c r="H243" i="5"/>
  <c r="F243" i="5"/>
  <c r="J242" i="5"/>
  <c r="K242" i="5" s="1"/>
  <c r="H242" i="5"/>
  <c r="F242" i="5"/>
  <c r="J241" i="5"/>
  <c r="L241" i="5" s="1"/>
  <c r="H241" i="5"/>
  <c r="F241" i="5"/>
  <c r="J240" i="5"/>
  <c r="L240" i="5" s="1"/>
  <c r="H240" i="5"/>
  <c r="F240" i="5"/>
  <c r="J239" i="5"/>
  <c r="L239" i="5" s="1"/>
  <c r="H239" i="5"/>
  <c r="F239" i="5"/>
  <c r="J238" i="5"/>
  <c r="K238" i="5" s="1"/>
  <c r="H238" i="5"/>
  <c r="F238" i="5"/>
  <c r="J237" i="5"/>
  <c r="L237" i="5" s="1"/>
  <c r="H237" i="5"/>
  <c r="F237" i="5"/>
  <c r="J236" i="5"/>
  <c r="L236" i="5" s="1"/>
  <c r="H236" i="5"/>
  <c r="F236" i="5"/>
  <c r="J235" i="5"/>
  <c r="L235" i="5" s="1"/>
  <c r="H235" i="5"/>
  <c r="F235" i="5"/>
  <c r="J234" i="5"/>
  <c r="L234" i="5" s="1"/>
  <c r="H234" i="5"/>
  <c r="F234" i="5"/>
  <c r="J233" i="5"/>
  <c r="L233" i="5" s="1"/>
  <c r="H233" i="5"/>
  <c r="F233" i="5"/>
  <c r="J232" i="5"/>
  <c r="L232" i="5" s="1"/>
  <c r="H232" i="5"/>
  <c r="F232" i="5"/>
  <c r="J231" i="5"/>
  <c r="L231" i="5" s="1"/>
  <c r="H231" i="5"/>
  <c r="F231" i="5"/>
  <c r="J230" i="5"/>
  <c r="K230" i="5" s="1"/>
  <c r="H230" i="5"/>
  <c r="F230" i="5"/>
  <c r="J229" i="5"/>
  <c r="L229" i="5" s="1"/>
  <c r="H229" i="5"/>
  <c r="F229" i="5"/>
  <c r="J228" i="5"/>
  <c r="L228" i="5" s="1"/>
  <c r="H228" i="5"/>
  <c r="F228" i="5"/>
  <c r="J227" i="5"/>
  <c r="L227" i="5" s="1"/>
  <c r="H227" i="5"/>
  <c r="F227" i="5"/>
  <c r="J226" i="5"/>
  <c r="L226" i="5" s="1"/>
  <c r="H226" i="5"/>
  <c r="F226" i="5"/>
  <c r="J225" i="5"/>
  <c r="L225" i="5" s="1"/>
  <c r="H225" i="5"/>
  <c r="F225" i="5"/>
  <c r="J224" i="5"/>
  <c r="L224" i="5" s="1"/>
  <c r="H224" i="5"/>
  <c r="F224" i="5"/>
  <c r="J223" i="5"/>
  <c r="L223" i="5" s="1"/>
  <c r="H223" i="5"/>
  <c r="F223" i="5"/>
  <c r="J222" i="5"/>
  <c r="K222" i="5" s="1"/>
  <c r="H222" i="5"/>
  <c r="F222" i="5"/>
  <c r="J221" i="5"/>
  <c r="L221" i="5" s="1"/>
  <c r="H221" i="5"/>
  <c r="F221" i="5"/>
  <c r="J220" i="5"/>
  <c r="L220" i="5" s="1"/>
  <c r="H220" i="5"/>
  <c r="F220" i="5"/>
  <c r="J219" i="5"/>
  <c r="L219" i="5" s="1"/>
  <c r="H219" i="5"/>
  <c r="F219" i="5"/>
  <c r="J218" i="5"/>
  <c r="L218" i="5" s="1"/>
  <c r="H218" i="5"/>
  <c r="F218" i="5"/>
  <c r="J217" i="5"/>
  <c r="L217" i="5" s="1"/>
  <c r="H217" i="5"/>
  <c r="F217" i="5"/>
  <c r="F200" i="5"/>
  <c r="H200" i="5"/>
  <c r="J200" i="5"/>
  <c r="K200" i="5" s="1"/>
  <c r="F201" i="5"/>
  <c r="H201" i="5"/>
  <c r="J201" i="5"/>
  <c r="K201" i="5" s="1"/>
  <c r="F196" i="5"/>
  <c r="H196" i="5"/>
  <c r="J196" i="5"/>
  <c r="K196" i="5" s="1"/>
  <c r="J216" i="5"/>
  <c r="K216" i="5" s="1"/>
  <c r="H216" i="5"/>
  <c r="F216" i="5"/>
  <c r="J215" i="5"/>
  <c r="L215" i="5" s="1"/>
  <c r="H215" i="5"/>
  <c r="F215" i="5"/>
  <c r="J214" i="5"/>
  <c r="L214" i="5" s="1"/>
  <c r="H214" i="5"/>
  <c r="F214" i="5"/>
  <c r="J213" i="5"/>
  <c r="L213" i="5" s="1"/>
  <c r="H213" i="5"/>
  <c r="F213" i="5"/>
  <c r="J212" i="5"/>
  <c r="K212" i="5" s="1"/>
  <c r="H212" i="5"/>
  <c r="F212" i="5"/>
  <c r="J211" i="5"/>
  <c r="L211" i="5" s="1"/>
  <c r="H211" i="5"/>
  <c r="F211" i="5"/>
  <c r="J210" i="5"/>
  <c r="L210" i="5" s="1"/>
  <c r="H210" i="5"/>
  <c r="F210" i="5"/>
  <c r="J209" i="5"/>
  <c r="L209" i="5" s="1"/>
  <c r="H209" i="5"/>
  <c r="F209" i="5"/>
  <c r="J208" i="5"/>
  <c r="K208" i="5" s="1"/>
  <c r="H208" i="5"/>
  <c r="F208" i="5"/>
  <c r="J207" i="5"/>
  <c r="L207" i="5" s="1"/>
  <c r="H207" i="5"/>
  <c r="F207" i="5"/>
  <c r="J206" i="5"/>
  <c r="L206" i="5" s="1"/>
  <c r="H206" i="5"/>
  <c r="F206" i="5"/>
  <c r="J205" i="5"/>
  <c r="L205" i="5" s="1"/>
  <c r="H205" i="5"/>
  <c r="F205" i="5"/>
  <c r="J204" i="5"/>
  <c r="K204" i="5" s="1"/>
  <c r="H204" i="5"/>
  <c r="F204" i="5"/>
  <c r="J203" i="5"/>
  <c r="K203" i="5" s="1"/>
  <c r="H203" i="5"/>
  <c r="F203" i="5"/>
  <c r="J202" i="5"/>
  <c r="L202" i="5" s="1"/>
  <c r="H202" i="5"/>
  <c r="F202" i="5"/>
  <c r="J198" i="5"/>
  <c r="K198" i="5" s="1"/>
  <c r="H198" i="5"/>
  <c r="F198" i="5"/>
  <c r="J199" i="5"/>
  <c r="L199" i="5" s="1"/>
  <c r="H199" i="5"/>
  <c r="F199" i="5"/>
  <c r="J197" i="5"/>
  <c r="L197" i="5" s="1"/>
  <c r="H197" i="5"/>
  <c r="F197" i="5"/>
  <c r="J195" i="5"/>
  <c r="L195" i="5" s="1"/>
  <c r="H195" i="5"/>
  <c r="F195" i="5"/>
  <c r="J194" i="5"/>
  <c r="K194" i="5" s="1"/>
  <c r="H194" i="5"/>
  <c r="F194" i="5"/>
  <c r="J193" i="5"/>
  <c r="K193" i="5" s="1"/>
  <c r="H193" i="5"/>
  <c r="F193" i="5"/>
  <c r="J192" i="5"/>
  <c r="K192" i="5" s="1"/>
  <c r="H192" i="5"/>
  <c r="F192" i="5"/>
  <c r="J191" i="5"/>
  <c r="L191" i="5" s="1"/>
  <c r="H191" i="5"/>
  <c r="F191" i="5"/>
  <c r="J190" i="5"/>
  <c r="L190" i="5" s="1"/>
  <c r="H190" i="5"/>
  <c r="F190" i="5"/>
  <c r="J189" i="5"/>
  <c r="L189" i="5" s="1"/>
  <c r="H189" i="5"/>
  <c r="F189" i="5"/>
  <c r="J188" i="5"/>
  <c r="L188" i="5" s="1"/>
  <c r="H188" i="5"/>
  <c r="F188" i="5"/>
  <c r="J187" i="5"/>
  <c r="L187" i="5" s="1"/>
  <c r="H187" i="5"/>
  <c r="F187" i="5"/>
  <c r="J186" i="5"/>
  <c r="L186" i="5" s="1"/>
  <c r="H186" i="5"/>
  <c r="F186" i="5"/>
  <c r="J185" i="5"/>
  <c r="K185" i="5" s="1"/>
  <c r="H185" i="5"/>
  <c r="F185" i="5"/>
  <c r="J184" i="5"/>
  <c r="K184" i="5" s="1"/>
  <c r="H184" i="5"/>
  <c r="F184" i="5"/>
  <c r="J183" i="5"/>
  <c r="L183" i="5" s="1"/>
  <c r="H183" i="5"/>
  <c r="F183" i="5"/>
  <c r="J182" i="5"/>
  <c r="K182" i="5" s="1"/>
  <c r="H182" i="5"/>
  <c r="F182" i="5"/>
  <c r="J181" i="5"/>
  <c r="L181" i="5" s="1"/>
  <c r="H181" i="5"/>
  <c r="F181" i="5"/>
  <c r="J180" i="5"/>
  <c r="L180" i="5" s="1"/>
  <c r="H180" i="5"/>
  <c r="F180" i="5"/>
  <c r="J179" i="5"/>
  <c r="L179" i="5" s="1"/>
  <c r="H179" i="5"/>
  <c r="F179" i="5"/>
  <c r="J178" i="5"/>
  <c r="K178" i="5" s="1"/>
  <c r="H178" i="5"/>
  <c r="F178" i="5"/>
  <c r="J177" i="5"/>
  <c r="K177" i="5" s="1"/>
  <c r="H177" i="5"/>
  <c r="F177" i="5"/>
  <c r="J176" i="5"/>
  <c r="K176" i="5" s="1"/>
  <c r="H176" i="5"/>
  <c r="F176" i="5"/>
  <c r="J175" i="5"/>
  <c r="L175" i="5" s="1"/>
  <c r="H175" i="5"/>
  <c r="F175" i="5"/>
  <c r="J174" i="5"/>
  <c r="L174" i="5" s="1"/>
  <c r="H174" i="5"/>
  <c r="F174" i="5"/>
  <c r="J173" i="5"/>
  <c r="K173" i="5" s="1"/>
  <c r="H173" i="5"/>
  <c r="F173" i="5"/>
  <c r="J172" i="5"/>
  <c r="L172" i="5" s="1"/>
  <c r="H172" i="5"/>
  <c r="F172" i="5"/>
  <c r="J171" i="5"/>
  <c r="L171" i="5" s="1"/>
  <c r="H171" i="5"/>
  <c r="F171" i="5"/>
  <c r="J170" i="5"/>
  <c r="L170" i="5" s="1"/>
  <c r="H170" i="5"/>
  <c r="F170" i="5"/>
  <c r="J169" i="5"/>
  <c r="K169" i="5" s="1"/>
  <c r="H169" i="5"/>
  <c r="F169" i="5"/>
  <c r="J168" i="5"/>
  <c r="K168" i="5" s="1"/>
  <c r="H168" i="5"/>
  <c r="F168" i="5"/>
  <c r="J167" i="5"/>
  <c r="L167" i="5" s="1"/>
  <c r="H167" i="5"/>
  <c r="F167" i="5"/>
  <c r="J166" i="5"/>
  <c r="L166" i="5" s="1"/>
  <c r="H166" i="5"/>
  <c r="F166" i="5"/>
  <c r="J165" i="5"/>
  <c r="K165" i="5" s="1"/>
  <c r="H165" i="5"/>
  <c r="F165" i="5"/>
  <c r="J164" i="5"/>
  <c r="L164" i="5" s="1"/>
  <c r="H164" i="5"/>
  <c r="F164" i="5"/>
  <c r="J163" i="5"/>
  <c r="L163" i="5" s="1"/>
  <c r="H163" i="5"/>
  <c r="F163" i="5"/>
  <c r="J162" i="5"/>
  <c r="L162" i="5" s="1"/>
  <c r="H162" i="5"/>
  <c r="F162" i="5"/>
  <c r="J161" i="5"/>
  <c r="K161" i="5" s="1"/>
  <c r="H161" i="5"/>
  <c r="F161" i="5"/>
  <c r="J160" i="5"/>
  <c r="K160" i="5" s="1"/>
  <c r="H160" i="5"/>
  <c r="F160" i="5"/>
  <c r="J159" i="5"/>
  <c r="L159" i="5" s="1"/>
  <c r="H159" i="5"/>
  <c r="F159" i="5"/>
  <c r="J158" i="5"/>
  <c r="L158" i="5" s="1"/>
  <c r="H158" i="5"/>
  <c r="F158" i="5"/>
  <c r="J157" i="5"/>
  <c r="K157" i="5" s="1"/>
  <c r="H157" i="5"/>
  <c r="F157" i="5"/>
  <c r="J156" i="5"/>
  <c r="L156" i="5" s="1"/>
  <c r="H156" i="5"/>
  <c r="F156" i="5"/>
  <c r="J155" i="5"/>
  <c r="L155" i="5" s="1"/>
  <c r="H155" i="5"/>
  <c r="F155" i="5"/>
  <c r="J154" i="5"/>
  <c r="L154" i="5" s="1"/>
  <c r="H154" i="5"/>
  <c r="F154" i="5"/>
  <c r="J153" i="5"/>
  <c r="K153" i="5" s="1"/>
  <c r="H153" i="5"/>
  <c r="F153" i="5"/>
  <c r="J152" i="5"/>
  <c r="K152" i="5" s="1"/>
  <c r="H152" i="5"/>
  <c r="F152" i="5"/>
  <c r="J151" i="5"/>
  <c r="L151" i="5" s="1"/>
  <c r="H151" i="5"/>
  <c r="F151" i="5"/>
  <c r="J150" i="5"/>
  <c r="L150" i="5" s="1"/>
  <c r="H150" i="5"/>
  <c r="F150" i="5"/>
  <c r="J149" i="5"/>
  <c r="L149" i="5" s="1"/>
  <c r="H149" i="5"/>
  <c r="F149" i="5"/>
  <c r="J148" i="5"/>
  <c r="L148" i="5" s="1"/>
  <c r="H148" i="5"/>
  <c r="F148" i="5"/>
  <c r="J147" i="5"/>
  <c r="L147" i="5" s="1"/>
  <c r="H147" i="5"/>
  <c r="F147" i="5"/>
  <c r="J146" i="5"/>
  <c r="L146" i="5" s="1"/>
  <c r="H146" i="5"/>
  <c r="F146" i="5"/>
  <c r="J145" i="5"/>
  <c r="K145" i="5" s="1"/>
  <c r="H145" i="5"/>
  <c r="F145" i="5"/>
  <c r="J144" i="5"/>
  <c r="K144" i="5" s="1"/>
  <c r="H144" i="5"/>
  <c r="F144" i="5"/>
  <c r="J143" i="5"/>
  <c r="L143" i="5" s="1"/>
  <c r="H143" i="5"/>
  <c r="F143" i="5"/>
  <c r="J142" i="5"/>
  <c r="K142" i="5" s="1"/>
  <c r="H142" i="5"/>
  <c r="F142" i="5"/>
  <c r="J141" i="5"/>
  <c r="K141" i="5" s="1"/>
  <c r="H141" i="5"/>
  <c r="F141" i="5"/>
  <c r="J140" i="5"/>
  <c r="L140" i="5" s="1"/>
  <c r="H140" i="5"/>
  <c r="F140" i="5"/>
  <c r="J139" i="5"/>
  <c r="L139" i="5" s="1"/>
  <c r="H139" i="5"/>
  <c r="F139" i="5"/>
  <c r="J138" i="5"/>
  <c r="K138" i="5" s="1"/>
  <c r="H138" i="5"/>
  <c r="F138" i="5"/>
  <c r="J137" i="5"/>
  <c r="K137" i="5" s="1"/>
  <c r="H137" i="5"/>
  <c r="F137" i="5"/>
  <c r="J136" i="5"/>
  <c r="K136" i="5" s="1"/>
  <c r="H136" i="5"/>
  <c r="F136" i="5"/>
  <c r="J135" i="5"/>
  <c r="L135" i="5" s="1"/>
  <c r="H135" i="5"/>
  <c r="F135" i="5"/>
  <c r="J134" i="5"/>
  <c r="K134" i="5" s="1"/>
  <c r="H134" i="5"/>
  <c r="F134" i="5"/>
  <c r="J133" i="5"/>
  <c r="L133" i="5" s="1"/>
  <c r="H133" i="5"/>
  <c r="F133" i="5"/>
  <c r="J132" i="5"/>
  <c r="L132" i="5" s="1"/>
  <c r="H132" i="5"/>
  <c r="F132" i="5"/>
  <c r="J131" i="5"/>
  <c r="L131" i="5" s="1"/>
  <c r="H131" i="5"/>
  <c r="F131" i="5"/>
  <c r="J130" i="5"/>
  <c r="K130" i="5" s="1"/>
  <c r="H130" i="5"/>
  <c r="F130" i="5"/>
  <c r="J129" i="5"/>
  <c r="K129" i="5" s="1"/>
  <c r="H129" i="5"/>
  <c r="F129" i="5"/>
  <c r="J128" i="5"/>
  <c r="K128" i="5" s="1"/>
  <c r="H128" i="5"/>
  <c r="F128" i="5"/>
  <c r="J127" i="5"/>
  <c r="L127" i="5" s="1"/>
  <c r="H127" i="5"/>
  <c r="F127" i="5"/>
  <c r="J126" i="5"/>
  <c r="K126" i="5" s="1"/>
  <c r="H126" i="5"/>
  <c r="F126" i="5"/>
  <c r="J125" i="5"/>
  <c r="K125" i="5" s="1"/>
  <c r="H125" i="5"/>
  <c r="F125" i="5"/>
  <c r="J124" i="5"/>
  <c r="L124" i="5" s="1"/>
  <c r="H124" i="5"/>
  <c r="F124" i="5"/>
  <c r="J123" i="5"/>
  <c r="L123" i="5" s="1"/>
  <c r="H123" i="5"/>
  <c r="F123" i="5"/>
  <c r="J122" i="5"/>
  <c r="K122" i="5" s="1"/>
  <c r="H122" i="5"/>
  <c r="F122" i="5"/>
  <c r="J121" i="5"/>
  <c r="K121" i="5" s="1"/>
  <c r="H121" i="5"/>
  <c r="F121" i="5"/>
  <c r="J120" i="5"/>
  <c r="K120" i="5" s="1"/>
  <c r="H120" i="5"/>
  <c r="F120" i="5"/>
  <c r="J119" i="5"/>
  <c r="L119" i="5" s="1"/>
  <c r="H119" i="5"/>
  <c r="F119" i="5"/>
  <c r="J118" i="5"/>
  <c r="K118" i="5" s="1"/>
  <c r="H118" i="5"/>
  <c r="F118" i="5"/>
  <c r="J117" i="5"/>
  <c r="L117" i="5" s="1"/>
  <c r="H117" i="5"/>
  <c r="F117" i="5"/>
  <c r="J116" i="5"/>
  <c r="L116" i="5" s="1"/>
  <c r="H116" i="5"/>
  <c r="F116" i="5"/>
  <c r="J115" i="5"/>
  <c r="L115" i="5" s="1"/>
  <c r="H115" i="5"/>
  <c r="F115" i="5"/>
  <c r="J114" i="5"/>
  <c r="K114" i="5" s="1"/>
  <c r="H114" i="5"/>
  <c r="F114" i="5"/>
  <c r="J113" i="5"/>
  <c r="K113" i="5" s="1"/>
  <c r="H113" i="5"/>
  <c r="F113" i="5"/>
  <c r="J112" i="5"/>
  <c r="K112" i="5" s="1"/>
  <c r="H112" i="5"/>
  <c r="F112" i="5"/>
  <c r="J111" i="5"/>
  <c r="L111" i="5" s="1"/>
  <c r="H111" i="5"/>
  <c r="F111" i="5"/>
  <c r="J110" i="5"/>
  <c r="L110" i="5" s="1"/>
  <c r="H110" i="5"/>
  <c r="F110" i="5"/>
  <c r="J109" i="5"/>
  <c r="K109" i="5" s="1"/>
  <c r="H109" i="5"/>
  <c r="F109" i="5"/>
  <c r="J108" i="5"/>
  <c r="L108" i="5" s="1"/>
  <c r="H108" i="5"/>
  <c r="F108" i="5"/>
  <c r="H422" i="5"/>
  <c r="H415" i="5"/>
  <c r="H410" i="5"/>
  <c r="H403" i="5"/>
  <c r="H396" i="5"/>
  <c r="H389" i="5"/>
  <c r="H382" i="5"/>
  <c r="H375" i="5"/>
  <c r="H368" i="5"/>
  <c r="H361" i="5"/>
  <c r="H351" i="5"/>
  <c r="H344" i="5"/>
  <c r="H337" i="5"/>
  <c r="H330" i="5"/>
  <c r="H104" i="5"/>
  <c r="H97" i="5"/>
  <c r="H90" i="5"/>
  <c r="H86" i="5"/>
  <c r="H79" i="5"/>
  <c r="H72" i="5"/>
  <c r="H65" i="5"/>
  <c r="H58" i="5"/>
  <c r="H51" i="5"/>
  <c r="H44" i="5"/>
  <c r="H37" i="5"/>
  <c r="H27" i="5"/>
  <c r="H20" i="5"/>
  <c r="H13" i="5"/>
  <c r="H2" i="5"/>
  <c r="H3" i="5"/>
  <c r="H4" i="5"/>
  <c r="H5" i="5"/>
  <c r="H6" i="5"/>
  <c r="H7" i="5"/>
  <c r="H8" i="5"/>
  <c r="H9" i="5"/>
  <c r="H10" i="5"/>
  <c r="H11" i="5"/>
  <c r="H12" i="5"/>
  <c r="H14" i="5"/>
  <c r="H15" i="5"/>
  <c r="H16" i="5"/>
  <c r="H17" i="5"/>
  <c r="H18" i="5"/>
  <c r="H19" i="5"/>
  <c r="H21" i="5"/>
  <c r="H22" i="5"/>
  <c r="H23" i="5"/>
  <c r="H24" i="5"/>
  <c r="H25" i="5"/>
  <c r="H26" i="5"/>
  <c r="H28" i="5"/>
  <c r="H29" i="5"/>
  <c r="H30" i="5"/>
  <c r="H31" i="5"/>
  <c r="H32" i="5"/>
  <c r="H33" i="5"/>
  <c r="H34" i="5"/>
  <c r="H35" i="5"/>
  <c r="H36" i="5"/>
  <c r="H38" i="5"/>
  <c r="H39" i="5"/>
  <c r="H40" i="5"/>
  <c r="H41" i="5"/>
  <c r="H42" i="5"/>
  <c r="H43" i="5"/>
  <c r="H45" i="5"/>
  <c r="H46" i="5"/>
  <c r="H47" i="5"/>
  <c r="H48" i="5"/>
  <c r="H49" i="5"/>
  <c r="H50" i="5"/>
  <c r="H52" i="5"/>
  <c r="H53" i="5"/>
  <c r="H54" i="5"/>
  <c r="H55" i="5"/>
  <c r="H56" i="5"/>
  <c r="H57" i="5"/>
  <c r="H59" i="5"/>
  <c r="H60" i="5"/>
  <c r="H61" i="5"/>
  <c r="H62" i="5"/>
  <c r="H63" i="5"/>
  <c r="H64" i="5"/>
  <c r="H66" i="5"/>
  <c r="H67" i="5"/>
  <c r="H68" i="5"/>
  <c r="H69" i="5"/>
  <c r="H70" i="5"/>
  <c r="H71" i="5"/>
  <c r="H73" i="5"/>
  <c r="H74" i="5"/>
  <c r="H75" i="5"/>
  <c r="H76" i="5"/>
  <c r="H77" i="5"/>
  <c r="H78" i="5"/>
  <c r="H80" i="5"/>
  <c r="H81" i="5"/>
  <c r="H82" i="5"/>
  <c r="H83" i="5"/>
  <c r="H84" i="5"/>
  <c r="H85" i="5"/>
  <c r="H87" i="5"/>
  <c r="H88" i="5"/>
  <c r="H89" i="5"/>
  <c r="H91" i="5"/>
  <c r="H92" i="5"/>
  <c r="H93" i="5"/>
  <c r="H94" i="5"/>
  <c r="H95" i="5"/>
  <c r="H96" i="5"/>
  <c r="H98" i="5"/>
  <c r="H99" i="5"/>
  <c r="H100" i="5"/>
  <c r="H101" i="5"/>
  <c r="H102" i="5"/>
  <c r="H103" i="5"/>
  <c r="H105" i="5"/>
  <c r="H106" i="5"/>
  <c r="H107" i="5"/>
  <c r="H326" i="5"/>
  <c r="H327" i="5"/>
  <c r="H328" i="5"/>
  <c r="H329" i="5"/>
  <c r="H331" i="5"/>
  <c r="H332" i="5"/>
  <c r="H333" i="5"/>
  <c r="H334" i="5"/>
  <c r="H335" i="5"/>
  <c r="H336" i="5"/>
  <c r="H338" i="5"/>
  <c r="H339" i="5"/>
  <c r="H340" i="5"/>
  <c r="H341" i="5"/>
  <c r="H342" i="5"/>
  <c r="H343" i="5"/>
  <c r="H345" i="5"/>
  <c r="H346" i="5"/>
  <c r="H347" i="5"/>
  <c r="H348" i="5"/>
  <c r="H349" i="5"/>
  <c r="H350" i="5"/>
  <c r="H352" i="5"/>
  <c r="H353" i="5"/>
  <c r="H354" i="5"/>
  <c r="H355" i="5"/>
  <c r="H356" i="5"/>
  <c r="H357" i="5"/>
  <c r="H358" i="5"/>
  <c r="H359" i="5"/>
  <c r="H360" i="5"/>
  <c r="H362" i="5"/>
  <c r="H363" i="5"/>
  <c r="H364" i="5"/>
  <c r="H365" i="5"/>
  <c r="H366" i="5"/>
  <c r="H367" i="5"/>
  <c r="H369" i="5"/>
  <c r="H370" i="5"/>
  <c r="H371" i="5"/>
  <c r="H372" i="5"/>
  <c r="H373" i="5"/>
  <c r="H374" i="5"/>
  <c r="H376" i="5"/>
  <c r="H377" i="5"/>
  <c r="H378" i="5"/>
  <c r="H379" i="5"/>
  <c r="H380" i="5"/>
  <c r="H381" i="5"/>
  <c r="H383" i="5"/>
  <c r="H384" i="5"/>
  <c r="H385" i="5"/>
  <c r="H386" i="5"/>
  <c r="H387" i="5"/>
  <c r="H388" i="5"/>
  <c r="H390" i="5"/>
  <c r="H391" i="5"/>
  <c r="H392" i="5"/>
  <c r="H393" i="5"/>
  <c r="H394" i="5"/>
  <c r="H395" i="5"/>
  <c r="H397" i="5"/>
  <c r="H398" i="5"/>
  <c r="H399" i="5"/>
  <c r="H400" i="5"/>
  <c r="H401" i="5"/>
  <c r="H402" i="5"/>
  <c r="H404" i="5"/>
  <c r="H405" i="5"/>
  <c r="H406" i="5"/>
  <c r="H407" i="5"/>
  <c r="H408" i="5"/>
  <c r="H409" i="5"/>
  <c r="H411" i="5"/>
  <c r="H412" i="5"/>
  <c r="H413" i="5"/>
  <c r="H414" i="5"/>
  <c r="H416" i="5"/>
  <c r="H417" i="5"/>
  <c r="H418" i="5"/>
  <c r="H419" i="5"/>
  <c r="H420" i="5"/>
  <c r="H421" i="5"/>
  <c r="H423" i="5"/>
  <c r="H424" i="5"/>
  <c r="H425" i="5"/>
  <c r="H426" i="5"/>
  <c r="H427" i="5"/>
  <c r="F422" i="5"/>
  <c r="F415" i="5"/>
  <c r="F410" i="5"/>
  <c r="F403" i="5"/>
  <c r="F396" i="5"/>
  <c r="F389" i="5"/>
  <c r="F382" i="5"/>
  <c r="F375" i="5"/>
  <c r="F368" i="5"/>
  <c r="F361" i="5"/>
  <c r="F351" i="5"/>
  <c r="F344" i="5"/>
  <c r="F337" i="5"/>
  <c r="F330" i="5"/>
  <c r="F104" i="5"/>
  <c r="F97" i="5"/>
  <c r="F90" i="5"/>
  <c r="F86" i="5"/>
  <c r="F79" i="5"/>
  <c r="F72" i="5"/>
  <c r="F65" i="5"/>
  <c r="F58" i="5"/>
  <c r="F51" i="5"/>
  <c r="F44" i="5"/>
  <c r="F37" i="5"/>
  <c r="F27" i="5"/>
  <c r="F20" i="5"/>
  <c r="F13" i="5"/>
  <c r="F2" i="5"/>
  <c r="F3" i="5"/>
  <c r="F4" i="5"/>
  <c r="F5" i="5"/>
  <c r="F6" i="5"/>
  <c r="F7" i="5"/>
  <c r="F8" i="5"/>
  <c r="F9" i="5"/>
  <c r="F10" i="5"/>
  <c r="F11" i="5"/>
  <c r="F12" i="5"/>
  <c r="F14" i="5"/>
  <c r="F15" i="5"/>
  <c r="F16" i="5"/>
  <c r="F17" i="5"/>
  <c r="F18" i="5"/>
  <c r="F19" i="5"/>
  <c r="F21" i="5"/>
  <c r="F22" i="5"/>
  <c r="F23" i="5"/>
  <c r="F24" i="5"/>
  <c r="F25" i="5"/>
  <c r="F26" i="5"/>
  <c r="F28" i="5"/>
  <c r="F29" i="5"/>
  <c r="F30" i="5"/>
  <c r="F31" i="5"/>
  <c r="F32" i="5"/>
  <c r="F33" i="5"/>
  <c r="F34" i="5"/>
  <c r="F35" i="5"/>
  <c r="F36" i="5"/>
  <c r="F38" i="5"/>
  <c r="F39" i="5"/>
  <c r="F40" i="5"/>
  <c r="F41" i="5"/>
  <c r="F42" i="5"/>
  <c r="F43" i="5"/>
  <c r="F45" i="5"/>
  <c r="F46" i="5"/>
  <c r="F47" i="5"/>
  <c r="F48" i="5"/>
  <c r="F49" i="5"/>
  <c r="F50" i="5"/>
  <c r="F52" i="5"/>
  <c r="F53" i="5"/>
  <c r="F54" i="5"/>
  <c r="F55" i="5"/>
  <c r="F56" i="5"/>
  <c r="F57" i="5"/>
  <c r="F59" i="5"/>
  <c r="F60" i="5"/>
  <c r="F61" i="5"/>
  <c r="F62" i="5"/>
  <c r="F63" i="5"/>
  <c r="F64" i="5"/>
  <c r="F66" i="5"/>
  <c r="F67" i="5"/>
  <c r="F68" i="5"/>
  <c r="F69" i="5"/>
  <c r="F70" i="5"/>
  <c r="F71" i="5"/>
  <c r="F73" i="5"/>
  <c r="F74" i="5"/>
  <c r="F75" i="5"/>
  <c r="F76" i="5"/>
  <c r="F77" i="5"/>
  <c r="F78" i="5"/>
  <c r="F80" i="5"/>
  <c r="F81" i="5"/>
  <c r="F82" i="5"/>
  <c r="F83" i="5"/>
  <c r="F84" i="5"/>
  <c r="F85" i="5"/>
  <c r="F87" i="5"/>
  <c r="F88" i="5"/>
  <c r="F89" i="5"/>
  <c r="F91" i="5"/>
  <c r="F92" i="5"/>
  <c r="F93" i="5"/>
  <c r="F94" i="5"/>
  <c r="F95" i="5"/>
  <c r="F96" i="5"/>
  <c r="F98" i="5"/>
  <c r="F99" i="5"/>
  <c r="F100" i="5"/>
  <c r="F101" i="5"/>
  <c r="F102" i="5"/>
  <c r="F103" i="5"/>
  <c r="F105" i="5"/>
  <c r="F106" i="5"/>
  <c r="F107" i="5"/>
  <c r="F326" i="5"/>
  <c r="F327" i="5"/>
  <c r="F328" i="5"/>
  <c r="F329" i="5"/>
  <c r="F331" i="5"/>
  <c r="F332" i="5"/>
  <c r="F333" i="5"/>
  <c r="F334" i="5"/>
  <c r="F335" i="5"/>
  <c r="F336" i="5"/>
  <c r="F338" i="5"/>
  <c r="F339" i="5"/>
  <c r="F340" i="5"/>
  <c r="F341" i="5"/>
  <c r="F342" i="5"/>
  <c r="F343" i="5"/>
  <c r="F345" i="5"/>
  <c r="F346" i="5"/>
  <c r="F347" i="5"/>
  <c r="F348" i="5"/>
  <c r="F349" i="5"/>
  <c r="F350" i="5"/>
  <c r="F352" i="5"/>
  <c r="F353" i="5"/>
  <c r="F354" i="5"/>
  <c r="F355" i="5"/>
  <c r="F356" i="5"/>
  <c r="F357" i="5"/>
  <c r="F358" i="5"/>
  <c r="F359" i="5"/>
  <c r="F360" i="5"/>
  <c r="F362" i="5"/>
  <c r="F363" i="5"/>
  <c r="F364" i="5"/>
  <c r="F365" i="5"/>
  <c r="F366" i="5"/>
  <c r="F367" i="5"/>
  <c r="F369" i="5"/>
  <c r="F370" i="5"/>
  <c r="F371" i="5"/>
  <c r="F372" i="5"/>
  <c r="F373" i="5"/>
  <c r="F374" i="5"/>
  <c r="F376" i="5"/>
  <c r="F377" i="5"/>
  <c r="F378" i="5"/>
  <c r="F379" i="5"/>
  <c r="F380" i="5"/>
  <c r="F381" i="5"/>
  <c r="F383" i="5"/>
  <c r="F384" i="5"/>
  <c r="F385" i="5"/>
  <c r="F386" i="5"/>
  <c r="F387" i="5"/>
  <c r="F388" i="5"/>
  <c r="F390" i="5"/>
  <c r="F391" i="5"/>
  <c r="F392" i="5"/>
  <c r="F393" i="5"/>
  <c r="F394" i="5"/>
  <c r="F395" i="5"/>
  <c r="F397" i="5"/>
  <c r="F398" i="5"/>
  <c r="F399" i="5"/>
  <c r="F400" i="5"/>
  <c r="F401" i="5"/>
  <c r="F402" i="5"/>
  <c r="F404" i="5"/>
  <c r="F405" i="5"/>
  <c r="F406" i="5"/>
  <c r="F407" i="5"/>
  <c r="F408" i="5"/>
  <c r="F409" i="5"/>
  <c r="F411" i="5"/>
  <c r="F412" i="5"/>
  <c r="F413" i="5"/>
  <c r="F414" i="5"/>
  <c r="F416" i="5"/>
  <c r="F417" i="5"/>
  <c r="F418" i="5"/>
  <c r="F419" i="5"/>
  <c r="F420" i="5"/>
  <c r="F421" i="5"/>
  <c r="F423" i="5"/>
  <c r="F424" i="5"/>
  <c r="F425" i="5"/>
  <c r="F426" i="5"/>
  <c r="F427" i="5"/>
  <c r="N2" i="11"/>
  <c r="N3" i="11"/>
  <c r="N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136" i="11"/>
  <c r="N137" i="11"/>
  <c r="N138" i="11"/>
  <c r="N139" i="11"/>
  <c r="N140" i="11"/>
  <c r="N141" i="11"/>
  <c r="N142" i="11"/>
  <c r="N143" i="11"/>
  <c r="N144" i="11"/>
  <c r="N145" i="11"/>
  <c r="N146" i="11"/>
  <c r="N147" i="11"/>
  <c r="N148" i="11"/>
  <c r="N149" i="11"/>
  <c r="N150" i="11"/>
  <c r="N151" i="11"/>
  <c r="N152" i="11"/>
  <c r="N153" i="11"/>
  <c r="N154" i="11"/>
  <c r="N155" i="11"/>
  <c r="N156" i="11"/>
  <c r="N157" i="11"/>
  <c r="N158" i="11"/>
  <c r="N159" i="11"/>
  <c r="N160" i="11"/>
  <c r="N161" i="11"/>
  <c r="N162" i="11"/>
  <c r="N163" i="11"/>
  <c r="N164" i="11"/>
  <c r="N165" i="11"/>
  <c r="N166" i="11"/>
  <c r="N167" i="11"/>
  <c r="N168" i="11"/>
  <c r="N169" i="11"/>
  <c r="N170" i="11"/>
  <c r="N171" i="11"/>
  <c r="N172" i="11"/>
  <c r="N173" i="11"/>
  <c r="N174" i="11"/>
  <c r="N175" i="11"/>
  <c r="N176" i="11"/>
  <c r="N177" i="11"/>
  <c r="N178" i="11"/>
  <c r="N179" i="11"/>
  <c r="N180"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136" i="11"/>
  <c r="L137" i="11"/>
  <c r="L138" i="11"/>
  <c r="L139" i="11"/>
  <c r="L140" i="11"/>
  <c r="L141" i="11"/>
  <c r="L142" i="11"/>
  <c r="L143" i="11"/>
  <c r="L144" i="11"/>
  <c r="L145" i="11"/>
  <c r="L146" i="11"/>
  <c r="L147" i="11"/>
  <c r="L148" i="11"/>
  <c r="L149" i="11"/>
  <c r="L150" i="11"/>
  <c r="L151" i="11"/>
  <c r="L152" i="11"/>
  <c r="L153" i="11"/>
  <c r="L154" i="11"/>
  <c r="L155" i="11"/>
  <c r="L156" i="11"/>
  <c r="L157" i="11"/>
  <c r="L158" i="11"/>
  <c r="L159" i="11"/>
  <c r="L160" i="11"/>
  <c r="L161" i="11"/>
  <c r="L162" i="11"/>
  <c r="L163" i="11"/>
  <c r="L164" i="11"/>
  <c r="L165" i="11"/>
  <c r="L166" i="11"/>
  <c r="L167" i="11"/>
  <c r="L168" i="11"/>
  <c r="L169" i="11"/>
  <c r="L170" i="11"/>
  <c r="L171" i="11"/>
  <c r="L172" i="11"/>
  <c r="L173" i="11"/>
  <c r="L174" i="11"/>
  <c r="L175" i="11"/>
  <c r="L176" i="11"/>
  <c r="L177" i="11"/>
  <c r="L178" i="11"/>
  <c r="L179" i="11"/>
  <c r="L180" i="11"/>
  <c r="G111" i="4"/>
  <c r="G112" i="4"/>
  <c r="G113" i="4"/>
  <c r="G114" i="4"/>
  <c r="G115" i="4"/>
  <c r="G116" i="4"/>
  <c r="G93" i="4"/>
  <c r="G94" i="4"/>
  <c r="G95" i="4"/>
  <c r="G96" i="4"/>
  <c r="G97" i="4"/>
  <c r="G98" i="4"/>
  <c r="G99" i="4"/>
  <c r="G100" i="4"/>
  <c r="G101" i="4"/>
  <c r="G102" i="4"/>
  <c r="G103" i="4"/>
  <c r="G104" i="4"/>
  <c r="G105" i="4"/>
  <c r="G106" i="4"/>
  <c r="G107" i="4"/>
  <c r="G108" i="4"/>
  <c r="G109" i="4"/>
  <c r="G110"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366" i="4"/>
  <c r="G367" i="4"/>
  <c r="G368" i="4"/>
  <c r="G369" i="4"/>
  <c r="G370" i="4"/>
  <c r="G371" i="4"/>
  <c r="G373" i="4"/>
  <c r="G377" i="4"/>
  <c r="G378" i="4"/>
  <c r="G382" i="4"/>
  <c r="G386" i="4"/>
  <c r="G387" i="4"/>
  <c r="G394" i="4"/>
  <c r="G395" i="4"/>
  <c r="G399" i="4"/>
  <c r="G403" i="4"/>
  <c r="G404" i="4"/>
  <c r="G408" i="4"/>
  <c r="G412" i="4"/>
  <c r="G413" i="4"/>
  <c r="G421" i="4"/>
  <c r="G422" i="4"/>
  <c r="G429" i="4"/>
  <c r="G430" i="4"/>
  <c r="G437" i="4"/>
  <c r="G438" i="4"/>
  <c r="G445" i="4"/>
  <c r="G446" i="4"/>
  <c r="G453" i="4"/>
  <c r="G454" i="4"/>
  <c r="E111" i="4"/>
  <c r="E112" i="4"/>
  <c r="E113" i="4"/>
  <c r="E114" i="4"/>
  <c r="E115" i="4"/>
  <c r="E116" i="4"/>
  <c r="E93" i="4"/>
  <c r="E94" i="4"/>
  <c r="E95" i="4"/>
  <c r="E96" i="4"/>
  <c r="E97" i="4"/>
  <c r="E98" i="4"/>
  <c r="E99" i="4"/>
  <c r="E100" i="4"/>
  <c r="E101" i="4"/>
  <c r="E102" i="4"/>
  <c r="E103" i="4"/>
  <c r="E104" i="4"/>
  <c r="E105" i="4"/>
  <c r="E106" i="4"/>
  <c r="E107" i="4"/>
  <c r="E108" i="4"/>
  <c r="E109" i="4"/>
  <c r="E110"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366" i="4"/>
  <c r="E367" i="4"/>
  <c r="E368" i="4"/>
  <c r="E369" i="4"/>
  <c r="E370" i="4"/>
  <c r="E371" i="4"/>
  <c r="E373" i="4"/>
  <c r="E377" i="4"/>
  <c r="E378" i="4"/>
  <c r="E382" i="4"/>
  <c r="E386" i="4"/>
  <c r="E387" i="4"/>
  <c r="E394" i="4"/>
  <c r="E395" i="4"/>
  <c r="E399" i="4"/>
  <c r="E403" i="4"/>
  <c r="E404" i="4"/>
  <c r="E408" i="4"/>
  <c r="E412" i="4"/>
  <c r="E413" i="4"/>
  <c r="E421" i="4"/>
  <c r="E422" i="4"/>
  <c r="E429" i="4"/>
  <c r="E430" i="4"/>
  <c r="E437" i="4"/>
  <c r="E438" i="4"/>
  <c r="E445" i="4"/>
  <c r="E446" i="4"/>
  <c r="E453" i="4"/>
  <c r="E454" i="4"/>
  <c r="P180" i="11"/>
  <c r="P179" i="11"/>
  <c r="P178" i="11"/>
  <c r="P177" i="11"/>
  <c r="P176" i="11"/>
  <c r="P175" i="11"/>
  <c r="P174" i="11"/>
  <c r="P173" i="11"/>
  <c r="P172" i="11"/>
  <c r="P171" i="11"/>
  <c r="P170" i="11"/>
  <c r="P169" i="11"/>
  <c r="P168" i="11"/>
  <c r="P167" i="11"/>
  <c r="P166" i="11"/>
  <c r="P165" i="11"/>
  <c r="P164" i="11"/>
  <c r="P163" i="11"/>
  <c r="P162" i="11"/>
  <c r="P161" i="11"/>
  <c r="P160" i="11"/>
  <c r="P159" i="11"/>
  <c r="P158" i="11"/>
  <c r="P157" i="11"/>
  <c r="P156" i="11"/>
  <c r="P155" i="11"/>
  <c r="P154" i="11"/>
  <c r="P153" i="11"/>
  <c r="P152" i="11"/>
  <c r="P151" i="11"/>
  <c r="P150" i="11"/>
  <c r="P149" i="11"/>
  <c r="P148" i="11"/>
  <c r="P147" i="11"/>
  <c r="P146" i="11"/>
  <c r="P145" i="11"/>
  <c r="P144" i="11"/>
  <c r="Q144" i="11" s="1"/>
  <c r="R144" i="11" s="1"/>
  <c r="P143" i="11"/>
  <c r="P142" i="11"/>
  <c r="P141" i="11"/>
  <c r="P140" i="11"/>
  <c r="P139" i="11"/>
  <c r="P138" i="11"/>
  <c r="P137" i="11"/>
  <c r="P136" i="11"/>
  <c r="P2" i="11"/>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H144" i="11"/>
  <c r="K432" i="5" l="1"/>
  <c r="L428" i="5"/>
  <c r="L431" i="5"/>
  <c r="L429" i="5"/>
  <c r="L430" i="5"/>
  <c r="F188" i="11"/>
  <c r="H195" i="11"/>
  <c r="K27" i="4"/>
  <c r="L536" i="5"/>
  <c r="L520" i="5"/>
  <c r="L504" i="5"/>
  <c r="L496" i="5"/>
  <c r="K492" i="5"/>
  <c r="K488" i="5"/>
  <c r="K484" i="5"/>
  <c r="K478" i="5"/>
  <c r="K476" i="5"/>
  <c r="K471" i="5"/>
  <c r="K469" i="5"/>
  <c r="K439" i="5"/>
  <c r="K437" i="5"/>
  <c r="L456" i="5"/>
  <c r="L528" i="5"/>
  <c r="K486" i="5"/>
  <c r="L447" i="5"/>
  <c r="L479" i="5"/>
  <c r="K445" i="5"/>
  <c r="L512" i="5"/>
  <c r="K477" i="5"/>
  <c r="K470" i="5"/>
  <c r="K468" i="5"/>
  <c r="K438" i="5"/>
  <c r="L480" i="5"/>
  <c r="L455" i="5"/>
  <c r="K453" i="5"/>
  <c r="K448" i="5"/>
  <c r="K446" i="5"/>
  <c r="K444" i="5"/>
  <c r="K534" i="5"/>
  <c r="K532" i="5"/>
  <c r="K526" i="5"/>
  <c r="K524" i="5"/>
  <c r="K518" i="5"/>
  <c r="K516" i="5"/>
  <c r="K510" i="5"/>
  <c r="K508" i="5"/>
  <c r="K502" i="5"/>
  <c r="K500" i="5"/>
  <c r="K494" i="5"/>
  <c r="L463" i="5"/>
  <c r="L440" i="5"/>
  <c r="K461" i="5"/>
  <c r="L535" i="5"/>
  <c r="L527" i="5"/>
  <c r="L519" i="5"/>
  <c r="L511" i="5"/>
  <c r="L503" i="5"/>
  <c r="L495" i="5"/>
  <c r="L487" i="5"/>
  <c r="L464" i="5"/>
  <c r="L539" i="5"/>
  <c r="K533" i="5"/>
  <c r="L531" i="5"/>
  <c r="K525" i="5"/>
  <c r="L523" i="5"/>
  <c r="K517" i="5"/>
  <c r="L515" i="5"/>
  <c r="K509" i="5"/>
  <c r="L507" i="5"/>
  <c r="K501" i="5"/>
  <c r="L499" i="5"/>
  <c r="K493" i="5"/>
  <c r="L491" i="5"/>
  <c r="K485" i="5"/>
  <c r="L472" i="5"/>
  <c r="K454" i="5"/>
  <c r="K452" i="5"/>
  <c r="K462" i="5"/>
  <c r="K460" i="5"/>
  <c r="L483" i="5"/>
  <c r="L475" i="5"/>
  <c r="L467" i="5"/>
  <c r="L459" i="5"/>
  <c r="L451" i="5"/>
  <c r="L443" i="5"/>
  <c r="L435" i="5"/>
  <c r="L537" i="5"/>
  <c r="L529" i="5"/>
  <c r="L521" i="5"/>
  <c r="L513" i="5"/>
  <c r="L505" i="5"/>
  <c r="L497" i="5"/>
  <c r="L489" i="5"/>
  <c r="L481" i="5"/>
  <c r="L473" i="5"/>
  <c r="L465" i="5"/>
  <c r="L457" i="5"/>
  <c r="L449" i="5"/>
  <c r="L441" i="5"/>
  <c r="L433" i="5"/>
  <c r="L436" i="5"/>
  <c r="L522" i="5"/>
  <c r="L514" i="5"/>
  <c r="L506" i="5"/>
  <c r="L498" i="5"/>
  <c r="L490" i="5"/>
  <c r="L482" i="5"/>
  <c r="L474" i="5"/>
  <c r="L466" i="5"/>
  <c r="L458" i="5"/>
  <c r="L450" i="5"/>
  <c r="L442" i="5"/>
  <c r="L434" i="5"/>
  <c r="L538" i="5"/>
  <c r="L530" i="5"/>
  <c r="I365" i="4"/>
  <c r="I364" i="4"/>
  <c r="I356" i="4"/>
  <c r="K358" i="4"/>
  <c r="K353" i="4"/>
  <c r="G353" i="4"/>
  <c r="K354" i="4"/>
  <c r="K357" i="4"/>
  <c r="J353" i="4"/>
  <c r="G357" i="4"/>
  <c r="J359" i="4"/>
  <c r="G358" i="4"/>
  <c r="K361" i="4"/>
  <c r="J358" i="4"/>
  <c r="K360" i="4"/>
  <c r="K363" i="4"/>
  <c r="J278" i="4"/>
  <c r="G278" i="4"/>
  <c r="K275" i="4"/>
  <c r="K281" i="4"/>
  <c r="J276" i="4"/>
  <c r="K287" i="4"/>
  <c r="J282" i="4"/>
  <c r="J280" i="4"/>
  <c r="K277" i="4"/>
  <c r="G281" i="4"/>
  <c r="K283" i="4"/>
  <c r="J292" i="4"/>
  <c r="K289" i="4"/>
  <c r="J286" i="4"/>
  <c r="J288" i="4"/>
  <c r="J290" i="4"/>
  <c r="G292" i="4"/>
  <c r="J296" i="4"/>
  <c r="J294" i="4"/>
  <c r="K293" i="4"/>
  <c r="J295" i="4"/>
  <c r="J302" i="4"/>
  <c r="K299" i="4"/>
  <c r="J300" i="4"/>
  <c r="J304" i="4"/>
  <c r="K301" i="4"/>
  <c r="K311" i="4"/>
  <c r="K303" i="4"/>
  <c r="J305" i="4"/>
  <c r="J308" i="4"/>
  <c r="J310" i="4"/>
  <c r="K315" i="4"/>
  <c r="K313" i="4"/>
  <c r="K307" i="4"/>
  <c r="K309" i="4"/>
  <c r="J312" i="4"/>
  <c r="J322" i="4"/>
  <c r="J314" i="4"/>
  <c r="K319" i="4"/>
  <c r="K317" i="4"/>
  <c r="J316" i="4"/>
  <c r="J318" i="4"/>
  <c r="J335" i="4"/>
  <c r="J320" i="4"/>
  <c r="K321" i="4"/>
  <c r="J324" i="4"/>
  <c r="K323" i="4"/>
  <c r="J326" i="4"/>
  <c r="J330" i="4"/>
  <c r="K329" i="4"/>
  <c r="K327" i="4"/>
  <c r="G330" i="4"/>
  <c r="J328" i="4"/>
  <c r="J332" i="4"/>
  <c r="G335" i="4"/>
  <c r="K337" i="4"/>
  <c r="J343" i="4"/>
  <c r="K339" i="4"/>
  <c r="J204" i="4"/>
  <c r="K250" i="4"/>
  <c r="J251" i="4"/>
  <c r="J254" i="4"/>
  <c r="K255" i="4"/>
  <c r="K252" i="4"/>
  <c r="J253" i="4"/>
  <c r="K256" i="4"/>
  <c r="J257" i="4"/>
  <c r="G259" i="4"/>
  <c r="K265" i="4"/>
  <c r="K259" i="4"/>
  <c r="J259" i="4"/>
  <c r="K267" i="4"/>
  <c r="J264" i="4"/>
  <c r="K261" i="4"/>
  <c r="J262" i="4"/>
  <c r="K263" i="4"/>
  <c r="J266" i="4"/>
  <c r="K271" i="4"/>
  <c r="J268" i="4"/>
  <c r="K273" i="4"/>
  <c r="K269" i="4"/>
  <c r="J270" i="4"/>
  <c r="J345" i="4"/>
  <c r="J272" i="4"/>
  <c r="J274" i="4"/>
  <c r="G345" i="4"/>
  <c r="K346" i="4"/>
  <c r="K348" i="4"/>
  <c r="K349" i="4"/>
  <c r="K189" i="4"/>
  <c r="K205" i="4"/>
  <c r="K214" i="4"/>
  <c r="K192" i="4"/>
  <c r="J184" i="4"/>
  <c r="K211" i="4"/>
  <c r="K199" i="4"/>
  <c r="K191" i="4"/>
  <c r="J207" i="4"/>
  <c r="K197" i="4"/>
  <c r="K210" i="4"/>
  <c r="K209" i="4"/>
  <c r="K203" i="4"/>
  <c r="K196" i="4"/>
  <c r="K200" i="4"/>
  <c r="J212" i="4"/>
  <c r="J198" i="4"/>
  <c r="J190" i="4"/>
  <c r="J206" i="4"/>
  <c r="K208" i="4"/>
  <c r="J194" i="4"/>
  <c r="K186" i="4"/>
  <c r="J195" i="4"/>
  <c r="J215" i="4"/>
  <c r="K201" i="4"/>
  <c r="J193" i="4"/>
  <c r="J185" i="4"/>
  <c r="K202" i="4"/>
  <c r="K216" i="4"/>
  <c r="J219" i="4"/>
  <c r="K217" i="4"/>
  <c r="K218" i="4"/>
  <c r="G219" i="4"/>
  <c r="K220" i="4"/>
  <c r="K221" i="4"/>
  <c r="G221" i="4"/>
  <c r="K226" i="4"/>
  <c r="K224" i="4"/>
  <c r="J227" i="4"/>
  <c r="K229" i="4"/>
  <c r="K230" i="4"/>
  <c r="K228" i="4"/>
  <c r="K236" i="4"/>
  <c r="K232" i="4"/>
  <c r="K234" i="4"/>
  <c r="K237" i="4"/>
  <c r="G236" i="4"/>
  <c r="K239" i="4"/>
  <c r="K238" i="4"/>
  <c r="G238" i="4"/>
  <c r="K243" i="4"/>
  <c r="G243" i="4"/>
  <c r="J244" i="4"/>
  <c r="K247" i="4"/>
  <c r="J245" i="4"/>
  <c r="G247" i="4"/>
  <c r="K248" i="4"/>
  <c r="K226" i="5"/>
  <c r="K258" i="5"/>
  <c r="K248" i="5"/>
  <c r="K320" i="5"/>
  <c r="K315" i="5"/>
  <c r="K314" i="5"/>
  <c r="K312" i="5"/>
  <c r="K310" i="5"/>
  <c r="K307" i="5"/>
  <c r="K306" i="5"/>
  <c r="K302" i="5"/>
  <c r="L274" i="5"/>
  <c r="K272" i="5"/>
  <c r="K267" i="5"/>
  <c r="L251" i="5"/>
  <c r="L242" i="5"/>
  <c r="K240" i="5"/>
  <c r="L238" i="5"/>
  <c r="K235" i="5"/>
  <c r="K234" i="5"/>
  <c r="L270" i="5"/>
  <c r="K279" i="5"/>
  <c r="K298" i="5"/>
  <c r="K304" i="5"/>
  <c r="L230" i="5"/>
  <c r="K232" i="5"/>
  <c r="K266" i="5"/>
  <c r="L294" i="5"/>
  <c r="K296" i="5"/>
  <c r="L262" i="5"/>
  <c r="K264" i="5"/>
  <c r="K275" i="5"/>
  <c r="K319" i="5"/>
  <c r="K239" i="5"/>
  <c r="K243" i="5"/>
  <c r="K311" i="5"/>
  <c r="K290" i="5"/>
  <c r="K303" i="5"/>
  <c r="K219" i="5"/>
  <c r="K231" i="5"/>
  <c r="K283" i="5"/>
  <c r="K295" i="5"/>
  <c r="K299" i="5"/>
  <c r="K318" i="5"/>
  <c r="K322" i="5"/>
  <c r="L246" i="5"/>
  <c r="K263" i="5"/>
  <c r="K223" i="5"/>
  <c r="K227" i="5"/>
  <c r="K250" i="5"/>
  <c r="L254" i="5"/>
  <c r="K256" i="5"/>
  <c r="K287" i="5"/>
  <c r="K291" i="5"/>
  <c r="L323" i="5"/>
  <c r="K271" i="5"/>
  <c r="K218" i="5"/>
  <c r="L222" i="5"/>
  <c r="K224" i="5"/>
  <c r="K255" i="5"/>
  <c r="K259" i="5"/>
  <c r="K282" i="5"/>
  <c r="L286" i="5"/>
  <c r="K288" i="5"/>
  <c r="K247" i="5"/>
  <c r="L278" i="5"/>
  <c r="K280" i="5"/>
  <c r="K220" i="5"/>
  <c r="K228" i="5"/>
  <c r="K236" i="5"/>
  <c r="K244" i="5"/>
  <c r="K252" i="5"/>
  <c r="K260" i="5"/>
  <c r="K268" i="5"/>
  <c r="K276" i="5"/>
  <c r="K284" i="5"/>
  <c r="K292" i="5"/>
  <c r="K300" i="5"/>
  <c r="K308" i="5"/>
  <c r="K316" i="5"/>
  <c r="K324" i="5"/>
  <c r="K217" i="5"/>
  <c r="K225" i="5"/>
  <c r="K233" i="5"/>
  <c r="K241" i="5"/>
  <c r="K249" i="5"/>
  <c r="K257" i="5"/>
  <c r="K265" i="5"/>
  <c r="K273" i="5"/>
  <c r="K281" i="5"/>
  <c r="K289" i="5"/>
  <c r="K297" i="5"/>
  <c r="K305" i="5"/>
  <c r="K313" i="5"/>
  <c r="K321" i="5"/>
  <c r="K221" i="5"/>
  <c r="K229" i="5"/>
  <c r="K237" i="5"/>
  <c r="K245" i="5"/>
  <c r="K253" i="5"/>
  <c r="K261" i="5"/>
  <c r="K269" i="5"/>
  <c r="K277" i="5"/>
  <c r="K285" i="5"/>
  <c r="K293" i="5"/>
  <c r="K301" i="5"/>
  <c r="K309" i="5"/>
  <c r="K317" i="5"/>
  <c r="K325" i="5"/>
  <c r="L200" i="5"/>
  <c r="L201" i="5"/>
  <c r="L196" i="5"/>
  <c r="L138" i="5"/>
  <c r="K127" i="5"/>
  <c r="L204" i="5"/>
  <c r="K209" i="5"/>
  <c r="K202" i="5"/>
  <c r="L165" i="5"/>
  <c r="L169" i="5"/>
  <c r="K174" i="5"/>
  <c r="L208" i="5"/>
  <c r="L157" i="5"/>
  <c r="L194" i="5"/>
  <c r="L193" i="5"/>
  <c r="K190" i="5"/>
  <c r="K186" i="5"/>
  <c r="L184" i="5"/>
  <c r="K181" i="5"/>
  <c r="L178" i="5"/>
  <c r="K167" i="5"/>
  <c r="K166" i="5"/>
  <c r="K162" i="5"/>
  <c r="L153" i="5"/>
  <c r="K151" i="5"/>
  <c r="K149" i="5"/>
  <c r="L142" i="5"/>
  <c r="L137" i="5"/>
  <c r="L136" i="5"/>
  <c r="K135" i="5"/>
  <c r="L134" i="5"/>
  <c r="L130" i="5"/>
  <c r="L126" i="5"/>
  <c r="L122" i="5"/>
  <c r="L120" i="5"/>
  <c r="L114" i="5"/>
  <c r="K110" i="5"/>
  <c r="K117" i="5"/>
  <c r="L173" i="5"/>
  <c r="L182" i="5"/>
  <c r="K191" i="5"/>
  <c r="L198" i="5"/>
  <c r="L203" i="5"/>
  <c r="K205" i="5"/>
  <c r="L141" i="5"/>
  <c r="L212" i="5"/>
  <c r="L109" i="5"/>
  <c r="L118" i="5"/>
  <c r="L129" i="5"/>
  <c r="K146" i="5"/>
  <c r="K175" i="5"/>
  <c r="K189" i="5"/>
  <c r="K211" i="5"/>
  <c r="L128" i="5"/>
  <c r="K159" i="5"/>
  <c r="L161" i="5"/>
  <c r="L192" i="5"/>
  <c r="L113" i="5"/>
  <c r="K150" i="5"/>
  <c r="K119" i="5"/>
  <c r="L121" i="5"/>
  <c r="L125" i="5"/>
  <c r="K133" i="5"/>
  <c r="L152" i="5"/>
  <c r="K154" i="5"/>
  <c r="K158" i="5"/>
  <c r="K183" i="5"/>
  <c r="L185" i="5"/>
  <c r="K199" i="5"/>
  <c r="K213" i="5"/>
  <c r="L144" i="5"/>
  <c r="L177" i="5"/>
  <c r="L160" i="5"/>
  <c r="L168" i="5"/>
  <c r="K170" i="5"/>
  <c r="K111" i="5"/>
  <c r="L112" i="5"/>
  <c r="K143" i="5"/>
  <c r="L145" i="5"/>
  <c r="L176" i="5"/>
  <c r="K210" i="5"/>
  <c r="L216" i="5"/>
  <c r="K108" i="5"/>
  <c r="K116" i="5"/>
  <c r="K124" i="5"/>
  <c r="K132" i="5"/>
  <c r="K140" i="5"/>
  <c r="K148" i="5"/>
  <c r="K156" i="5"/>
  <c r="K164" i="5"/>
  <c r="K172" i="5"/>
  <c r="K180" i="5"/>
  <c r="K188" i="5"/>
  <c r="K197" i="5"/>
  <c r="K207" i="5"/>
  <c r="K215" i="5"/>
  <c r="K115" i="5"/>
  <c r="K123" i="5"/>
  <c r="K131" i="5"/>
  <c r="K139" i="5"/>
  <c r="K147" i="5"/>
  <c r="K155" i="5"/>
  <c r="K163" i="5"/>
  <c r="K171" i="5"/>
  <c r="K179" i="5"/>
  <c r="K187" i="5"/>
  <c r="K195" i="5"/>
  <c r="K206" i="5"/>
  <c r="K214" i="5"/>
  <c r="Q45" i="11"/>
  <c r="R45" i="11" s="1"/>
  <c r="G45" i="11"/>
  <c r="H45" i="11" s="1"/>
  <c r="Q44" i="11"/>
  <c r="R44" i="11" s="1"/>
  <c r="Q43" i="11"/>
  <c r="R43" i="11" s="1"/>
  <c r="G43" i="11"/>
  <c r="H43" i="11" s="1"/>
  <c r="Q42" i="11"/>
  <c r="R42" i="11" s="1"/>
  <c r="Q41" i="11"/>
  <c r="R41" i="11" s="1"/>
  <c r="Q40" i="11"/>
  <c r="R40" i="11" s="1"/>
  <c r="G40" i="11"/>
  <c r="H40" i="11" s="1"/>
  <c r="Q39" i="11"/>
  <c r="R39" i="11" s="1"/>
  <c r="Q38" i="11"/>
  <c r="R38" i="11" s="1"/>
  <c r="G38" i="11"/>
  <c r="H38" i="11" s="1"/>
  <c r="Q37" i="11"/>
  <c r="R37" i="11" s="1"/>
  <c r="Q36" i="11"/>
  <c r="R36" i="11" s="1"/>
  <c r="G36" i="11"/>
  <c r="H36" i="11" s="1"/>
  <c r="Q35" i="11"/>
  <c r="R35" i="11" s="1"/>
  <c r="G35" i="11"/>
  <c r="H35" i="11" s="1"/>
  <c r="Q34" i="11"/>
  <c r="R34" i="11" s="1"/>
  <c r="G34" i="11"/>
  <c r="H34" i="11" s="1"/>
  <c r="Q33" i="11"/>
  <c r="R33" i="11" s="1"/>
  <c r="Q32" i="11"/>
  <c r="R32" i="11" s="1"/>
  <c r="Q31" i="11"/>
  <c r="R31" i="11" s="1"/>
  <c r="G31" i="11"/>
  <c r="H31" i="11" s="1"/>
  <c r="Q30" i="11"/>
  <c r="R30" i="11" s="1"/>
  <c r="G30" i="11"/>
  <c r="H30" i="11" s="1"/>
  <c r="Q29" i="11"/>
  <c r="R29" i="11" s="1"/>
  <c r="G29" i="11"/>
  <c r="H29" i="11" s="1"/>
  <c r="Q28" i="11"/>
  <c r="R28" i="11" s="1"/>
  <c r="G28" i="11"/>
  <c r="H28" i="11" s="1"/>
  <c r="Q27" i="11"/>
  <c r="R27" i="11" s="1"/>
  <c r="G27" i="11"/>
  <c r="H27" i="11" s="1"/>
  <c r="Q26" i="11"/>
  <c r="R26" i="11" s="1"/>
  <c r="G26" i="11"/>
  <c r="H26" i="11" s="1"/>
  <c r="Q25" i="11"/>
  <c r="R25" i="11" s="1"/>
  <c r="G25" i="11"/>
  <c r="H25" i="11" s="1"/>
  <c r="Q24" i="11"/>
  <c r="R24" i="11" s="1"/>
  <c r="G24" i="11"/>
  <c r="H24" i="11" s="1"/>
  <c r="Q23" i="11"/>
  <c r="R23" i="11" s="1"/>
  <c r="G23" i="11"/>
  <c r="H23" i="11" s="1"/>
  <c r="Q22" i="11"/>
  <c r="R22" i="11" s="1"/>
  <c r="Q21" i="11"/>
  <c r="R21" i="11" s="1"/>
  <c r="G21" i="11"/>
  <c r="H21" i="11" s="1"/>
  <c r="Q20" i="11"/>
  <c r="R20" i="11" s="1"/>
  <c r="G20" i="11"/>
  <c r="H20" i="11" s="1"/>
  <c r="Q19" i="11"/>
  <c r="R19" i="11" s="1"/>
  <c r="G19" i="11"/>
  <c r="H19" i="11" s="1"/>
  <c r="Q18" i="11"/>
  <c r="R18" i="11" s="1"/>
  <c r="G18" i="11"/>
  <c r="H18" i="11" s="1"/>
  <c r="Q17" i="11"/>
  <c r="R17" i="11" s="1"/>
  <c r="G17" i="11"/>
  <c r="H17" i="11" s="1"/>
  <c r="Q16" i="11"/>
  <c r="R16" i="11" s="1"/>
  <c r="G16" i="11"/>
  <c r="H16" i="11" s="1"/>
  <c r="Q15" i="11"/>
  <c r="R15" i="11" s="1"/>
  <c r="G15" i="11"/>
  <c r="Q14" i="11"/>
  <c r="R14" i="11" s="1"/>
  <c r="G14" i="11"/>
  <c r="H14" i="11" s="1"/>
  <c r="Q13" i="11"/>
  <c r="R13" i="11" s="1"/>
  <c r="G13" i="11"/>
  <c r="H13" i="11" s="1"/>
  <c r="Q12" i="11"/>
  <c r="R12" i="11" s="1"/>
  <c r="G12" i="11"/>
  <c r="H12" i="11" s="1"/>
  <c r="Q11" i="11"/>
  <c r="R11" i="11" s="1"/>
  <c r="G11" i="11"/>
  <c r="H11" i="11" s="1"/>
  <c r="Q10" i="11"/>
  <c r="R10" i="11" s="1"/>
  <c r="G10" i="11"/>
  <c r="H10" i="11" s="1"/>
  <c r="Q9" i="11"/>
  <c r="R9" i="11" s="1"/>
  <c r="G9" i="11"/>
  <c r="H9" i="11" s="1"/>
  <c r="Q8" i="11"/>
  <c r="R8" i="11" s="1"/>
  <c r="G8" i="11"/>
  <c r="H8" i="11" s="1"/>
  <c r="Q7" i="11"/>
  <c r="R7" i="11" s="1"/>
  <c r="G7" i="11"/>
  <c r="H7" i="11" s="1"/>
  <c r="Q6" i="11"/>
  <c r="R6" i="11" s="1"/>
  <c r="G6" i="11"/>
  <c r="H6" i="11" s="1"/>
  <c r="Q5" i="11"/>
  <c r="R5" i="11" s="1"/>
  <c r="G5" i="11"/>
  <c r="H5" i="11" s="1"/>
  <c r="Q4" i="11"/>
  <c r="R4" i="11" s="1"/>
  <c r="G4" i="11"/>
  <c r="H4" i="11" s="1"/>
  <c r="F4" i="11"/>
  <c r="Q3" i="11"/>
  <c r="R3" i="11" s="1"/>
  <c r="G3" i="11"/>
  <c r="H3" i="11" s="1"/>
  <c r="Q2" i="11"/>
  <c r="R2" i="11" s="1"/>
  <c r="G2" i="11"/>
  <c r="H2" i="11" s="1"/>
  <c r="C118" i="4"/>
  <c r="Q180" i="11"/>
  <c r="R180" i="11" s="1"/>
  <c r="Q179" i="11"/>
  <c r="R179" i="11" s="1"/>
  <c r="Q178" i="11"/>
  <c r="R178" i="11" s="1"/>
  <c r="Q177" i="11"/>
  <c r="R177" i="11" s="1"/>
  <c r="Q176" i="11"/>
  <c r="R176" i="11" s="1"/>
  <c r="Q175" i="11"/>
  <c r="R175" i="11" s="1"/>
  <c r="Q174" i="11"/>
  <c r="R174" i="11" s="1"/>
  <c r="Q173" i="11"/>
  <c r="R173" i="11" s="1"/>
  <c r="Q172" i="11"/>
  <c r="R172" i="11" s="1"/>
  <c r="Q171" i="11"/>
  <c r="R171" i="11" s="1"/>
  <c r="Q170" i="11"/>
  <c r="R170" i="11" s="1"/>
  <c r="Q169" i="11"/>
  <c r="R169" i="11" s="1"/>
  <c r="Q168" i="11"/>
  <c r="R168" i="11" s="1"/>
  <c r="Q167" i="11"/>
  <c r="R167" i="11" s="1"/>
  <c r="Q166" i="11"/>
  <c r="R166" i="11" s="1"/>
  <c r="Q165" i="11"/>
  <c r="R165" i="11" s="1"/>
  <c r="Q164" i="11"/>
  <c r="R164" i="11" s="1"/>
  <c r="Q163" i="11"/>
  <c r="R163" i="11" s="1"/>
  <c r="Q162" i="11"/>
  <c r="R162" i="11" s="1"/>
  <c r="Q161" i="11"/>
  <c r="R161" i="11" s="1"/>
  <c r="Q160" i="11"/>
  <c r="R160" i="11" s="1"/>
  <c r="Q159" i="11"/>
  <c r="R159" i="11" s="1"/>
  <c r="Q158" i="11"/>
  <c r="R158" i="11" s="1"/>
  <c r="Q157" i="11"/>
  <c r="R157" i="11" s="1"/>
  <c r="Q156" i="11"/>
  <c r="R156" i="11" s="1"/>
  <c r="Q155" i="11"/>
  <c r="R155" i="11" s="1"/>
  <c r="Q154" i="11"/>
  <c r="R154" i="11" s="1"/>
  <c r="Q153" i="11"/>
  <c r="R153" i="11" s="1"/>
  <c r="Q152" i="11"/>
  <c r="R152" i="11" s="1"/>
  <c r="Q151" i="11"/>
  <c r="R151" i="11" s="1"/>
  <c r="Q150" i="11"/>
  <c r="R150" i="11" s="1"/>
  <c r="Q149" i="11"/>
  <c r="R149" i="11" s="1"/>
  <c r="Q148" i="11"/>
  <c r="R148" i="11" s="1"/>
  <c r="Q147" i="11"/>
  <c r="R147" i="11" s="1"/>
  <c r="Q146" i="11"/>
  <c r="R146" i="11" s="1"/>
  <c r="Q145" i="11"/>
  <c r="R145" i="11" s="1"/>
  <c r="Q143" i="11"/>
  <c r="R143" i="11" s="1"/>
  <c r="Q142" i="11"/>
  <c r="R142" i="11" s="1"/>
  <c r="Q141" i="11"/>
  <c r="R141" i="11" s="1"/>
  <c r="Q140" i="11"/>
  <c r="R140" i="11" s="1"/>
  <c r="Q139" i="11"/>
  <c r="R139" i="11" s="1"/>
  <c r="Q138" i="11"/>
  <c r="R138" i="11" s="1"/>
  <c r="Q137" i="11"/>
  <c r="R137" i="11" s="1"/>
  <c r="Q136" i="11"/>
  <c r="R136" i="11" s="1"/>
  <c r="P50" i="5"/>
  <c r="P49" i="5"/>
  <c r="O50" i="5"/>
  <c r="G180" i="11"/>
  <c r="H180" i="11" s="1"/>
  <c r="G178" i="11"/>
  <c r="H178" i="11" s="1"/>
  <c r="G175" i="11"/>
  <c r="H175" i="11" s="1"/>
  <c r="G173" i="11"/>
  <c r="H173" i="11" s="1"/>
  <c r="G171" i="11"/>
  <c r="H171" i="11" s="1"/>
  <c r="G170" i="11"/>
  <c r="H170" i="11" s="1"/>
  <c r="G169" i="11"/>
  <c r="H169" i="11" s="1"/>
  <c r="G166" i="11"/>
  <c r="H166" i="11" s="1"/>
  <c r="G165" i="11"/>
  <c r="H165" i="11" s="1"/>
  <c r="G164" i="11"/>
  <c r="H164" i="11" s="1"/>
  <c r="G163" i="11"/>
  <c r="H163" i="11" s="1"/>
  <c r="G162" i="11"/>
  <c r="H162" i="11" s="1"/>
  <c r="G161" i="11"/>
  <c r="H161" i="11" s="1"/>
  <c r="G160" i="11"/>
  <c r="H160" i="11" s="1"/>
  <c r="G159" i="11"/>
  <c r="H159" i="11" s="1"/>
  <c r="G158" i="11"/>
  <c r="H158" i="11" s="1"/>
  <c r="G156" i="11"/>
  <c r="H156" i="11" s="1"/>
  <c r="G155" i="11"/>
  <c r="H155" i="11" s="1"/>
  <c r="G154" i="11"/>
  <c r="H154" i="11" s="1"/>
  <c r="G153" i="11"/>
  <c r="H153" i="11" s="1"/>
  <c r="G152" i="11"/>
  <c r="H152" i="11" s="1"/>
  <c r="G151" i="11"/>
  <c r="H151" i="11" s="1"/>
  <c r="G150" i="11"/>
  <c r="H150" i="11" s="1"/>
  <c r="G149" i="11"/>
  <c r="H149" i="11" s="1"/>
  <c r="G148" i="11"/>
  <c r="H148" i="11" s="1"/>
  <c r="G147" i="11"/>
  <c r="H147" i="11" s="1"/>
  <c r="G146" i="11"/>
  <c r="H146" i="11" s="1"/>
  <c r="G145" i="11"/>
  <c r="H145" i="11" s="1"/>
  <c r="G143" i="11"/>
  <c r="F143" i="11" s="1"/>
  <c r="G142" i="11"/>
  <c r="H142" i="11" s="1"/>
  <c r="G141" i="11"/>
  <c r="H141" i="11" s="1"/>
  <c r="G140" i="11"/>
  <c r="H140" i="11" s="1"/>
  <c r="G139" i="11"/>
  <c r="H139" i="11" s="1"/>
  <c r="G138" i="11"/>
  <c r="H138" i="11" s="1"/>
  <c r="F138" i="11"/>
  <c r="G137" i="11"/>
  <c r="H137" i="11" s="1"/>
  <c r="G136" i="11"/>
  <c r="H136" i="11" s="1"/>
  <c r="S45" i="10"/>
  <c r="T45" i="10" s="1"/>
  <c r="T44" i="10"/>
  <c r="S43" i="10"/>
  <c r="T43" i="10" s="1"/>
  <c r="S42" i="10"/>
  <c r="T42" i="10" s="1"/>
  <c r="S41" i="10"/>
  <c r="T41" i="10" s="1"/>
  <c r="S40" i="10"/>
  <c r="T40" i="10" s="1"/>
  <c r="S39" i="10"/>
  <c r="T39" i="10" s="1"/>
  <c r="S38" i="10"/>
  <c r="T38" i="10" s="1"/>
  <c r="S37" i="10"/>
  <c r="T37" i="10" s="1"/>
  <c r="S36" i="10"/>
  <c r="T36" i="10" s="1"/>
  <c r="S35" i="10"/>
  <c r="T35" i="10" s="1"/>
  <c r="S34" i="10"/>
  <c r="T34" i="10" s="1"/>
  <c r="S33" i="10"/>
  <c r="T33" i="10" s="1"/>
  <c r="S32" i="10"/>
  <c r="T32" i="10" s="1"/>
  <c r="S31" i="10"/>
  <c r="T31" i="10" s="1"/>
  <c r="S30" i="10"/>
  <c r="T30" i="10" s="1"/>
  <c r="S29" i="10"/>
  <c r="T29" i="10" s="1"/>
  <c r="S28" i="10"/>
  <c r="T28" i="10" s="1"/>
  <c r="S27" i="10"/>
  <c r="T27" i="10" s="1"/>
  <c r="S26" i="10"/>
  <c r="T26" i="10" s="1"/>
  <c r="S25" i="10"/>
  <c r="T25" i="10" s="1"/>
  <c r="S24" i="10"/>
  <c r="T24" i="10" s="1"/>
  <c r="S23" i="10"/>
  <c r="T23" i="10" s="1"/>
  <c r="S22" i="10"/>
  <c r="T22" i="10" s="1"/>
  <c r="S21" i="10"/>
  <c r="T21" i="10" s="1"/>
  <c r="S20" i="10"/>
  <c r="T20" i="10" s="1"/>
  <c r="S19" i="10"/>
  <c r="T19" i="10" s="1"/>
  <c r="S18" i="10"/>
  <c r="T18" i="10" s="1"/>
  <c r="S17" i="10"/>
  <c r="T17" i="10" s="1"/>
  <c r="S16" i="10"/>
  <c r="T16" i="10" s="1"/>
  <c r="S15" i="10"/>
  <c r="T15" i="10" s="1"/>
  <c r="S14" i="10"/>
  <c r="T14" i="10" s="1"/>
  <c r="S13" i="10"/>
  <c r="T13" i="10" s="1"/>
  <c r="S12" i="10"/>
  <c r="T12" i="10" s="1"/>
  <c r="S11" i="10"/>
  <c r="T11" i="10" s="1"/>
  <c r="S10" i="10"/>
  <c r="T10" i="10" s="1"/>
  <c r="S9" i="10"/>
  <c r="T9" i="10" s="1"/>
  <c r="S8" i="10"/>
  <c r="T8" i="10" s="1"/>
  <c r="S7" i="10"/>
  <c r="T7" i="10" s="1"/>
  <c r="S6" i="10"/>
  <c r="T6" i="10" s="1"/>
  <c r="S5" i="10"/>
  <c r="T5" i="10" s="1"/>
  <c r="S4" i="10"/>
  <c r="T4" i="10" s="1"/>
  <c r="S3" i="10"/>
  <c r="T3" i="10" s="1"/>
  <c r="S2" i="10"/>
  <c r="T2" i="10" s="1"/>
  <c r="K350" i="4" l="1"/>
  <c r="J350" i="4"/>
  <c r="K351" i="4"/>
  <c r="J351" i="4"/>
  <c r="J357" i="4"/>
  <c r="J354" i="4"/>
  <c r="K352" i="4"/>
  <c r="J352" i="4"/>
  <c r="J361" i="4"/>
  <c r="K355" i="4"/>
  <c r="J355" i="4"/>
  <c r="K359" i="4"/>
  <c r="K356" i="4"/>
  <c r="J356" i="4"/>
  <c r="J363" i="4"/>
  <c r="J360" i="4"/>
  <c r="K278" i="4"/>
  <c r="K362" i="4"/>
  <c r="J362" i="4"/>
  <c r="K364" i="4"/>
  <c r="J364" i="4"/>
  <c r="K365" i="4"/>
  <c r="J365" i="4"/>
  <c r="K296" i="4"/>
  <c r="K280" i="4"/>
  <c r="J275" i="4"/>
  <c r="J281" i="4"/>
  <c r="K292" i="4"/>
  <c r="K282" i="4"/>
  <c r="J287" i="4"/>
  <c r="K276" i="4"/>
  <c r="J277" i="4"/>
  <c r="K286" i="4"/>
  <c r="J283" i="4"/>
  <c r="K279" i="4"/>
  <c r="J279" i="4"/>
  <c r="K288" i="4"/>
  <c r="J289" i="4"/>
  <c r="J313" i="4"/>
  <c r="K294" i="4"/>
  <c r="K322" i="4"/>
  <c r="J284" i="4"/>
  <c r="K284" i="4"/>
  <c r="K290" i="4"/>
  <c r="K285" i="4"/>
  <c r="J285" i="4"/>
  <c r="K300" i="4"/>
  <c r="K310" i="4"/>
  <c r="K295" i="4"/>
  <c r="J293" i="4"/>
  <c r="K291" i="4"/>
  <c r="J291" i="4"/>
  <c r="J298" i="4"/>
  <c r="K298" i="4"/>
  <c r="J311" i="4"/>
  <c r="K302" i="4"/>
  <c r="J299" i="4"/>
  <c r="K304" i="4"/>
  <c r="J301" i="4"/>
  <c r="J315" i="4"/>
  <c r="J303" i="4"/>
  <c r="K297" i="4"/>
  <c r="J297" i="4"/>
  <c r="K308" i="4"/>
  <c r="K305" i="4"/>
  <c r="K314" i="4"/>
  <c r="J317" i="4"/>
  <c r="K312" i="4"/>
  <c r="J307" i="4"/>
  <c r="J319" i="4"/>
  <c r="J306" i="4"/>
  <c r="K306" i="4"/>
  <c r="J309" i="4"/>
  <c r="K320" i="4"/>
  <c r="K335" i="4"/>
  <c r="K318" i="4"/>
  <c r="K330" i="4"/>
  <c r="K316" i="4"/>
  <c r="K324" i="4"/>
  <c r="J329" i="4"/>
  <c r="J321" i="4"/>
  <c r="K326" i="4"/>
  <c r="J323" i="4"/>
  <c r="J327" i="4"/>
  <c r="K328" i="4"/>
  <c r="K332" i="4"/>
  <c r="K325" i="4"/>
  <c r="J325" i="4"/>
  <c r="K331" i="4"/>
  <c r="J331" i="4"/>
  <c r="J337" i="4"/>
  <c r="K333" i="4"/>
  <c r="J333" i="4"/>
  <c r="J334" i="4"/>
  <c r="K334" i="4"/>
  <c r="K343" i="4"/>
  <c r="K336" i="4"/>
  <c r="J336" i="4"/>
  <c r="J339" i="4"/>
  <c r="K342" i="4"/>
  <c r="J342" i="4"/>
  <c r="K341" i="4"/>
  <c r="J341" i="4"/>
  <c r="K340" i="4"/>
  <c r="J340" i="4"/>
  <c r="K338" i="4"/>
  <c r="J338" i="4"/>
  <c r="J271" i="4"/>
  <c r="K344" i="4"/>
  <c r="J344" i="4"/>
  <c r="J273" i="4"/>
  <c r="J267" i="4"/>
  <c r="K204" i="4"/>
  <c r="K249" i="4"/>
  <c r="J249" i="4"/>
  <c r="J255" i="4"/>
  <c r="K254" i="4"/>
  <c r="J265" i="4"/>
  <c r="K264" i="4"/>
  <c r="K262" i="4"/>
  <c r="K270" i="4"/>
  <c r="J263" i="4"/>
  <c r="J258" i="4"/>
  <c r="K258" i="4"/>
  <c r="J269" i="4"/>
  <c r="J260" i="4"/>
  <c r="K260" i="4"/>
  <c r="J205" i="4"/>
  <c r="K266" i="4"/>
  <c r="J261" i="4"/>
  <c r="K268" i="4"/>
  <c r="K274" i="4"/>
  <c r="K345" i="4"/>
  <c r="K272" i="4"/>
  <c r="J346" i="4"/>
  <c r="J211" i="4"/>
  <c r="K195" i="4"/>
  <c r="K193" i="4"/>
  <c r="J349" i="4"/>
  <c r="K184" i="4"/>
  <c r="J189" i="4"/>
  <c r="J348" i="4"/>
  <c r="K347" i="4"/>
  <c r="J347" i="4"/>
  <c r="J197" i="4"/>
  <c r="J192" i="4"/>
  <c r="J199" i="4"/>
  <c r="J201" i="4"/>
  <c r="K207" i="4"/>
  <c r="J209" i="4"/>
  <c r="J214" i="4"/>
  <c r="K206" i="4"/>
  <c r="J191" i="4"/>
  <c r="K190" i="4"/>
  <c r="J208" i="4"/>
  <c r="K212" i="4"/>
  <c r="J203" i="4"/>
  <c r="J210" i="4"/>
  <c r="K194" i="4"/>
  <c r="K198" i="4"/>
  <c r="J188" i="4"/>
  <c r="K188" i="4"/>
  <c r="J186" i="4"/>
  <c r="K185" i="4"/>
  <c r="J196" i="4"/>
  <c r="J200" i="4"/>
  <c r="K215" i="4"/>
  <c r="J187" i="4"/>
  <c r="K187" i="4"/>
  <c r="J202" i="4"/>
  <c r="J213" i="4"/>
  <c r="K213" i="4"/>
  <c r="J216" i="4"/>
  <c r="K219" i="4"/>
  <c r="J217" i="4"/>
  <c r="J218" i="4"/>
  <c r="J220" i="4"/>
  <c r="J221" i="4"/>
  <c r="J226" i="4"/>
  <c r="J230" i="4"/>
  <c r="K222" i="4"/>
  <c r="J222" i="4"/>
  <c r="K227" i="4"/>
  <c r="J224" i="4"/>
  <c r="K223" i="4"/>
  <c r="J223" i="4"/>
  <c r="J228" i="4"/>
  <c r="J229" i="4"/>
  <c r="K225" i="4"/>
  <c r="J225" i="4"/>
  <c r="J236" i="4"/>
  <c r="J232" i="4"/>
  <c r="J239" i="4"/>
  <c r="K231" i="4"/>
  <c r="J231" i="4"/>
  <c r="J237" i="4"/>
  <c r="J234" i="4"/>
  <c r="K233" i="4"/>
  <c r="J233" i="4"/>
  <c r="K235" i="4"/>
  <c r="J235" i="4"/>
  <c r="J238" i="4"/>
  <c r="K244" i="4"/>
  <c r="J243" i="4"/>
  <c r="K240" i="4"/>
  <c r="J240" i="4"/>
  <c r="J247" i="4"/>
  <c r="K245" i="4"/>
  <c r="J242" i="4"/>
  <c r="K242" i="4"/>
  <c r="K241" i="4"/>
  <c r="J241" i="4"/>
  <c r="J248" i="4"/>
  <c r="K246" i="4"/>
  <c r="J246" i="4"/>
  <c r="G22" i="11"/>
  <c r="H22" i="11" s="1"/>
  <c r="F9" i="11"/>
  <c r="H15" i="11"/>
  <c r="K118" i="4"/>
  <c r="H143" i="11"/>
  <c r="G157" i="11"/>
  <c r="H157" i="11" s="1"/>
  <c r="D388" i="4" l="1"/>
  <c r="E388" i="4" s="1"/>
  <c r="F388" i="4"/>
  <c r="K418" i="5"/>
  <c r="K417" i="5"/>
  <c r="K416" i="5"/>
  <c r="K415" i="5"/>
  <c r="K414" i="5"/>
  <c r="K413" i="5"/>
  <c r="K412" i="5"/>
  <c r="K411" i="5"/>
  <c r="K410" i="5"/>
  <c r="K407" i="5"/>
  <c r="K405" i="5"/>
  <c r="K402" i="5"/>
  <c r="K399" i="5"/>
  <c r="K394"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1" i="5"/>
  <c r="K358" i="5"/>
  <c r="K353" i="5"/>
  <c r="K352" i="5"/>
  <c r="K350" i="5"/>
  <c r="K345" i="5"/>
  <c r="K342" i="5"/>
  <c r="K340" i="5"/>
  <c r="K338" i="5"/>
  <c r="K337" i="5"/>
  <c r="K329"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 r="K2" i="5"/>
  <c r="L342" i="5"/>
  <c r="L345" i="5"/>
  <c r="L353" i="5"/>
  <c r="L358" i="5"/>
  <c r="L361" i="5"/>
  <c r="K420" i="5"/>
  <c r="K421" i="5"/>
  <c r="K422" i="5"/>
  <c r="K423" i="5"/>
  <c r="K424" i="5"/>
  <c r="K425" i="5"/>
  <c r="K426" i="5"/>
  <c r="K427" i="5"/>
  <c r="L338" i="5"/>
  <c r="L399" i="5"/>
  <c r="L402" i="5"/>
  <c r="L405" i="5"/>
  <c r="L407" i="5"/>
  <c r="L394" i="5"/>
  <c r="L350" i="5"/>
  <c r="L340" i="5"/>
  <c r="L329" i="5"/>
  <c r="I388" i="4" l="1"/>
  <c r="J388" i="4" s="1"/>
  <c r="G388" i="4"/>
  <c r="L352" i="5"/>
  <c r="L337" i="5"/>
  <c r="L351" i="5"/>
  <c r="K351" i="5"/>
  <c r="L400" i="5"/>
  <c r="K400" i="5"/>
  <c r="L401" i="5"/>
  <c r="K401" i="5"/>
  <c r="L327" i="5"/>
  <c r="K327" i="5"/>
  <c r="L359" i="5"/>
  <c r="K359" i="5"/>
  <c r="L408" i="5"/>
  <c r="K408" i="5"/>
  <c r="L344" i="5"/>
  <c r="K344" i="5"/>
  <c r="L330" i="5"/>
  <c r="K330" i="5"/>
  <c r="L346" i="5"/>
  <c r="K346" i="5"/>
  <c r="L354" i="5"/>
  <c r="K354" i="5"/>
  <c r="L362" i="5"/>
  <c r="K362" i="5"/>
  <c r="L395" i="5"/>
  <c r="K395" i="5"/>
  <c r="L403" i="5"/>
  <c r="K403" i="5"/>
  <c r="L393" i="5"/>
  <c r="K393" i="5"/>
  <c r="L335" i="5"/>
  <c r="K335" i="5"/>
  <c r="L328" i="5"/>
  <c r="K328" i="5"/>
  <c r="L360" i="5"/>
  <c r="K360" i="5"/>
  <c r="L409" i="5"/>
  <c r="K409" i="5"/>
  <c r="L419" i="5"/>
  <c r="K419" i="5"/>
  <c r="L331" i="5"/>
  <c r="K331" i="5"/>
  <c r="L339" i="5"/>
  <c r="K339" i="5"/>
  <c r="L347" i="5"/>
  <c r="K347" i="5"/>
  <c r="L355" i="5"/>
  <c r="K355" i="5"/>
  <c r="L363" i="5"/>
  <c r="K363" i="5"/>
  <c r="L396" i="5"/>
  <c r="K396" i="5"/>
  <c r="L404" i="5"/>
  <c r="K404" i="5"/>
  <c r="L343" i="5"/>
  <c r="K343" i="5"/>
  <c r="L332" i="5"/>
  <c r="K332" i="5"/>
  <c r="L348" i="5"/>
  <c r="K348" i="5"/>
  <c r="L356" i="5"/>
  <c r="K356" i="5"/>
  <c r="L364" i="5"/>
  <c r="K364" i="5"/>
  <c r="L397" i="5"/>
  <c r="K397" i="5"/>
  <c r="L333" i="5"/>
  <c r="K333" i="5"/>
  <c r="L341" i="5"/>
  <c r="K341" i="5"/>
  <c r="L349" i="5"/>
  <c r="K349" i="5"/>
  <c r="L357" i="5"/>
  <c r="K357" i="5"/>
  <c r="L398" i="5"/>
  <c r="K398" i="5"/>
  <c r="L406" i="5"/>
  <c r="K406" i="5"/>
  <c r="L336" i="5"/>
  <c r="K336" i="5"/>
  <c r="L326" i="5"/>
  <c r="K326" i="5"/>
  <c r="L334" i="5"/>
  <c r="K334" i="5"/>
  <c r="K366" i="4"/>
  <c r="K367" i="4"/>
  <c r="L377" i="5"/>
  <c r="L380" i="5"/>
  <c r="L385" i="5"/>
  <c r="L387" i="5"/>
  <c r="L388" i="5"/>
  <c r="L368" i="5"/>
  <c r="L372" i="5"/>
  <c r="L376" i="5"/>
  <c r="L384" i="5"/>
  <c r="L392" i="5"/>
  <c r="L391" i="5"/>
  <c r="L390" i="5"/>
  <c r="L389" i="5"/>
  <c r="L386" i="5"/>
  <c r="L383" i="5"/>
  <c r="L382" i="5"/>
  <c r="L381" i="5"/>
  <c r="L379" i="5"/>
  <c r="L378" i="5"/>
  <c r="L375" i="5"/>
  <c r="L374" i="5"/>
  <c r="L373" i="5"/>
  <c r="L371" i="5"/>
  <c r="L370" i="5"/>
  <c r="L369" i="5"/>
  <c r="L367" i="5"/>
  <c r="L366" i="5"/>
  <c r="L365" i="5"/>
  <c r="K369" i="4" l="1"/>
  <c r="K370" i="4"/>
  <c r="K371" i="4"/>
  <c r="K368" i="4"/>
  <c r="L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410" i="5"/>
  <c r="L411" i="5"/>
  <c r="L415" i="5"/>
  <c r="L418" i="5"/>
  <c r="L413" i="5" l="1"/>
  <c r="L420" i="5"/>
  <c r="L412" i="5"/>
  <c r="L414" i="5"/>
  <c r="L427" i="5"/>
  <c r="L416" i="5" l="1"/>
  <c r="L422" i="5"/>
  <c r="L421" i="5"/>
  <c r="L424" i="5"/>
  <c r="L423" i="5" l="1"/>
  <c r="L417" i="5"/>
  <c r="L425" i="5"/>
  <c r="L426" i="5" l="1"/>
  <c r="L45" i="10" l="1"/>
  <c r="M45" i="10" s="1"/>
  <c r="H45" i="10"/>
  <c r="H44" i="10"/>
  <c r="H39" i="10"/>
  <c r="L43" i="10"/>
  <c r="M43" i="10" s="1"/>
  <c r="H43" i="10"/>
  <c r="H42" i="10"/>
  <c r="H41" i="10"/>
  <c r="L40" i="10"/>
  <c r="M40" i="10" s="1"/>
  <c r="H40" i="10"/>
  <c r="L38" i="10"/>
  <c r="M38" i="10" s="1"/>
  <c r="H38" i="10"/>
  <c r="L35" i="10"/>
  <c r="M35" i="10" s="1"/>
  <c r="H35" i="10"/>
  <c r="H37" i="10"/>
  <c r="L36" i="10"/>
  <c r="M36" i="10" s="1"/>
  <c r="H36" i="10"/>
  <c r="L34" i="10"/>
  <c r="M34" i="10" s="1"/>
  <c r="H34" i="10"/>
  <c r="H33" i="10"/>
  <c r="H32" i="10"/>
  <c r="L31" i="10"/>
  <c r="M31" i="10" s="1"/>
  <c r="H31" i="10"/>
  <c r="L30" i="10"/>
  <c r="M30" i="10" s="1"/>
  <c r="H30" i="10"/>
  <c r="L29" i="10"/>
  <c r="M29" i="10" s="1"/>
  <c r="H29" i="10"/>
  <c r="L28" i="10"/>
  <c r="M28" i="10" s="1"/>
  <c r="H28" i="10"/>
  <c r="L27" i="10"/>
  <c r="M27" i="10" s="1"/>
  <c r="H27" i="10"/>
  <c r="L26" i="10"/>
  <c r="M26" i="10" s="1"/>
  <c r="H26" i="10"/>
  <c r="L25" i="10"/>
  <c r="M25" i="10" s="1"/>
  <c r="H25" i="10"/>
  <c r="L24" i="10"/>
  <c r="M24" i="10" s="1"/>
  <c r="H24" i="10"/>
  <c r="L23" i="10"/>
  <c r="M23" i="10" s="1"/>
  <c r="H23" i="10"/>
  <c r="L17" i="10"/>
  <c r="M17" i="10" s="1"/>
  <c r="H17" i="10"/>
  <c r="L16" i="10"/>
  <c r="M16" i="10" s="1"/>
  <c r="H16" i="10"/>
  <c r="L15" i="10"/>
  <c r="M15" i="10" s="1"/>
  <c r="H15" i="10"/>
  <c r="H22" i="10"/>
  <c r="L10" i="10"/>
  <c r="M10" i="10" s="1"/>
  <c r="H10" i="10"/>
  <c r="L21" i="10"/>
  <c r="M21" i="10" s="1"/>
  <c r="H21" i="10"/>
  <c r="L14" i="10"/>
  <c r="M14" i="10" s="1"/>
  <c r="H14" i="10"/>
  <c r="L13" i="10"/>
  <c r="M13" i="10" s="1"/>
  <c r="H13" i="10"/>
  <c r="L20" i="10"/>
  <c r="M20" i="10" s="1"/>
  <c r="H20" i="10"/>
  <c r="L11" i="10"/>
  <c r="M11" i="10" s="1"/>
  <c r="H11" i="10"/>
  <c r="L19" i="10"/>
  <c r="M19" i="10" s="1"/>
  <c r="H19" i="10"/>
  <c r="L12" i="10"/>
  <c r="M12" i="10" s="1"/>
  <c r="H12" i="10"/>
  <c r="L18" i="10"/>
  <c r="M18" i="10" s="1"/>
  <c r="H18" i="10"/>
  <c r="L7" i="10"/>
  <c r="M7" i="10" s="1"/>
  <c r="H7" i="10"/>
  <c r="L8" i="10"/>
  <c r="M8" i="10" s="1"/>
  <c r="H8" i="10"/>
  <c r="L9" i="10"/>
  <c r="K9" i="10" s="1"/>
  <c r="H9" i="10"/>
  <c r="L6" i="10"/>
  <c r="M6" i="10" s="1"/>
  <c r="H6" i="10"/>
  <c r="L5" i="10"/>
  <c r="M5" i="10" s="1"/>
  <c r="H5" i="10"/>
  <c r="L3" i="10"/>
  <c r="M3" i="10" s="1"/>
  <c r="H3" i="10"/>
  <c r="L4" i="10"/>
  <c r="M4" i="10" s="1"/>
  <c r="K4" i="10"/>
  <c r="H4" i="10"/>
  <c r="G4" i="10"/>
  <c r="E4" i="10"/>
  <c r="L2" i="10"/>
  <c r="M2" i="10" s="1"/>
  <c r="H2" i="10"/>
  <c r="K172" i="4" l="1"/>
  <c r="K96" i="4"/>
  <c r="K123" i="4"/>
  <c r="K141" i="4"/>
  <c r="K157" i="4"/>
  <c r="K173" i="4"/>
  <c r="K125" i="4"/>
  <c r="K142" i="4"/>
  <c r="K158" i="4"/>
  <c r="K174" i="4"/>
  <c r="K140" i="4"/>
  <c r="K102" i="4"/>
  <c r="K126" i="4"/>
  <c r="K143" i="4"/>
  <c r="K163" i="4"/>
  <c r="K178" i="4"/>
  <c r="K100" i="4"/>
  <c r="K103" i="4"/>
  <c r="K127" i="4"/>
  <c r="K148" i="4"/>
  <c r="K164" i="4"/>
  <c r="K179" i="4"/>
  <c r="K95" i="4"/>
  <c r="K111" i="4"/>
  <c r="K104" i="4"/>
  <c r="K133" i="4"/>
  <c r="K149" i="4"/>
  <c r="K165" i="4"/>
  <c r="K180" i="4"/>
  <c r="K119" i="4"/>
  <c r="K112" i="4"/>
  <c r="K110" i="4"/>
  <c r="K134" i="4"/>
  <c r="K150" i="4"/>
  <c r="K166" i="4"/>
  <c r="K181" i="4"/>
  <c r="K156" i="4"/>
  <c r="K94" i="4"/>
  <c r="K117" i="4"/>
  <c r="K135" i="4"/>
  <c r="K154" i="4"/>
  <c r="K171" i="4"/>
  <c r="K182" i="4"/>
  <c r="L22" i="10"/>
  <c r="M22" i="10" s="1"/>
  <c r="M9" i="10"/>
  <c r="K114" i="4" l="1"/>
  <c r="K131" i="4"/>
  <c r="K108" i="4"/>
  <c r="K153" i="4"/>
  <c r="K183" i="4"/>
  <c r="K105" i="4"/>
  <c r="K159" i="4"/>
  <c r="K128" i="4"/>
  <c r="K137" i="4"/>
  <c r="K93" i="4"/>
  <c r="K145" i="4"/>
  <c r="K151" i="4"/>
  <c r="K147" i="4"/>
  <c r="K130" i="4"/>
  <c r="K132" i="4"/>
  <c r="K97" i="4"/>
  <c r="K168" i="4"/>
  <c r="K113" i="4"/>
  <c r="K122" i="4"/>
  <c r="K121" i="4"/>
  <c r="K176" i="4"/>
  <c r="K160" i="4"/>
  <c r="K138" i="4"/>
  <c r="K116" i="4"/>
  <c r="K124" i="4"/>
  <c r="K98" i="4"/>
  <c r="K136" i="4"/>
  <c r="K155" i="4"/>
  <c r="K120" i="4"/>
  <c r="K170" i="4"/>
  <c r="K177" i="4"/>
  <c r="K107" i="4"/>
  <c r="K109" i="4"/>
  <c r="K162" i="4"/>
  <c r="K129" i="4"/>
  <c r="K169" i="4"/>
  <c r="K99" i="4"/>
  <c r="K167" i="4"/>
  <c r="K139" i="4"/>
  <c r="K175" i="4"/>
  <c r="K152" i="4"/>
  <c r="K101" i="4"/>
  <c r="K146" i="4"/>
  <c r="K106" i="4"/>
  <c r="K161" i="4"/>
  <c r="K115" i="4"/>
  <c r="K144" i="4"/>
  <c r="H9" i="9"/>
  <c r="H62" i="9"/>
  <c r="H48" i="9"/>
  <c r="H26" i="9"/>
  <c r="H25" i="9"/>
  <c r="H23" i="9"/>
  <c r="H20" i="9"/>
  <c r="H81" i="9"/>
  <c r="H52" i="9"/>
  <c r="H51" i="9"/>
  <c r="H46" i="9"/>
  <c r="H45" i="9"/>
  <c r="H44" i="9"/>
  <c r="H43" i="9"/>
  <c r="H39" i="9"/>
  <c r="H38" i="9"/>
  <c r="H36" i="9"/>
  <c r="H33" i="9"/>
  <c r="H32" i="9"/>
  <c r="H24" i="9"/>
  <c r="H19" i="9"/>
  <c r="H18" i="9"/>
  <c r="H16" i="9"/>
  <c r="H13" i="9"/>
  <c r="H12" i="9"/>
  <c r="H11" i="9"/>
  <c r="H10" i="9"/>
  <c r="H8" i="9"/>
  <c r="H6" i="9"/>
  <c r="H4" i="9"/>
  <c r="C4" i="9" l="1"/>
  <c r="B4" i="9"/>
  <c r="C9" i="9"/>
  <c r="G9" i="9" s="1"/>
  <c r="B9" i="9"/>
  <c r="F9" i="9" s="1"/>
  <c r="E17" i="9"/>
  <c r="U13" i="8"/>
  <c r="C81" i="9"/>
  <c r="B81" i="9"/>
  <c r="C76" i="9"/>
  <c r="B76" i="9"/>
  <c r="C71" i="9"/>
  <c r="B71" i="9"/>
  <c r="C70" i="9"/>
  <c r="B70" i="9"/>
  <c r="C69" i="9"/>
  <c r="B69" i="9"/>
  <c r="C68" i="9"/>
  <c r="B68" i="9"/>
  <c r="C67" i="9"/>
  <c r="B67" i="9"/>
  <c r="C66" i="9"/>
  <c r="B66" i="9"/>
  <c r="C57" i="9"/>
  <c r="C59" i="9" s="1"/>
  <c r="C52" i="9"/>
  <c r="G52" i="9" s="1"/>
  <c r="B52" i="9"/>
  <c r="F52" i="9" s="1"/>
  <c r="C51" i="9"/>
  <c r="G51" i="9" s="1"/>
  <c r="B51" i="9"/>
  <c r="F51" i="9" s="1"/>
  <c r="C48" i="9"/>
  <c r="B48" i="9"/>
  <c r="C47" i="9"/>
  <c r="B47" i="9"/>
  <c r="C46" i="9"/>
  <c r="B46" i="9"/>
  <c r="C45" i="9"/>
  <c r="B45" i="9"/>
  <c r="C44" i="9"/>
  <c r="B44" i="9"/>
  <c r="C43" i="9"/>
  <c r="B43" i="9"/>
  <c r="C39" i="9"/>
  <c r="G39" i="9" s="1"/>
  <c r="B39" i="9"/>
  <c r="F39" i="9" s="1"/>
  <c r="C38" i="9"/>
  <c r="G38" i="9" s="1"/>
  <c r="B38" i="9"/>
  <c r="F38" i="9" s="1"/>
  <c r="C36" i="9"/>
  <c r="G36" i="9" s="1"/>
  <c r="B36" i="9"/>
  <c r="C33" i="9"/>
  <c r="B33" i="9"/>
  <c r="C32" i="9"/>
  <c r="G32" i="9" s="1"/>
  <c r="B32" i="9"/>
  <c r="F32" i="9" s="1"/>
  <c r="H17" i="9" l="1"/>
  <c r="C28" i="9"/>
  <c r="B28" i="9"/>
  <c r="C27" i="9"/>
  <c r="B27" i="9"/>
  <c r="C26" i="9"/>
  <c r="G26" i="9" s="1"/>
  <c r="B26" i="9"/>
  <c r="F26" i="9" s="1"/>
  <c r="C25" i="9"/>
  <c r="G25" i="9" s="1"/>
  <c r="B25" i="9"/>
  <c r="C24" i="9"/>
  <c r="G24" i="9" s="1"/>
  <c r="B24" i="9"/>
  <c r="F24" i="9" s="1"/>
  <c r="B23" i="9"/>
  <c r="C23" i="9"/>
  <c r="G23" i="9" s="1"/>
  <c r="C21" i="9"/>
  <c r="B21" i="9"/>
  <c r="C20" i="9"/>
  <c r="B20" i="9"/>
  <c r="F20" i="9" s="1"/>
  <c r="C19" i="9"/>
  <c r="G19" i="9" s="1"/>
  <c r="B19" i="9"/>
  <c r="F19" i="9" s="1"/>
  <c r="C18" i="9"/>
  <c r="G18" i="9" s="1"/>
  <c r="B18" i="9"/>
  <c r="F18" i="9" s="1"/>
  <c r="C17" i="9"/>
  <c r="G17" i="9" s="1"/>
  <c r="B17" i="9"/>
  <c r="F17" i="9" s="1"/>
  <c r="C16" i="9"/>
  <c r="G16" i="9" s="1"/>
  <c r="B16" i="9"/>
  <c r="F16" i="9" s="1"/>
  <c r="C13" i="9"/>
  <c r="G13" i="9" s="1"/>
  <c r="B13" i="9"/>
  <c r="F13" i="9" s="1"/>
  <c r="C12" i="9"/>
  <c r="G12" i="9" s="1"/>
  <c r="B12" i="9"/>
  <c r="F12" i="9" s="1"/>
  <c r="C11" i="9"/>
  <c r="G11" i="9" s="1"/>
  <c r="B11" i="9"/>
  <c r="F11" i="9" s="1"/>
  <c r="C10" i="9"/>
  <c r="G10" i="9" s="1"/>
  <c r="B10" i="9"/>
  <c r="F10" i="9" s="1"/>
  <c r="C8" i="9"/>
  <c r="G8" i="9" s="1"/>
  <c r="B8" i="9"/>
  <c r="F8" i="9" s="1"/>
  <c r="C7" i="9"/>
  <c r="C6" i="9"/>
  <c r="G6" i="9" s="1"/>
  <c r="B6" i="9"/>
  <c r="F6" i="9" s="1"/>
  <c r="C5" i="9"/>
  <c r="G4" i="9" s="1"/>
  <c r="B5" i="9"/>
  <c r="F4" i="9" s="1"/>
  <c r="R47" i="8"/>
  <c r="Q47" i="8"/>
  <c r="G81" i="9" s="1"/>
  <c r="P47" i="8"/>
  <c r="F81" i="9" s="1"/>
  <c r="R46" i="8"/>
  <c r="H76" i="9" s="1"/>
  <c r="Q46" i="8"/>
  <c r="G76" i="9" s="1"/>
  <c r="P46" i="8"/>
  <c r="F76" i="9" s="1"/>
  <c r="R45" i="8"/>
  <c r="H71" i="9" s="1"/>
  <c r="Q45" i="8"/>
  <c r="G71" i="9" s="1"/>
  <c r="P45" i="8"/>
  <c r="F71" i="9" s="1"/>
  <c r="R44" i="8"/>
  <c r="H70" i="9" s="1"/>
  <c r="Q44" i="8"/>
  <c r="G70" i="9" s="1"/>
  <c r="P44" i="8"/>
  <c r="F70" i="9" s="1"/>
  <c r="R43" i="8"/>
  <c r="H69" i="9" s="1"/>
  <c r="Q43" i="8"/>
  <c r="G69" i="9" s="1"/>
  <c r="P43" i="8"/>
  <c r="F69" i="9" s="1"/>
  <c r="R42" i="8"/>
  <c r="H68" i="9" s="1"/>
  <c r="Q42" i="8"/>
  <c r="G68" i="9" s="1"/>
  <c r="P42" i="8"/>
  <c r="F68" i="9" s="1"/>
  <c r="R41" i="8"/>
  <c r="H67" i="9" s="1"/>
  <c r="Q41" i="8"/>
  <c r="G67" i="9" s="1"/>
  <c r="P41" i="8"/>
  <c r="F67" i="9" s="1"/>
  <c r="R40" i="8"/>
  <c r="H66" i="9" s="1"/>
  <c r="Q40" i="8"/>
  <c r="G66" i="9" s="1"/>
  <c r="P40" i="8"/>
  <c r="F66" i="9" s="1"/>
  <c r="R39" i="8"/>
  <c r="Q39" i="8"/>
  <c r="P39" i="8"/>
  <c r="R38" i="8"/>
  <c r="Q38" i="8"/>
  <c r="P38" i="8"/>
  <c r="R37" i="8"/>
  <c r="Q37" i="8"/>
  <c r="P37" i="8"/>
  <c r="R36" i="8"/>
  <c r="Q36" i="8"/>
  <c r="P36" i="8"/>
  <c r="R35" i="8"/>
  <c r="Q35" i="8"/>
  <c r="G48" i="9" s="1"/>
  <c r="P35" i="8"/>
  <c r="F48" i="9" s="1"/>
  <c r="R34" i="8"/>
  <c r="H47" i="9" s="1"/>
  <c r="Q34" i="8"/>
  <c r="G47" i="9" s="1"/>
  <c r="P34" i="8"/>
  <c r="F47" i="9" s="1"/>
  <c r="R33" i="8"/>
  <c r="Q33" i="8"/>
  <c r="G46" i="9" s="1"/>
  <c r="P33" i="8"/>
  <c r="F46" i="9" s="1"/>
  <c r="R32" i="8"/>
  <c r="Q32" i="8"/>
  <c r="G45" i="9" s="1"/>
  <c r="P32" i="8"/>
  <c r="F45" i="9" s="1"/>
  <c r="R31" i="8"/>
  <c r="Q31" i="8"/>
  <c r="G44" i="9" s="1"/>
  <c r="P31" i="8"/>
  <c r="F44" i="9" s="1"/>
  <c r="R30" i="8"/>
  <c r="Q30" i="8"/>
  <c r="G43" i="9" s="1"/>
  <c r="P30" i="8"/>
  <c r="F43" i="9" s="1"/>
  <c r="R29" i="8"/>
  <c r="Q29" i="8"/>
  <c r="P29" i="8"/>
  <c r="F36" i="9" s="1"/>
  <c r="R28" i="8"/>
  <c r="Q28" i="8"/>
  <c r="P28" i="8"/>
  <c r="R27" i="8"/>
  <c r="Q27" i="8"/>
  <c r="P27" i="8"/>
  <c r="R26" i="8"/>
  <c r="Q26" i="8"/>
  <c r="G33" i="9" s="1"/>
  <c r="P26" i="8"/>
  <c r="F33" i="9" s="1"/>
  <c r="R25" i="8"/>
  <c r="Q25" i="8"/>
  <c r="P25" i="8"/>
  <c r="R24" i="8"/>
  <c r="Q24" i="8"/>
  <c r="P24" i="8"/>
  <c r="R23" i="8"/>
  <c r="Q23" i="8"/>
  <c r="P23" i="8"/>
  <c r="R22" i="8"/>
  <c r="Q22" i="8"/>
  <c r="P22" i="8"/>
  <c r="R21" i="8"/>
  <c r="Q21" i="8"/>
  <c r="P21" i="8"/>
  <c r="R20" i="8"/>
  <c r="Q20" i="8"/>
  <c r="P20" i="8"/>
  <c r="F25" i="9" s="1"/>
  <c r="R18" i="8"/>
  <c r="Q18" i="8"/>
  <c r="P18" i="8"/>
  <c r="F23" i="9" s="1"/>
  <c r="P17" i="8"/>
  <c r="R17" i="8"/>
  <c r="Q17" i="8"/>
  <c r="G20" i="9" l="1"/>
  <c r="E21" i="9"/>
  <c r="H21" i="9" s="1"/>
  <c r="R16" i="8"/>
  <c r="Q16" i="8"/>
  <c r="P16" i="8"/>
  <c r="R12" i="8"/>
  <c r="R9" i="8"/>
  <c r="R14" i="8"/>
  <c r="R19" i="8"/>
  <c r="Q19" i="8"/>
  <c r="P19" i="8"/>
  <c r="R15" i="8"/>
  <c r="Q15" i="8"/>
  <c r="P15" i="8"/>
  <c r="Q14" i="8"/>
  <c r="P14" i="8"/>
  <c r="R13" i="8"/>
  <c r="Q13" i="8"/>
  <c r="P13" i="8"/>
  <c r="Q12" i="8"/>
  <c r="P12" i="8"/>
  <c r="Q9" i="8"/>
  <c r="P9" i="8"/>
  <c r="R11" i="8"/>
  <c r="Q11" i="8"/>
  <c r="P11" i="8"/>
  <c r="R10" i="8"/>
  <c r="Q10" i="8"/>
  <c r="P10" i="8"/>
  <c r="P8" i="8"/>
  <c r="R8" i="8"/>
  <c r="Q8" i="8"/>
  <c r="R7" i="8"/>
  <c r="Q7" i="8"/>
  <c r="P7" i="8"/>
  <c r="R5" i="8"/>
  <c r="Q5" i="8"/>
  <c r="P5" i="8"/>
  <c r="R4" i="8"/>
  <c r="Q4" i="8"/>
  <c r="P4" i="8"/>
  <c r="G21" i="9" l="1"/>
  <c r="F21" i="9"/>
  <c r="O47" i="8"/>
  <c r="N47" i="8"/>
  <c r="O46" i="8"/>
  <c r="N46" i="8"/>
  <c r="O45" i="8"/>
  <c r="N45" i="8"/>
  <c r="O44" i="8"/>
  <c r="N44" i="8"/>
  <c r="O43" i="8"/>
  <c r="N43" i="8"/>
  <c r="O42" i="8"/>
  <c r="N42" i="8"/>
  <c r="O41" i="8"/>
  <c r="N41" i="8"/>
  <c r="O40" i="8"/>
  <c r="N40" i="8"/>
  <c r="I47" i="8"/>
  <c r="I46" i="8"/>
  <c r="I45" i="8"/>
  <c r="I44" i="8"/>
  <c r="I43" i="8"/>
  <c r="I42" i="8"/>
  <c r="I41" i="8"/>
  <c r="I40" i="8"/>
  <c r="O38" i="8"/>
  <c r="N38" i="8"/>
  <c r="O37" i="8"/>
  <c r="N37" i="8"/>
  <c r="I39" i="8"/>
  <c r="I38" i="8"/>
  <c r="I37" i="8"/>
  <c r="I35" i="8"/>
  <c r="I34" i="8"/>
  <c r="O36" i="8"/>
  <c r="N36" i="8"/>
  <c r="O35" i="8"/>
  <c r="N35" i="8"/>
  <c r="I36" i="8"/>
  <c r="O34" i="8"/>
  <c r="N34" i="8"/>
  <c r="O33" i="8"/>
  <c r="N33" i="8"/>
  <c r="I33" i="8"/>
  <c r="I32" i="8"/>
  <c r="I31" i="8"/>
  <c r="O9" i="8"/>
  <c r="N9" i="8"/>
  <c r="I9" i="8"/>
  <c r="O32" i="8"/>
  <c r="N32" i="8"/>
  <c r="O31" i="8"/>
  <c r="N31" i="8"/>
  <c r="O30" i="8"/>
  <c r="N30" i="8"/>
  <c r="I30" i="8"/>
  <c r="O27" i="8"/>
  <c r="N27" i="8"/>
  <c r="I27" i="8"/>
  <c r="N26" i="8"/>
  <c r="N25" i="8"/>
  <c r="O26" i="8"/>
  <c r="I26" i="8"/>
  <c r="O25" i="8"/>
  <c r="I25" i="8"/>
  <c r="O19" i="8"/>
  <c r="N19" i="8"/>
  <c r="I19" i="8"/>
  <c r="O16" i="8"/>
  <c r="N16" i="8"/>
  <c r="I16" i="8"/>
  <c r="O14" i="8"/>
  <c r="N14" i="8"/>
  <c r="I14" i="8"/>
  <c r="O12" i="8"/>
  <c r="N12" i="8"/>
  <c r="I12" i="8"/>
  <c r="O8" i="8"/>
  <c r="N8" i="8"/>
  <c r="I8" i="8"/>
  <c r="I6" i="8"/>
  <c r="O5" i="8"/>
  <c r="N5" i="8"/>
  <c r="I5" i="8"/>
  <c r="O39" i="8"/>
  <c r="N39" i="8"/>
  <c r="O29" i="8"/>
  <c r="N29" i="8"/>
  <c r="O28" i="8"/>
  <c r="N28" i="8"/>
  <c r="I29" i="8"/>
  <c r="I28" i="8"/>
  <c r="O24" i="8"/>
  <c r="N24" i="8"/>
  <c r="O23" i="8"/>
  <c r="N23" i="8"/>
  <c r="O22" i="8"/>
  <c r="N22" i="8"/>
  <c r="I24" i="8"/>
  <c r="I23" i="8"/>
  <c r="I22" i="8"/>
  <c r="O21" i="8"/>
  <c r="N21" i="8"/>
  <c r="I21" i="8"/>
  <c r="O20" i="8"/>
  <c r="N20" i="8"/>
  <c r="I20" i="8"/>
  <c r="I18" i="8"/>
  <c r="I17" i="8"/>
  <c r="O18" i="8"/>
  <c r="O17" i="8"/>
  <c r="N18" i="8"/>
  <c r="N17" i="8"/>
  <c r="O15" i="8"/>
  <c r="N15" i="8"/>
  <c r="I15" i="8"/>
  <c r="O13" i="8"/>
  <c r="N13" i="8"/>
  <c r="I13" i="8"/>
  <c r="O11" i="8"/>
  <c r="N11" i="8"/>
  <c r="I11" i="8"/>
  <c r="O10" i="8"/>
  <c r="N10" i="8"/>
  <c r="I10" i="8"/>
  <c r="O7" i="8"/>
  <c r="N7" i="8"/>
  <c r="I7" i="8"/>
  <c r="O4" i="8"/>
  <c r="N4" i="8"/>
  <c r="I4" i="8"/>
  <c r="L5" i="8"/>
  <c r="H5" i="8"/>
  <c r="F5" i="8"/>
  <c r="M44" i="8"/>
  <c r="S44" i="8" s="1"/>
  <c r="M41" i="8"/>
  <c r="S41" i="8" s="1"/>
  <c r="M40" i="8"/>
  <c r="S40" i="8" s="1"/>
  <c r="M37" i="8"/>
  <c r="S37" i="8" s="1"/>
  <c r="M47" i="8"/>
  <c r="S47" i="8" s="1"/>
  <c r="M39" i="8"/>
  <c r="S39" i="8" s="1"/>
  <c r="M36" i="8"/>
  <c r="S36" i="8" s="1"/>
  <c r="M33" i="8"/>
  <c r="S33" i="8" s="1"/>
  <c r="M32" i="8"/>
  <c r="S32" i="8" s="1"/>
  <c r="M31" i="8"/>
  <c r="S31" i="8" s="1"/>
  <c r="M30" i="8"/>
  <c r="S30" i="8" s="1"/>
  <c r="M29" i="8"/>
  <c r="S29" i="8" s="1"/>
  <c r="M28" i="8"/>
  <c r="S28" i="8" s="1"/>
  <c r="M27" i="8"/>
  <c r="S27" i="8" s="1"/>
  <c r="M26" i="8"/>
  <c r="S26" i="8" s="1"/>
  <c r="M25" i="8"/>
  <c r="S25" i="8" s="1"/>
  <c r="M24" i="8"/>
  <c r="S24" i="8" s="1"/>
  <c r="M23" i="8"/>
  <c r="S23" i="8" s="1"/>
  <c r="M22" i="8"/>
  <c r="M20" i="8"/>
  <c r="S20" i="8" s="1"/>
  <c r="M19" i="8"/>
  <c r="S19" i="8" s="1"/>
  <c r="M18" i="8"/>
  <c r="S18" i="8" s="1"/>
  <c r="M17" i="8"/>
  <c r="S17" i="8" s="1"/>
  <c r="M16" i="8"/>
  <c r="S16" i="8" s="1"/>
  <c r="M15" i="8"/>
  <c r="S15" i="8" s="1"/>
  <c r="M14" i="8"/>
  <c r="S14" i="8" s="1"/>
  <c r="S22" i="8" l="1"/>
  <c r="M21" i="8"/>
  <c r="S21" i="8" s="1"/>
  <c r="M13" i="8"/>
  <c r="S13" i="8" s="1"/>
  <c r="M12" i="8"/>
  <c r="S12" i="8" s="1"/>
  <c r="M11" i="8"/>
  <c r="S11" i="8" s="1"/>
  <c r="M10" i="8"/>
  <c r="S10" i="8" s="1"/>
  <c r="M9" i="8"/>
  <c r="M8" i="8"/>
  <c r="S8" i="8" s="1"/>
  <c r="M7" i="8"/>
  <c r="S7" i="8" s="1"/>
  <c r="M6" i="8"/>
  <c r="S6" i="8" s="1"/>
  <c r="M5" i="8"/>
  <c r="S5" i="8" s="1"/>
  <c r="M4" i="8"/>
  <c r="S4" i="8" s="1"/>
  <c r="S9" i="8" l="1"/>
  <c r="L9" i="8"/>
  <c r="F456" i="4"/>
  <c r="D456" i="4"/>
  <c r="E456" i="4" s="1"/>
  <c r="F455" i="4"/>
  <c r="D455" i="4"/>
  <c r="E455" i="4" s="1"/>
  <c r="F451" i="4"/>
  <c r="D451" i="4"/>
  <c r="E451" i="4" s="1"/>
  <c r="F450" i="4"/>
  <c r="D450" i="4"/>
  <c r="E450" i="4" s="1"/>
  <c r="F452" i="4"/>
  <c r="D452" i="4"/>
  <c r="E452" i="4" s="1"/>
  <c r="F449" i="4"/>
  <c r="D449" i="4"/>
  <c r="E449" i="4" s="1"/>
  <c r="F448" i="4"/>
  <c r="F447" i="4"/>
  <c r="F443" i="4"/>
  <c r="F442" i="4"/>
  <c r="F444" i="4"/>
  <c r="F441" i="4"/>
  <c r="D448" i="4"/>
  <c r="E448" i="4" s="1"/>
  <c r="D447" i="4"/>
  <c r="E447" i="4" s="1"/>
  <c r="D443" i="4"/>
  <c r="E443" i="4" s="1"/>
  <c r="D442" i="4"/>
  <c r="E442" i="4" s="1"/>
  <c r="D444" i="4"/>
  <c r="E444" i="4" s="1"/>
  <c r="D441" i="4"/>
  <c r="E441" i="4" s="1"/>
  <c r="F440" i="4"/>
  <c r="F439" i="4"/>
  <c r="F435" i="4"/>
  <c r="F434" i="4"/>
  <c r="F436" i="4"/>
  <c r="F433" i="4"/>
  <c r="D440" i="4"/>
  <c r="E440" i="4" s="1"/>
  <c r="D439" i="4"/>
  <c r="E439" i="4" s="1"/>
  <c r="D435" i="4"/>
  <c r="E435" i="4" s="1"/>
  <c r="D434" i="4"/>
  <c r="E434" i="4" s="1"/>
  <c r="D436" i="4"/>
  <c r="E436" i="4" s="1"/>
  <c r="D433" i="4"/>
  <c r="E433" i="4" s="1"/>
  <c r="F432" i="4"/>
  <c r="D432" i="4"/>
  <c r="E432" i="4" s="1"/>
  <c r="F431" i="4"/>
  <c r="D431" i="4"/>
  <c r="E431" i="4" s="1"/>
  <c r="F427" i="4"/>
  <c r="D427" i="4"/>
  <c r="E427" i="4" s="1"/>
  <c r="K429" i="4"/>
  <c r="F426" i="4"/>
  <c r="D426" i="4"/>
  <c r="E426" i="4" s="1"/>
  <c r="F428" i="4"/>
  <c r="D428" i="4"/>
  <c r="E428" i="4" s="1"/>
  <c r="F425" i="4"/>
  <c r="D425" i="4"/>
  <c r="E425" i="4" s="1"/>
  <c r="F424" i="4"/>
  <c r="D424" i="4"/>
  <c r="E424" i="4" s="1"/>
  <c r="F423" i="4"/>
  <c r="D423" i="4"/>
  <c r="E423" i="4" s="1"/>
  <c r="F419" i="4"/>
  <c r="D419" i="4"/>
  <c r="E419" i="4" s="1"/>
  <c r="K421" i="4"/>
  <c r="F418" i="4"/>
  <c r="D418" i="4"/>
  <c r="E418" i="4" s="1"/>
  <c r="F420" i="4"/>
  <c r="D420" i="4"/>
  <c r="E420" i="4" s="1"/>
  <c r="F417" i="4"/>
  <c r="D417" i="4"/>
  <c r="E417" i="4" s="1"/>
  <c r="F416" i="4"/>
  <c r="D416" i="4"/>
  <c r="E416" i="4" s="1"/>
  <c r="F415" i="4"/>
  <c r="D415" i="4"/>
  <c r="E415" i="4" s="1"/>
  <c r="F414" i="4"/>
  <c r="D414" i="4"/>
  <c r="E414" i="4" s="1"/>
  <c r="K413" i="4"/>
  <c r="F410" i="4"/>
  <c r="D410" i="4"/>
  <c r="E410" i="4" s="1"/>
  <c r="F409" i="4"/>
  <c r="D409" i="4"/>
  <c r="E409" i="4" s="1"/>
  <c r="F411" i="4"/>
  <c r="D411" i="4"/>
  <c r="E411" i="4" s="1"/>
  <c r="K408" i="4"/>
  <c r="F407" i="4"/>
  <c r="D407" i="4"/>
  <c r="E407" i="4" s="1"/>
  <c r="F406" i="4"/>
  <c r="F405" i="4"/>
  <c r="F401" i="4"/>
  <c r="F400" i="4"/>
  <c r="F402" i="4"/>
  <c r="F398" i="4"/>
  <c r="D406" i="4"/>
  <c r="E406" i="4" s="1"/>
  <c r="D405" i="4"/>
  <c r="E405" i="4" s="1"/>
  <c r="D401" i="4"/>
  <c r="E401" i="4" s="1"/>
  <c r="D400" i="4"/>
  <c r="E400" i="4" s="1"/>
  <c r="D402" i="4"/>
  <c r="E402" i="4" s="1"/>
  <c r="D398" i="4"/>
  <c r="E398" i="4" s="1"/>
  <c r="F397" i="4"/>
  <c r="F396" i="4"/>
  <c r="F392" i="4"/>
  <c r="F391" i="4"/>
  <c r="F393" i="4"/>
  <c r="F390" i="4"/>
  <c r="D397" i="4"/>
  <c r="E397" i="4" s="1"/>
  <c r="D396" i="4"/>
  <c r="E396" i="4" s="1"/>
  <c r="D392" i="4"/>
  <c r="E392" i="4" s="1"/>
  <c r="D391" i="4"/>
  <c r="E391" i="4" s="1"/>
  <c r="D393" i="4"/>
  <c r="E393" i="4" s="1"/>
  <c r="D390" i="4"/>
  <c r="E390" i="4" s="1"/>
  <c r="F389" i="4"/>
  <c r="K387" i="4"/>
  <c r="F384" i="4"/>
  <c r="K386" i="4"/>
  <c r="F383" i="4"/>
  <c r="F385" i="4"/>
  <c r="F381" i="4"/>
  <c r="D389" i="4"/>
  <c r="E389" i="4" s="1"/>
  <c r="D384" i="4"/>
  <c r="E384" i="4" s="1"/>
  <c r="D383" i="4"/>
  <c r="E383" i="4" s="1"/>
  <c r="D385" i="4"/>
  <c r="E385" i="4" s="1"/>
  <c r="D381" i="4"/>
  <c r="E381" i="4" s="1"/>
  <c r="F380" i="4"/>
  <c r="F379" i="4"/>
  <c r="K378" i="4"/>
  <c r="F375" i="4"/>
  <c r="F374" i="4"/>
  <c r="F376" i="4"/>
  <c r="F372" i="4"/>
  <c r="D380" i="4"/>
  <c r="E380" i="4" s="1"/>
  <c r="D379" i="4"/>
  <c r="E379" i="4" s="1"/>
  <c r="D375" i="4"/>
  <c r="E375" i="4" s="1"/>
  <c r="D374" i="4"/>
  <c r="E374" i="4" s="1"/>
  <c r="D376" i="4"/>
  <c r="E376" i="4" s="1"/>
  <c r="D372" i="4"/>
  <c r="E372" i="4" s="1"/>
  <c r="AE24" i="1"/>
  <c r="AE23" i="1"/>
  <c r="AE22" i="1"/>
  <c r="O47" i="1"/>
  <c r="O46" i="1"/>
  <c r="O45" i="1"/>
  <c r="O44" i="1"/>
  <c r="O43" i="1"/>
  <c r="O40" i="1"/>
  <c r="O39" i="1"/>
  <c r="K47" i="1"/>
  <c r="K46" i="1"/>
  <c r="K45" i="1"/>
  <c r="K44" i="1"/>
  <c r="K40" i="1"/>
  <c r="K39" i="1"/>
  <c r="G47" i="1"/>
  <c r="G46" i="1"/>
  <c r="G45" i="1"/>
  <c r="G44" i="1"/>
  <c r="G40" i="1"/>
  <c r="G39" i="1"/>
  <c r="K35" i="1"/>
  <c r="K34" i="1"/>
  <c r="K33" i="1"/>
  <c r="K32" i="1"/>
  <c r="G35" i="1"/>
  <c r="G34" i="1"/>
  <c r="G33" i="1"/>
  <c r="G32" i="1"/>
  <c r="K31" i="1"/>
  <c r="G31" i="1"/>
  <c r="K29" i="1"/>
  <c r="K28" i="1"/>
  <c r="G29" i="1"/>
  <c r="G28" i="1"/>
  <c r="AA25" i="1"/>
  <c r="AA24" i="1"/>
  <c r="AA23" i="1"/>
  <c r="AA22" i="1"/>
  <c r="AA18" i="1"/>
  <c r="AA17" i="1"/>
  <c r="W25" i="1"/>
  <c r="W24" i="1"/>
  <c r="W23" i="1"/>
  <c r="W22" i="1"/>
  <c r="W18" i="1"/>
  <c r="W17" i="1"/>
  <c r="S25" i="1"/>
  <c r="S24" i="1"/>
  <c r="S23" i="1"/>
  <c r="S22" i="1"/>
  <c r="S18" i="1"/>
  <c r="S17" i="1"/>
  <c r="O25" i="1"/>
  <c r="O24" i="1"/>
  <c r="O23" i="1"/>
  <c r="O22" i="1"/>
  <c r="O21" i="1"/>
  <c r="O18" i="1"/>
  <c r="O17" i="1"/>
  <c r="K18" i="1"/>
  <c r="K17" i="1"/>
  <c r="K25" i="1"/>
  <c r="K24" i="1"/>
  <c r="K23" i="1"/>
  <c r="K22" i="1"/>
  <c r="G25" i="1"/>
  <c r="G24" i="1"/>
  <c r="G23" i="1"/>
  <c r="G22" i="1"/>
  <c r="G18" i="1"/>
  <c r="G17" i="1"/>
  <c r="AE9" i="1"/>
  <c r="AE6" i="1"/>
  <c r="AE5" i="1"/>
  <c r="AA9" i="1"/>
  <c r="AA6" i="1"/>
  <c r="AA5" i="1"/>
  <c r="W9" i="1"/>
  <c r="W6" i="1"/>
  <c r="W5" i="1"/>
  <c r="S13" i="1"/>
  <c r="S12" i="1"/>
  <c r="S11" i="1"/>
  <c r="S10" i="1"/>
  <c r="S6" i="1"/>
  <c r="S5" i="1"/>
  <c r="O13" i="1"/>
  <c r="O12" i="1"/>
  <c r="O11" i="1"/>
  <c r="O10" i="1"/>
  <c r="O6" i="1"/>
  <c r="O5" i="1"/>
  <c r="K13" i="1"/>
  <c r="K12" i="1"/>
  <c r="K11" i="1"/>
  <c r="K10" i="1"/>
  <c r="K6" i="1"/>
  <c r="K5" i="1"/>
  <c r="G13" i="1"/>
  <c r="G12" i="1"/>
  <c r="G11" i="1"/>
  <c r="G10" i="1"/>
  <c r="G6" i="1"/>
  <c r="G5" i="1"/>
  <c r="C25" i="1"/>
  <c r="C24" i="1"/>
  <c r="C23" i="1"/>
  <c r="C22" i="1"/>
  <c r="C21" i="1"/>
  <c r="C20" i="1"/>
  <c r="C19" i="1"/>
  <c r="C18" i="1"/>
  <c r="C17" i="1"/>
  <c r="Q7" i="1"/>
  <c r="G8" i="1"/>
  <c r="I439" i="4" l="1"/>
  <c r="J439" i="4" s="1"/>
  <c r="I415" i="4"/>
  <c r="J415" i="4" s="1"/>
  <c r="I418" i="4"/>
  <c r="J418" i="4" s="1"/>
  <c r="I452" i="4"/>
  <c r="I383" i="4"/>
  <c r="I427" i="4"/>
  <c r="J427" i="4" s="1"/>
  <c r="K427" i="4" s="1"/>
  <c r="I372" i="4"/>
  <c r="J372" i="4" s="1"/>
  <c r="I401" i="4"/>
  <c r="J401" i="4" s="1"/>
  <c r="I440" i="4"/>
  <c r="J440" i="4" s="1"/>
  <c r="I444" i="4"/>
  <c r="J444" i="4" s="1"/>
  <c r="I384" i="4"/>
  <c r="J384" i="4" s="1"/>
  <c r="I380" i="4"/>
  <c r="J380" i="4" s="1"/>
  <c r="I416" i="4"/>
  <c r="I431" i="4"/>
  <c r="J431" i="4" s="1"/>
  <c r="I375" i="4"/>
  <c r="J375" i="4" s="1"/>
  <c r="I391" i="4"/>
  <c r="J391" i="4" s="1"/>
  <c r="I410" i="4"/>
  <c r="J410" i="4" s="1"/>
  <c r="I419" i="4"/>
  <c r="J419" i="4" s="1"/>
  <c r="K419" i="4" s="1"/>
  <c r="I428" i="4"/>
  <c r="J428" i="4" s="1"/>
  <c r="I433" i="4"/>
  <c r="J433" i="4" s="1"/>
  <c r="I447" i="4"/>
  <c r="I414" i="4"/>
  <c r="J414" i="4" s="1"/>
  <c r="I420" i="4"/>
  <c r="J420" i="4" s="1"/>
  <c r="I449" i="4"/>
  <c r="J449" i="4" s="1"/>
  <c r="I455" i="4"/>
  <c r="J455" i="4" s="1"/>
  <c r="I400" i="4"/>
  <c r="J400" i="4" s="1"/>
  <c r="I381" i="4"/>
  <c r="J381" i="4" s="1"/>
  <c r="I392" i="4"/>
  <c r="J392" i="4" s="1"/>
  <c r="G407" i="4"/>
  <c r="I407" i="4"/>
  <c r="J407" i="4" s="1"/>
  <c r="G417" i="4"/>
  <c r="I417" i="4"/>
  <c r="J417" i="4" s="1"/>
  <c r="G432" i="4"/>
  <c r="I432" i="4"/>
  <c r="J432" i="4" s="1"/>
  <c r="G436" i="4"/>
  <c r="I436" i="4"/>
  <c r="J436" i="4" s="1"/>
  <c r="G448" i="4"/>
  <c r="I448" i="4"/>
  <c r="J448" i="4" s="1"/>
  <c r="I451" i="4"/>
  <c r="J451" i="4" s="1"/>
  <c r="G379" i="4"/>
  <c r="I379" i="4"/>
  <c r="J379" i="4" s="1"/>
  <c r="G385" i="4"/>
  <c r="I385" i="4"/>
  <c r="J385" i="4" s="1"/>
  <c r="G396" i="4"/>
  <c r="I396" i="4"/>
  <c r="G398" i="4"/>
  <c r="I398" i="4"/>
  <c r="J398" i="4" s="1"/>
  <c r="G423" i="4"/>
  <c r="I423" i="4"/>
  <c r="J423" i="4" s="1"/>
  <c r="G426" i="4"/>
  <c r="I426" i="4"/>
  <c r="J426" i="4" s="1"/>
  <c r="G434" i="4"/>
  <c r="I434" i="4"/>
  <c r="J434" i="4" s="1"/>
  <c r="G397" i="4"/>
  <c r="I397" i="4"/>
  <c r="J397" i="4" s="1"/>
  <c r="G402" i="4"/>
  <c r="I402" i="4"/>
  <c r="J402" i="4" s="1"/>
  <c r="G435" i="4"/>
  <c r="I435" i="4"/>
  <c r="J435" i="4" s="1"/>
  <c r="G411" i="4"/>
  <c r="I411" i="4"/>
  <c r="J411" i="4" s="1"/>
  <c r="K411" i="4" s="1"/>
  <c r="G424" i="4"/>
  <c r="I424" i="4"/>
  <c r="J424" i="4" s="1"/>
  <c r="K424" i="4" s="1"/>
  <c r="G441" i="4"/>
  <c r="I441" i="4"/>
  <c r="J441" i="4" s="1"/>
  <c r="I456" i="4"/>
  <c r="J456" i="4" s="1"/>
  <c r="G376" i="4"/>
  <c r="I376" i="4"/>
  <c r="J376" i="4" s="1"/>
  <c r="G390" i="4"/>
  <c r="I390" i="4"/>
  <c r="J390" i="4" s="1"/>
  <c r="G405" i="4"/>
  <c r="I405" i="4"/>
  <c r="J405" i="4" s="1"/>
  <c r="G409" i="4"/>
  <c r="I409" i="4"/>
  <c r="J409" i="4" s="1"/>
  <c r="G425" i="4"/>
  <c r="I425" i="4"/>
  <c r="J425" i="4" s="1"/>
  <c r="G442" i="4"/>
  <c r="I442" i="4"/>
  <c r="J442" i="4" s="1"/>
  <c r="G374" i="4"/>
  <c r="I374" i="4"/>
  <c r="J374" i="4" s="1"/>
  <c r="G389" i="4"/>
  <c r="I389" i="4"/>
  <c r="J389" i="4" s="1"/>
  <c r="G393" i="4"/>
  <c r="I393" i="4"/>
  <c r="J393" i="4" s="1"/>
  <c r="G406" i="4"/>
  <c r="I406" i="4"/>
  <c r="J406" i="4" s="1"/>
  <c r="G443" i="4"/>
  <c r="I443" i="4"/>
  <c r="J443" i="4" s="1"/>
  <c r="I450" i="4"/>
  <c r="J450" i="4" s="1"/>
  <c r="J416" i="4"/>
  <c r="K416" i="4" s="1"/>
  <c r="G416" i="4"/>
  <c r="G375" i="4"/>
  <c r="G391" i="4"/>
  <c r="G410" i="4"/>
  <c r="G419" i="4"/>
  <c r="G428" i="4"/>
  <c r="G433" i="4"/>
  <c r="J447" i="4"/>
  <c r="G447" i="4"/>
  <c r="G431" i="4"/>
  <c r="G450" i="4"/>
  <c r="G381" i="4"/>
  <c r="G392" i="4"/>
  <c r="G451" i="4"/>
  <c r="G380" i="4"/>
  <c r="J383" i="4"/>
  <c r="G383" i="4"/>
  <c r="G414" i="4"/>
  <c r="G420" i="4"/>
  <c r="G449" i="4"/>
  <c r="G455" i="4"/>
  <c r="G400" i="4"/>
  <c r="G439" i="4"/>
  <c r="G372" i="4"/>
  <c r="G384" i="4"/>
  <c r="G401" i="4"/>
  <c r="G415" i="4"/>
  <c r="G418" i="4"/>
  <c r="G427" i="4"/>
  <c r="G440" i="4"/>
  <c r="G444" i="4"/>
  <c r="J452" i="4"/>
  <c r="G452" i="4"/>
  <c r="G456" i="4"/>
  <c r="J396" i="4"/>
  <c r="K396" i="4" l="1"/>
  <c r="K400" i="4"/>
  <c r="K435" i="4"/>
  <c r="K437" i="4"/>
  <c r="K398" i="4"/>
  <c r="K389" i="4"/>
  <c r="K426" i="4"/>
  <c r="K451" i="4"/>
  <c r="K403" i="4"/>
  <c r="K388" i="4"/>
  <c r="K392" i="4"/>
  <c r="K399" i="4"/>
  <c r="K430" i="4"/>
  <c r="K393" i="4"/>
  <c r="K376" i="4"/>
  <c r="K423" i="4"/>
  <c r="K449" i="4"/>
  <c r="K410" i="4"/>
  <c r="K444" i="4"/>
  <c r="K373" i="4"/>
  <c r="K384" i="4"/>
  <c r="K391" i="4"/>
  <c r="K428" i="4"/>
  <c r="K385" i="4"/>
  <c r="K372" i="4"/>
  <c r="K418" i="4"/>
  <c r="K405" i="4"/>
  <c r="K417" i="4"/>
  <c r="K436" i="4"/>
  <c r="K448" i="4"/>
  <c r="K379" i="4"/>
  <c r="K383" i="4"/>
  <c r="K422" i="4"/>
  <c r="K377" i="4"/>
  <c r="K381" i="4"/>
  <c r="K415" i="4"/>
  <c r="K397" i="4"/>
  <c r="K440" i="4"/>
  <c r="K446" i="4"/>
  <c r="K375" i="4"/>
  <c r="K420" i="4"/>
  <c r="K434" i="4"/>
  <c r="K402" i="4"/>
  <c r="K412" i="4"/>
  <c r="K425" i="4"/>
  <c r="K441" i="4"/>
  <c r="K395" i="4"/>
  <c r="K438" i="4"/>
  <c r="K454" i="4"/>
  <c r="K414" i="4"/>
  <c r="K374" i="4"/>
  <c r="K455" i="4"/>
  <c r="K407" i="4"/>
  <c r="K456" i="4"/>
  <c r="K433" i="4"/>
  <c r="K447" i="4"/>
  <c r="K394" i="4"/>
  <c r="K452" i="4"/>
  <c r="K409" i="4"/>
  <c r="K390" i="4"/>
  <c r="K450" i="4"/>
  <c r="K442" i="4"/>
  <c r="K453" i="4"/>
  <c r="K432" i="4"/>
  <c r="K401" i="4"/>
  <c r="K439" i="4"/>
  <c r="K443" i="4"/>
  <c r="K445" i="4"/>
  <c r="K406" i="4"/>
  <c r="K382" i="4"/>
  <c r="K431" i="4"/>
  <c r="K380" i="4"/>
  <c r="K404" i="4"/>
  <c r="G42" i="1"/>
  <c r="K42" i="1"/>
  <c r="G20" i="1"/>
  <c r="K20" i="1"/>
  <c r="S20" i="1"/>
  <c r="W20" i="1"/>
  <c r="AA20" i="1"/>
  <c r="S8" i="1"/>
  <c r="O8" i="1"/>
  <c r="K8" i="1"/>
  <c r="M19" i="1"/>
  <c r="J19" i="1"/>
  <c r="I19" i="1"/>
  <c r="F19" i="1"/>
  <c r="E19" i="1"/>
  <c r="BA21" i="3" l="1"/>
  <c r="R19" i="1" l="1"/>
  <c r="K19" i="1"/>
  <c r="G19" i="1"/>
  <c r="AZ5" i="3" l="1"/>
  <c r="BA5" i="3" l="1"/>
  <c r="BA6" i="3"/>
  <c r="BA7" i="3"/>
  <c r="BA9" i="3"/>
  <c r="BA11" i="3"/>
  <c r="BA12" i="3"/>
  <c r="BA14" i="3"/>
  <c r="BA15" i="3"/>
  <c r="BA16" i="3"/>
  <c r="BA19" i="3"/>
  <c r="BA20" i="3"/>
  <c r="BA22" i="3"/>
  <c r="BA24" i="3"/>
  <c r="BA25" i="3"/>
  <c r="BA27" i="3"/>
  <c r="BA28" i="3"/>
  <c r="BA131" i="3"/>
  <c r="BA132" i="3"/>
  <c r="BA134" i="3"/>
  <c r="BA136" i="3"/>
  <c r="BA137" i="3"/>
  <c r="BA138" i="3"/>
  <c r="BA139" i="3"/>
  <c r="BA140" i="3"/>
  <c r="BA141" i="3"/>
  <c r="BA119" i="3"/>
  <c r="BA120" i="3"/>
  <c r="BA121" i="3"/>
  <c r="BA122" i="3"/>
  <c r="BA123" i="3"/>
  <c r="BA124" i="3"/>
  <c r="BA125" i="3"/>
  <c r="BA127" i="3"/>
  <c r="BA128" i="3"/>
  <c r="BA129" i="3"/>
  <c r="BA107" i="3"/>
  <c r="BA108" i="3"/>
  <c r="BA110" i="3"/>
  <c r="BA112" i="3"/>
  <c r="BA113" i="3"/>
  <c r="BA114" i="3"/>
  <c r="BA115" i="3"/>
  <c r="BA116" i="3"/>
  <c r="BA117" i="3"/>
  <c r="BA95" i="3"/>
  <c r="BA96" i="3"/>
  <c r="BA98" i="3"/>
  <c r="BA99" i="3"/>
  <c r="BA100" i="3"/>
  <c r="BA101" i="3"/>
  <c r="BA102" i="3"/>
  <c r="BA103" i="3"/>
  <c r="BA104" i="3"/>
  <c r="BA105" i="3"/>
  <c r="BA82" i="3"/>
  <c r="BA83" i="3"/>
  <c r="BA84" i="3"/>
  <c r="BA85" i="3"/>
  <c r="BA86" i="3"/>
  <c r="BA88" i="3"/>
  <c r="BA89" i="3"/>
  <c r="BA91" i="3"/>
  <c r="BA92" i="3"/>
  <c r="BA93" i="3"/>
  <c r="BA69" i="3"/>
  <c r="BA70" i="3"/>
  <c r="BA71" i="3"/>
  <c r="BA73" i="3"/>
  <c r="BA75" i="3"/>
  <c r="BA76" i="3"/>
  <c r="BA78" i="3"/>
  <c r="BA79" i="3"/>
  <c r="BA80" i="3"/>
  <c r="AZ69" i="3"/>
  <c r="BA56" i="3"/>
  <c r="BA57" i="3"/>
  <c r="BA58" i="3"/>
  <c r="BA59" i="3"/>
  <c r="BA60" i="3"/>
  <c r="BA62" i="3"/>
  <c r="BA63" i="3"/>
  <c r="BA65" i="3"/>
  <c r="BA66" i="3"/>
  <c r="BA67" i="3"/>
  <c r="BA44" i="3"/>
  <c r="BA45" i="3"/>
  <c r="BA47" i="3"/>
  <c r="BA49" i="3"/>
  <c r="BA50" i="3"/>
  <c r="BA52" i="3"/>
  <c r="BA53" i="3"/>
  <c r="BA54" i="3"/>
  <c r="BA32" i="3"/>
  <c r="BA33" i="3"/>
  <c r="BA35" i="3"/>
  <c r="BA37" i="3"/>
  <c r="BA38" i="3"/>
  <c r="BA40" i="3"/>
  <c r="BA29" i="3"/>
  <c r="A376" i="4"/>
  <c r="A394" i="4"/>
  <c r="C402" i="4"/>
  <c r="C403" i="4"/>
  <c r="C401" i="4"/>
  <c r="C404" i="4"/>
  <c r="C405" i="4"/>
  <c r="C406" i="4"/>
  <c r="C407" i="4"/>
  <c r="C408" i="4"/>
  <c r="C411" i="4"/>
  <c r="C409" i="4"/>
  <c r="C412" i="4"/>
  <c r="C410" i="4"/>
  <c r="C413" i="4"/>
  <c r="C414" i="4"/>
  <c r="C415" i="4"/>
  <c r="C416" i="4"/>
  <c r="C417" i="4"/>
  <c r="A420" i="4"/>
  <c r="C420" i="4"/>
  <c r="C418" i="4"/>
  <c r="C421" i="4"/>
  <c r="C419" i="4"/>
  <c r="C422" i="4"/>
  <c r="C423" i="4"/>
  <c r="C424" i="4"/>
  <c r="C425" i="4"/>
  <c r="C428" i="4"/>
  <c r="C426" i="4"/>
  <c r="C429" i="4"/>
  <c r="C427" i="4"/>
  <c r="C430" i="4"/>
  <c r="C431" i="4"/>
  <c r="C432" i="4"/>
  <c r="C433" i="4"/>
  <c r="A436" i="4"/>
  <c r="C436" i="4"/>
  <c r="C434" i="4"/>
  <c r="C437" i="4"/>
  <c r="C435" i="4"/>
  <c r="C438" i="4"/>
  <c r="C439" i="4"/>
  <c r="C440" i="4"/>
  <c r="C441" i="4"/>
  <c r="C444" i="4"/>
  <c r="C442" i="4"/>
  <c r="C445" i="4"/>
  <c r="C443" i="4"/>
  <c r="C446" i="4"/>
  <c r="C447" i="4"/>
  <c r="C448" i="4"/>
  <c r="C449" i="4"/>
  <c r="C452" i="4"/>
  <c r="C450" i="4"/>
  <c r="C453" i="4"/>
  <c r="C451" i="4"/>
  <c r="C454" i="4"/>
  <c r="C455" i="4"/>
  <c r="C456" i="4"/>
  <c r="AZ141" i="3"/>
  <c r="AZ140" i="3"/>
  <c r="AZ139" i="3"/>
  <c r="BG139" i="3" s="1"/>
  <c r="AZ138" i="3"/>
  <c r="AZ137" i="3"/>
  <c r="AZ136" i="3"/>
  <c r="AZ134" i="3"/>
  <c r="BE134" i="3" s="1"/>
  <c r="AZ133" i="3"/>
  <c r="AZ132" i="3"/>
  <c r="BE132" i="3" s="1"/>
  <c r="AZ131" i="3"/>
  <c r="AZ129" i="3"/>
  <c r="BG129" i="3" s="1"/>
  <c r="AZ128" i="3"/>
  <c r="AZ127" i="3"/>
  <c r="AZ125" i="3"/>
  <c r="AZ124" i="3"/>
  <c r="BE124" i="3" s="1"/>
  <c r="AZ123" i="3"/>
  <c r="BG123" i="3" s="1"/>
  <c r="AZ122" i="3"/>
  <c r="BG122" i="3" s="1"/>
  <c r="AZ120" i="3"/>
  <c r="AZ119" i="3"/>
  <c r="AZ117" i="3"/>
  <c r="BG117" i="3" s="1"/>
  <c r="AZ116" i="3"/>
  <c r="AZ115" i="3"/>
  <c r="BG115" i="3" s="1"/>
  <c r="AZ114" i="3"/>
  <c r="AZ113" i="3"/>
  <c r="AZ112" i="3"/>
  <c r="AZ110" i="3"/>
  <c r="BG110" i="3" s="1"/>
  <c r="AZ108" i="3"/>
  <c r="BG108" i="3" s="1"/>
  <c r="AZ107" i="3"/>
  <c r="BE107" i="3" s="1"/>
  <c r="AZ105" i="3"/>
  <c r="BE105" i="3" s="1"/>
  <c r="AZ104" i="3"/>
  <c r="AZ103" i="3"/>
  <c r="AZ101" i="3"/>
  <c r="AZ100" i="3"/>
  <c r="AZ98" i="3"/>
  <c r="BG98" i="3" s="1"/>
  <c r="AZ96" i="3"/>
  <c r="BE96" i="3" s="1"/>
  <c r="AZ95" i="3"/>
  <c r="BE95" i="3" s="1"/>
  <c r="AZ93" i="3"/>
  <c r="BE93" i="3" s="1"/>
  <c r="AZ92" i="3"/>
  <c r="AZ91" i="3"/>
  <c r="AZ89" i="3"/>
  <c r="AZ88" i="3"/>
  <c r="AZ86" i="3"/>
  <c r="BG86" i="3" s="1"/>
  <c r="AZ84" i="3"/>
  <c r="AZ83" i="3"/>
  <c r="AZ82" i="3"/>
  <c r="AZ80" i="3"/>
  <c r="AZ79" i="3"/>
  <c r="BE79" i="3" s="1"/>
  <c r="AZ78" i="3"/>
  <c r="AZ76" i="3"/>
  <c r="AZ75" i="3"/>
  <c r="AZ73" i="3"/>
  <c r="BE73" i="3" s="1"/>
  <c r="AZ71" i="3"/>
  <c r="BE71" i="3" s="1"/>
  <c r="AZ70" i="3"/>
  <c r="AZ67" i="3"/>
  <c r="BG67" i="3" s="1"/>
  <c r="AZ66" i="3"/>
  <c r="BG66" i="3" s="1"/>
  <c r="AZ65" i="3"/>
  <c r="AZ63" i="3"/>
  <c r="BG63" i="3" s="1"/>
  <c r="AZ62" i="3"/>
  <c r="AZ60" i="3"/>
  <c r="BG60" i="3" s="1"/>
  <c r="AZ58" i="3"/>
  <c r="BG58" i="3" s="1"/>
  <c r="AZ57" i="3"/>
  <c r="AZ56" i="3"/>
  <c r="AZ54" i="3"/>
  <c r="BG54" i="3" s="1"/>
  <c r="AZ53" i="3"/>
  <c r="BG53" i="3" s="1"/>
  <c r="AZ52" i="3"/>
  <c r="AZ50" i="3"/>
  <c r="AZ49" i="3"/>
  <c r="BE49" i="3" s="1"/>
  <c r="AZ47" i="3"/>
  <c r="BG47" i="3" s="1"/>
  <c r="AZ45" i="3"/>
  <c r="BG45" i="3" s="1"/>
  <c r="AZ44" i="3"/>
  <c r="BG44" i="3" s="1"/>
  <c r="AZ40" i="3"/>
  <c r="AZ38" i="3"/>
  <c r="AZ37" i="3"/>
  <c r="AZ35" i="3"/>
  <c r="AZ33" i="3"/>
  <c r="AZ32" i="3"/>
  <c r="AZ29" i="3"/>
  <c r="AZ28" i="3"/>
  <c r="AZ27" i="3"/>
  <c r="AZ25" i="3"/>
  <c r="AZ24" i="3"/>
  <c r="AZ22" i="3"/>
  <c r="BG22" i="3" s="1"/>
  <c r="AZ21" i="3"/>
  <c r="AZ20" i="3"/>
  <c r="AZ19" i="3"/>
  <c r="AZ18" i="3"/>
  <c r="AZ16" i="3"/>
  <c r="AZ15" i="3"/>
  <c r="AZ14" i="3"/>
  <c r="BE14" i="3" s="1"/>
  <c r="AZ13" i="3"/>
  <c r="AZ12" i="3"/>
  <c r="BG12" i="3" s="1"/>
  <c r="AZ11" i="3"/>
  <c r="AZ9" i="3"/>
  <c r="BE9" i="3" s="1"/>
  <c r="AZ7" i="3"/>
  <c r="BE7" i="3" s="1"/>
  <c r="AZ6" i="3"/>
  <c r="BG6" i="3" s="1"/>
  <c r="AU157" i="3"/>
  <c r="AT157" i="3"/>
  <c r="Y157" i="3"/>
  <c r="X157" i="3"/>
  <c r="K157" i="3"/>
  <c r="H157" i="3"/>
  <c r="AL155" i="3"/>
  <c r="AK155" i="3"/>
  <c r="AY151" i="3"/>
  <c r="AX151" i="3"/>
  <c r="AU151" i="3"/>
  <c r="AT151" i="3"/>
  <c r="AQ151" i="3"/>
  <c r="AP151" i="3"/>
  <c r="AL151" i="3"/>
  <c r="AK151" i="3"/>
  <c r="AH151" i="3"/>
  <c r="AG151" i="3"/>
  <c r="AD151" i="3"/>
  <c r="AC151" i="3"/>
  <c r="Y151" i="3"/>
  <c r="X151" i="3"/>
  <c r="U151" i="3"/>
  <c r="T151" i="3"/>
  <c r="Q151" i="3"/>
  <c r="P151" i="3"/>
  <c r="L151" i="3"/>
  <c r="K151" i="3"/>
  <c r="H151" i="3"/>
  <c r="G151" i="3"/>
  <c r="D151" i="3"/>
  <c r="C151" i="3"/>
  <c r="AY149" i="3"/>
  <c r="AX149" i="3"/>
  <c r="AU149" i="3"/>
  <c r="AT149" i="3"/>
  <c r="AQ149" i="3"/>
  <c r="AP149" i="3"/>
  <c r="AL149" i="3"/>
  <c r="AK149" i="3"/>
  <c r="AH149" i="3"/>
  <c r="AG149" i="3"/>
  <c r="AD149" i="3"/>
  <c r="AC149" i="3"/>
  <c r="Y149" i="3"/>
  <c r="X149" i="3"/>
  <c r="U149" i="3"/>
  <c r="T149" i="3"/>
  <c r="Q149" i="3"/>
  <c r="P149" i="3"/>
  <c r="L149" i="3"/>
  <c r="K149" i="3"/>
  <c r="H149" i="3"/>
  <c r="G149" i="3"/>
  <c r="D149" i="3"/>
  <c r="C149" i="3"/>
  <c r="AY148" i="3"/>
  <c r="AX148" i="3"/>
  <c r="AU148" i="3"/>
  <c r="AT148" i="3"/>
  <c r="AQ148" i="3"/>
  <c r="AP148" i="3"/>
  <c r="AL148" i="3"/>
  <c r="AK148" i="3"/>
  <c r="AH148" i="3"/>
  <c r="AG148" i="3"/>
  <c r="AD148" i="3"/>
  <c r="AC148" i="3"/>
  <c r="Y148" i="3"/>
  <c r="X148" i="3"/>
  <c r="U148" i="3"/>
  <c r="T148" i="3"/>
  <c r="Q148" i="3"/>
  <c r="P148" i="3"/>
  <c r="L148" i="3"/>
  <c r="K148" i="3"/>
  <c r="H148" i="3"/>
  <c r="G148" i="3"/>
  <c r="D148" i="3"/>
  <c r="C148" i="3"/>
  <c r="AY146" i="3"/>
  <c r="AX146" i="3"/>
  <c r="AU146" i="3"/>
  <c r="AT146" i="3"/>
  <c r="AQ146" i="3"/>
  <c r="AQ157" i="3" s="1"/>
  <c r="AP146" i="3"/>
  <c r="AP157" i="3" s="1"/>
  <c r="AL146" i="3"/>
  <c r="AL157" i="3" s="1"/>
  <c r="AK146" i="3"/>
  <c r="AK157" i="3" s="1"/>
  <c r="AH146" i="3"/>
  <c r="AH157" i="3" s="1"/>
  <c r="AG146" i="3"/>
  <c r="AG157" i="3" s="1"/>
  <c r="AD146" i="3"/>
  <c r="AD157" i="3" s="1"/>
  <c r="AC146" i="3"/>
  <c r="AC157" i="3" s="1"/>
  <c r="Y146" i="3"/>
  <c r="X146" i="3"/>
  <c r="U146" i="3"/>
  <c r="U157" i="3" s="1"/>
  <c r="T146" i="3"/>
  <c r="T157" i="3" s="1"/>
  <c r="Q146" i="3"/>
  <c r="Q157" i="3" s="1"/>
  <c r="P146" i="3"/>
  <c r="P157" i="3" s="1"/>
  <c r="L146" i="3"/>
  <c r="L157" i="3" s="1"/>
  <c r="K146" i="3"/>
  <c r="H146" i="3"/>
  <c r="G146" i="3"/>
  <c r="G157" i="3" s="1"/>
  <c r="D146" i="3"/>
  <c r="D157" i="3" s="1"/>
  <c r="C146" i="3"/>
  <c r="C157" i="3" s="1"/>
  <c r="AY144" i="3"/>
  <c r="AX144" i="3"/>
  <c r="AV144" i="3"/>
  <c r="AU144" i="3"/>
  <c r="AT144" i="3"/>
  <c r="AQ144" i="3"/>
  <c r="AP144" i="3"/>
  <c r="AL144" i="3"/>
  <c r="AK144" i="3"/>
  <c r="AI144" i="3"/>
  <c r="AH144" i="3"/>
  <c r="AG144" i="3"/>
  <c r="AD144" i="3"/>
  <c r="AC144" i="3"/>
  <c r="Y144" i="3"/>
  <c r="X144" i="3"/>
  <c r="U144" i="3"/>
  <c r="T144" i="3"/>
  <c r="Q144" i="3"/>
  <c r="P144" i="3"/>
  <c r="L144" i="3"/>
  <c r="K144" i="3"/>
  <c r="H144" i="3"/>
  <c r="G144" i="3"/>
  <c r="D144" i="3"/>
  <c r="C144" i="3"/>
  <c r="BD141" i="3"/>
  <c r="M141" i="3"/>
  <c r="I141" i="3"/>
  <c r="E141" i="3"/>
  <c r="BD140" i="3"/>
  <c r="BG140" i="3"/>
  <c r="M140" i="3"/>
  <c r="I140" i="3"/>
  <c r="E140" i="3"/>
  <c r="BD139" i="3"/>
  <c r="AW139" i="3"/>
  <c r="AV139" i="3"/>
  <c r="AS139" i="3"/>
  <c r="AR139" i="3"/>
  <c r="AN139" i="3"/>
  <c r="AM139" i="3"/>
  <c r="AJ139" i="3"/>
  <c r="AI139" i="3"/>
  <c r="AF139" i="3"/>
  <c r="AE139" i="3"/>
  <c r="AA139" i="3"/>
  <c r="Z139" i="3"/>
  <c r="W139" i="3"/>
  <c r="V139" i="3"/>
  <c r="S139" i="3"/>
  <c r="R139" i="3"/>
  <c r="N139" i="3"/>
  <c r="M139" i="3"/>
  <c r="J139" i="3"/>
  <c r="I139" i="3"/>
  <c r="F139" i="3"/>
  <c r="E139" i="3"/>
  <c r="BD138" i="3"/>
  <c r="AY138" i="3"/>
  <c r="AX138" i="3"/>
  <c r="AU138" i="3"/>
  <c r="AT138" i="3"/>
  <c r="AQ138" i="3"/>
  <c r="AR138" i="3" s="1"/>
  <c r="AP138" i="3"/>
  <c r="AL138" i="3"/>
  <c r="AM138" i="3" s="1"/>
  <c r="AK138" i="3"/>
  <c r="AH138" i="3"/>
  <c r="AG138" i="3"/>
  <c r="AD138" i="3"/>
  <c r="AE138" i="3" s="1"/>
  <c r="AC138" i="3"/>
  <c r="Y138" i="3"/>
  <c r="Z138" i="3" s="1"/>
  <c r="X138" i="3"/>
  <c r="U138" i="3"/>
  <c r="T138" i="3"/>
  <c r="V138" i="3" s="1"/>
  <c r="Q138" i="3"/>
  <c r="P138" i="3"/>
  <c r="R138" i="3" s="1"/>
  <c r="L138" i="3"/>
  <c r="M138" i="3" s="1"/>
  <c r="K138" i="3"/>
  <c r="H138" i="3"/>
  <c r="I138" i="3" s="1"/>
  <c r="G138" i="3"/>
  <c r="D138" i="3"/>
  <c r="C138" i="3"/>
  <c r="BG137" i="3"/>
  <c r="BE137" i="3"/>
  <c r="BD137" i="3"/>
  <c r="AW137" i="3"/>
  <c r="AV137" i="3"/>
  <c r="AS137" i="3"/>
  <c r="AR137" i="3"/>
  <c r="AN137" i="3"/>
  <c r="AM137" i="3"/>
  <c r="AJ137" i="3"/>
  <c r="AI137" i="3"/>
  <c r="AF137" i="3"/>
  <c r="AE137" i="3"/>
  <c r="AA137" i="3"/>
  <c r="Z137" i="3"/>
  <c r="W137" i="3"/>
  <c r="V137" i="3"/>
  <c r="S137" i="3"/>
  <c r="R137" i="3"/>
  <c r="N137" i="3"/>
  <c r="M137" i="3"/>
  <c r="J137" i="3"/>
  <c r="I137" i="3"/>
  <c r="F137" i="3"/>
  <c r="E137" i="3"/>
  <c r="BG136" i="3"/>
  <c r="BD136" i="3"/>
  <c r="A453" i="4" s="1"/>
  <c r="BE136" i="3"/>
  <c r="AW136" i="3"/>
  <c r="AV136" i="3"/>
  <c r="AS136" i="3"/>
  <c r="AR136" i="3"/>
  <c r="AN136" i="3"/>
  <c r="AM136" i="3"/>
  <c r="AJ136" i="3"/>
  <c r="AI136" i="3"/>
  <c r="AF136" i="3"/>
  <c r="AE136" i="3"/>
  <c r="AA136" i="3"/>
  <c r="Z136" i="3"/>
  <c r="W136" i="3"/>
  <c r="V136" i="3"/>
  <c r="S136" i="3"/>
  <c r="R136" i="3"/>
  <c r="N136" i="3"/>
  <c r="M136" i="3"/>
  <c r="J136" i="3"/>
  <c r="I136" i="3"/>
  <c r="F136" i="3"/>
  <c r="E136" i="3"/>
  <c r="BD135" i="3"/>
  <c r="AY135" i="3"/>
  <c r="BA135" i="3" s="1"/>
  <c r="AX135" i="3"/>
  <c r="AU135" i="3"/>
  <c r="AT135" i="3"/>
  <c r="AQ135" i="3"/>
  <c r="AP135" i="3"/>
  <c r="AM135" i="3"/>
  <c r="AL135" i="3"/>
  <c r="AK135" i="3"/>
  <c r="AI135" i="3"/>
  <c r="AH135" i="3"/>
  <c r="AG135" i="3"/>
  <c r="AD135" i="3"/>
  <c r="AC135" i="3"/>
  <c r="Z135" i="3"/>
  <c r="Y135" i="3"/>
  <c r="X135" i="3"/>
  <c r="U135" i="3"/>
  <c r="V135" i="3" s="1"/>
  <c r="T135" i="3"/>
  <c r="Q135" i="3"/>
  <c r="P135" i="3"/>
  <c r="L135" i="3"/>
  <c r="K135" i="3"/>
  <c r="H135" i="3"/>
  <c r="I135" i="3" s="1"/>
  <c r="G135" i="3"/>
  <c r="D135" i="3"/>
  <c r="E135" i="3" s="1"/>
  <c r="C135" i="3"/>
  <c r="BD134" i="3"/>
  <c r="AW134" i="3"/>
  <c r="AV134" i="3"/>
  <c r="AS134" i="3"/>
  <c r="AR134" i="3"/>
  <c r="AN134" i="3"/>
  <c r="AM134" i="3"/>
  <c r="AJ134" i="3"/>
  <c r="AI134" i="3"/>
  <c r="AF134" i="3"/>
  <c r="AE134" i="3"/>
  <c r="AA134" i="3"/>
  <c r="Z134" i="3"/>
  <c r="W134" i="3"/>
  <c r="V134" i="3"/>
  <c r="S134" i="3"/>
  <c r="R134" i="3"/>
  <c r="N134" i="3"/>
  <c r="M134" i="3"/>
  <c r="J134" i="3"/>
  <c r="I134" i="3"/>
  <c r="F134" i="3"/>
  <c r="E134" i="3"/>
  <c r="BD133" i="3"/>
  <c r="A452" i="4" s="1"/>
  <c r="AY133" i="3"/>
  <c r="AX133" i="3"/>
  <c r="AU133" i="3"/>
  <c r="AV133" i="3" s="1"/>
  <c r="AT133" i="3"/>
  <c r="AQ133" i="3"/>
  <c r="AR133" i="3" s="1"/>
  <c r="AP133" i="3"/>
  <c r="AL133" i="3"/>
  <c r="AK133" i="3"/>
  <c r="AH133" i="3"/>
  <c r="AG133" i="3"/>
  <c r="AD133" i="3"/>
  <c r="AE133" i="3" s="1"/>
  <c r="AC133" i="3"/>
  <c r="Y133" i="3"/>
  <c r="X133" i="3"/>
  <c r="Z133" i="3" s="1"/>
  <c r="U133" i="3"/>
  <c r="T133" i="3"/>
  <c r="Q133" i="3"/>
  <c r="R133" i="3" s="1"/>
  <c r="P133" i="3"/>
  <c r="L133" i="3"/>
  <c r="M133" i="3" s="1"/>
  <c r="K133" i="3"/>
  <c r="H133" i="3"/>
  <c r="I133" i="3" s="1"/>
  <c r="G133" i="3"/>
  <c r="D133" i="3"/>
  <c r="C133" i="3"/>
  <c r="BD132" i="3"/>
  <c r="AW132" i="3"/>
  <c r="AV132" i="3"/>
  <c r="AS132" i="3"/>
  <c r="AR132" i="3"/>
  <c r="AN132" i="3"/>
  <c r="AM132" i="3"/>
  <c r="AJ132" i="3"/>
  <c r="AI132" i="3"/>
  <c r="AF132" i="3"/>
  <c r="AE132" i="3"/>
  <c r="AA132" i="3"/>
  <c r="Z132" i="3"/>
  <c r="W132" i="3"/>
  <c r="V132" i="3"/>
  <c r="S132" i="3"/>
  <c r="R132" i="3"/>
  <c r="N132" i="3"/>
  <c r="M132" i="3"/>
  <c r="J132" i="3"/>
  <c r="I132" i="3"/>
  <c r="F132" i="3"/>
  <c r="E132" i="3"/>
  <c r="BG131" i="3"/>
  <c r="BE131" i="3"/>
  <c r="BD131" i="3"/>
  <c r="AR131" i="3"/>
  <c r="M131" i="3"/>
  <c r="I131" i="3"/>
  <c r="E131" i="3"/>
  <c r="BE129" i="3"/>
  <c r="BD129" i="3"/>
  <c r="M129" i="3"/>
  <c r="I129" i="3"/>
  <c r="E129" i="3"/>
  <c r="BG128" i="3"/>
  <c r="BE128" i="3"/>
  <c r="BD128" i="3"/>
  <c r="M128" i="3"/>
  <c r="I128" i="3"/>
  <c r="E128" i="3"/>
  <c r="BG127" i="3"/>
  <c r="BE127" i="3"/>
  <c r="BD127" i="3"/>
  <c r="AW127" i="3"/>
  <c r="AV127" i="3"/>
  <c r="AS127" i="3"/>
  <c r="AR127" i="3"/>
  <c r="AN127" i="3"/>
  <c r="AM127" i="3"/>
  <c r="AJ127" i="3"/>
  <c r="AI127" i="3"/>
  <c r="AF127" i="3"/>
  <c r="AE127" i="3"/>
  <c r="AA127" i="3"/>
  <c r="Z127" i="3"/>
  <c r="W127" i="3"/>
  <c r="V127" i="3"/>
  <c r="S127" i="3"/>
  <c r="R127" i="3"/>
  <c r="N127" i="3"/>
  <c r="M127" i="3"/>
  <c r="J127" i="3"/>
  <c r="I127" i="3"/>
  <c r="F127" i="3"/>
  <c r="E127" i="3"/>
  <c r="BD126" i="3"/>
  <c r="AY126" i="3"/>
  <c r="BA126" i="3" s="1"/>
  <c r="AX126" i="3"/>
  <c r="AZ126" i="3" s="1"/>
  <c r="AU126" i="3"/>
  <c r="AT126" i="3"/>
  <c r="AQ126" i="3"/>
  <c r="AR126" i="3" s="1"/>
  <c r="AP126" i="3"/>
  <c r="AL126" i="3"/>
  <c r="AK126" i="3"/>
  <c r="AH126" i="3"/>
  <c r="AG126" i="3"/>
  <c r="AD126" i="3"/>
  <c r="AE126" i="3" s="1"/>
  <c r="AC126" i="3"/>
  <c r="Y126" i="3"/>
  <c r="Z126" i="3" s="1"/>
  <c r="X126" i="3"/>
  <c r="U126" i="3"/>
  <c r="T126" i="3"/>
  <c r="Q126" i="3"/>
  <c r="P126" i="3"/>
  <c r="L126" i="3"/>
  <c r="M126" i="3" s="1"/>
  <c r="K126" i="3"/>
  <c r="H126" i="3"/>
  <c r="G126" i="3"/>
  <c r="D126" i="3"/>
  <c r="C126" i="3"/>
  <c r="BG125" i="3"/>
  <c r="BE125" i="3"/>
  <c r="BD125" i="3"/>
  <c r="AW125" i="3"/>
  <c r="AV125" i="3"/>
  <c r="AS125" i="3"/>
  <c r="AR125" i="3"/>
  <c r="AN125" i="3"/>
  <c r="AM125" i="3"/>
  <c r="AJ125" i="3"/>
  <c r="AI125" i="3"/>
  <c r="AF125" i="3"/>
  <c r="AE125" i="3"/>
  <c r="AA125" i="3"/>
  <c r="Z125" i="3"/>
  <c r="W125" i="3"/>
  <c r="V125" i="3"/>
  <c r="S125" i="3"/>
  <c r="R125" i="3"/>
  <c r="N125" i="3"/>
  <c r="M125" i="3"/>
  <c r="J125" i="3"/>
  <c r="I125" i="3"/>
  <c r="F125" i="3"/>
  <c r="E125" i="3"/>
  <c r="BD124" i="3"/>
  <c r="A445" i="4" s="1"/>
  <c r="AW124" i="3"/>
  <c r="AV124" i="3"/>
  <c r="AS124" i="3"/>
  <c r="AR124" i="3"/>
  <c r="AN124" i="3"/>
  <c r="AM124" i="3"/>
  <c r="AJ124" i="3"/>
  <c r="AI124" i="3"/>
  <c r="AF124" i="3"/>
  <c r="AE124" i="3"/>
  <c r="AA124" i="3"/>
  <c r="Z124" i="3"/>
  <c r="W124" i="3"/>
  <c r="V124" i="3"/>
  <c r="S124" i="3"/>
  <c r="R124" i="3"/>
  <c r="N124" i="3"/>
  <c r="M124" i="3"/>
  <c r="J124" i="3"/>
  <c r="I124" i="3"/>
  <c r="F124" i="3"/>
  <c r="E124" i="3"/>
  <c r="BD123" i="3"/>
  <c r="AY123" i="3"/>
  <c r="AX123" i="3"/>
  <c r="AU123" i="3"/>
  <c r="AV123" i="3" s="1"/>
  <c r="AT123" i="3"/>
  <c r="AQ123" i="3"/>
  <c r="AP123" i="3"/>
  <c r="AR123" i="3" s="1"/>
  <c r="AM123" i="3"/>
  <c r="AL123" i="3"/>
  <c r="AK123" i="3"/>
  <c r="AH123" i="3"/>
  <c r="AG123" i="3"/>
  <c r="AD123" i="3"/>
  <c r="AC123" i="3"/>
  <c r="Y123" i="3"/>
  <c r="Z123" i="3" s="1"/>
  <c r="X123" i="3"/>
  <c r="U123" i="3"/>
  <c r="T123" i="3"/>
  <c r="Q123" i="3"/>
  <c r="P123" i="3"/>
  <c r="R123" i="3" s="1"/>
  <c r="L123" i="3"/>
  <c r="K123" i="3"/>
  <c r="H123" i="3"/>
  <c r="G123" i="3"/>
  <c r="I123" i="3" s="1"/>
  <c r="D123" i="3"/>
  <c r="E123" i="3" s="1"/>
  <c r="C123" i="3"/>
  <c r="BD122" i="3"/>
  <c r="AW122" i="3"/>
  <c r="AV122" i="3"/>
  <c r="AS122" i="3"/>
  <c r="AR122" i="3"/>
  <c r="AN122" i="3"/>
  <c r="AM122" i="3"/>
  <c r="AJ122" i="3"/>
  <c r="AI122" i="3"/>
  <c r="AF122" i="3"/>
  <c r="AE122" i="3"/>
  <c r="AA122" i="3"/>
  <c r="Z122" i="3"/>
  <c r="W122" i="3"/>
  <c r="V122" i="3"/>
  <c r="S122" i="3"/>
  <c r="R122" i="3"/>
  <c r="N122" i="3"/>
  <c r="M122" i="3"/>
  <c r="J122" i="3"/>
  <c r="I122" i="3"/>
  <c r="F122" i="3"/>
  <c r="E122" i="3"/>
  <c r="BD121" i="3"/>
  <c r="A444" i="4" s="1"/>
  <c r="AY121" i="3"/>
  <c r="AZ121" i="3" s="1"/>
  <c r="AX121" i="3"/>
  <c r="AU121" i="3"/>
  <c r="AT121" i="3"/>
  <c r="AR121" i="3"/>
  <c r="AQ121" i="3"/>
  <c r="AP121" i="3"/>
  <c r="AL121" i="3"/>
  <c r="AK121" i="3"/>
  <c r="AH121" i="3"/>
  <c r="AG121" i="3"/>
  <c r="AI121" i="3" s="1"/>
  <c r="AD121" i="3"/>
  <c r="AC121" i="3"/>
  <c r="Y121" i="3"/>
  <c r="Z121" i="3" s="1"/>
  <c r="X121" i="3"/>
  <c r="U121" i="3"/>
  <c r="V121" i="3" s="1"/>
  <c r="T121" i="3"/>
  <c r="Q121" i="3"/>
  <c r="P121" i="3"/>
  <c r="L121" i="3"/>
  <c r="K121" i="3"/>
  <c r="I121" i="3"/>
  <c r="H121" i="3"/>
  <c r="G121" i="3"/>
  <c r="D121" i="3"/>
  <c r="C121" i="3"/>
  <c r="BG120" i="3"/>
  <c r="BE120" i="3"/>
  <c r="BD120" i="3"/>
  <c r="AW120" i="3"/>
  <c r="AV120" i="3"/>
  <c r="AS120" i="3"/>
  <c r="AR120" i="3"/>
  <c r="AN120" i="3"/>
  <c r="AM120" i="3"/>
  <c r="AJ120" i="3"/>
  <c r="AI120" i="3"/>
  <c r="AF120" i="3"/>
  <c r="AE120" i="3"/>
  <c r="AA120" i="3"/>
  <c r="Z120" i="3"/>
  <c r="W120" i="3"/>
  <c r="V120" i="3"/>
  <c r="S120" i="3"/>
  <c r="R120" i="3"/>
  <c r="N120" i="3"/>
  <c r="M120" i="3"/>
  <c r="J120" i="3"/>
  <c r="I120" i="3"/>
  <c r="F120" i="3"/>
  <c r="E120" i="3"/>
  <c r="BG119" i="3"/>
  <c r="BE119" i="3"/>
  <c r="BD119" i="3"/>
  <c r="AR119" i="3"/>
  <c r="M119" i="3"/>
  <c r="I119" i="3"/>
  <c r="E119" i="3"/>
  <c r="BE117" i="3"/>
  <c r="BD117" i="3"/>
  <c r="M117" i="3"/>
  <c r="I117" i="3"/>
  <c r="E117" i="3"/>
  <c r="BD116" i="3"/>
  <c r="M116" i="3"/>
  <c r="I116" i="3"/>
  <c r="E116" i="3"/>
  <c r="BD115" i="3"/>
  <c r="AW115" i="3"/>
  <c r="AV115" i="3"/>
  <c r="AS115" i="3"/>
  <c r="AR115" i="3"/>
  <c r="AN115" i="3"/>
  <c r="AM115" i="3"/>
  <c r="AJ115" i="3"/>
  <c r="AI115" i="3"/>
  <c r="AF115" i="3"/>
  <c r="AE115" i="3"/>
  <c r="AA115" i="3"/>
  <c r="Z115" i="3"/>
  <c r="W115" i="3"/>
  <c r="V115" i="3"/>
  <c r="S115" i="3"/>
  <c r="R115" i="3"/>
  <c r="N115" i="3"/>
  <c r="M115" i="3"/>
  <c r="J115" i="3"/>
  <c r="I115" i="3"/>
  <c r="F115" i="3"/>
  <c r="E115" i="3"/>
  <c r="BD114" i="3"/>
  <c r="AY114" i="3"/>
  <c r="AX114" i="3"/>
  <c r="AU114" i="3"/>
  <c r="AT114" i="3"/>
  <c r="AQ114" i="3"/>
  <c r="AP114" i="3"/>
  <c r="AL114" i="3"/>
  <c r="AM114" i="3" s="1"/>
  <c r="AK114" i="3"/>
  <c r="AH114" i="3"/>
  <c r="AI114" i="3" s="1"/>
  <c r="AG114" i="3"/>
  <c r="AD114" i="3"/>
  <c r="AC114" i="3"/>
  <c r="Y114" i="3"/>
  <c r="X114" i="3"/>
  <c r="Z114" i="3" s="1"/>
  <c r="V114" i="3"/>
  <c r="U114" i="3"/>
  <c r="T114" i="3"/>
  <c r="Q114" i="3"/>
  <c r="P114" i="3"/>
  <c r="L114" i="3"/>
  <c r="K114" i="3"/>
  <c r="I114" i="3"/>
  <c r="H114" i="3"/>
  <c r="G114" i="3"/>
  <c r="D114" i="3"/>
  <c r="C114" i="3"/>
  <c r="BD113" i="3"/>
  <c r="AW113" i="3"/>
  <c r="AV113" i="3"/>
  <c r="AS113" i="3"/>
  <c r="AR113" i="3"/>
  <c r="AN113" i="3"/>
  <c r="AM113" i="3"/>
  <c r="AJ113" i="3"/>
  <c r="AI113" i="3"/>
  <c r="AF113" i="3"/>
  <c r="AE113" i="3"/>
  <c r="AA113" i="3"/>
  <c r="Z113" i="3"/>
  <c r="W113" i="3"/>
  <c r="V113" i="3"/>
  <c r="S113" i="3"/>
  <c r="R113" i="3"/>
  <c r="N113" i="3"/>
  <c r="M113" i="3"/>
  <c r="J113" i="3"/>
  <c r="I113" i="3"/>
  <c r="F113" i="3"/>
  <c r="E113" i="3"/>
  <c r="BD112" i="3"/>
  <c r="A437" i="4" s="1"/>
  <c r="BG112" i="3"/>
  <c r="AW112" i="3"/>
  <c r="AV112" i="3"/>
  <c r="AS112" i="3"/>
  <c r="AR112" i="3"/>
  <c r="AN112" i="3"/>
  <c r="AM112" i="3"/>
  <c r="AJ112" i="3"/>
  <c r="AI112" i="3"/>
  <c r="AF112" i="3"/>
  <c r="AE112" i="3"/>
  <c r="AA112" i="3"/>
  <c r="Z112" i="3"/>
  <c r="W112" i="3"/>
  <c r="V112" i="3"/>
  <c r="S112" i="3"/>
  <c r="R112" i="3"/>
  <c r="N112" i="3"/>
  <c r="M112" i="3"/>
  <c r="J112" i="3"/>
  <c r="I112" i="3"/>
  <c r="F112" i="3"/>
  <c r="E112" i="3"/>
  <c r="BD111" i="3"/>
  <c r="AY111" i="3"/>
  <c r="AX111" i="3"/>
  <c r="AZ111" i="3" s="1"/>
  <c r="BG111" i="3" s="1"/>
  <c r="AU111" i="3"/>
  <c r="AV111" i="3" s="1"/>
  <c r="AT111" i="3"/>
  <c r="AQ111" i="3"/>
  <c r="AP111" i="3"/>
  <c r="AL111" i="3"/>
  <c r="AK111" i="3"/>
  <c r="AH111" i="3"/>
  <c r="AG111" i="3"/>
  <c r="AD111" i="3"/>
  <c r="AE111" i="3" s="1"/>
  <c r="AC111" i="3"/>
  <c r="Y111" i="3"/>
  <c r="X111" i="3"/>
  <c r="Z111" i="3" s="1"/>
  <c r="U111" i="3"/>
  <c r="T111" i="3"/>
  <c r="V111" i="3" s="1"/>
  <c r="R111" i="3"/>
  <c r="Q111" i="3"/>
  <c r="P111" i="3"/>
  <c r="L111" i="3"/>
  <c r="K111" i="3"/>
  <c r="H111" i="3"/>
  <c r="G111" i="3"/>
  <c r="D111" i="3"/>
  <c r="E111" i="3" s="1"/>
  <c r="C111" i="3"/>
  <c r="BD110" i="3"/>
  <c r="AW110" i="3"/>
  <c r="AV110" i="3"/>
  <c r="AS110" i="3"/>
  <c r="AR110" i="3"/>
  <c r="AN110" i="3"/>
  <c r="AM110" i="3"/>
  <c r="AJ110" i="3"/>
  <c r="AI110" i="3"/>
  <c r="AF110" i="3"/>
  <c r="AE110" i="3"/>
  <c r="AA110" i="3"/>
  <c r="Z110" i="3"/>
  <c r="W110" i="3"/>
  <c r="V110" i="3"/>
  <c r="S110" i="3"/>
  <c r="R110" i="3"/>
  <c r="N110" i="3"/>
  <c r="M110" i="3"/>
  <c r="J110" i="3"/>
  <c r="I110" i="3"/>
  <c r="F110" i="3"/>
  <c r="E110" i="3"/>
  <c r="BD109" i="3"/>
  <c r="AY109" i="3"/>
  <c r="AX109" i="3"/>
  <c r="AZ109" i="3" s="1"/>
  <c r="AU109" i="3"/>
  <c r="AT109" i="3"/>
  <c r="AV109" i="3" s="1"/>
  <c r="AQ109" i="3"/>
  <c r="AP109" i="3"/>
  <c r="AL109" i="3"/>
  <c r="AK109" i="3"/>
  <c r="AH109" i="3"/>
  <c r="AG109" i="3"/>
  <c r="AD109" i="3"/>
  <c r="AC109" i="3"/>
  <c r="Y109" i="3"/>
  <c r="Z109" i="3" s="1"/>
  <c r="X109" i="3"/>
  <c r="U109" i="3"/>
  <c r="V109" i="3" s="1"/>
  <c r="T109" i="3"/>
  <c r="Q109" i="3"/>
  <c r="P109" i="3"/>
  <c r="L109" i="3"/>
  <c r="K109" i="3"/>
  <c r="M109" i="3" s="1"/>
  <c r="H109" i="3"/>
  <c r="G109" i="3"/>
  <c r="D109" i="3"/>
  <c r="E109" i="3" s="1"/>
  <c r="C109" i="3"/>
  <c r="BD108" i="3"/>
  <c r="AW108" i="3"/>
  <c r="AV108" i="3"/>
  <c r="AS108" i="3"/>
  <c r="AR108" i="3"/>
  <c r="AN108" i="3"/>
  <c r="AM108" i="3"/>
  <c r="AJ108" i="3"/>
  <c r="AI108" i="3"/>
  <c r="AF108" i="3"/>
  <c r="AE108" i="3"/>
  <c r="AA108" i="3"/>
  <c r="Z108" i="3"/>
  <c r="W108" i="3"/>
  <c r="V108" i="3"/>
  <c r="S108" i="3"/>
  <c r="R108" i="3"/>
  <c r="N108" i="3"/>
  <c r="M108" i="3"/>
  <c r="J108" i="3"/>
  <c r="I108" i="3"/>
  <c r="F108" i="3"/>
  <c r="E108" i="3"/>
  <c r="BD107" i="3"/>
  <c r="AR107" i="3"/>
  <c r="M107" i="3"/>
  <c r="I107" i="3"/>
  <c r="E107" i="3"/>
  <c r="BD105" i="3"/>
  <c r="I105" i="3"/>
  <c r="E105" i="3"/>
  <c r="BD104" i="3"/>
  <c r="M104" i="3"/>
  <c r="I104" i="3"/>
  <c r="E104" i="3"/>
  <c r="BD103" i="3"/>
  <c r="AW103" i="3"/>
  <c r="AV103" i="3"/>
  <c r="AS103" i="3"/>
  <c r="AR103" i="3"/>
  <c r="AN103" i="3"/>
  <c r="AM103" i="3"/>
  <c r="AJ103" i="3"/>
  <c r="AI103" i="3"/>
  <c r="AF103" i="3"/>
  <c r="AE103" i="3"/>
  <c r="AA103" i="3"/>
  <c r="Z103" i="3"/>
  <c r="W103" i="3"/>
  <c r="V103" i="3"/>
  <c r="S103" i="3"/>
  <c r="R103" i="3"/>
  <c r="N103" i="3"/>
  <c r="M103" i="3"/>
  <c r="J103" i="3"/>
  <c r="I103" i="3"/>
  <c r="F103" i="3"/>
  <c r="E103" i="3"/>
  <c r="BD102" i="3"/>
  <c r="AY102" i="3"/>
  <c r="AX102" i="3"/>
  <c r="AZ102" i="3" s="1"/>
  <c r="AU102" i="3"/>
  <c r="AT102" i="3"/>
  <c r="AQ102" i="3"/>
  <c r="AR102" i="3" s="1"/>
  <c r="AP102" i="3"/>
  <c r="AL102" i="3"/>
  <c r="AK102" i="3"/>
  <c r="AM102" i="3" s="1"/>
  <c r="AI102" i="3"/>
  <c r="AH102" i="3"/>
  <c r="AG102" i="3"/>
  <c r="AD102" i="3"/>
  <c r="AC102" i="3"/>
  <c r="Y102" i="3"/>
  <c r="Z102" i="3" s="1"/>
  <c r="X102" i="3"/>
  <c r="U102" i="3"/>
  <c r="V102" i="3" s="1"/>
  <c r="T102" i="3"/>
  <c r="Q102" i="3"/>
  <c r="P102" i="3"/>
  <c r="M102" i="3"/>
  <c r="L102" i="3"/>
  <c r="K102" i="3"/>
  <c r="H102" i="3"/>
  <c r="G102" i="3"/>
  <c r="D102" i="3"/>
  <c r="C102" i="3"/>
  <c r="E102" i="3" s="1"/>
  <c r="BG101" i="3"/>
  <c r="BD101" i="3"/>
  <c r="BE101" i="3"/>
  <c r="AW101" i="3"/>
  <c r="AV101" i="3"/>
  <c r="AS101" i="3"/>
  <c r="AR101" i="3"/>
  <c r="AN101" i="3"/>
  <c r="AM101" i="3"/>
  <c r="AJ101" i="3"/>
  <c r="AI101" i="3"/>
  <c r="AF101" i="3"/>
  <c r="AE101" i="3"/>
  <c r="AA101" i="3"/>
  <c r="Z101" i="3"/>
  <c r="W101" i="3"/>
  <c r="V101" i="3"/>
  <c r="S101" i="3"/>
  <c r="R101" i="3"/>
  <c r="N101" i="3"/>
  <c r="M101" i="3"/>
  <c r="J101" i="3"/>
  <c r="I101" i="3"/>
  <c r="F101" i="3"/>
  <c r="E101" i="3"/>
  <c r="BD100" i="3"/>
  <c r="A429" i="4" s="1"/>
  <c r="BG100" i="3"/>
  <c r="AW100" i="3"/>
  <c r="AV100" i="3"/>
  <c r="AS100" i="3"/>
  <c r="AR100" i="3"/>
  <c r="AN100" i="3"/>
  <c r="AM100" i="3"/>
  <c r="AJ100" i="3"/>
  <c r="AI100" i="3"/>
  <c r="AF100" i="3"/>
  <c r="AE100" i="3"/>
  <c r="AA100" i="3"/>
  <c r="Z100" i="3"/>
  <c r="W100" i="3"/>
  <c r="V100" i="3"/>
  <c r="S100" i="3"/>
  <c r="R100" i="3"/>
  <c r="N100" i="3"/>
  <c r="M100" i="3"/>
  <c r="J100" i="3"/>
  <c r="I100" i="3"/>
  <c r="F100" i="3"/>
  <c r="E100" i="3"/>
  <c r="BD99" i="3"/>
  <c r="AY99" i="3"/>
  <c r="AX99" i="3"/>
  <c r="AZ99" i="3" s="1"/>
  <c r="BE99" i="3" s="1"/>
  <c r="AU99" i="3"/>
  <c r="AT99" i="3"/>
  <c r="AQ99" i="3"/>
  <c r="AR99" i="3" s="1"/>
  <c r="AP99" i="3"/>
  <c r="AL99" i="3"/>
  <c r="AK99" i="3"/>
  <c r="AH99" i="3"/>
  <c r="AG99" i="3"/>
  <c r="AD99" i="3"/>
  <c r="AE99" i="3" s="1"/>
  <c r="AC99" i="3"/>
  <c r="Y99" i="3"/>
  <c r="Z99" i="3" s="1"/>
  <c r="X99" i="3"/>
  <c r="U99" i="3"/>
  <c r="T99" i="3"/>
  <c r="Q99" i="3"/>
  <c r="P99" i="3"/>
  <c r="L99" i="3"/>
  <c r="M99" i="3" s="1"/>
  <c r="K99" i="3"/>
  <c r="I99" i="3"/>
  <c r="H99" i="3"/>
  <c r="G99" i="3"/>
  <c r="D99" i="3"/>
  <c r="C99" i="3"/>
  <c r="BD98" i="3"/>
  <c r="AW98" i="3"/>
  <c r="AV98" i="3"/>
  <c r="AS98" i="3"/>
  <c r="AR98" i="3"/>
  <c r="AN98" i="3"/>
  <c r="AM98" i="3"/>
  <c r="AJ98" i="3"/>
  <c r="AI98" i="3"/>
  <c r="AF98" i="3"/>
  <c r="AE98" i="3"/>
  <c r="AA98" i="3"/>
  <c r="Z98" i="3"/>
  <c r="W98" i="3"/>
  <c r="V98" i="3"/>
  <c r="S98" i="3"/>
  <c r="R98" i="3"/>
  <c r="N98" i="3"/>
  <c r="M98" i="3"/>
  <c r="J98" i="3"/>
  <c r="I98" i="3"/>
  <c r="F98" i="3"/>
  <c r="E98" i="3"/>
  <c r="BD97" i="3"/>
  <c r="A428" i="4" s="1"/>
  <c r="AY97" i="3"/>
  <c r="AX97" i="3"/>
  <c r="AZ97" i="3" s="1"/>
  <c r="AU97" i="3"/>
  <c r="AT97" i="3"/>
  <c r="AR97" i="3"/>
  <c r="AQ97" i="3"/>
  <c r="AP97" i="3"/>
  <c r="AL97" i="3"/>
  <c r="AK97" i="3"/>
  <c r="AH97" i="3"/>
  <c r="AG97" i="3"/>
  <c r="AI97" i="3" s="1"/>
  <c r="AD97" i="3"/>
  <c r="AE97" i="3" s="1"/>
  <c r="AC97" i="3"/>
  <c r="Y97" i="3"/>
  <c r="X97" i="3"/>
  <c r="Z97" i="3" s="1"/>
  <c r="U97" i="3"/>
  <c r="T97" i="3"/>
  <c r="Q97" i="3"/>
  <c r="R97" i="3" s="1"/>
  <c r="P97" i="3"/>
  <c r="L97" i="3"/>
  <c r="M97" i="3" s="1"/>
  <c r="K97" i="3"/>
  <c r="H97" i="3"/>
  <c r="G97" i="3"/>
  <c r="D97" i="3"/>
  <c r="C97" i="3"/>
  <c r="BG96" i="3"/>
  <c r="BD96" i="3"/>
  <c r="AW96" i="3"/>
  <c r="AV96" i="3"/>
  <c r="AS96" i="3"/>
  <c r="AR96" i="3"/>
  <c r="AN96" i="3"/>
  <c r="AM96" i="3"/>
  <c r="AJ96" i="3"/>
  <c r="AI96" i="3"/>
  <c r="AF96" i="3"/>
  <c r="AE96" i="3"/>
  <c r="AA96" i="3"/>
  <c r="Z96" i="3"/>
  <c r="W96" i="3"/>
  <c r="V96" i="3"/>
  <c r="S96" i="3"/>
  <c r="R96" i="3"/>
  <c r="N96" i="3"/>
  <c r="M96" i="3"/>
  <c r="J96" i="3"/>
  <c r="I96" i="3"/>
  <c r="F96" i="3"/>
  <c r="E96" i="3"/>
  <c r="BD95" i="3"/>
  <c r="AR95" i="3"/>
  <c r="M95" i="3"/>
  <c r="I95" i="3"/>
  <c r="E95" i="3"/>
  <c r="BD93" i="3"/>
  <c r="M93" i="3"/>
  <c r="I93" i="3"/>
  <c r="E93" i="3"/>
  <c r="BG92" i="3"/>
  <c r="BE92" i="3"/>
  <c r="BD92" i="3"/>
  <c r="M92" i="3"/>
  <c r="I92" i="3"/>
  <c r="E92" i="3"/>
  <c r="BG91" i="3"/>
  <c r="BE91" i="3"/>
  <c r="BD91" i="3"/>
  <c r="AW91" i="3"/>
  <c r="AV91" i="3"/>
  <c r="AS91" i="3"/>
  <c r="AR91" i="3"/>
  <c r="AN91" i="3"/>
  <c r="AM91" i="3"/>
  <c r="AJ91" i="3"/>
  <c r="AI91" i="3"/>
  <c r="AF91" i="3"/>
  <c r="AE91" i="3"/>
  <c r="AA91" i="3"/>
  <c r="Z91" i="3"/>
  <c r="W91" i="3"/>
  <c r="V91" i="3"/>
  <c r="S91" i="3"/>
  <c r="R91" i="3"/>
  <c r="N91" i="3"/>
  <c r="M91" i="3"/>
  <c r="J91" i="3"/>
  <c r="I91" i="3"/>
  <c r="F91" i="3"/>
  <c r="E91" i="3"/>
  <c r="BD90" i="3"/>
  <c r="AY90" i="3"/>
  <c r="AX90" i="3"/>
  <c r="AZ90" i="3" s="1"/>
  <c r="AU90" i="3"/>
  <c r="AT90" i="3"/>
  <c r="AQ90" i="3"/>
  <c r="AR90" i="3" s="1"/>
  <c r="AP90" i="3"/>
  <c r="AL90" i="3"/>
  <c r="AK90" i="3"/>
  <c r="AH90" i="3"/>
  <c r="AI90" i="3" s="1"/>
  <c r="AG90" i="3"/>
  <c r="AD90" i="3"/>
  <c r="AC90" i="3"/>
  <c r="Z90" i="3"/>
  <c r="Y90" i="3"/>
  <c r="X90" i="3"/>
  <c r="U90" i="3"/>
  <c r="T90" i="3"/>
  <c r="Q90" i="3"/>
  <c r="P90" i="3"/>
  <c r="R90" i="3" s="1"/>
  <c r="L90" i="3"/>
  <c r="M90" i="3" s="1"/>
  <c r="K90" i="3"/>
  <c r="H90" i="3"/>
  <c r="G90" i="3"/>
  <c r="D90" i="3"/>
  <c r="C90" i="3"/>
  <c r="BD89" i="3"/>
  <c r="BE89" i="3"/>
  <c r="AW89" i="3"/>
  <c r="AV89" i="3"/>
  <c r="AS89" i="3"/>
  <c r="AR89" i="3"/>
  <c r="AN89" i="3"/>
  <c r="AM89" i="3"/>
  <c r="AJ89" i="3"/>
  <c r="AI89" i="3"/>
  <c r="AF89" i="3"/>
  <c r="AE89" i="3"/>
  <c r="AA89" i="3"/>
  <c r="Z89" i="3"/>
  <c r="W89" i="3"/>
  <c r="V89" i="3"/>
  <c r="S89" i="3"/>
  <c r="R89" i="3"/>
  <c r="N89" i="3"/>
  <c r="M89" i="3"/>
  <c r="J89" i="3"/>
  <c r="I89" i="3"/>
  <c r="F89" i="3"/>
  <c r="E89" i="3"/>
  <c r="BD88" i="3"/>
  <c r="A421" i="4" s="1"/>
  <c r="BG88" i="3"/>
  <c r="AW88" i="3"/>
  <c r="AV88" i="3"/>
  <c r="AS88" i="3"/>
  <c r="AR88" i="3"/>
  <c r="AN88" i="3"/>
  <c r="AM88" i="3"/>
  <c r="AJ88" i="3"/>
  <c r="AI88" i="3"/>
  <c r="AF88" i="3"/>
  <c r="AE88" i="3"/>
  <c r="AA88" i="3"/>
  <c r="Z88" i="3"/>
  <c r="W88" i="3"/>
  <c r="V88" i="3"/>
  <c r="S88" i="3"/>
  <c r="R88" i="3"/>
  <c r="N88" i="3"/>
  <c r="M88" i="3"/>
  <c r="J88" i="3"/>
  <c r="I88" i="3"/>
  <c r="F88" i="3"/>
  <c r="E88" i="3"/>
  <c r="BD87" i="3"/>
  <c r="AY87" i="3"/>
  <c r="AX87" i="3"/>
  <c r="AZ87" i="3" s="1"/>
  <c r="AU87" i="3"/>
  <c r="AT87" i="3"/>
  <c r="AV87" i="3" s="1"/>
  <c r="AQ87" i="3"/>
  <c r="AR87" i="3" s="1"/>
  <c r="AP87" i="3"/>
  <c r="AL87" i="3"/>
  <c r="AK87" i="3"/>
  <c r="AH87" i="3"/>
  <c r="AI87" i="3" s="1"/>
  <c r="AG87" i="3"/>
  <c r="AD87" i="3"/>
  <c r="AC87" i="3"/>
  <c r="Y87" i="3"/>
  <c r="X87" i="3"/>
  <c r="U87" i="3"/>
  <c r="V87" i="3" s="1"/>
  <c r="T87" i="3"/>
  <c r="Q87" i="3"/>
  <c r="P87" i="3"/>
  <c r="L87" i="3"/>
  <c r="K87" i="3"/>
  <c r="M87" i="3" s="1"/>
  <c r="H87" i="3"/>
  <c r="G87" i="3"/>
  <c r="D87" i="3"/>
  <c r="C87" i="3"/>
  <c r="BD86" i="3"/>
  <c r="AW86" i="3"/>
  <c r="AV86" i="3"/>
  <c r="AS86" i="3"/>
  <c r="AR86" i="3"/>
  <c r="AN86" i="3"/>
  <c r="AM86" i="3"/>
  <c r="AJ86" i="3"/>
  <c r="AI86" i="3"/>
  <c r="AF86" i="3"/>
  <c r="AE86" i="3"/>
  <c r="AA86" i="3"/>
  <c r="Z86" i="3"/>
  <c r="W86" i="3"/>
  <c r="V86" i="3"/>
  <c r="S86" i="3"/>
  <c r="R86" i="3"/>
  <c r="N86" i="3"/>
  <c r="M86" i="3"/>
  <c r="J86" i="3"/>
  <c r="I86" i="3"/>
  <c r="F86" i="3"/>
  <c r="E86" i="3"/>
  <c r="BD85" i="3"/>
  <c r="AY85" i="3"/>
  <c r="AX85" i="3"/>
  <c r="AZ85" i="3" s="1"/>
  <c r="AU85" i="3"/>
  <c r="AV85" i="3" s="1"/>
  <c r="AT85" i="3"/>
  <c r="AQ85" i="3"/>
  <c r="AR85" i="3" s="1"/>
  <c r="AP85" i="3"/>
  <c r="AL85" i="3"/>
  <c r="AK85" i="3"/>
  <c r="AM85" i="3" s="1"/>
  <c r="AH85" i="3"/>
  <c r="AI85" i="3" s="1"/>
  <c r="AG85" i="3"/>
  <c r="AD85" i="3"/>
  <c r="AE85" i="3" s="1"/>
  <c r="AC85" i="3"/>
  <c r="Y85" i="3"/>
  <c r="X85" i="3"/>
  <c r="U85" i="3"/>
  <c r="V85" i="3" s="1"/>
  <c r="T85" i="3"/>
  <c r="Q85" i="3"/>
  <c r="R85" i="3" s="1"/>
  <c r="P85" i="3"/>
  <c r="M85" i="3"/>
  <c r="L85" i="3"/>
  <c r="K85" i="3"/>
  <c r="H85" i="3"/>
  <c r="G85" i="3"/>
  <c r="D85" i="3"/>
  <c r="C85" i="3"/>
  <c r="E85" i="3" s="1"/>
  <c r="BG84" i="3"/>
  <c r="BE84" i="3"/>
  <c r="BD84" i="3"/>
  <c r="AW84" i="3"/>
  <c r="AV84" i="3"/>
  <c r="AS84" i="3"/>
  <c r="AR84" i="3"/>
  <c r="AN84" i="3"/>
  <c r="AM84" i="3"/>
  <c r="AJ84" i="3"/>
  <c r="AI84" i="3"/>
  <c r="AF84" i="3"/>
  <c r="AE84" i="3"/>
  <c r="AA84" i="3"/>
  <c r="Z84" i="3"/>
  <c r="W84" i="3"/>
  <c r="V84" i="3"/>
  <c r="S84" i="3"/>
  <c r="R84" i="3"/>
  <c r="N84" i="3"/>
  <c r="M84" i="3"/>
  <c r="J84" i="3"/>
  <c r="I84" i="3"/>
  <c r="F84" i="3"/>
  <c r="E84" i="3"/>
  <c r="BD83" i="3"/>
  <c r="BG83" i="3"/>
  <c r="AV83" i="3"/>
  <c r="AR83" i="3"/>
  <c r="AM83" i="3"/>
  <c r="AI83" i="3"/>
  <c r="AE83" i="3"/>
  <c r="Z83" i="3"/>
  <c r="V83" i="3"/>
  <c r="R83" i="3"/>
  <c r="M83" i="3"/>
  <c r="I83" i="3"/>
  <c r="E83" i="3"/>
  <c r="BD82" i="3"/>
  <c r="BG82" i="3"/>
  <c r="AR82" i="3"/>
  <c r="M82" i="3"/>
  <c r="I82" i="3"/>
  <c r="E82" i="3"/>
  <c r="BD80" i="3"/>
  <c r="BG80" i="3"/>
  <c r="M80" i="3"/>
  <c r="I80" i="3"/>
  <c r="E80" i="3"/>
  <c r="BG79" i="3"/>
  <c r="BD79" i="3"/>
  <c r="M79" i="3"/>
  <c r="I79" i="3"/>
  <c r="E79" i="3"/>
  <c r="BG78" i="3"/>
  <c r="BE78" i="3"/>
  <c r="BD78" i="3"/>
  <c r="AW78" i="3"/>
  <c r="AV78" i="3"/>
  <c r="AS78" i="3"/>
  <c r="AR78" i="3"/>
  <c r="AN78" i="3"/>
  <c r="AM78" i="3"/>
  <c r="AJ78" i="3"/>
  <c r="AI78" i="3"/>
  <c r="AF78" i="3"/>
  <c r="AE78" i="3"/>
  <c r="AA78" i="3"/>
  <c r="Z78" i="3"/>
  <c r="W78" i="3"/>
  <c r="V78" i="3"/>
  <c r="S78" i="3"/>
  <c r="R78" i="3"/>
  <c r="N78" i="3"/>
  <c r="M78" i="3"/>
  <c r="J78" i="3"/>
  <c r="I78" i="3"/>
  <c r="F78" i="3"/>
  <c r="E78" i="3"/>
  <c r="BD77" i="3"/>
  <c r="AY77" i="3"/>
  <c r="AZ77" i="3" s="1"/>
  <c r="AX77" i="3"/>
  <c r="AV77" i="3"/>
  <c r="AU77" i="3"/>
  <c r="AT77" i="3"/>
  <c r="AQ77" i="3"/>
  <c r="AP77" i="3"/>
  <c r="AM77" i="3"/>
  <c r="AL77" i="3"/>
  <c r="AK77" i="3"/>
  <c r="AH77" i="3"/>
  <c r="AI77" i="3" s="1"/>
  <c r="AG77" i="3"/>
  <c r="AD77" i="3"/>
  <c r="AC77" i="3"/>
  <c r="AE77" i="3" s="1"/>
  <c r="Y77" i="3"/>
  <c r="X77" i="3"/>
  <c r="U77" i="3"/>
  <c r="T77" i="3"/>
  <c r="Q77" i="3"/>
  <c r="R77" i="3" s="1"/>
  <c r="P77" i="3"/>
  <c r="L77" i="3"/>
  <c r="K77" i="3"/>
  <c r="H77" i="3"/>
  <c r="I77" i="3" s="1"/>
  <c r="G77" i="3"/>
  <c r="E77" i="3"/>
  <c r="D77" i="3"/>
  <c r="C77" i="3"/>
  <c r="BD76" i="3"/>
  <c r="BG76" i="3"/>
  <c r="AW76" i="3"/>
  <c r="AV76" i="3"/>
  <c r="AS76" i="3"/>
  <c r="AR76" i="3"/>
  <c r="AN76" i="3"/>
  <c r="AM76" i="3"/>
  <c r="AJ76" i="3"/>
  <c r="AI76" i="3"/>
  <c r="AF76" i="3"/>
  <c r="AE76" i="3"/>
  <c r="AA76" i="3"/>
  <c r="Z76" i="3"/>
  <c r="W76" i="3"/>
  <c r="V76" i="3"/>
  <c r="S76" i="3"/>
  <c r="R76" i="3"/>
  <c r="N76" i="3"/>
  <c r="M76" i="3"/>
  <c r="J76" i="3"/>
  <c r="I76" i="3"/>
  <c r="F76" i="3"/>
  <c r="E76" i="3"/>
  <c r="BD75" i="3"/>
  <c r="A412" i="4" s="1"/>
  <c r="BG75" i="3"/>
  <c r="AW75" i="3"/>
  <c r="AV75" i="3"/>
  <c r="AS75" i="3"/>
  <c r="AR75" i="3"/>
  <c r="AN75" i="3"/>
  <c r="AM75" i="3"/>
  <c r="AJ75" i="3"/>
  <c r="AI75" i="3"/>
  <c r="AF75" i="3"/>
  <c r="AE75" i="3"/>
  <c r="AA75" i="3"/>
  <c r="Z75" i="3"/>
  <c r="W75" i="3"/>
  <c r="V75" i="3"/>
  <c r="S75" i="3"/>
  <c r="R75" i="3"/>
  <c r="N75" i="3"/>
  <c r="M75" i="3"/>
  <c r="J75" i="3"/>
  <c r="I75" i="3"/>
  <c r="F75" i="3"/>
  <c r="E75" i="3"/>
  <c r="BD74" i="3"/>
  <c r="AY74" i="3"/>
  <c r="AX74" i="3"/>
  <c r="AZ74" i="3" s="1"/>
  <c r="AU74" i="3"/>
  <c r="AV74" i="3" s="1"/>
  <c r="AT74" i="3"/>
  <c r="AR74" i="3"/>
  <c r="AQ74" i="3"/>
  <c r="AP74" i="3"/>
  <c r="AL74" i="3"/>
  <c r="AK74" i="3"/>
  <c r="AH74" i="3"/>
  <c r="AI74" i="3" s="1"/>
  <c r="AG74" i="3"/>
  <c r="AD74" i="3"/>
  <c r="AC74" i="3"/>
  <c r="Y74" i="3"/>
  <c r="X74" i="3"/>
  <c r="Z74" i="3" s="1"/>
  <c r="U74" i="3"/>
  <c r="T74" i="3"/>
  <c r="Q74" i="3"/>
  <c r="P74" i="3"/>
  <c r="L74" i="3"/>
  <c r="M74" i="3" s="1"/>
  <c r="K74" i="3"/>
  <c r="H74" i="3"/>
  <c r="G74" i="3"/>
  <c r="D74" i="3"/>
  <c r="E74" i="3" s="1"/>
  <c r="C74" i="3"/>
  <c r="BG73" i="3"/>
  <c r="BD73" i="3"/>
  <c r="AW73" i="3"/>
  <c r="AV73" i="3"/>
  <c r="AS73" i="3"/>
  <c r="AR73" i="3"/>
  <c r="AN73" i="3"/>
  <c r="AM73" i="3"/>
  <c r="AJ73" i="3"/>
  <c r="AI73" i="3"/>
  <c r="AF73" i="3"/>
  <c r="AE73" i="3"/>
  <c r="AA73" i="3"/>
  <c r="Z73" i="3"/>
  <c r="W73" i="3"/>
  <c r="V73" i="3"/>
  <c r="S73" i="3"/>
  <c r="R73" i="3"/>
  <c r="N73" i="3"/>
  <c r="M73" i="3"/>
  <c r="J73" i="3"/>
  <c r="I73" i="3"/>
  <c r="F73" i="3"/>
  <c r="E73" i="3"/>
  <c r="BD72" i="3"/>
  <c r="A411" i="4" s="1"/>
  <c r="AY72" i="3"/>
  <c r="AX72" i="3"/>
  <c r="AZ72" i="3" s="1"/>
  <c r="AU72" i="3"/>
  <c r="AV72" i="3" s="1"/>
  <c r="AT72" i="3"/>
  <c r="AQ72" i="3"/>
  <c r="AP72" i="3"/>
  <c r="AL72" i="3"/>
  <c r="AM72" i="3" s="1"/>
  <c r="AK72" i="3"/>
  <c r="AH72" i="3"/>
  <c r="AI72" i="3" s="1"/>
  <c r="AG72" i="3"/>
  <c r="AD72" i="3"/>
  <c r="AE72" i="3" s="1"/>
  <c r="AC72" i="3"/>
  <c r="Z72" i="3"/>
  <c r="Y72" i="3"/>
  <c r="X72" i="3"/>
  <c r="U72" i="3"/>
  <c r="T72" i="3"/>
  <c r="Q72" i="3"/>
  <c r="P72" i="3"/>
  <c r="R72" i="3" s="1"/>
  <c r="L72" i="3"/>
  <c r="K72" i="3"/>
  <c r="H72" i="3"/>
  <c r="I72" i="3" s="1"/>
  <c r="G72" i="3"/>
  <c r="D72" i="3"/>
  <c r="C72" i="3"/>
  <c r="BG71" i="3"/>
  <c r="BD71" i="3"/>
  <c r="AW71" i="3"/>
  <c r="AV71" i="3"/>
  <c r="AS71" i="3"/>
  <c r="AR71" i="3"/>
  <c r="AN71" i="3"/>
  <c r="AM71" i="3"/>
  <c r="AJ71" i="3"/>
  <c r="AI71" i="3"/>
  <c r="AF71" i="3"/>
  <c r="AE71" i="3"/>
  <c r="AA71" i="3"/>
  <c r="Z71" i="3"/>
  <c r="W71" i="3"/>
  <c r="V71" i="3"/>
  <c r="S71" i="3"/>
  <c r="R71" i="3"/>
  <c r="N71" i="3"/>
  <c r="M71" i="3"/>
  <c r="J71" i="3"/>
  <c r="I71" i="3"/>
  <c r="F71" i="3"/>
  <c r="E71" i="3"/>
  <c r="BD70" i="3"/>
  <c r="BG70" i="3"/>
  <c r="AV70" i="3"/>
  <c r="AR70" i="3"/>
  <c r="AM70" i="3"/>
  <c r="AI70" i="3"/>
  <c r="AE70" i="3"/>
  <c r="Z70" i="3"/>
  <c r="V70" i="3"/>
  <c r="R70" i="3"/>
  <c r="M70" i="3"/>
  <c r="I70" i="3"/>
  <c r="E70" i="3"/>
  <c r="BD69" i="3"/>
  <c r="BG69" i="3"/>
  <c r="AR69" i="3"/>
  <c r="M69" i="3"/>
  <c r="I69" i="3"/>
  <c r="E69" i="3"/>
  <c r="BD67" i="3"/>
  <c r="M67" i="3"/>
  <c r="I67" i="3"/>
  <c r="E67" i="3"/>
  <c r="BD66" i="3"/>
  <c r="M66" i="3"/>
  <c r="I66" i="3"/>
  <c r="E66" i="3"/>
  <c r="BG65" i="3"/>
  <c r="BE65" i="3"/>
  <c r="BD65" i="3"/>
  <c r="AW65" i="3"/>
  <c r="AV65" i="3"/>
  <c r="AS65" i="3"/>
  <c r="AR65" i="3"/>
  <c r="AN65" i="3"/>
  <c r="AM65" i="3"/>
  <c r="AJ65" i="3"/>
  <c r="AI65" i="3"/>
  <c r="AF65" i="3"/>
  <c r="AE65" i="3"/>
  <c r="AA65" i="3"/>
  <c r="Z65" i="3"/>
  <c r="W65" i="3"/>
  <c r="V65" i="3"/>
  <c r="S65" i="3"/>
  <c r="R65" i="3"/>
  <c r="N65" i="3"/>
  <c r="M65" i="3"/>
  <c r="J65" i="3"/>
  <c r="I65" i="3"/>
  <c r="F65" i="3"/>
  <c r="E65" i="3"/>
  <c r="BD64" i="3"/>
  <c r="AY64" i="3"/>
  <c r="BA64" i="3" s="1"/>
  <c r="AX64" i="3"/>
  <c r="AZ64" i="3" s="1"/>
  <c r="AU64" i="3"/>
  <c r="AV64" i="3" s="1"/>
  <c r="AT64" i="3"/>
  <c r="AQ64" i="3"/>
  <c r="AR64" i="3" s="1"/>
  <c r="AP64" i="3"/>
  <c r="AL64" i="3"/>
  <c r="AK64" i="3"/>
  <c r="AM64" i="3" s="1"/>
  <c r="AH64" i="3"/>
  <c r="AG64" i="3"/>
  <c r="AD64" i="3"/>
  <c r="AC64" i="3"/>
  <c r="Z64" i="3"/>
  <c r="Y64" i="3"/>
  <c r="X64" i="3"/>
  <c r="U64" i="3"/>
  <c r="V64" i="3" s="1"/>
  <c r="T64" i="3"/>
  <c r="Q64" i="3"/>
  <c r="P64" i="3"/>
  <c r="L64" i="3"/>
  <c r="M64" i="3" s="1"/>
  <c r="K64" i="3"/>
  <c r="H64" i="3"/>
  <c r="G64" i="3"/>
  <c r="D64" i="3"/>
  <c r="C64" i="3"/>
  <c r="BD63" i="3"/>
  <c r="AW63" i="3"/>
  <c r="AV63" i="3"/>
  <c r="AS63" i="3"/>
  <c r="AR63" i="3"/>
  <c r="AN63" i="3"/>
  <c r="AM63" i="3"/>
  <c r="AJ63" i="3"/>
  <c r="AI63" i="3"/>
  <c r="AF63" i="3"/>
  <c r="AE63" i="3"/>
  <c r="AA63" i="3"/>
  <c r="Z63" i="3"/>
  <c r="W63" i="3"/>
  <c r="V63" i="3"/>
  <c r="S63" i="3"/>
  <c r="R63" i="3"/>
  <c r="N63" i="3"/>
  <c r="M63" i="3"/>
  <c r="J63" i="3"/>
  <c r="I63" i="3"/>
  <c r="F63" i="3"/>
  <c r="E63" i="3"/>
  <c r="BD62" i="3"/>
  <c r="A403" i="4" s="1"/>
  <c r="BG62" i="3"/>
  <c r="AW62" i="3"/>
  <c r="AV62" i="3"/>
  <c r="AS62" i="3"/>
  <c r="AR62" i="3"/>
  <c r="AN62" i="3"/>
  <c r="AM62" i="3"/>
  <c r="AJ62" i="3"/>
  <c r="AI62" i="3"/>
  <c r="AF62" i="3"/>
  <c r="AE62" i="3"/>
  <c r="AA62" i="3"/>
  <c r="Z62" i="3"/>
  <c r="W62" i="3"/>
  <c r="V62" i="3"/>
  <c r="S62" i="3"/>
  <c r="R62" i="3"/>
  <c r="N62" i="3"/>
  <c r="M62" i="3"/>
  <c r="J62" i="3"/>
  <c r="I62" i="3"/>
  <c r="F62" i="3"/>
  <c r="E62" i="3"/>
  <c r="BD61" i="3"/>
  <c r="AY61" i="3"/>
  <c r="AX61" i="3"/>
  <c r="AZ61" i="3" s="1"/>
  <c r="AU61" i="3"/>
  <c r="AV61" i="3" s="1"/>
  <c r="AT61" i="3"/>
  <c r="AQ61" i="3"/>
  <c r="AP61" i="3"/>
  <c r="AL61" i="3"/>
  <c r="AK61" i="3"/>
  <c r="AH61" i="3"/>
  <c r="AI61" i="3" s="1"/>
  <c r="AG61" i="3"/>
  <c r="AD61" i="3"/>
  <c r="AC61" i="3"/>
  <c r="AE61" i="3" s="1"/>
  <c r="Y61" i="3"/>
  <c r="X61" i="3"/>
  <c r="Z61" i="3" s="1"/>
  <c r="V61" i="3"/>
  <c r="U61" i="3"/>
  <c r="T61" i="3"/>
  <c r="Q61" i="3"/>
  <c r="R61" i="3" s="1"/>
  <c r="P61" i="3"/>
  <c r="L61" i="3"/>
  <c r="K61" i="3"/>
  <c r="H61" i="3"/>
  <c r="I61" i="3" s="1"/>
  <c r="G61" i="3"/>
  <c r="D61" i="3"/>
  <c r="E61" i="3" s="1"/>
  <c r="C61" i="3"/>
  <c r="BD60" i="3"/>
  <c r="AW60" i="3"/>
  <c r="AV60" i="3"/>
  <c r="AS60" i="3"/>
  <c r="AR60" i="3"/>
  <c r="AN60" i="3"/>
  <c r="AM60" i="3"/>
  <c r="AJ60" i="3"/>
  <c r="AI60" i="3"/>
  <c r="AF60" i="3"/>
  <c r="AE60" i="3"/>
  <c r="AA60" i="3"/>
  <c r="Z60" i="3"/>
  <c r="W60" i="3"/>
  <c r="V60" i="3"/>
  <c r="S60" i="3"/>
  <c r="R60" i="3"/>
  <c r="N60" i="3"/>
  <c r="M60" i="3"/>
  <c r="J60" i="3"/>
  <c r="I60" i="3"/>
  <c r="F60" i="3"/>
  <c r="E60" i="3"/>
  <c r="BD59" i="3"/>
  <c r="A402" i="4" s="1"/>
  <c r="AY59" i="3"/>
  <c r="AX59" i="3"/>
  <c r="AZ59" i="3" s="1"/>
  <c r="AU59" i="3"/>
  <c r="AT59" i="3"/>
  <c r="AQ59" i="3"/>
  <c r="AR59" i="3" s="1"/>
  <c r="AP59" i="3"/>
  <c r="AL59" i="3"/>
  <c r="AM59" i="3" s="1"/>
  <c r="AK59" i="3"/>
  <c r="AH59" i="3"/>
  <c r="AG59" i="3"/>
  <c r="AD59" i="3"/>
  <c r="AC59" i="3"/>
  <c r="Z59" i="3"/>
  <c r="Y59" i="3"/>
  <c r="X59" i="3"/>
  <c r="U59" i="3"/>
  <c r="T59" i="3"/>
  <c r="Q59" i="3"/>
  <c r="P59" i="3"/>
  <c r="R59" i="3" s="1"/>
  <c r="L59" i="3"/>
  <c r="M59" i="3" s="1"/>
  <c r="K59" i="3"/>
  <c r="H59" i="3"/>
  <c r="G59" i="3"/>
  <c r="D59" i="3"/>
  <c r="C59" i="3"/>
  <c r="BD58" i="3"/>
  <c r="AW58" i="3"/>
  <c r="AV58" i="3"/>
  <c r="AS58" i="3"/>
  <c r="AR58" i="3"/>
  <c r="AN58" i="3"/>
  <c r="AM58" i="3"/>
  <c r="AJ58" i="3"/>
  <c r="AI58" i="3"/>
  <c r="AF58" i="3"/>
  <c r="AE58" i="3"/>
  <c r="AA58" i="3"/>
  <c r="Z58" i="3"/>
  <c r="W58" i="3"/>
  <c r="V58" i="3"/>
  <c r="S58" i="3"/>
  <c r="R58" i="3"/>
  <c r="N58" i="3"/>
  <c r="M58" i="3"/>
  <c r="J58" i="3"/>
  <c r="I58" i="3"/>
  <c r="F58" i="3"/>
  <c r="E58" i="3"/>
  <c r="BD57" i="3"/>
  <c r="BG57" i="3"/>
  <c r="AV57" i="3"/>
  <c r="AR57" i="3"/>
  <c r="AM57" i="3"/>
  <c r="AI57" i="3"/>
  <c r="AE57" i="3"/>
  <c r="Z57" i="3"/>
  <c r="V57" i="3"/>
  <c r="R57" i="3"/>
  <c r="M57" i="3"/>
  <c r="I57" i="3"/>
  <c r="E57" i="3"/>
  <c r="BD56" i="3"/>
  <c r="BG56" i="3"/>
  <c r="AR56" i="3"/>
  <c r="M56" i="3"/>
  <c r="I56" i="3"/>
  <c r="E56" i="3"/>
  <c r="BD54" i="3"/>
  <c r="M54" i="3"/>
  <c r="I54" i="3"/>
  <c r="E54" i="3"/>
  <c r="BD53" i="3"/>
  <c r="M53" i="3"/>
  <c r="I53" i="3"/>
  <c r="E53" i="3"/>
  <c r="BD52" i="3"/>
  <c r="BE52" i="3"/>
  <c r="AW52" i="3"/>
  <c r="AV52" i="3"/>
  <c r="AS52" i="3"/>
  <c r="AR52" i="3"/>
  <c r="AN52" i="3"/>
  <c r="AM52" i="3"/>
  <c r="AJ52" i="3"/>
  <c r="AI52" i="3"/>
  <c r="AF52" i="3"/>
  <c r="AE52" i="3"/>
  <c r="AA52" i="3"/>
  <c r="Z52" i="3"/>
  <c r="W52" i="3"/>
  <c r="V52" i="3"/>
  <c r="S52" i="3"/>
  <c r="R52" i="3"/>
  <c r="N52" i="3"/>
  <c r="M52" i="3"/>
  <c r="J52" i="3"/>
  <c r="I52" i="3"/>
  <c r="F52" i="3"/>
  <c r="E52" i="3"/>
  <c r="BD51" i="3"/>
  <c r="AY51" i="3"/>
  <c r="BA51" i="3" s="1"/>
  <c r="AX51" i="3"/>
  <c r="AZ51" i="3" s="1"/>
  <c r="BG51" i="3" s="1"/>
  <c r="AU51" i="3"/>
  <c r="AT51" i="3"/>
  <c r="AQ51" i="3"/>
  <c r="AP51" i="3"/>
  <c r="AL51" i="3"/>
  <c r="AM51" i="3" s="1"/>
  <c r="AK51" i="3"/>
  <c r="AH51" i="3"/>
  <c r="AI51" i="3" s="1"/>
  <c r="AG51" i="3"/>
  <c r="AD51" i="3"/>
  <c r="AC51" i="3"/>
  <c r="Y51" i="3"/>
  <c r="X51" i="3"/>
  <c r="Z51" i="3" s="1"/>
  <c r="U51" i="3"/>
  <c r="T51" i="3"/>
  <c r="Q51" i="3"/>
  <c r="P51" i="3"/>
  <c r="R51" i="3" s="1"/>
  <c r="L51" i="3"/>
  <c r="K51" i="3"/>
  <c r="H51" i="3"/>
  <c r="G51" i="3"/>
  <c r="I51" i="3" s="1"/>
  <c r="D51" i="3"/>
  <c r="E51" i="3" s="1"/>
  <c r="C51" i="3"/>
  <c r="BD50" i="3"/>
  <c r="BG50" i="3"/>
  <c r="AW50" i="3"/>
  <c r="AV50" i="3"/>
  <c r="AS50" i="3"/>
  <c r="AR50" i="3"/>
  <c r="AN50" i="3"/>
  <c r="AM50" i="3"/>
  <c r="AJ50" i="3"/>
  <c r="AI50" i="3"/>
  <c r="AF50" i="3"/>
  <c r="AE50" i="3"/>
  <c r="AA50" i="3"/>
  <c r="Z50" i="3"/>
  <c r="W50" i="3"/>
  <c r="V50" i="3"/>
  <c r="S50" i="3"/>
  <c r="R50" i="3"/>
  <c r="N50" i="3"/>
  <c r="M50" i="3"/>
  <c r="J50" i="3"/>
  <c r="I50" i="3"/>
  <c r="F50" i="3"/>
  <c r="E50" i="3"/>
  <c r="BG49" i="3"/>
  <c r="BD49" i="3"/>
  <c r="AW49" i="3"/>
  <c r="AV49" i="3"/>
  <c r="AS49" i="3"/>
  <c r="AR49" i="3"/>
  <c r="AN49" i="3"/>
  <c r="AM49" i="3"/>
  <c r="AJ49" i="3"/>
  <c r="AI49" i="3"/>
  <c r="AF49" i="3"/>
  <c r="AE49" i="3"/>
  <c r="AA49" i="3"/>
  <c r="Z49" i="3"/>
  <c r="W49" i="3"/>
  <c r="V49" i="3"/>
  <c r="S49" i="3"/>
  <c r="R49" i="3"/>
  <c r="N49" i="3"/>
  <c r="M49" i="3"/>
  <c r="J49" i="3"/>
  <c r="I49" i="3"/>
  <c r="F49" i="3"/>
  <c r="E49" i="3"/>
  <c r="BD48" i="3"/>
  <c r="AY48" i="3"/>
  <c r="BA48" i="3" s="1"/>
  <c r="AX48" i="3"/>
  <c r="AU48" i="3"/>
  <c r="AT48" i="3"/>
  <c r="AQ48" i="3"/>
  <c r="AP48" i="3"/>
  <c r="AL48" i="3"/>
  <c r="AK48" i="3"/>
  <c r="AH48" i="3"/>
  <c r="AI48" i="3" s="1"/>
  <c r="AG48" i="3"/>
  <c r="AD48" i="3"/>
  <c r="AC48" i="3"/>
  <c r="Y48" i="3"/>
  <c r="X48" i="3"/>
  <c r="U48" i="3"/>
  <c r="T48" i="3"/>
  <c r="V48" i="3" s="1"/>
  <c r="Q48" i="3"/>
  <c r="P48" i="3"/>
  <c r="L48" i="3"/>
  <c r="M48" i="3" s="1"/>
  <c r="K48" i="3"/>
  <c r="H48" i="3"/>
  <c r="I48" i="3" s="1"/>
  <c r="G48" i="3"/>
  <c r="D48" i="3"/>
  <c r="C48" i="3"/>
  <c r="E48" i="3" s="1"/>
  <c r="BD47" i="3"/>
  <c r="AW47" i="3"/>
  <c r="AV47" i="3"/>
  <c r="AS47" i="3"/>
  <c r="AR47" i="3"/>
  <c r="AN47" i="3"/>
  <c r="AM47" i="3"/>
  <c r="AJ47" i="3"/>
  <c r="AI47" i="3"/>
  <c r="AF47" i="3"/>
  <c r="AE47" i="3"/>
  <c r="AA47" i="3"/>
  <c r="Z47" i="3"/>
  <c r="W47" i="3"/>
  <c r="V47" i="3"/>
  <c r="S47" i="3"/>
  <c r="R47" i="3"/>
  <c r="N47" i="3"/>
  <c r="M47" i="3"/>
  <c r="J47" i="3"/>
  <c r="I47" i="3"/>
  <c r="F47" i="3"/>
  <c r="E47" i="3"/>
  <c r="BD46" i="3"/>
  <c r="A393" i="4" s="1"/>
  <c r="AY46" i="3"/>
  <c r="AX46" i="3"/>
  <c r="AZ46" i="3" s="1"/>
  <c r="AV46" i="3"/>
  <c r="AU46" i="3"/>
  <c r="AT46" i="3"/>
  <c r="AQ46" i="3"/>
  <c r="AP46" i="3"/>
  <c r="AL46" i="3"/>
  <c r="AK46" i="3"/>
  <c r="AH46" i="3"/>
  <c r="AG46" i="3"/>
  <c r="AD46" i="3"/>
  <c r="AC46" i="3"/>
  <c r="Y46" i="3"/>
  <c r="X46" i="3"/>
  <c r="U46" i="3"/>
  <c r="T46" i="3"/>
  <c r="Q46" i="3"/>
  <c r="R46" i="3" s="1"/>
  <c r="P46" i="3"/>
  <c r="L46" i="3"/>
  <c r="M46" i="3" s="1"/>
  <c r="K46" i="3"/>
  <c r="H46" i="3"/>
  <c r="G46" i="3"/>
  <c r="D46" i="3"/>
  <c r="E46" i="3" s="1"/>
  <c r="C46" i="3"/>
  <c r="BD45" i="3"/>
  <c r="AW45" i="3"/>
  <c r="AV45" i="3"/>
  <c r="AS45" i="3"/>
  <c r="AR45" i="3"/>
  <c r="AN45" i="3"/>
  <c r="AM45" i="3"/>
  <c r="AJ45" i="3"/>
  <c r="AI45" i="3"/>
  <c r="AF45" i="3"/>
  <c r="AE45" i="3"/>
  <c r="AA45" i="3"/>
  <c r="Z45" i="3"/>
  <c r="W45" i="3"/>
  <c r="V45" i="3"/>
  <c r="S45" i="3"/>
  <c r="R45" i="3"/>
  <c r="N45" i="3"/>
  <c r="M45" i="3"/>
  <c r="J45" i="3"/>
  <c r="I45" i="3"/>
  <c r="F45" i="3"/>
  <c r="E45" i="3"/>
  <c r="BD44" i="3"/>
  <c r="AR44" i="3"/>
  <c r="M44" i="3"/>
  <c r="I44" i="3"/>
  <c r="E44" i="3"/>
  <c r="AZ42" i="3"/>
  <c r="M42" i="3"/>
  <c r="I42" i="3"/>
  <c r="E42" i="3"/>
  <c r="AZ41" i="3"/>
  <c r="M41" i="3"/>
  <c r="I41" i="3"/>
  <c r="E41" i="3"/>
  <c r="AW40" i="3"/>
  <c r="AV40" i="3"/>
  <c r="AS40" i="3"/>
  <c r="AR40" i="3"/>
  <c r="AN40" i="3"/>
  <c r="AM40" i="3"/>
  <c r="AJ40" i="3"/>
  <c r="AI40" i="3"/>
  <c r="AF40" i="3"/>
  <c r="AE40" i="3"/>
  <c r="AA40" i="3"/>
  <c r="Z40" i="3"/>
  <c r="W40" i="3"/>
  <c r="V40" i="3"/>
  <c r="S40" i="3"/>
  <c r="R40" i="3"/>
  <c r="N40" i="3"/>
  <c r="M40" i="3"/>
  <c r="J40" i="3"/>
  <c r="I40" i="3"/>
  <c r="F40" i="3"/>
  <c r="E40" i="3"/>
  <c r="AY39" i="3"/>
  <c r="BA39" i="3" s="1"/>
  <c r="AX39" i="3"/>
  <c r="AU39" i="3"/>
  <c r="AV39" i="3" s="1"/>
  <c r="AT39" i="3"/>
  <c r="AQ39" i="3"/>
  <c r="AP39" i="3"/>
  <c r="AL39" i="3"/>
  <c r="AK39" i="3"/>
  <c r="AH39" i="3"/>
  <c r="AI39" i="3" s="1"/>
  <c r="AG39" i="3"/>
  <c r="AD39" i="3"/>
  <c r="AE39" i="3" s="1"/>
  <c r="AC39" i="3"/>
  <c r="Y39" i="3"/>
  <c r="Z39" i="3" s="1"/>
  <c r="X39" i="3"/>
  <c r="U39" i="3"/>
  <c r="T39" i="3"/>
  <c r="Q39" i="3"/>
  <c r="P39" i="3"/>
  <c r="L39" i="3"/>
  <c r="M39" i="3" s="1"/>
  <c r="K39" i="3"/>
  <c r="H39" i="3"/>
  <c r="I39" i="3" s="1"/>
  <c r="G39" i="3"/>
  <c r="D39" i="3"/>
  <c r="E39" i="3" s="1"/>
  <c r="C39" i="3"/>
  <c r="AW38" i="3"/>
  <c r="AV38" i="3"/>
  <c r="AS38" i="3"/>
  <c r="AR38" i="3"/>
  <c r="AN38" i="3"/>
  <c r="AM38" i="3"/>
  <c r="AJ38" i="3"/>
  <c r="AI38" i="3"/>
  <c r="AF38" i="3"/>
  <c r="AE38" i="3"/>
  <c r="AA38" i="3"/>
  <c r="Z38" i="3"/>
  <c r="W38" i="3"/>
  <c r="V38" i="3"/>
  <c r="S38" i="3"/>
  <c r="R38" i="3"/>
  <c r="N38" i="3"/>
  <c r="M38" i="3"/>
  <c r="J38" i="3"/>
  <c r="I38" i="3"/>
  <c r="F38" i="3"/>
  <c r="E38" i="3"/>
  <c r="AW37" i="3"/>
  <c r="AV37" i="3"/>
  <c r="AS37" i="3"/>
  <c r="AR37" i="3"/>
  <c r="AN37" i="3"/>
  <c r="AM37" i="3"/>
  <c r="AJ37" i="3"/>
  <c r="AI37" i="3"/>
  <c r="AF37" i="3"/>
  <c r="AE37" i="3"/>
  <c r="AA37" i="3"/>
  <c r="Z37" i="3"/>
  <c r="W37" i="3"/>
  <c r="V37" i="3"/>
  <c r="S37" i="3"/>
  <c r="R37" i="3"/>
  <c r="N37" i="3"/>
  <c r="M37" i="3"/>
  <c r="J37" i="3"/>
  <c r="I37" i="3"/>
  <c r="F37" i="3"/>
  <c r="E37" i="3"/>
  <c r="AY36" i="3"/>
  <c r="BA36" i="3" s="1"/>
  <c r="AX36" i="3"/>
  <c r="AU36" i="3"/>
  <c r="AV36" i="3" s="1"/>
  <c r="AT36" i="3"/>
  <c r="AQ36" i="3"/>
  <c r="AP36" i="3"/>
  <c r="AR36" i="3" s="1"/>
  <c r="AL36" i="3"/>
  <c r="AK36" i="3"/>
  <c r="AH36" i="3"/>
  <c r="AG36" i="3"/>
  <c r="AE36" i="3"/>
  <c r="AD36" i="3"/>
  <c r="AC36" i="3"/>
  <c r="Y36" i="3"/>
  <c r="X36" i="3"/>
  <c r="U36" i="3"/>
  <c r="T36" i="3"/>
  <c r="Q36" i="3"/>
  <c r="R36" i="3" s="1"/>
  <c r="P36" i="3"/>
  <c r="L36" i="3"/>
  <c r="M36" i="3" s="1"/>
  <c r="K36" i="3"/>
  <c r="H36" i="3"/>
  <c r="I36" i="3" s="1"/>
  <c r="G36" i="3"/>
  <c r="D36" i="3"/>
  <c r="C36" i="3"/>
  <c r="AW35" i="3"/>
  <c r="AV35" i="3"/>
  <c r="AS35" i="3"/>
  <c r="AR35" i="3"/>
  <c r="AN35" i="3"/>
  <c r="AM35" i="3"/>
  <c r="AJ35" i="3"/>
  <c r="AI35" i="3"/>
  <c r="AF35" i="3"/>
  <c r="AE35" i="3"/>
  <c r="AA35" i="3"/>
  <c r="Z35" i="3"/>
  <c r="W35" i="3"/>
  <c r="V35" i="3"/>
  <c r="S35" i="3"/>
  <c r="R35" i="3"/>
  <c r="N35" i="3"/>
  <c r="M35" i="3"/>
  <c r="J35" i="3"/>
  <c r="I35" i="3"/>
  <c r="F35" i="3"/>
  <c r="E35" i="3"/>
  <c r="AY34" i="3"/>
  <c r="BA34" i="3" s="1"/>
  <c r="AX34" i="3"/>
  <c r="AU34" i="3"/>
  <c r="AV34" i="3" s="1"/>
  <c r="AT34" i="3"/>
  <c r="AQ34" i="3"/>
  <c r="AP34" i="3"/>
  <c r="AL34" i="3"/>
  <c r="AK34" i="3"/>
  <c r="AH34" i="3"/>
  <c r="AG34" i="3"/>
  <c r="AI34" i="3" s="1"/>
  <c r="AD34" i="3"/>
  <c r="AC34" i="3"/>
  <c r="Y34" i="3"/>
  <c r="Z34" i="3" s="1"/>
  <c r="X34" i="3"/>
  <c r="U34" i="3"/>
  <c r="T34" i="3"/>
  <c r="V34" i="3" s="1"/>
  <c r="Q34" i="3"/>
  <c r="P34" i="3"/>
  <c r="R34" i="3" s="1"/>
  <c r="L34" i="3"/>
  <c r="M34" i="3" s="1"/>
  <c r="K34" i="3"/>
  <c r="H34" i="3"/>
  <c r="I34" i="3" s="1"/>
  <c r="G34" i="3"/>
  <c r="D34" i="3"/>
  <c r="C34" i="3"/>
  <c r="AW33" i="3"/>
  <c r="AV33" i="3"/>
  <c r="AS33" i="3"/>
  <c r="AR33" i="3"/>
  <c r="AN33" i="3"/>
  <c r="AM33" i="3"/>
  <c r="AJ33" i="3"/>
  <c r="AI33" i="3"/>
  <c r="AF33" i="3"/>
  <c r="AE33" i="3"/>
  <c r="AA33" i="3"/>
  <c r="Z33" i="3"/>
  <c r="W33" i="3"/>
  <c r="V33" i="3"/>
  <c r="S33" i="3"/>
  <c r="R33" i="3"/>
  <c r="N33" i="3"/>
  <c r="M33" i="3"/>
  <c r="J33" i="3"/>
  <c r="I33" i="3"/>
  <c r="F33" i="3"/>
  <c r="E33" i="3"/>
  <c r="AV32" i="3"/>
  <c r="AR32" i="3"/>
  <c r="AM32" i="3"/>
  <c r="AI32" i="3"/>
  <c r="AE32" i="3"/>
  <c r="Z32" i="3"/>
  <c r="V32" i="3"/>
  <c r="R32" i="3"/>
  <c r="M32" i="3"/>
  <c r="I32" i="3"/>
  <c r="E32" i="3"/>
  <c r="AZ31" i="3"/>
  <c r="AR31" i="3"/>
  <c r="M31" i="3"/>
  <c r="I31" i="3"/>
  <c r="E31" i="3"/>
  <c r="BD29" i="3"/>
  <c r="BG29" i="3"/>
  <c r="M29" i="3"/>
  <c r="I29" i="3"/>
  <c r="E29" i="3"/>
  <c r="BG28" i="3"/>
  <c r="BD28" i="3"/>
  <c r="BE28" i="3"/>
  <c r="M28" i="3"/>
  <c r="I28" i="3"/>
  <c r="E28" i="3"/>
  <c r="BE27" i="3"/>
  <c r="BD27" i="3"/>
  <c r="BG27" i="3"/>
  <c r="AW27" i="3"/>
  <c r="AV27" i="3"/>
  <c r="AS27" i="3"/>
  <c r="AR27" i="3"/>
  <c r="AN27" i="3"/>
  <c r="AM27" i="3"/>
  <c r="AJ27" i="3"/>
  <c r="AI27" i="3"/>
  <c r="AF27" i="3"/>
  <c r="AE27" i="3"/>
  <c r="AA27" i="3"/>
  <c r="Z27" i="3"/>
  <c r="W27" i="3"/>
  <c r="V27" i="3"/>
  <c r="S27" i="3"/>
  <c r="R27" i="3"/>
  <c r="N27" i="3"/>
  <c r="M27" i="3"/>
  <c r="J27" i="3"/>
  <c r="I27" i="3"/>
  <c r="F27" i="3"/>
  <c r="E27" i="3"/>
  <c r="BD26" i="3"/>
  <c r="AY26" i="3"/>
  <c r="BA26" i="3" s="1"/>
  <c r="AX26" i="3"/>
  <c r="AU26" i="3"/>
  <c r="AV26" i="3" s="1"/>
  <c r="AT26" i="3"/>
  <c r="AQ26" i="3"/>
  <c r="AR26" i="3" s="1"/>
  <c r="AP26" i="3"/>
  <c r="AL26" i="3"/>
  <c r="AM26" i="3" s="1"/>
  <c r="AK26" i="3"/>
  <c r="AH26" i="3"/>
  <c r="AG26" i="3"/>
  <c r="AD26" i="3"/>
  <c r="AC26" i="3"/>
  <c r="AE26" i="3" s="1"/>
  <c r="Y26" i="3"/>
  <c r="X26" i="3"/>
  <c r="U26" i="3"/>
  <c r="V26" i="3" s="1"/>
  <c r="T26" i="3"/>
  <c r="Q26" i="3"/>
  <c r="P26" i="3"/>
  <c r="L26" i="3"/>
  <c r="K26" i="3"/>
  <c r="H26" i="3"/>
  <c r="G26" i="3"/>
  <c r="D26" i="3"/>
  <c r="C26" i="3"/>
  <c r="E26" i="3" s="1"/>
  <c r="BD25" i="3"/>
  <c r="BG25" i="3"/>
  <c r="AW25" i="3"/>
  <c r="AV25" i="3"/>
  <c r="AS25" i="3"/>
  <c r="AR25" i="3"/>
  <c r="AN25" i="3"/>
  <c r="AM25" i="3"/>
  <c r="AJ25" i="3"/>
  <c r="AI25" i="3"/>
  <c r="AF25" i="3"/>
  <c r="AE25" i="3"/>
  <c r="AA25" i="3"/>
  <c r="Z25" i="3"/>
  <c r="W25" i="3"/>
  <c r="V25" i="3"/>
  <c r="S25" i="3"/>
  <c r="R25" i="3"/>
  <c r="N25" i="3"/>
  <c r="M25" i="3"/>
  <c r="J25" i="3"/>
  <c r="I25" i="3"/>
  <c r="F25" i="3"/>
  <c r="E25" i="3"/>
  <c r="BD24" i="3"/>
  <c r="A386" i="4" s="1"/>
  <c r="BG24" i="3"/>
  <c r="AW24" i="3"/>
  <c r="AV24" i="3"/>
  <c r="AS24" i="3"/>
  <c r="AR24" i="3"/>
  <c r="AN24" i="3"/>
  <c r="AM24" i="3"/>
  <c r="AJ24" i="3"/>
  <c r="AI24" i="3"/>
  <c r="AF24" i="3"/>
  <c r="AE24" i="3"/>
  <c r="AA24" i="3"/>
  <c r="Z24" i="3"/>
  <c r="W24" i="3"/>
  <c r="V24" i="3"/>
  <c r="S24" i="3"/>
  <c r="R24" i="3"/>
  <c r="N24" i="3"/>
  <c r="M24" i="3"/>
  <c r="J24" i="3"/>
  <c r="I24" i="3"/>
  <c r="F24" i="3"/>
  <c r="E24" i="3"/>
  <c r="BD23" i="3"/>
  <c r="AY23" i="3"/>
  <c r="BA23" i="3" s="1"/>
  <c r="AX23" i="3"/>
  <c r="AZ23" i="3" s="1"/>
  <c r="AU23" i="3"/>
  <c r="AV23" i="3" s="1"/>
  <c r="AT23" i="3"/>
  <c r="AQ23" i="3"/>
  <c r="AP23" i="3"/>
  <c r="AR23" i="3" s="1"/>
  <c r="AL23" i="3"/>
  <c r="AK23" i="3"/>
  <c r="AI23" i="3"/>
  <c r="AH23" i="3"/>
  <c r="AG23" i="3"/>
  <c r="AD23" i="3"/>
  <c r="AC23" i="3"/>
  <c r="Y23" i="3"/>
  <c r="X23" i="3"/>
  <c r="Z23" i="3" s="1"/>
  <c r="U23" i="3"/>
  <c r="T23" i="3"/>
  <c r="Q23" i="3"/>
  <c r="P23" i="3"/>
  <c r="L23" i="3"/>
  <c r="M23" i="3" s="1"/>
  <c r="K23" i="3"/>
  <c r="H23" i="3"/>
  <c r="G23" i="3"/>
  <c r="D23" i="3"/>
  <c r="E23" i="3" s="1"/>
  <c r="C23" i="3"/>
  <c r="BD22" i="3"/>
  <c r="AW22" i="3"/>
  <c r="AV22" i="3"/>
  <c r="AS22" i="3"/>
  <c r="AR22" i="3"/>
  <c r="AN22" i="3"/>
  <c r="AM22" i="3"/>
  <c r="AJ22" i="3"/>
  <c r="AI22" i="3"/>
  <c r="AF22" i="3"/>
  <c r="AE22" i="3"/>
  <c r="AA22" i="3"/>
  <c r="Z22" i="3"/>
  <c r="W22" i="3"/>
  <c r="V22" i="3"/>
  <c r="S22" i="3"/>
  <c r="R22" i="3"/>
  <c r="N22" i="3"/>
  <c r="M22" i="3"/>
  <c r="J22" i="3"/>
  <c r="I22" i="3"/>
  <c r="F22" i="3"/>
  <c r="E22" i="3"/>
  <c r="BD21" i="3"/>
  <c r="A385" i="4" s="1"/>
  <c r="AY21" i="3"/>
  <c r="AX21" i="3"/>
  <c r="AU21" i="3"/>
  <c r="AT21" i="3"/>
  <c r="AQ21" i="3"/>
  <c r="AP21" i="3"/>
  <c r="AL21" i="3"/>
  <c r="AK21" i="3"/>
  <c r="AH21" i="3"/>
  <c r="AG21" i="3"/>
  <c r="AI21" i="3" s="1"/>
  <c r="AD21" i="3"/>
  <c r="AC21" i="3"/>
  <c r="Y21" i="3"/>
  <c r="X21" i="3"/>
  <c r="U21" i="3"/>
  <c r="T21" i="3"/>
  <c r="Q21" i="3"/>
  <c r="P21" i="3"/>
  <c r="R21" i="3" s="1"/>
  <c r="L21" i="3"/>
  <c r="K21" i="3"/>
  <c r="H21" i="3"/>
  <c r="G21" i="3"/>
  <c r="D21" i="3"/>
  <c r="C21" i="3"/>
  <c r="BG20" i="3"/>
  <c r="BD20" i="3"/>
  <c r="BE20" i="3"/>
  <c r="AW20" i="3"/>
  <c r="AV20" i="3"/>
  <c r="AS20" i="3"/>
  <c r="AR20" i="3"/>
  <c r="AN20" i="3"/>
  <c r="AM20" i="3"/>
  <c r="AJ20" i="3"/>
  <c r="AI20" i="3"/>
  <c r="AF20" i="3"/>
  <c r="AE20" i="3"/>
  <c r="AA20" i="3"/>
  <c r="Z20" i="3"/>
  <c r="W20" i="3"/>
  <c r="V20" i="3"/>
  <c r="S20" i="3"/>
  <c r="R20" i="3"/>
  <c r="N20" i="3"/>
  <c r="M20" i="3"/>
  <c r="J20" i="3"/>
  <c r="I20" i="3"/>
  <c r="F20" i="3"/>
  <c r="E20" i="3"/>
  <c r="BG19" i="3"/>
  <c r="BE19" i="3"/>
  <c r="BD19" i="3"/>
  <c r="AV19" i="3"/>
  <c r="AR19" i="3"/>
  <c r="AM19" i="3"/>
  <c r="AI19" i="3"/>
  <c r="AE19" i="3"/>
  <c r="Z19" i="3"/>
  <c r="V19" i="3"/>
  <c r="R19" i="3"/>
  <c r="M19" i="3"/>
  <c r="I19" i="3"/>
  <c r="E19" i="3"/>
  <c r="BD18" i="3"/>
  <c r="BG18" i="3"/>
  <c r="AR18" i="3"/>
  <c r="M18" i="3"/>
  <c r="I18" i="3"/>
  <c r="E18" i="3"/>
  <c r="BD16" i="3"/>
  <c r="BG16" i="3"/>
  <c r="M16" i="3"/>
  <c r="I16" i="3"/>
  <c r="E16" i="3"/>
  <c r="BD15" i="3"/>
  <c r="M15" i="3"/>
  <c r="I15" i="3"/>
  <c r="E15" i="3"/>
  <c r="BG14" i="3"/>
  <c r="BD14" i="3"/>
  <c r="AW14" i="3"/>
  <c r="AV14" i="3"/>
  <c r="AS14" i="3"/>
  <c r="AR14" i="3"/>
  <c r="AN14" i="3"/>
  <c r="AM14" i="3"/>
  <c r="AJ14" i="3"/>
  <c r="AI14" i="3"/>
  <c r="AF14" i="3"/>
  <c r="AE14" i="3"/>
  <c r="AA14" i="3"/>
  <c r="Z14" i="3"/>
  <c r="W14" i="3"/>
  <c r="V14" i="3"/>
  <c r="S14" i="3"/>
  <c r="R14" i="3"/>
  <c r="N14" i="3"/>
  <c r="M14" i="3"/>
  <c r="J14" i="3"/>
  <c r="I14" i="3"/>
  <c r="F14" i="3"/>
  <c r="E14" i="3"/>
  <c r="BD13" i="3"/>
  <c r="AY13" i="3"/>
  <c r="AX13" i="3"/>
  <c r="AU13" i="3"/>
  <c r="AT13" i="3"/>
  <c r="AQ13" i="3"/>
  <c r="AP13" i="3"/>
  <c r="AR13" i="3" s="1"/>
  <c r="AM13" i="3"/>
  <c r="AL13" i="3"/>
  <c r="AK13" i="3"/>
  <c r="AH13" i="3"/>
  <c r="AG13" i="3"/>
  <c r="AD13" i="3"/>
  <c r="AC13" i="3"/>
  <c r="AE13" i="3" s="1"/>
  <c r="Y13" i="3"/>
  <c r="Z13" i="3" s="1"/>
  <c r="X13" i="3"/>
  <c r="U13" i="3"/>
  <c r="V13" i="3" s="1"/>
  <c r="T13" i="3"/>
  <c r="Q13" i="3"/>
  <c r="P13" i="3"/>
  <c r="L13" i="3"/>
  <c r="K13" i="3"/>
  <c r="H13" i="3"/>
  <c r="G13" i="3"/>
  <c r="I13" i="3" s="1"/>
  <c r="D13" i="3"/>
  <c r="C13" i="3"/>
  <c r="BD12" i="3"/>
  <c r="AW12" i="3"/>
  <c r="AV12" i="3"/>
  <c r="AS12" i="3"/>
  <c r="AR12" i="3"/>
  <c r="AN12" i="3"/>
  <c r="AM12" i="3"/>
  <c r="AJ12" i="3"/>
  <c r="AI12" i="3"/>
  <c r="AF12" i="3"/>
  <c r="AE12" i="3"/>
  <c r="AA12" i="3"/>
  <c r="Z12" i="3"/>
  <c r="W12" i="3"/>
  <c r="V12" i="3"/>
  <c r="S12" i="3"/>
  <c r="R12" i="3"/>
  <c r="N12" i="3"/>
  <c r="M12" i="3"/>
  <c r="J12" i="3"/>
  <c r="I12" i="3"/>
  <c r="F12" i="3"/>
  <c r="E12" i="3"/>
  <c r="BG11" i="3"/>
  <c r="BE11" i="3"/>
  <c r="BD11" i="3"/>
  <c r="A377" i="4" s="1"/>
  <c r="AW11" i="3"/>
  <c r="AV11" i="3"/>
  <c r="AS11" i="3"/>
  <c r="AR11" i="3"/>
  <c r="AN11" i="3"/>
  <c r="AM11" i="3"/>
  <c r="AJ11" i="3"/>
  <c r="AI11" i="3"/>
  <c r="AF11" i="3"/>
  <c r="AE11" i="3"/>
  <c r="AA11" i="3"/>
  <c r="Z11" i="3"/>
  <c r="W11" i="3"/>
  <c r="V11" i="3"/>
  <c r="S11" i="3"/>
  <c r="R11" i="3"/>
  <c r="N11" i="3"/>
  <c r="M11" i="3"/>
  <c r="J11" i="3"/>
  <c r="I11" i="3"/>
  <c r="F11" i="3"/>
  <c r="E11" i="3"/>
  <c r="BD10" i="3"/>
  <c r="AY10" i="3"/>
  <c r="BA10" i="3" s="1"/>
  <c r="AX10" i="3"/>
  <c r="AU10" i="3"/>
  <c r="AV10" i="3" s="1"/>
  <c r="AT10" i="3"/>
  <c r="AQ10" i="3"/>
  <c r="AP10" i="3"/>
  <c r="AL10" i="3"/>
  <c r="AK10" i="3"/>
  <c r="AM10" i="3" s="1"/>
  <c r="AI10" i="3"/>
  <c r="AH10" i="3"/>
  <c r="AG10" i="3"/>
  <c r="AD10" i="3"/>
  <c r="AC10" i="3"/>
  <c r="Y10" i="3"/>
  <c r="X10" i="3"/>
  <c r="Z10" i="3" s="1"/>
  <c r="V10" i="3"/>
  <c r="U10" i="3"/>
  <c r="T10" i="3"/>
  <c r="Q10" i="3"/>
  <c r="P10" i="3"/>
  <c r="L10" i="3"/>
  <c r="K10" i="3"/>
  <c r="H10" i="3"/>
  <c r="G10" i="3"/>
  <c r="D10" i="3"/>
  <c r="E10" i="3" s="1"/>
  <c r="C10" i="3"/>
  <c r="BD9" i="3"/>
  <c r="AW9" i="3"/>
  <c r="AV9" i="3"/>
  <c r="AS9" i="3"/>
  <c r="AR9" i="3"/>
  <c r="AN9" i="3"/>
  <c r="AM9" i="3"/>
  <c r="AJ9" i="3"/>
  <c r="AI9" i="3"/>
  <c r="AF9" i="3"/>
  <c r="AE9" i="3"/>
  <c r="AA9" i="3"/>
  <c r="Z9" i="3"/>
  <c r="W9" i="3"/>
  <c r="V9" i="3"/>
  <c r="S9" i="3"/>
  <c r="R9" i="3"/>
  <c r="N9" i="3"/>
  <c r="M9" i="3"/>
  <c r="J9" i="3"/>
  <c r="I9" i="3"/>
  <c r="F9" i="3"/>
  <c r="E9" i="3"/>
  <c r="BD8" i="3"/>
  <c r="AY8" i="3"/>
  <c r="AX8" i="3"/>
  <c r="AZ8" i="3" s="1"/>
  <c r="AU8" i="3"/>
  <c r="AV8" i="3" s="1"/>
  <c r="AT8" i="3"/>
  <c r="AQ8" i="3"/>
  <c r="AR8" i="3" s="1"/>
  <c r="AP8" i="3"/>
  <c r="AL8" i="3"/>
  <c r="AM8" i="3" s="1"/>
  <c r="AK8" i="3"/>
  <c r="AH8" i="3"/>
  <c r="AI8" i="3" s="1"/>
  <c r="AG8" i="3"/>
  <c r="AD8" i="3"/>
  <c r="AC8" i="3"/>
  <c r="Z8" i="3"/>
  <c r="Y8" i="3"/>
  <c r="X8" i="3"/>
  <c r="U8" i="3"/>
  <c r="T8" i="3"/>
  <c r="Q8" i="3"/>
  <c r="P8" i="3"/>
  <c r="M8" i="3"/>
  <c r="L8" i="3"/>
  <c r="K8" i="3"/>
  <c r="H8" i="3"/>
  <c r="G8" i="3"/>
  <c r="D8" i="3"/>
  <c r="C8" i="3"/>
  <c r="BG7" i="3"/>
  <c r="BD7" i="3"/>
  <c r="AW7" i="3"/>
  <c r="AV7" i="3"/>
  <c r="AS7" i="3"/>
  <c r="AR7" i="3"/>
  <c r="AN7" i="3"/>
  <c r="AM7" i="3"/>
  <c r="AJ7" i="3"/>
  <c r="AI7" i="3"/>
  <c r="AF7" i="3"/>
  <c r="AE7" i="3"/>
  <c r="AA7" i="3"/>
  <c r="Z7" i="3"/>
  <c r="W7" i="3"/>
  <c r="V7" i="3"/>
  <c r="S7" i="3"/>
  <c r="R7" i="3"/>
  <c r="N7" i="3"/>
  <c r="M7" i="3"/>
  <c r="J7" i="3"/>
  <c r="I7" i="3"/>
  <c r="F7" i="3"/>
  <c r="E7" i="3"/>
  <c r="BD6" i="3"/>
  <c r="AV6" i="3"/>
  <c r="AR6" i="3"/>
  <c r="AM6" i="3"/>
  <c r="AI6" i="3"/>
  <c r="AE6" i="3"/>
  <c r="Z6" i="3"/>
  <c r="V6" i="3"/>
  <c r="R6" i="3"/>
  <c r="M6" i="3"/>
  <c r="I6" i="3"/>
  <c r="E6" i="3"/>
  <c r="BG5" i="3"/>
  <c r="BE5" i="3"/>
  <c r="BD5" i="3"/>
  <c r="AR5" i="3"/>
  <c r="M5" i="3"/>
  <c r="I5" i="3"/>
  <c r="E5" i="3"/>
  <c r="BG141" i="3" l="1"/>
  <c r="BE141" i="3"/>
  <c r="AM34" i="3"/>
  <c r="AM61" i="3"/>
  <c r="V23" i="3"/>
  <c r="V36" i="3"/>
  <c r="AI46" i="3"/>
  <c r="AV48" i="3"/>
  <c r="Z77" i="3"/>
  <c r="BA87" i="3"/>
  <c r="AR114" i="3"/>
  <c r="I8" i="3"/>
  <c r="Z21" i="3"/>
  <c r="AE59" i="3"/>
  <c r="I23" i="3"/>
  <c r="AM46" i="3"/>
  <c r="V74" i="3"/>
  <c r="BG99" i="3"/>
  <c r="AE102" i="3"/>
  <c r="BA111" i="3"/>
  <c r="I87" i="3"/>
  <c r="R13" i="3"/>
  <c r="I26" i="3"/>
  <c r="Z26" i="3"/>
  <c r="AE34" i="3"/>
  <c r="V39" i="3"/>
  <c r="AZ39" i="3"/>
  <c r="I46" i="3"/>
  <c r="Z46" i="3"/>
  <c r="M72" i="3"/>
  <c r="I74" i="3"/>
  <c r="AV97" i="3"/>
  <c r="I109" i="3"/>
  <c r="AR109" i="3"/>
  <c r="AM111" i="3"/>
  <c r="AZ34" i="3"/>
  <c r="BA46" i="3"/>
  <c r="AE90" i="3"/>
  <c r="BG121" i="3"/>
  <c r="BE121" i="3"/>
  <c r="BG132" i="3"/>
  <c r="V46" i="3"/>
  <c r="AM87" i="3"/>
  <c r="BE104" i="3"/>
  <c r="BG104" i="3"/>
  <c r="AE51" i="3"/>
  <c r="AI59" i="3"/>
  <c r="BE115" i="3"/>
  <c r="AE48" i="3"/>
  <c r="R64" i="3"/>
  <c r="M135" i="3"/>
  <c r="AV138" i="3"/>
  <c r="BG113" i="3"/>
  <c r="BE113" i="3"/>
  <c r="BG133" i="3"/>
  <c r="BE133" i="3"/>
  <c r="AV59" i="3"/>
  <c r="AV90" i="3"/>
  <c r="BG103" i="3"/>
  <c r="BE103" i="3"/>
  <c r="AR34" i="3"/>
  <c r="BA74" i="3"/>
  <c r="M77" i="3"/>
  <c r="AI111" i="3"/>
  <c r="AV51" i="3"/>
  <c r="AV102" i="3"/>
  <c r="AE8" i="3"/>
  <c r="E8" i="3"/>
  <c r="R8" i="3"/>
  <c r="M10" i="3"/>
  <c r="R23" i="3"/>
  <c r="M26" i="3"/>
  <c r="AI36" i="3"/>
  <c r="AZ36" i="3"/>
  <c r="Z48" i="3"/>
  <c r="AR48" i="3"/>
  <c r="BA61" i="3"/>
  <c r="AE64" i="3"/>
  <c r="V97" i="3"/>
  <c r="AE109" i="3"/>
  <c r="M121" i="3"/>
  <c r="AE121" i="3"/>
  <c r="BA77" i="3"/>
  <c r="R126" i="3"/>
  <c r="AI133" i="3"/>
  <c r="M21" i="3"/>
  <c r="AM23" i="3"/>
  <c r="I97" i="3"/>
  <c r="R99" i="3"/>
  <c r="I111" i="3"/>
  <c r="M123" i="3"/>
  <c r="V133" i="3"/>
  <c r="BA8" i="3"/>
  <c r="BE6" i="3"/>
  <c r="AV21" i="3"/>
  <c r="E34" i="3"/>
  <c r="Z36" i="3"/>
  <c r="V59" i="3"/>
  <c r="M61" i="3"/>
  <c r="AR61" i="3"/>
  <c r="V72" i="3"/>
  <c r="AM74" i="3"/>
  <c r="AR77" i="3"/>
  <c r="V90" i="3"/>
  <c r="I102" i="3"/>
  <c r="R109" i="3"/>
  <c r="AM121" i="3"/>
  <c r="V126" i="3"/>
  <c r="AM133" i="3"/>
  <c r="R121" i="3"/>
  <c r="AV126" i="3"/>
  <c r="BA133" i="3"/>
  <c r="BE116" i="3"/>
  <c r="BG116" i="3"/>
  <c r="V8" i="3"/>
  <c r="E13" i="3"/>
  <c r="AE21" i="3"/>
  <c r="R48" i="3"/>
  <c r="V51" i="3"/>
  <c r="E59" i="3"/>
  <c r="E64" i="3"/>
  <c r="Z87" i="3"/>
  <c r="E90" i="3"/>
  <c r="R135" i="3"/>
  <c r="R10" i="3"/>
  <c r="AI13" i="3"/>
  <c r="BA13" i="3"/>
  <c r="AE23" i="3"/>
  <c r="R26" i="3"/>
  <c r="AI26" i="3"/>
  <c r="AR39" i="3"/>
  <c r="AE46" i="3"/>
  <c r="AR46" i="3"/>
  <c r="AZ48" i="3"/>
  <c r="BE48" i="3" s="1"/>
  <c r="M51" i="3"/>
  <c r="I59" i="3"/>
  <c r="I64" i="3"/>
  <c r="BA72" i="3"/>
  <c r="I85" i="3"/>
  <c r="AE87" i="3"/>
  <c r="BA90" i="3"/>
  <c r="V99" i="3"/>
  <c r="AM99" i="3"/>
  <c r="AI109" i="3"/>
  <c r="AE123" i="3"/>
  <c r="I126" i="3"/>
  <c r="AZ135" i="3"/>
  <c r="BG135" i="3" s="1"/>
  <c r="BA109" i="3"/>
  <c r="BA97" i="3"/>
  <c r="M114" i="3"/>
  <c r="AV13" i="3"/>
  <c r="AM36" i="3"/>
  <c r="AM39" i="3"/>
  <c r="AE114" i="3"/>
  <c r="E126" i="3"/>
  <c r="AZ10" i="3"/>
  <c r="AZ26" i="3"/>
  <c r="E36" i="3"/>
  <c r="R39" i="3"/>
  <c r="AM48" i="3"/>
  <c r="AR51" i="3"/>
  <c r="AE74" i="3"/>
  <c r="M111" i="3"/>
  <c r="R114" i="3"/>
  <c r="AI123" i="3"/>
  <c r="AI126" i="3"/>
  <c r="AE135" i="3"/>
  <c r="AR135" i="3"/>
  <c r="R87" i="3"/>
  <c r="I90" i="3"/>
  <c r="AM97" i="3"/>
  <c r="R102" i="3"/>
  <c r="AR111" i="3"/>
  <c r="E114" i="3"/>
  <c r="AV114" i="3"/>
  <c r="AV121" i="3"/>
  <c r="V123" i="3"/>
  <c r="AI138" i="3"/>
  <c r="AI64" i="3"/>
  <c r="AR72" i="3"/>
  <c r="R74" i="3"/>
  <c r="V77" i="3"/>
  <c r="Z85" i="3"/>
  <c r="E87" i="3"/>
  <c r="AM90" i="3"/>
  <c r="E99" i="3"/>
  <c r="AI99" i="3"/>
  <c r="AV99" i="3"/>
  <c r="AM109" i="3"/>
  <c r="AM126" i="3"/>
  <c r="E133" i="3"/>
  <c r="AV135" i="3"/>
  <c r="E138" i="3"/>
  <c r="BE108" i="3"/>
  <c r="BE98" i="3"/>
  <c r="BE86" i="3"/>
  <c r="BE66" i="3"/>
  <c r="BE58" i="3"/>
  <c r="BE60" i="3"/>
  <c r="BE47" i="3"/>
  <c r="BE22" i="3"/>
  <c r="BG9" i="3"/>
  <c r="BG8" i="3"/>
  <c r="BE8" i="3"/>
  <c r="BG21" i="3"/>
  <c r="BE21" i="3"/>
  <c r="BE10" i="3"/>
  <c r="BG10" i="3"/>
  <c r="BE13" i="3"/>
  <c r="BG13" i="3"/>
  <c r="I10" i="3"/>
  <c r="I21" i="3"/>
  <c r="V21" i="3"/>
  <c r="BG109" i="3"/>
  <c r="BE109" i="3"/>
  <c r="BG114" i="3"/>
  <c r="BE114" i="3"/>
  <c r="BG138" i="3"/>
  <c r="BE138" i="3"/>
  <c r="BG97" i="3"/>
  <c r="BE97" i="3"/>
  <c r="BG26" i="3"/>
  <c r="BE26" i="3"/>
  <c r="BG59" i="3"/>
  <c r="BE59" i="3"/>
  <c r="BE12" i="3"/>
  <c r="M13" i="3"/>
  <c r="BE18" i="3"/>
  <c r="AM21" i="3"/>
  <c r="BG23" i="3"/>
  <c r="BE23" i="3"/>
  <c r="BG61" i="3"/>
  <c r="BE61" i="3"/>
  <c r="BG64" i="3"/>
  <c r="BE64" i="3"/>
  <c r="BG72" i="3"/>
  <c r="BE72" i="3"/>
  <c r="BG90" i="3"/>
  <c r="BE90" i="3"/>
  <c r="BE16" i="3"/>
  <c r="BG46" i="3"/>
  <c r="BE46" i="3"/>
  <c r="BG74" i="3"/>
  <c r="BE74" i="3"/>
  <c r="BG77" i="3"/>
  <c r="BE77" i="3"/>
  <c r="BE102" i="3"/>
  <c r="BG102" i="3"/>
  <c r="BG15" i="3"/>
  <c r="BE15" i="3"/>
  <c r="AR21" i="3"/>
  <c r="BE85" i="3"/>
  <c r="BG85" i="3"/>
  <c r="BG87" i="3"/>
  <c r="BE87" i="3"/>
  <c r="AE10" i="3"/>
  <c r="AR10" i="3"/>
  <c r="E21" i="3"/>
  <c r="BG126" i="3"/>
  <c r="BE126" i="3"/>
  <c r="BG52" i="3"/>
  <c r="BG89" i="3"/>
  <c r="BG93" i="3"/>
  <c r="BG95" i="3"/>
  <c r="BG105" i="3"/>
  <c r="BG107" i="3"/>
  <c r="BG124" i="3"/>
  <c r="BG134" i="3"/>
  <c r="BE24" i="3"/>
  <c r="BE44" i="3"/>
  <c r="BE62" i="3"/>
  <c r="BE75" i="3"/>
  <c r="BE111" i="3"/>
  <c r="BE51" i="3"/>
  <c r="BE57" i="3"/>
  <c r="BE88" i="3"/>
  <c r="BE110" i="3"/>
  <c r="BE123" i="3"/>
  <c r="BE50" i="3"/>
  <c r="BE54" i="3"/>
  <c r="BE56" i="3"/>
  <c r="BE70" i="3"/>
  <c r="BE83" i="3"/>
  <c r="BE100" i="3"/>
  <c r="BE122" i="3"/>
  <c r="BE140" i="3"/>
  <c r="BE25" i="3"/>
  <c r="BE29" i="3"/>
  <c r="BE45" i="3"/>
  <c r="BE53" i="3"/>
  <c r="BE63" i="3"/>
  <c r="BE67" i="3"/>
  <c r="BE69" i="3"/>
  <c r="BE76" i="3"/>
  <c r="BE80" i="3"/>
  <c r="BE82" i="3"/>
  <c r="BE112" i="3"/>
  <c r="BE135" i="3"/>
  <c r="BE139" i="3"/>
  <c r="BG48" i="3" l="1"/>
  <c r="M47" i="1"/>
  <c r="M46" i="1"/>
  <c r="I47" i="1"/>
  <c r="I46" i="1"/>
  <c r="E47" i="1"/>
  <c r="E46" i="1"/>
  <c r="E35" i="1"/>
  <c r="E34" i="1"/>
  <c r="I35" i="1"/>
  <c r="I34" i="1"/>
  <c r="Y25" i="1"/>
  <c r="Y24" i="1"/>
  <c r="U25" i="1"/>
  <c r="U24" i="1"/>
  <c r="Q25" i="1"/>
  <c r="Q24" i="1"/>
  <c r="I25" i="1"/>
  <c r="I24" i="1"/>
  <c r="E25" i="1"/>
  <c r="E24" i="1"/>
  <c r="M25" i="1"/>
  <c r="M24" i="1"/>
  <c r="Q13" i="1"/>
  <c r="Q12" i="1"/>
  <c r="M13" i="1"/>
  <c r="M12" i="1"/>
  <c r="I13" i="1"/>
  <c r="I12" i="1"/>
  <c r="E13" i="1"/>
  <c r="E12" i="1"/>
  <c r="O41" i="1" l="1"/>
  <c r="J41" i="1"/>
  <c r="I41" i="1"/>
  <c r="K41" i="1" s="1"/>
  <c r="F41" i="1"/>
  <c r="E41" i="1"/>
  <c r="J30" i="1"/>
  <c r="I30" i="1"/>
  <c r="F30" i="1"/>
  <c r="E30" i="1"/>
  <c r="Z19" i="1"/>
  <c r="Y19" i="1"/>
  <c r="AA19" i="1" s="1"/>
  <c r="Q19" i="1"/>
  <c r="S19" i="1" s="1"/>
  <c r="V19" i="1"/>
  <c r="U19" i="1"/>
  <c r="W19" i="1" s="1"/>
  <c r="N19" i="1"/>
  <c r="O19" i="1" s="1"/>
  <c r="R7" i="1"/>
  <c r="N7" i="1"/>
  <c r="M7" i="1"/>
  <c r="O7" i="1" s="1"/>
  <c r="J7" i="1"/>
  <c r="I7" i="1"/>
  <c r="K7" i="1" s="1"/>
  <c r="F7" i="1"/>
  <c r="E7" i="1"/>
  <c r="U7" i="1"/>
  <c r="V7" i="1"/>
  <c r="AD7" i="1"/>
  <c r="Z7" i="1"/>
  <c r="Y7" i="1"/>
  <c r="AA7" i="1" s="1"/>
  <c r="AE7" i="1"/>
  <c r="S7" i="1" l="1"/>
  <c r="G30" i="1"/>
  <c r="W7" i="1"/>
  <c r="G7" i="1"/>
  <c r="K30" i="1"/>
  <c r="G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Kelly Yesenia Benjumea Valencia</author>
  </authors>
  <commentList>
    <comment ref="A24" authorId="0" shapeId="0" xr:uid="{1B25CB6F-8EF9-4337-9D13-674ED2FEFBC7}">
      <text>
        <r>
          <rPr>
            <b/>
            <sz val="9"/>
            <color indexed="81"/>
            <rFont val="Tahoma"/>
            <family val="2"/>
          </rPr>
          <t>Incluye valor de nuevos negocios</t>
        </r>
      </text>
    </comment>
  </commentList>
</comments>
</file>

<file path=xl/sharedStrings.xml><?xml version="1.0" encoding="utf-8"?>
<sst xmlns="http://schemas.openxmlformats.org/spreadsheetml/2006/main" count="7588" uniqueCount="435">
  <si>
    <t xml:space="preserve">META  </t>
  </si>
  <si>
    <t>REAL</t>
  </si>
  <si>
    <t>% CUM</t>
  </si>
  <si>
    <t xml:space="preserve">Detalle mes a mes </t>
  </si>
  <si>
    <t>Causas y planes de acción</t>
  </si>
  <si>
    <t>RECREACIÓN</t>
  </si>
  <si>
    <t xml:space="preserve">DEPORTES </t>
  </si>
  <si>
    <t>TURISMO</t>
  </si>
  <si>
    <t xml:space="preserve">FOMENTO A LA SALUD </t>
  </si>
  <si>
    <t>ALIMENTOS Y BEBIDAS</t>
  </si>
  <si>
    <t>ALIMENTOS Y BEBIDAS (Turismo)</t>
  </si>
  <si>
    <t>ALIMENTOS Y BEBIDAS (Recreación)</t>
  </si>
  <si>
    <t>Ver</t>
  </si>
  <si>
    <t>Crecimiento ingresos por negocio*</t>
  </si>
  <si>
    <t>Cumplimiento presupuesto Egreso</t>
  </si>
  <si>
    <t xml:space="preserve">% de egreso subsidiado por negocio </t>
  </si>
  <si>
    <t xml:space="preserve">% de margen de utilidad por negocio </t>
  </si>
  <si>
    <t>Satisfacción de afiliados</t>
  </si>
  <si>
    <t>Medición de la percepción  del bienestar generado por la Caja  a los afiliados*</t>
  </si>
  <si>
    <t>Crecimiento Coberturas Negocio</t>
  </si>
  <si>
    <t>Penetración de uso en población A y B</t>
  </si>
  <si>
    <t>EDUCACIÓN FORMAL</t>
  </si>
  <si>
    <t>ETDH</t>
  </si>
  <si>
    <t>DESARROLLO EMPRESARIAL</t>
  </si>
  <si>
    <t>CULTURA</t>
  </si>
  <si>
    <t>BIBLIOTECAS</t>
  </si>
  <si>
    <t xml:space="preserve">DESARROLLO HUMANO </t>
  </si>
  <si>
    <t xml:space="preserve">EMPLEO </t>
  </si>
  <si>
    <t>N/A</t>
  </si>
  <si>
    <t xml:space="preserve">NIVELES DE Cumplimiento </t>
  </si>
  <si>
    <t>INDICADORES</t>
  </si>
  <si>
    <t>Sobresaliente</t>
  </si>
  <si>
    <t>&gt;100</t>
  </si>
  <si>
    <t xml:space="preserve">SERVICIOS FINANCIEROS </t>
  </si>
  <si>
    <t xml:space="preserve">VIVIENDA </t>
  </si>
  <si>
    <t>Satisfactorio</t>
  </si>
  <si>
    <t>Tolerable</t>
  </si>
  <si>
    <t>&lt;95</t>
  </si>
  <si>
    <t>Inaceptable</t>
  </si>
  <si>
    <t>&lt;80</t>
  </si>
  <si>
    <t xml:space="preserve">BIENESTAR FÍSICO Y EMOCIONAL </t>
  </si>
  <si>
    <t xml:space="preserve">BIENESTAR SOCIAL E INTELECTUAL </t>
  </si>
  <si>
    <t xml:space="preserve">BIENESTAR ECONOMICO </t>
  </si>
  <si>
    <t xml:space="preserve">Regiones </t>
  </si>
  <si>
    <t>ENERO</t>
  </si>
  <si>
    <t>FEBRERO</t>
  </si>
  <si>
    <t>MARZO</t>
  </si>
  <si>
    <t>ABRIL</t>
  </si>
  <si>
    <t>MAYO</t>
  </si>
  <si>
    <t>JUNIO</t>
  </si>
  <si>
    <t>JULIO</t>
  </si>
  <si>
    <t>AGOSTO</t>
  </si>
  <si>
    <t>SEPTIEMBRE</t>
  </si>
  <si>
    <t>OCTUBRE</t>
  </si>
  <si>
    <t>NOVIEMBRE</t>
  </si>
  <si>
    <t>DICIEMBRE</t>
  </si>
  <si>
    <t>PPTO</t>
  </si>
  <si>
    <t>Var 21/20</t>
  </si>
  <si>
    <t>ABURRA NORTE</t>
  </si>
  <si>
    <t>Crecimiento de ingresos (negocios)</t>
  </si>
  <si>
    <t>Aburrá Norte</t>
  </si>
  <si>
    <t>Conservación empresas pareto (97)</t>
  </si>
  <si>
    <t>Cumplimiento de nuevas empresas afiliadas</t>
  </si>
  <si>
    <t>Dato recalculado debido a que faltaba el componente de los reingresos</t>
  </si>
  <si>
    <t>Crecimiento de nuevas empresas afiliadas</t>
  </si>
  <si>
    <t>Cumplimiento de aportes totales región</t>
  </si>
  <si>
    <t>Crecimiento de aportes totales región</t>
  </si>
  <si>
    <t>Cumplimiento de nuevos aportes</t>
  </si>
  <si>
    <t>Cumplimiento afiliados totales región</t>
  </si>
  <si>
    <t>Crecimiento afiliados totales región</t>
  </si>
  <si>
    <t>Cumplimiento de nuevos afiliados región</t>
  </si>
  <si>
    <t>Crecimiento Coberturas Región</t>
  </si>
  <si>
    <t xml:space="preserve">Penetración de Uso en Población A y B Región </t>
  </si>
  <si>
    <t>ABURRA SUR</t>
  </si>
  <si>
    <t>Aburrá Sur</t>
  </si>
  <si>
    <t>ABURRA CENTRO - MEDELLÍN</t>
  </si>
  <si>
    <t>Cumplimiento Gestión de la venta</t>
  </si>
  <si>
    <t>Dato reaforado</t>
  </si>
  <si>
    <t xml:space="preserve">Cumplimiento cobertura región </t>
  </si>
  <si>
    <t xml:space="preserve">Penetración de Uso en Población A y B región </t>
  </si>
  <si>
    <t>SUROESTE</t>
  </si>
  <si>
    <t>Suroeste</t>
  </si>
  <si>
    <t>URABÁ</t>
  </si>
  <si>
    <t>Urabá</t>
  </si>
  <si>
    <t>OCCIDENTE</t>
  </si>
  <si>
    <t>Occidente</t>
  </si>
  <si>
    <t>ORIENTE</t>
  </si>
  <si>
    <t>Oriente</t>
  </si>
  <si>
    <t>NORTE</t>
  </si>
  <si>
    <t>Norte</t>
  </si>
  <si>
    <t>BAJO CAUCA</t>
  </si>
  <si>
    <t>Bajo Cauca</t>
  </si>
  <si>
    <t>NORDESTE</t>
  </si>
  <si>
    <t>Nordeste</t>
  </si>
  <si>
    <t>MAGDALENA MEDIO</t>
  </si>
  <si>
    <t>Magdalena Medio</t>
  </si>
  <si>
    <t>Cumplimiento de Nuevas empresas afiliadas</t>
  </si>
  <si>
    <t xml:space="preserve">Cumplimiento aportes totales </t>
  </si>
  <si>
    <t xml:space="preserve">Cumplimiento afiliados totales </t>
  </si>
  <si>
    <t>Crecimiento neto empresas *</t>
  </si>
  <si>
    <t>ACUMULADO A DICIEMBRE</t>
  </si>
  <si>
    <t>Indicador</t>
  </si>
  <si>
    <t>Resultado indicador</t>
  </si>
  <si>
    <t>Regional</t>
  </si>
  <si>
    <t>Resultado</t>
  </si>
  <si>
    <t>Total general</t>
  </si>
  <si>
    <t>Cumplimiento de ingresos</t>
  </si>
  <si>
    <t>Negocio</t>
  </si>
  <si>
    <t>Nodo</t>
  </si>
  <si>
    <t>Turismo</t>
  </si>
  <si>
    <t>Bienestar Físico y Emocional</t>
  </si>
  <si>
    <t>Alimentos y Bebidas</t>
  </si>
  <si>
    <t>Real</t>
  </si>
  <si>
    <t>Tipo de indicador</t>
  </si>
  <si>
    <t>Creciente</t>
  </si>
  <si>
    <t>Empleo</t>
  </si>
  <si>
    <t>Decreciente</t>
  </si>
  <si>
    <t>Resulatado indicador</t>
  </si>
  <si>
    <t>Mes</t>
  </si>
  <si>
    <t>Diciembre</t>
  </si>
  <si>
    <t>(Todas)</t>
  </si>
  <si>
    <t>Cuenta de Indicador</t>
  </si>
  <si>
    <t>Arbol de Visión</t>
  </si>
  <si>
    <t>Estrategico</t>
  </si>
  <si>
    <t>Negocios general</t>
  </si>
  <si>
    <t xml:space="preserve">Detallado </t>
  </si>
  <si>
    <t>Mensual</t>
  </si>
  <si>
    <t>Táctico</t>
  </si>
  <si>
    <t>Cumplimiento</t>
  </si>
  <si>
    <t>Alcance</t>
  </si>
  <si>
    <t>Tiempo</t>
  </si>
  <si>
    <t>Costo</t>
  </si>
  <si>
    <t>Ponderado</t>
  </si>
  <si>
    <t xml:space="preserve">Comentarios de desviaciones </t>
  </si>
  <si>
    <t>Análisis con  desviaciones con diferentes vistas</t>
  </si>
  <si>
    <t>Regiones</t>
  </si>
  <si>
    <t>Detallado Regiones</t>
  </si>
  <si>
    <t>Datos</t>
  </si>
  <si>
    <t>Análisis</t>
  </si>
  <si>
    <t>Ok estructura</t>
  </si>
  <si>
    <t>Margen Ebitda*</t>
  </si>
  <si>
    <t>Mezcla de aportes e ingresos por negocios*</t>
  </si>
  <si>
    <t>Conservación empresas Pareto (97)</t>
  </si>
  <si>
    <t>Nivel de endeudamiento</t>
  </si>
  <si>
    <t>Nivel de Liquidez</t>
  </si>
  <si>
    <t xml:space="preserve">Cumplimiento Presupuesto Egreso Total Caja </t>
  </si>
  <si>
    <t xml:space="preserve">% egreso subsidiado Consolidado servicios de la Caja </t>
  </si>
  <si>
    <t xml:space="preserve">% de margen de utilidad consolidado de servicios de la Caja </t>
  </si>
  <si>
    <t>Crecimiento de Nuevas empresas afiliadas</t>
  </si>
  <si>
    <t>Cumplimiento aportes totales (Millones)</t>
  </si>
  <si>
    <t xml:space="preserve">Crecimiento aportes totales </t>
  </si>
  <si>
    <t xml:space="preserve">Crecimiento afiliados totales </t>
  </si>
  <si>
    <t>Cumplimiento de ingresos por negocio</t>
  </si>
  <si>
    <t>Crecimiento de ingresos por negocio*</t>
  </si>
  <si>
    <t>Crecimiento en la Participación de mercado empresas, aportes y afiliados</t>
  </si>
  <si>
    <t>Participación de mercado empresas</t>
  </si>
  <si>
    <t>Participación de mercado aportes</t>
  </si>
  <si>
    <t>Participación de mercado afiliados</t>
  </si>
  <si>
    <t>Crecimiento</t>
  </si>
  <si>
    <t>Sostenibilidad Financiera</t>
  </si>
  <si>
    <t>Experiencia Cliente</t>
  </si>
  <si>
    <t>Cumplimiento Coberturas Totales</t>
  </si>
  <si>
    <t>Crecimiento Coberturas Totales</t>
  </si>
  <si>
    <t>Bienestar</t>
  </si>
  <si>
    <t>Anual</t>
  </si>
  <si>
    <t>Causas y acciones se sigue soportando desde Sumamos</t>
  </si>
  <si>
    <t xml:space="preserve">Se hace por responsables, no se hace análisis solo se habla de resultados </t>
  </si>
  <si>
    <t>Se debe hacer seguimiento para activar a:</t>
  </si>
  <si>
    <t>Plan de Innovación</t>
  </si>
  <si>
    <t>Plan GH</t>
  </si>
  <si>
    <t>El análisis lo hacen los responsables como tal</t>
  </si>
  <si>
    <t>Fuentes</t>
  </si>
  <si>
    <t>Financiera</t>
  </si>
  <si>
    <t>Responsable</t>
  </si>
  <si>
    <t>Ana Cadavid</t>
  </si>
  <si>
    <t>Subsidios y Aportes</t>
  </si>
  <si>
    <t>Daniel Correa</t>
  </si>
  <si>
    <t>Semestral</t>
  </si>
  <si>
    <t>Marcela Villa</t>
  </si>
  <si>
    <t>Mercadeo</t>
  </si>
  <si>
    <t>Alexander Marín</t>
  </si>
  <si>
    <t>Satisfacción de empresas</t>
  </si>
  <si>
    <t>Teresa Yadine</t>
  </si>
  <si>
    <t>Unidad de información</t>
  </si>
  <si>
    <t>Avance en Renovación y modernización tecnológica (% avance PETI)</t>
  </si>
  <si>
    <t xml:space="preserve">% de digitalización de servicios </t>
  </si>
  <si>
    <t>% de usuarios digitalizados</t>
  </si>
  <si>
    <t>Innovación</t>
  </si>
  <si>
    <t>Inclusión</t>
  </si>
  <si>
    <t>Santiago Restrepo/Luisa Gallego</t>
  </si>
  <si>
    <t>Tecnología</t>
  </si>
  <si>
    <t>Alejandro Guerra</t>
  </si>
  <si>
    <t>Procesos y TD</t>
  </si>
  <si>
    <t>Indice de frescura</t>
  </si>
  <si>
    <t>Efectividad de proyectos de innovación social</t>
  </si>
  <si>
    <t>Avance en ADN innovador</t>
  </si>
  <si>
    <t>Innovación y nuevos negocios</t>
  </si>
  <si>
    <t>Juan Jose Sanchez</t>
  </si>
  <si>
    <t>Impacto en la transformación social</t>
  </si>
  <si>
    <t>Crecimiento en vidas impactadas</t>
  </si>
  <si>
    <t>Responsable por definir</t>
  </si>
  <si>
    <t>Se ha consolidado por parte de Kelly  en estrategia</t>
  </si>
  <si>
    <t>Área</t>
  </si>
  <si>
    <t>Contribución a los ODS</t>
  </si>
  <si>
    <t>Esta en formulación</t>
  </si>
  <si>
    <t>Jhon Darío Cardona (Jefe de gobierno)</t>
  </si>
  <si>
    <t>Indice de cumplimiento de impacto ambiental</t>
  </si>
  <si>
    <t>Diana Bustos</t>
  </si>
  <si>
    <t>Infraestructura</t>
  </si>
  <si>
    <t>Desarrollo humano, sentido y propósito para trabajar</t>
  </si>
  <si>
    <t>Nivel de riesgo Psicosocial</t>
  </si>
  <si>
    <t>Engagement</t>
  </si>
  <si>
    <t>Medición de la experiencia del colaborador</t>
  </si>
  <si>
    <t>Aporte al bienstar del colaborador</t>
  </si>
  <si>
    <t xml:space="preserve">Mejoramiento en el desarrollo de valores organizacionales </t>
  </si>
  <si>
    <t>Mejoramiento en el nivel de desempeño de los equipos</t>
  </si>
  <si>
    <t>Reconocimiento y posicionamiento de marca</t>
  </si>
  <si>
    <t>Top of heart</t>
  </si>
  <si>
    <t>Participación y desarrollo de ecosistemas</t>
  </si>
  <si>
    <t>Efectividad de las alianzas convenios y trabajos con ecosistemas</t>
  </si>
  <si>
    <t>Cada dos años</t>
  </si>
  <si>
    <t>Diego Chavarría</t>
  </si>
  <si>
    <t>Gestión de las personas</t>
  </si>
  <si>
    <t>Coperación y Alianzas</t>
  </si>
  <si>
    <t>Isabel Cristina Lopez</t>
  </si>
  <si>
    <t>Satisfacción de afiliados (empleo)</t>
  </si>
  <si>
    <t>Medición de la percepción  del bienestar generado por la Caja  a los afiliados* (empleo)</t>
  </si>
  <si>
    <t>Crecimiento Coberturas Negocio (empleo)</t>
  </si>
  <si>
    <t>Claudia Marcela Durango</t>
  </si>
  <si>
    <t>Cada 3 años</t>
  </si>
  <si>
    <t>Elemento de visión</t>
  </si>
  <si>
    <t>Área responsable</t>
  </si>
  <si>
    <t>Responsable actual</t>
  </si>
  <si>
    <t>Grupo de indicadores</t>
  </si>
  <si>
    <t>Cliclo de medición</t>
  </si>
  <si>
    <t>Negocios</t>
  </si>
  <si>
    <t>Indicadores Negocios</t>
  </si>
  <si>
    <t>Indicadores Regiones</t>
  </si>
  <si>
    <t>Valores</t>
  </si>
  <si>
    <t>Total Cuenta de Indicador</t>
  </si>
  <si>
    <t>Total Cuenta de Indicador2</t>
  </si>
  <si>
    <t>Cuenta de Indicador2</t>
  </si>
  <si>
    <t>Real 2020</t>
  </si>
  <si>
    <t>Real 2019</t>
  </si>
  <si>
    <t>Resultado 2019</t>
  </si>
  <si>
    <t>Resultado 2020</t>
  </si>
  <si>
    <t>Meta 2021</t>
  </si>
  <si>
    <t>Real 2021</t>
  </si>
  <si>
    <t>Resultado 2021</t>
  </si>
  <si>
    <t>Cumplimiento 2021</t>
  </si>
  <si>
    <t xml:space="preserve">Proyectos estrategicos </t>
  </si>
  <si>
    <t>Avance ponderado de cronograma</t>
  </si>
  <si>
    <t>PMO</t>
  </si>
  <si>
    <t>Jorge Mario Zuluaga</t>
  </si>
  <si>
    <t>Teresa Yadine Moreno</t>
  </si>
  <si>
    <t>Planes estrategicos (Gestión de lo Humano, Innovación)</t>
  </si>
  <si>
    <t>Juan Jose Sanchez/Diego Echavarría</t>
  </si>
  <si>
    <t>Innovación y nuevos negocios/Gestión de lo humano</t>
  </si>
  <si>
    <t>Fecha de entrega de datos</t>
  </si>
  <si>
    <t>Indicador Mega</t>
  </si>
  <si>
    <t>SI</t>
  </si>
  <si>
    <t>NO</t>
  </si>
  <si>
    <t>Var 21-20</t>
  </si>
  <si>
    <t>Var 20-19</t>
  </si>
  <si>
    <t>Var 21-19</t>
  </si>
  <si>
    <t>Meta  2022</t>
  </si>
  <si>
    <t>N.A.</t>
  </si>
  <si>
    <t>Var 22-19</t>
  </si>
  <si>
    <t>Var 22-20</t>
  </si>
  <si>
    <t>Var 22-21</t>
  </si>
  <si>
    <t>Dato 2022</t>
  </si>
  <si>
    <t>Crecimiento en vidas impactadas*</t>
  </si>
  <si>
    <t>Pendiente</t>
  </si>
  <si>
    <t>METAS 2022</t>
  </si>
  <si>
    <t>Var 22/21</t>
  </si>
  <si>
    <t>Var 22/20</t>
  </si>
  <si>
    <t>Var 22/19</t>
  </si>
  <si>
    <t>Mónica Ramirez</t>
  </si>
  <si>
    <t xml:space="preserve">Conservación empresas Pareto </t>
  </si>
  <si>
    <t xml:space="preserve">Francisco Duque </t>
  </si>
  <si>
    <t>Francisco Duque</t>
  </si>
  <si>
    <t>Francico Duque / Mónica Ramirez</t>
  </si>
  <si>
    <t xml:space="preserve">Participación de mercado aportes </t>
  </si>
  <si>
    <t>Crecimiento de coberturas Totales</t>
  </si>
  <si>
    <t xml:space="preserve">Gerentes de nodos </t>
  </si>
  <si>
    <t>Índice de frescura</t>
  </si>
  <si>
    <t xml:space="preserve">Efectividad de proyectos de innovación social </t>
  </si>
  <si>
    <t xml:space="preserve">Avance ADN innovador </t>
  </si>
  <si>
    <t>Nuevo indicador de inclusión</t>
  </si>
  <si>
    <t>En construcción - Medición en 2023</t>
  </si>
  <si>
    <t>Crecimiento en vidas impactadas (7 ind)</t>
  </si>
  <si>
    <t>En revisión</t>
  </si>
  <si>
    <t>Crecimiento en vidas impactadas (15 ind)</t>
  </si>
  <si>
    <t>Contribución a los ODS (Económico, social y Ambiental)</t>
  </si>
  <si>
    <t>En formulación</t>
  </si>
  <si>
    <t>Índice de cumplimiento de impacto ambiental</t>
  </si>
  <si>
    <t>Nivel de riesgo psicosocial</t>
  </si>
  <si>
    <t>Medicion 2023</t>
  </si>
  <si>
    <t>Juan Felipe González</t>
  </si>
  <si>
    <t>Medición Experiencia del colaborador</t>
  </si>
  <si>
    <t>Aporte al bienestar del colaborador</t>
  </si>
  <si>
    <t xml:space="preserve">Se diseñará a partir de la participación en el piloto de la medición cuantitativa de bienestar. Formulación en el 2022, meta para el 2023. </t>
  </si>
  <si>
    <t>Mejoramiento en el nivel de desarrollo de valores organizacionales</t>
  </si>
  <si>
    <t>Confirmar meta para el 2022</t>
  </si>
  <si>
    <t xml:space="preserve">Mejoramiento en el nivel de desempeño de los equipos. </t>
  </si>
  <si>
    <t>Plan de trabajo para el segundo semestre del año 2022.</t>
  </si>
  <si>
    <t>Top of Heart*</t>
  </si>
  <si>
    <t>Medición en el 2023</t>
  </si>
  <si>
    <t>Efectividad de las Alianzas  / Convenios / trabajo con Ecosistema</t>
  </si>
  <si>
    <t xml:space="preserve">Patricia Fuel </t>
  </si>
  <si>
    <t>"Muy de acuerdo"</t>
  </si>
  <si>
    <t>Megas</t>
  </si>
  <si>
    <t>100%                     100 EE</t>
  </si>
  <si>
    <t>OBSERVACIONES</t>
  </si>
  <si>
    <t>Meta entre 6 -8% - Mega al 2025
Puerta de entrada Bonos, Ebitda: Por validar ( Director)
Se incorporará  el indicador de Margen % de forma permanente en el árbol de visión 
Se calculará la proyección del Ebitda al 2025 para tenerlo como referente para el seguimiento.</t>
  </si>
  <si>
    <t>Analizar los temas que puedan impactar en general el cumplimiento del ingreso y definir las acciones para evaluar siguientes pasos.</t>
  </si>
  <si>
    <t>Financiera/ Nodos</t>
  </si>
  <si>
    <t xml:space="preserve">
Complementar el análisis con los aportes que representan y el motivo de retiro para definir unos 
Analizar en detalle el motivo de retiro ( Comité).
Determinar pesos/ parámetros.
Fecha de la propuesta: 16 de Marzo 2022</t>
  </si>
  <si>
    <t>G. Relacionam</t>
  </si>
  <si>
    <t>1. Cambiar este indicador por egreso gestionable ( fijo) 
2. Continuar realizando el control a todas las cuentas.
3. Identificarlo claramente en los negocios y en la Caja en general.
Preparar como se llevará a Consejo D.</t>
  </si>
  <si>
    <t>Soportar la meta con: Plan de negocio, Crédito</t>
  </si>
  <si>
    <t>Financiera/ Bienestar económico</t>
  </si>
  <si>
    <t>La evolución de explica por FOVIS Voluntario.
Explicarlo desde el Propósito y el Impacto Social (Retribución a los trabajadores, las familias, las empresas)</t>
  </si>
  <si>
    <t>Se propone mejorar continuamente, cuidando el impacto.
Seguir identificando las eficiencias en los procesos.
Apuesta por lograr el mejor desempeño que ha tenido el indicador ( 2019) teniendo en cuenta el contexto y los análisis de SOD.</t>
  </si>
  <si>
    <t>Cambios en Unidades integrales ( arquitectura) , aplicativo crédito ( cambio de Core) para potenciar el negocio y su impacto.
Nota: El cambio de OPA, impacto en 2022 y 2023, reto de que se logre en el 2022.( riesgo tiempo integraciones)</t>
  </si>
  <si>
    <t>Se confirma que se medirán las nuevas + las activadas</t>
  </si>
  <si>
    <t>Se adelantará análisis con proyección al 2025 ( validar 700 promedio año al 2025)
Tener presente el acumulado, el neto y las empresas totales 
Asegurar la implementación del modelo de conservación y  de las estrategias de contención ( comité mensual)
Implementación del Modelo de atención de empresas bronce
El 2022 fué el mayor crecimiento desde 2015.
2019:19.849</t>
  </si>
  <si>
    <t xml:space="preserve">Se propone analizar la contribución de cada nodo vs las megas al 2025. Tratarlo en Comité de Gerencia. Este análisis es un insumo clave para la revisión de la proyección de Megas </t>
  </si>
  <si>
    <t xml:space="preserve">
Meta: 25.93
Se monitoreará independientes y facultativos trimestral
Dejar sólo aportes en el arbol de visión</t>
  </si>
  <si>
    <t>En Satisfacción de empresas  se mantendrá la  meta de 4.65 teniendo en cuenta que todavía no hay adelantos visibles que nos indiquen que ya estamos en capacidad de retarnos más. De  acuerdo a este metodología, subir centésimas de puntos es un reto grande para la organización.</t>
  </si>
  <si>
    <t xml:space="preserve">Se confirma meta en 54% "Muy de acuerdo", partiendo del resultado de cierre 2021. </t>
  </si>
  <si>
    <t xml:space="preserve">Confirmada </t>
  </si>
  <si>
    <t>Confirmada</t>
  </si>
  <si>
    <t>Se realizó un análisis teniendo en cuenta los resultados 2021, vs la meta al 2025, para definir la meta 2022. Se realizaron 2 escenarios y se propone profundizar una semana más, especialmente en el nodo de Bienestar Físico y Emocional ( Turismo) para definir la meta total 2022.</t>
  </si>
  <si>
    <t>En un espacio entre Estrategia/ Buen Gobierno se acuerda para el 2022. Definir la medición y empezar a levantar linea base.</t>
  </si>
  <si>
    <t>Se tendrá en cuenta lo avanzado , cuando se revise el indicador de contribución ODS</t>
  </si>
  <si>
    <t>Confirmar próxima medición en el 2023</t>
  </si>
  <si>
    <t>Se solicita omitir este indicador del arbol de visión, dado que ya se tiene el indicador de engagement, riesgo y apuesta por el bienestar, y todos ellos nos estan asegurando la experiencia del colaborador; este indicador se propone llevarlo como indicador de proceso.</t>
  </si>
  <si>
    <t xml:space="preserve">1. Se realizará cierre del ciclo del Desempeño 2021 y se espera tener resultados calibrados para finales de abril. 
2. Para el mes de Junio se contará con el análisis de este indicador con el fin de significar su contribución y la diferenciación con el desempeño individual. Una vez realizado este análisis se tomará la decisión si se enciende como está, si se replantea o si se elimina.En caso de continuar con el indicador se definirá Plan de trabajo para el segundo semestre del año 2022.  
Nota: El enfoque del Plan de trabajo dependerá del indicador que se defina medir. </t>
  </si>
  <si>
    <t>Confirmar próxima fecha de medición (2023)</t>
  </si>
  <si>
    <t>Se ajusto medición del indicador. Se van a tener en cuenta 3 variables: Cumplimiento de coberturas en la vigencia, aprobación de coberturas en la vigencia y satisfacción del aliado.</t>
  </si>
  <si>
    <t>Dato 2019</t>
  </si>
  <si>
    <t>Dato 2020</t>
  </si>
  <si>
    <t>Dato 2021</t>
  </si>
  <si>
    <t>Articular con Alexandra de contabilidad las fechas de cierre contanble y ana se demora 2 días hábilies para el cargue</t>
  </si>
  <si>
    <t xml:space="preserve">Primeros 5 días del mes </t>
  </si>
  <si>
    <t>Abril</t>
  </si>
  <si>
    <t>11 para el mes de abril</t>
  </si>
  <si>
    <t>11 a 13 de Abril</t>
  </si>
  <si>
    <t>Mayo</t>
  </si>
  <si>
    <t>Junio</t>
  </si>
  <si>
    <t>Julio</t>
  </si>
  <si>
    <t>Agosto</t>
  </si>
  <si>
    <t>Septiembre</t>
  </si>
  <si>
    <t>Octubre</t>
  </si>
  <si>
    <t xml:space="preserve">Noviembre  </t>
  </si>
  <si>
    <t>Crecimiento de ingresos</t>
  </si>
  <si>
    <t>Porcentaje de márgen de utilidad</t>
  </si>
  <si>
    <t>Cumplimiento de presupuesto de egreso</t>
  </si>
  <si>
    <t>Porcentaje de egreso subsidiado</t>
  </si>
  <si>
    <t xml:space="preserve">Satísfacción afiliados </t>
  </si>
  <si>
    <t>Percepción de bienestar generado por la Caja</t>
  </si>
  <si>
    <t>Crecimiento de coberturas</t>
  </si>
  <si>
    <t>Hoteles</t>
  </si>
  <si>
    <t>Agencia de Viajes</t>
  </si>
  <si>
    <t>No esta meta 2021 Dic</t>
  </si>
  <si>
    <t>Recreación y Deportes</t>
  </si>
  <si>
    <t>Fomento de la salud</t>
  </si>
  <si>
    <t>Educación</t>
  </si>
  <si>
    <t>Bienestar Social e Intelectual</t>
  </si>
  <si>
    <t>Educación Formal</t>
  </si>
  <si>
    <t>Desactualizados a diciembre 31</t>
  </si>
  <si>
    <t>Desarrollo empresarial</t>
  </si>
  <si>
    <t>Cultura</t>
  </si>
  <si>
    <t>Bibliotecas</t>
  </si>
  <si>
    <t xml:space="preserve">Si es mas de 120 </t>
  </si>
  <si>
    <t>si es negativo entonces 0</t>
  </si>
  <si>
    <t>Desarrollo Humano</t>
  </si>
  <si>
    <t>Orientados vs Registados</t>
  </si>
  <si>
    <t>Colocados vs Vacantes</t>
  </si>
  <si>
    <t xml:space="preserve">Vivienda </t>
  </si>
  <si>
    <t xml:space="preserve">Bienestar Económico </t>
  </si>
  <si>
    <t>Servicios Financieros</t>
  </si>
  <si>
    <t>Meta rara</t>
  </si>
  <si>
    <t>Real desactualizado</t>
  </si>
  <si>
    <t>Desactualizado</t>
  </si>
  <si>
    <t>Aburrá Centro</t>
  </si>
  <si>
    <t>Mal montada la meta</t>
  </si>
  <si>
    <t>Meta rara, vamos a dar pérdida?</t>
  </si>
  <si>
    <t>Error de carga</t>
  </si>
  <si>
    <t>No disponible</t>
  </si>
  <si>
    <t>Nivel de engagement de la organización</t>
  </si>
  <si>
    <t>Se retiró</t>
  </si>
  <si>
    <t>Sin datos (No se mide en 2022)</t>
  </si>
  <si>
    <t>Real  Trim 1 2022</t>
  </si>
  <si>
    <t>Fecha</t>
  </si>
  <si>
    <t>Resultado 1</t>
  </si>
  <si>
    <t>Resultado 2</t>
  </si>
  <si>
    <t>Sin datos (Anual)</t>
  </si>
  <si>
    <t>Alerta datos vacíos (Anual)</t>
  </si>
  <si>
    <t>Sin datos (Trienal) Se mide este año 2022</t>
  </si>
  <si>
    <t>Desactualizado (No tiene dato para marzo)</t>
  </si>
  <si>
    <t>Desactualizado (Mensual)</t>
  </si>
  <si>
    <t xml:space="preserve">No se debe analizar se debe poner en contexto con la obligatoriedad y no como negocio </t>
  </si>
  <si>
    <t>Cumplimiento de solicitudes radicadas para acceso al subsidio de desempleo</t>
  </si>
  <si>
    <t>No se actualizará a marzo 31</t>
  </si>
  <si>
    <t>Desactualizado (Pendiente por actualizar)</t>
  </si>
  <si>
    <t>Suroeste anexa empresa pareto</t>
  </si>
  <si>
    <t>Ciclo de medición</t>
  </si>
  <si>
    <t>Bienal</t>
  </si>
  <si>
    <t>Trienal</t>
  </si>
  <si>
    <t>Meta</t>
  </si>
  <si>
    <t>Resultado indicador2</t>
  </si>
  <si>
    <t>Tipo indicador</t>
  </si>
  <si>
    <t>Cumplimiento presupuesto egreso cuentas fijas Caja</t>
  </si>
  <si>
    <t>Cumplimiento de presupuesto de egreso cuentas fijas</t>
  </si>
  <si>
    <t>Conservación empresas pareto</t>
  </si>
  <si>
    <t>Conservación empresas Pareto</t>
  </si>
  <si>
    <t>Mezcla de aportes e ingresos por negocios</t>
  </si>
  <si>
    <t>Margen Ebitda</t>
  </si>
  <si>
    <t>Crecimiento de ingresos por negocio</t>
  </si>
  <si>
    <t>Crecimiento neto empresas</t>
  </si>
  <si>
    <t>Medición de la percepción  del bienestar generado por la Caja  a los afiliados</t>
  </si>
  <si>
    <t>Crecimiento ingresos</t>
  </si>
  <si>
    <t>Penetración de uso en la población A y B</t>
  </si>
  <si>
    <t>Cumplimiento de nuevos afiliados</t>
  </si>
  <si>
    <t>Crecimiento Coberturas</t>
  </si>
  <si>
    <t>Crecimiento afiliados totales</t>
  </si>
  <si>
    <t>Crecimiento de aportes totales</t>
  </si>
  <si>
    <t>Penetración de Uso en Población A y B</t>
  </si>
  <si>
    <t>Meta_</t>
  </si>
  <si>
    <t>Real_</t>
  </si>
  <si>
    <t>Cumplimiento personas formadas con recursos Fosfec</t>
  </si>
  <si>
    <t>Cumplimiento solicitudes radicadas para acceso al subsidio al desempleo</t>
  </si>
  <si>
    <t xml:space="preserve">Crecimiento neto empresas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</si>
</sst>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5" formatCode="&quot;$&quot;\ #,##0;\-&quot;$&quot;\ #,##0"/>
    <numFmt numFmtId="6" formatCode="&quot;$&quot;\ #,##0;[Red]\-&quot;$&quot;\ #,##0"/>
    <numFmt numFmtId="41" formatCode="_-* #,##0_-;\-* #,##0_-;_-* &quot;-&quot;_-;_-@_-"/>
    <numFmt numFmtId="44" formatCode="_-&quot;$&quot;\ * #,##0.00_-;\-&quot;$&quot;\ * #,##0.00_-;_-&quot;$&quot;\ * &quot;-&quot;??_-;_-@_-"/>
    <numFmt numFmtId="43" formatCode="_-* #,##0.00_-;\-* #,##0.00_-;_-* &quot;-&quot;??_-;_-@_-"/>
    <numFmt numFmtId="164" formatCode="_-* #,##0\ _€_-;\-* #,##0\ _€_-;_-* &quot;-&quot;\ _€_-;_-@_-"/>
    <numFmt numFmtId="165" formatCode="0.0%"/>
    <numFmt numFmtId="166" formatCode="#,##0_ ;\-#,##0\ "/>
    <numFmt numFmtId="167" formatCode="#,##0_ ;[Red]\-#,##0\ "/>
    <numFmt numFmtId="168" formatCode="&quot;$&quot;\ #,##0"/>
    <numFmt numFmtId="169" formatCode="_-[$$-240A]\ * #,##0_-;\-[$$-240A]\ * #,##0_-;_-[$$-240A]\ * &quot;-&quot;??_-;_-@_-"/>
    <numFmt numFmtId="170" formatCode="_-* #,##0_-;\-* #,##0_-;_-* &quot;-&quot;??_-;_-@_-"/>
    <numFmt numFmtId="171" formatCode="_-&quot;$&quot;\ * #,##0_-;\-&quot;$&quot;\ * #,##0_-;_-&quot;$&quot;\ * &quot;-&quot;??_-;_-@_-"/>
    <numFmt numFmtId="172" formatCode="_-* #,##0.0_-;\-* #,##0.0_-;_-* &quot;-&quot;??_-;_-@_-"/>
    <numFmt numFmtId="173" formatCode="0.0"/>
    <numFmt numFmtId="174" formatCode="#,##0.00_ ;\-#,##0.00\ "/>
    <numFmt numFmtId="175" formatCode="#,##0.0_ ;\-#,##0.0\ "/>
  </numFmts>
  <fonts count="4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b/>
      <sz val="9"/>
      <color theme="1"/>
      <name val="Calibri"/>
      <family val="2"/>
      <scheme val="minor"/>
    </font>
    <font>
      <b/>
      <sz val="8"/>
      <color theme="1" tint="0.34998626667073579"/>
      <name val="Calibri"/>
      <family val="2"/>
      <scheme val="minor"/>
    </font>
    <font>
      <b/>
      <sz val="11"/>
      <name val="Calibri"/>
      <family val="2"/>
      <scheme val="minor"/>
    </font>
    <font>
      <sz val="11"/>
      <name val="Calibri"/>
      <family val="2"/>
      <scheme val="minor"/>
    </font>
    <font>
      <b/>
      <u/>
      <sz val="10"/>
      <color theme="1" tint="0.499984740745262"/>
      <name val="Calibri"/>
      <family val="2"/>
    </font>
    <font>
      <b/>
      <sz val="9"/>
      <name val="Calibri"/>
      <family val="2"/>
      <scheme val="minor"/>
    </font>
    <font>
      <b/>
      <sz val="9"/>
      <color rgb="FF000000"/>
      <name val="Calibri"/>
      <family val="2"/>
      <scheme val="minor"/>
    </font>
    <font>
      <b/>
      <sz val="9"/>
      <color theme="1" tint="0.34998626667073579"/>
      <name val="Calibri"/>
      <family val="2"/>
      <scheme val="minor"/>
    </font>
    <font>
      <b/>
      <u/>
      <sz val="9"/>
      <color theme="1" tint="0.499984740745262"/>
      <name val="Calibri"/>
      <family val="2"/>
    </font>
    <font>
      <sz val="9"/>
      <name val="Calibri"/>
      <family val="2"/>
      <scheme val="minor"/>
    </font>
    <font>
      <b/>
      <sz val="10"/>
      <name val="Calibri"/>
      <family val="2"/>
      <scheme val="minor"/>
    </font>
    <font>
      <u/>
      <sz val="11"/>
      <color theme="10"/>
      <name val="Calibri"/>
      <family val="2"/>
    </font>
    <font>
      <u/>
      <sz val="10"/>
      <color theme="10"/>
      <name val="Calibri"/>
      <family val="2"/>
    </font>
    <font>
      <b/>
      <sz val="12"/>
      <name val="Calibri"/>
      <family val="2"/>
      <scheme val="minor"/>
    </font>
    <font>
      <b/>
      <sz val="10"/>
      <color rgb="FF000000"/>
      <name val="Calibri"/>
      <family val="2"/>
      <scheme val="minor"/>
    </font>
    <font>
      <b/>
      <sz val="12"/>
      <color theme="1"/>
      <name val="Calibri"/>
      <family val="2"/>
      <scheme val="minor"/>
    </font>
    <font>
      <sz val="10"/>
      <name val="Calibri"/>
      <family val="2"/>
      <scheme val="minor"/>
    </font>
    <font>
      <b/>
      <sz val="10"/>
      <color rgb="FF00B050"/>
      <name val="Calibri"/>
      <family val="2"/>
      <scheme val="minor"/>
    </font>
    <font>
      <b/>
      <sz val="10"/>
      <color rgb="FFFF0000"/>
      <name val="Calibri"/>
      <family val="2"/>
      <scheme val="minor"/>
    </font>
    <font>
      <b/>
      <sz val="10"/>
      <color rgb="FF000000"/>
      <name val="Calibri"/>
      <family val="2"/>
    </font>
    <font>
      <sz val="11"/>
      <color theme="0"/>
      <name val="Calibri"/>
      <family val="2"/>
      <scheme val="minor"/>
    </font>
    <font>
      <sz val="8"/>
      <color theme="1" tint="0.34998626667073579"/>
      <name val="Calibri"/>
      <family val="2"/>
      <scheme val="minor"/>
    </font>
    <font>
      <b/>
      <sz val="22"/>
      <color rgb="FF015D46"/>
      <name val="Calibri"/>
      <family val="2"/>
      <scheme val="minor"/>
    </font>
    <font>
      <sz val="8"/>
      <color theme="1"/>
      <name val="Calibri"/>
      <family val="2"/>
      <scheme val="minor"/>
    </font>
    <font>
      <sz val="9"/>
      <color rgb="FFFF0000"/>
      <name val="Calibri"/>
      <family val="2"/>
      <scheme val="minor"/>
    </font>
    <font>
      <sz val="11"/>
      <color theme="1" tint="0.499984740745262"/>
      <name val="Calibri"/>
      <family val="2"/>
      <scheme val="minor"/>
    </font>
    <font>
      <b/>
      <sz val="9"/>
      <color rgb="FFFF0000"/>
      <name val="Calibri"/>
      <family val="2"/>
      <scheme val="minor"/>
    </font>
    <font>
      <sz val="8"/>
      <color rgb="FFFF0000"/>
      <name val="Calibri"/>
      <family val="2"/>
      <scheme val="minor"/>
    </font>
    <font>
      <b/>
      <sz val="9"/>
      <color indexed="81"/>
      <name val="Tahoma"/>
      <family val="2"/>
    </font>
    <font>
      <b/>
      <sz val="8"/>
      <color theme="1"/>
      <name val="Calibri"/>
      <family val="2"/>
      <scheme val="minor"/>
    </font>
    <font>
      <b/>
      <sz val="9"/>
      <color rgb="FF305496"/>
      <name val="Calibri"/>
      <family val="2"/>
      <scheme val="minor"/>
    </font>
    <font>
      <sz val="10"/>
      <color rgb="FF000000"/>
      <name val="Calibri"/>
      <family val="2"/>
      <scheme val="minor"/>
    </font>
  </fonts>
  <fills count="25">
    <fill>
      <patternFill patternType="none"/>
    </fill>
    <fill>
      <patternFill patternType="gray125"/>
    </fill>
    <fill>
      <patternFill patternType="solid">
        <fgColor theme="0" tint="-4.9989318521683403E-2"/>
        <bgColor indexed="64"/>
      </patternFill>
    </fill>
    <fill>
      <patternFill patternType="solid">
        <fgColor theme="6" tint="0.39997558519241921"/>
        <bgColor indexed="64"/>
      </patternFill>
    </fill>
    <fill>
      <patternFill patternType="solid">
        <fgColor rgb="FF92D05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rgb="FF92D050"/>
        <bgColor rgb="FF000000"/>
      </patternFill>
    </fill>
    <fill>
      <patternFill patternType="solid">
        <fgColor rgb="FF8DB4E3"/>
        <bgColor rgb="FF000000"/>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D0CECE"/>
        <bgColor indexed="64"/>
      </patternFill>
    </fill>
    <fill>
      <patternFill patternType="solid">
        <fgColor theme="7"/>
        <bgColor indexed="64"/>
      </patternFill>
    </fill>
    <fill>
      <patternFill patternType="solid">
        <fgColor theme="4" tint="0.79998168889431442"/>
        <bgColor theme="4" tint="0.79998168889431442"/>
      </patternFill>
    </fill>
    <fill>
      <patternFill patternType="solid">
        <fgColor theme="5"/>
        <bgColor indexed="64"/>
      </patternFill>
    </fill>
  </fills>
  <borders count="61">
    <border>
      <left/>
      <right/>
      <top/>
      <bottom/>
      <diagonal/>
    </border>
    <border>
      <left style="medium">
        <color theme="1" tint="0.499984740745262"/>
      </left>
      <right/>
      <top style="medium">
        <color theme="1" tint="0.499984740745262"/>
      </top>
      <bottom style="thin">
        <color theme="1" tint="0.499984740745262"/>
      </bottom>
      <diagonal/>
    </border>
    <border>
      <left/>
      <right/>
      <top style="medium">
        <color theme="1" tint="0.499984740745262"/>
      </top>
      <bottom style="thin">
        <color theme="1" tint="0.499984740745262"/>
      </bottom>
      <diagonal/>
    </border>
    <border>
      <left/>
      <right style="medium">
        <color theme="1" tint="0.499984740745262"/>
      </right>
      <top style="medium">
        <color theme="1" tint="0.499984740745262"/>
      </top>
      <bottom style="thin">
        <color theme="1" tint="0.499984740745262"/>
      </bottom>
      <diagonal/>
    </border>
    <border>
      <left style="medium">
        <color theme="1" tint="0.499984740745262"/>
      </left>
      <right style="thin">
        <color theme="0" tint="-0.499984740745262"/>
      </right>
      <top/>
      <bottom style="medium">
        <color theme="1" tint="0.499984740745262"/>
      </bottom>
      <diagonal/>
    </border>
    <border>
      <left style="thin">
        <color theme="0" tint="-0.499984740745262"/>
      </left>
      <right style="thin">
        <color theme="0" tint="-0.499984740745262"/>
      </right>
      <top/>
      <bottom style="medium">
        <color theme="1" tint="0.499984740745262"/>
      </bottom>
      <diagonal/>
    </border>
    <border>
      <left style="medium">
        <color theme="1" tint="0.499984740745262"/>
      </left>
      <right style="thin">
        <color theme="1" tint="0.499984740745262"/>
      </right>
      <top style="thin">
        <color theme="1" tint="0.499984740745262"/>
      </top>
      <bottom style="medium">
        <color theme="1" tint="0.499984740745262"/>
      </bottom>
      <diagonal/>
    </border>
    <border>
      <left style="thin">
        <color theme="1" tint="0.499984740745262"/>
      </left>
      <right style="medium">
        <color theme="1" tint="0.499984740745262"/>
      </right>
      <top style="thin">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medium">
        <color theme="1" tint="0.499984740745262"/>
      </left>
      <right/>
      <top style="medium">
        <color theme="1" tint="0.499984740745262"/>
      </top>
      <bottom style="medium">
        <color theme="1" tint="0.499984740745262"/>
      </bottom>
      <diagonal/>
    </border>
    <border>
      <left/>
      <right/>
      <top style="medium">
        <color theme="1" tint="0.499984740745262"/>
      </top>
      <bottom style="medium">
        <color theme="1" tint="0.499984740745262"/>
      </bottom>
      <diagonal/>
    </border>
    <border>
      <left/>
      <right style="medium">
        <color theme="1" tint="0.499984740745262"/>
      </right>
      <top style="medium">
        <color theme="1" tint="0.499984740745262"/>
      </top>
      <bottom style="medium">
        <color theme="1" tint="0.499984740745262"/>
      </bottom>
      <diagonal/>
    </border>
    <border>
      <left style="medium">
        <color theme="1" tint="0.499984740745262"/>
      </left>
      <right style="thin">
        <color theme="1" tint="0.499984740745262"/>
      </right>
      <top style="medium">
        <color theme="1" tint="0.499984740745262"/>
      </top>
      <bottom style="medium">
        <color theme="1" tint="0.499984740745262"/>
      </bottom>
      <diagonal/>
    </border>
    <border>
      <left style="thin">
        <color theme="1" tint="0.499984740745262"/>
      </left>
      <right style="thin">
        <color theme="1" tint="0.499984740745262"/>
      </right>
      <top style="medium">
        <color theme="1" tint="0.499984740745262"/>
      </top>
      <bottom style="medium">
        <color theme="1" tint="0.499984740745262"/>
      </bottom>
      <diagonal/>
    </border>
    <border>
      <left style="thin">
        <color theme="1" tint="0.499984740745262"/>
      </left>
      <right style="medium">
        <color theme="1" tint="0.499984740745262"/>
      </right>
      <top style="medium">
        <color theme="1" tint="0.499984740745262"/>
      </top>
      <bottom style="medium">
        <color theme="1" tint="0.499984740745262"/>
      </bottom>
      <diagonal/>
    </border>
    <border>
      <left style="thin">
        <color theme="1" tint="0.499984740745262"/>
      </left>
      <right/>
      <top style="medium">
        <color theme="1" tint="0.499984740745262"/>
      </top>
      <bottom/>
      <diagonal/>
    </border>
    <border>
      <left/>
      <right/>
      <top style="medium">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medium">
        <color theme="1" tint="0.499984740745262"/>
      </right>
      <top style="medium">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rgb="FF808080"/>
      </left>
      <right style="thin">
        <color rgb="FF808080"/>
      </right>
      <top/>
      <bottom/>
      <diagonal/>
    </border>
    <border>
      <left style="medium">
        <color theme="1" tint="0.499984740745262"/>
      </left>
      <right style="medium">
        <color theme="1" tint="0.499984740745262"/>
      </right>
      <top style="medium">
        <color theme="1" tint="0.499984740745262"/>
      </top>
      <bottom style="thin">
        <color theme="1" tint="0.499984740745262"/>
      </bottom>
      <diagonal/>
    </border>
    <border>
      <left style="medium">
        <color theme="1" tint="0.499984740745262"/>
      </left>
      <right style="medium">
        <color theme="1" tint="0.499984740745262"/>
      </right>
      <top/>
      <bottom style="thin">
        <color theme="1" tint="0.499984740745262"/>
      </bottom>
      <diagonal/>
    </border>
    <border>
      <left style="medium">
        <color theme="1" tint="0.499984740745262"/>
      </left>
      <right style="medium">
        <color theme="1" tint="0.499984740745262"/>
      </right>
      <top style="thin">
        <color theme="1" tint="0.499984740745262"/>
      </top>
      <bottom style="thin">
        <color theme="1" tint="0.499984740745262"/>
      </bottom>
      <diagonal/>
    </border>
    <border>
      <left style="medium">
        <color theme="1" tint="0.499984740745262"/>
      </left>
      <right style="medium">
        <color theme="1" tint="0.499984740745262"/>
      </right>
      <top style="thin">
        <color theme="1" tint="0.499984740745262"/>
      </top>
      <bottom/>
      <diagonal/>
    </border>
    <border>
      <left style="medium">
        <color theme="1" tint="0.499984740745262"/>
      </left>
      <right style="medium">
        <color theme="1" tint="0.499984740745262"/>
      </right>
      <top style="thin">
        <color theme="1" tint="0.499984740745262"/>
      </top>
      <bottom style="medium">
        <color theme="1" tint="0.499984740745262"/>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diagonal/>
    </border>
    <border>
      <left style="medium">
        <color theme="1" tint="0.499984740745262"/>
      </left>
      <right style="medium">
        <color theme="1" tint="0.499984740745262"/>
      </right>
      <top/>
      <bottom style="medium">
        <color theme="1"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bottom/>
      <diagonal/>
    </border>
    <border>
      <left style="medium">
        <color theme="1" tint="0.499984740745262"/>
      </left>
      <right/>
      <top style="medium">
        <color theme="1" tint="0.499984740745262"/>
      </top>
      <bottom/>
      <diagonal/>
    </border>
    <border>
      <left style="medium">
        <color theme="1" tint="0.499984740745262"/>
      </left>
      <right/>
      <top/>
      <bottom/>
      <diagonal/>
    </border>
    <border>
      <left style="medium">
        <color theme="1" tint="0.499984740745262"/>
      </left>
      <right/>
      <top/>
      <bottom style="medium">
        <color theme="1" tint="0.499984740745262"/>
      </bottom>
      <diagonal/>
    </border>
    <border>
      <left style="medium">
        <color theme="1" tint="0.499984740745262"/>
      </left>
      <right/>
      <top style="thin">
        <color theme="1" tint="0.499984740745262"/>
      </top>
      <bottom style="thin">
        <color theme="1" tint="0.499984740745262"/>
      </bottom>
      <diagonal/>
    </border>
    <border>
      <left style="medium">
        <color theme="1" tint="0.499984740745262"/>
      </left>
      <right/>
      <top style="thin">
        <color theme="1" tint="0.499984740745262"/>
      </top>
      <bottom/>
      <diagonal/>
    </border>
    <border>
      <left style="medium">
        <color theme="1" tint="0.499984740745262"/>
      </left>
      <right/>
      <top style="thin">
        <color theme="1" tint="0.499984740745262"/>
      </top>
      <bottom style="medium">
        <color theme="1" tint="0.499984740745262"/>
      </bottom>
      <diagonal/>
    </border>
    <border>
      <left style="thin">
        <color theme="0" tint="-0.499984740745262"/>
      </left>
      <right style="medium">
        <color theme="1" tint="0.499984740745262"/>
      </right>
      <top/>
      <bottom style="medium">
        <color theme="1" tint="0.499984740745262"/>
      </bottom>
      <diagonal/>
    </border>
    <border>
      <left/>
      <right style="medium">
        <color theme="1" tint="0.499984740745262"/>
      </right>
      <top style="medium">
        <color theme="1" tint="0.499984740745262"/>
      </top>
      <bottom/>
      <diagonal/>
    </border>
    <border>
      <left style="thin">
        <color indexed="64"/>
      </left>
      <right style="thin">
        <color indexed="64"/>
      </right>
      <top/>
      <bottom style="thin">
        <color indexed="64"/>
      </bottom>
      <diagonal/>
    </border>
    <border>
      <left/>
      <right/>
      <top style="thin">
        <color theme="1" tint="0.499984740745262"/>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0" fontId="19" fillId="0" borderId="0" applyNumberFormat="0" applyFill="0" applyBorder="0" applyAlignment="0" applyProtection="0">
      <alignment vertical="top"/>
      <protection locked="0"/>
    </xf>
  </cellStyleXfs>
  <cellXfs count="712">
    <xf numFmtId="0" fontId="0" fillId="0" borderId="0" xfId="0"/>
    <xf numFmtId="0" fontId="5" fillId="0" borderId="0" xfId="0" applyFont="1"/>
    <xf numFmtId="0" fontId="5" fillId="0" borderId="0" xfId="0" applyFont="1" applyAlignment="1">
      <alignment vertical="center"/>
    </xf>
    <xf numFmtId="0" fontId="7" fillId="0" borderId="0" xfId="0" applyFont="1"/>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11" fillId="0" borderId="0" xfId="0" applyFont="1"/>
    <xf numFmtId="0" fontId="12" fillId="0" borderId="8" xfId="3" applyFont="1" applyFill="1" applyBorder="1" applyAlignment="1" applyProtection="1">
      <alignment horizontal="center" vertical="center" wrapText="1"/>
    </xf>
    <xf numFmtId="0" fontId="8" fillId="0" borderId="8" xfId="0" applyFont="1" applyBorder="1" applyAlignment="1">
      <alignment vertical="center" wrapText="1"/>
    </xf>
    <xf numFmtId="165" fontId="13" fillId="0" borderId="8" xfId="2" applyNumberFormat="1" applyFont="1" applyFill="1" applyBorder="1" applyAlignment="1" applyProtection="1">
      <alignment horizontal="center" vertical="center" wrapText="1"/>
    </xf>
    <xf numFmtId="165" fontId="13" fillId="4" borderId="8" xfId="2" applyNumberFormat="1" applyFont="1" applyFill="1" applyBorder="1" applyAlignment="1" applyProtection="1">
      <alignment horizontal="center" vertical="center" wrapText="1"/>
    </xf>
    <xf numFmtId="9" fontId="13" fillId="0" borderId="8" xfId="2" applyFont="1" applyFill="1" applyBorder="1" applyAlignment="1" applyProtection="1">
      <alignment horizontal="center" vertical="center" wrapText="1"/>
    </xf>
    <xf numFmtId="0" fontId="8" fillId="0" borderId="0" xfId="0" applyFont="1" applyAlignment="1">
      <alignment horizontal="center"/>
    </xf>
    <xf numFmtId="0" fontId="7" fillId="0" borderId="0" xfId="0" applyFont="1" applyAlignment="1">
      <alignment horizontal="center"/>
    </xf>
    <xf numFmtId="165" fontId="13" fillId="0" borderId="8" xfId="2" applyNumberFormat="1" applyFont="1" applyFill="1" applyBorder="1" applyAlignment="1" applyProtection="1">
      <alignment horizontal="center" vertical="center"/>
    </xf>
    <xf numFmtId="0" fontId="6" fillId="0" borderId="0" xfId="0" applyFont="1" applyAlignment="1">
      <alignment horizontal="center"/>
    </xf>
    <xf numFmtId="3" fontId="13" fillId="0" borderId="8" xfId="0" applyNumberFormat="1" applyFont="1" applyBorder="1" applyAlignment="1">
      <alignment horizontal="center" vertical="center" wrapText="1"/>
    </xf>
    <xf numFmtId="9" fontId="13" fillId="0" borderId="8" xfId="0" applyNumberFormat="1" applyFont="1" applyBorder="1" applyAlignment="1">
      <alignment horizontal="center" vertical="center" wrapText="1"/>
    </xf>
    <xf numFmtId="10" fontId="13" fillId="0" borderId="8" xfId="2" applyNumberFormat="1" applyFont="1" applyFill="1" applyBorder="1" applyAlignment="1" applyProtection="1">
      <alignment horizontal="center" vertical="center" wrapText="1"/>
    </xf>
    <xf numFmtId="0" fontId="13" fillId="0" borderId="8" xfId="0" applyFont="1" applyBorder="1" applyAlignment="1">
      <alignment vertical="center" wrapText="1"/>
    </xf>
    <xf numFmtId="4" fontId="13" fillId="0" borderId="8" xfId="0" applyNumberFormat="1" applyFont="1" applyBorder="1" applyAlignment="1">
      <alignment horizontal="center" vertical="center" wrapText="1"/>
    </xf>
    <xf numFmtId="3" fontId="14" fillId="0" borderId="0" xfId="0" applyNumberFormat="1" applyFont="1" applyAlignment="1">
      <alignment vertical="center" wrapText="1"/>
    </xf>
    <xf numFmtId="4" fontId="14" fillId="0" borderId="8" xfId="0" applyNumberFormat="1" applyFont="1" applyBorder="1" applyAlignment="1">
      <alignment horizontal="center" vertical="center" wrapText="1"/>
    </xf>
    <xf numFmtId="165" fontId="14" fillId="0" borderId="8" xfId="2" applyNumberFormat="1" applyFont="1" applyBorder="1" applyAlignment="1" applyProtection="1">
      <alignment horizontal="center" vertical="center" wrapText="1"/>
    </xf>
    <xf numFmtId="0" fontId="0" fillId="0" borderId="0" xfId="0" applyAlignment="1">
      <alignment horizontal="center"/>
    </xf>
    <xf numFmtId="9" fontId="2" fillId="0" borderId="0" xfId="2" applyFont="1" applyAlignment="1" applyProtection="1">
      <alignment horizontal="center"/>
    </xf>
    <xf numFmtId="0" fontId="8" fillId="0" borderId="0" xfId="0" applyFont="1" applyAlignment="1">
      <alignment horizontal="center" vertical="center" wrapText="1"/>
    </xf>
    <xf numFmtId="0" fontId="15" fillId="0" borderId="0" xfId="0" applyFont="1" applyAlignment="1">
      <alignment horizontal="center" vertical="center" wrapText="1"/>
    </xf>
    <xf numFmtId="0" fontId="11" fillId="0" borderId="0" xfId="0" applyFont="1" applyAlignment="1">
      <alignment horizontal="center"/>
    </xf>
    <xf numFmtId="165" fontId="8" fillId="0" borderId="8" xfId="2" applyNumberFormat="1" applyFont="1" applyFill="1" applyBorder="1" applyAlignment="1" applyProtection="1">
      <alignment horizontal="center" vertical="center"/>
    </xf>
    <xf numFmtId="3" fontId="8" fillId="0" borderId="8" xfId="0" applyNumberFormat="1" applyFont="1" applyBorder="1" applyAlignment="1">
      <alignment horizontal="center" vertical="center"/>
    </xf>
    <xf numFmtId="9" fontId="13" fillId="0" borderId="9" xfId="2" applyFont="1" applyFill="1" applyBorder="1" applyAlignment="1" applyProtection="1">
      <alignment vertical="center" wrapText="1"/>
    </xf>
    <xf numFmtId="9" fontId="13" fillId="0" borderId="10" xfId="2" applyFont="1" applyFill="1" applyBorder="1" applyAlignment="1" applyProtection="1">
      <alignment horizontal="center" vertical="center" wrapText="1"/>
    </xf>
    <xf numFmtId="0" fontId="8" fillId="0" borderId="8" xfId="0" applyFont="1" applyBorder="1" applyAlignment="1">
      <alignment horizontal="center" vertical="center"/>
    </xf>
    <xf numFmtId="10" fontId="8" fillId="0" borderId="8" xfId="0" applyNumberFormat="1" applyFont="1" applyBorder="1" applyAlignment="1">
      <alignment horizontal="center" vertical="center"/>
    </xf>
    <xf numFmtId="10" fontId="14" fillId="0" borderId="8" xfId="2" applyNumberFormat="1" applyFont="1" applyFill="1" applyBorder="1" applyAlignment="1" applyProtection="1">
      <alignment horizontal="center" vertical="center" wrapText="1"/>
    </xf>
    <xf numFmtId="10" fontId="13" fillId="0" borderId="8" xfId="2" applyNumberFormat="1" applyFont="1" applyFill="1" applyBorder="1" applyAlignment="1" applyProtection="1">
      <alignment horizontal="center" vertical="center"/>
    </xf>
    <xf numFmtId="9" fontId="8" fillId="0" borderId="8" xfId="2" applyFont="1" applyFill="1" applyBorder="1" applyAlignment="1" applyProtection="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9" fontId="14" fillId="0" borderId="8" xfId="0" applyNumberFormat="1" applyFont="1" applyBorder="1" applyAlignment="1">
      <alignment horizontal="center" vertical="center" wrapText="1"/>
    </xf>
    <xf numFmtId="9" fontId="15" fillId="0" borderId="0" xfId="0" applyNumberFormat="1" applyFont="1" applyAlignment="1">
      <alignment horizontal="center" vertical="center" wrapText="1"/>
    </xf>
    <xf numFmtId="3" fontId="2" fillId="0" borderId="0" xfId="0" applyNumberFormat="1" applyFont="1" applyAlignment="1">
      <alignment horizontal="center"/>
    </xf>
    <xf numFmtId="0" fontId="16" fillId="0" borderId="8" xfId="3" applyFont="1" applyFill="1" applyBorder="1" applyAlignment="1" applyProtection="1">
      <alignment horizontal="center" vertical="center" wrapText="1"/>
    </xf>
    <xf numFmtId="0" fontId="17" fillId="0" borderId="0" xfId="0" applyFont="1"/>
    <xf numFmtId="0" fontId="17" fillId="0" borderId="0" xfId="0" applyFont="1" applyAlignment="1">
      <alignment horizontal="center"/>
    </xf>
    <xf numFmtId="165" fontId="14" fillId="0" borderId="8" xfId="0" applyNumberFormat="1" applyFont="1" applyBorder="1" applyAlignment="1">
      <alignment horizontal="center" vertical="center" wrapText="1"/>
    </xf>
    <xf numFmtId="3" fontId="14" fillId="0" borderId="8" xfId="0" applyNumberFormat="1" applyFont="1" applyBorder="1" applyAlignment="1">
      <alignment horizontal="center" vertical="center" wrapText="1"/>
    </xf>
    <xf numFmtId="165" fontId="14" fillId="0" borderId="8" xfId="2" applyNumberFormat="1" applyFont="1" applyFill="1" applyBorder="1" applyAlignment="1" applyProtection="1">
      <alignment horizontal="center" vertical="center" wrapText="1"/>
    </xf>
    <xf numFmtId="9" fontId="14" fillId="0" borderId="8" xfId="2" applyFont="1" applyFill="1" applyBorder="1" applyAlignment="1" applyProtection="1">
      <alignment horizontal="center" vertical="center" wrapText="1"/>
    </xf>
    <xf numFmtId="10" fontId="8" fillId="0" borderId="8" xfId="0" applyNumberFormat="1" applyFont="1" applyBorder="1" applyAlignment="1">
      <alignment horizontal="center"/>
    </xf>
    <xf numFmtId="10" fontId="8" fillId="0" borderId="8" xfId="2" applyNumberFormat="1" applyFont="1" applyBorder="1" applyAlignment="1" applyProtection="1">
      <alignment horizontal="center"/>
    </xf>
    <xf numFmtId="165" fontId="0" fillId="0" borderId="0" xfId="2" applyNumberFormat="1" applyFont="1" applyProtection="1"/>
    <xf numFmtId="0" fontId="6" fillId="0" borderId="26" xfId="0" applyFont="1" applyBorder="1" applyAlignment="1">
      <alignment horizontal="center" vertical="center" wrapText="1"/>
    </xf>
    <xf numFmtId="0" fontId="6" fillId="9" borderId="27" xfId="0" applyFont="1" applyFill="1" applyBorder="1" applyAlignment="1">
      <alignment horizontal="center" vertical="center"/>
    </xf>
    <xf numFmtId="0" fontId="7" fillId="0" borderId="26" xfId="0" applyFont="1" applyBorder="1" applyAlignment="1">
      <alignment horizontal="center" vertical="center"/>
    </xf>
    <xf numFmtId="0" fontId="6" fillId="4" borderId="27" xfId="0" applyFont="1" applyFill="1" applyBorder="1" applyAlignment="1">
      <alignment horizontal="center" vertical="center"/>
    </xf>
    <xf numFmtId="0" fontId="7" fillId="4" borderId="26" xfId="0" applyFont="1" applyFill="1" applyBorder="1" applyAlignment="1">
      <alignment horizontal="center"/>
    </xf>
    <xf numFmtId="0" fontId="18" fillId="8" borderId="27" xfId="0" applyFont="1" applyFill="1" applyBorder="1" applyAlignment="1">
      <alignment horizontal="center" vertical="center"/>
    </xf>
    <xf numFmtId="0" fontId="7" fillId="0" borderId="26" xfId="0" applyFont="1" applyBorder="1" applyAlignment="1">
      <alignment horizontal="center"/>
    </xf>
    <xf numFmtId="0" fontId="6" fillId="10" borderId="27" xfId="0" applyFont="1" applyFill="1" applyBorder="1" applyAlignment="1">
      <alignment horizontal="center" vertical="center"/>
    </xf>
    <xf numFmtId="0" fontId="17" fillId="0" borderId="26" xfId="0" applyFont="1" applyBorder="1" applyAlignment="1">
      <alignment horizontal="center"/>
    </xf>
    <xf numFmtId="0" fontId="0" fillId="0" borderId="0" xfId="0" applyAlignment="1">
      <alignment wrapText="1"/>
    </xf>
    <xf numFmtId="0" fontId="20" fillId="0" borderId="0" xfId="6" applyFont="1" applyAlignment="1" applyProtection="1">
      <alignment vertical="center"/>
    </xf>
    <xf numFmtId="0" fontId="8" fillId="11" borderId="6" xfId="0" applyFont="1" applyFill="1" applyBorder="1" applyAlignment="1">
      <alignment horizontal="center" vertical="center" wrapText="1"/>
    </xf>
    <xf numFmtId="0" fontId="8" fillId="11" borderId="32" xfId="0" applyFont="1" applyFill="1" applyBorder="1" applyAlignment="1">
      <alignment horizontal="center" vertical="center" wrapText="1"/>
    </xf>
    <xf numFmtId="0" fontId="8" fillId="11" borderId="7" xfId="0" applyFont="1" applyFill="1" applyBorder="1" applyAlignment="1">
      <alignment horizontal="center" vertical="center" wrapText="1"/>
    </xf>
    <xf numFmtId="0" fontId="8" fillId="2" borderId="32" xfId="0" applyFont="1" applyFill="1" applyBorder="1" applyAlignment="1">
      <alignment horizontal="center" vertical="center" wrapText="1"/>
    </xf>
    <xf numFmtId="0" fontId="0" fillId="0" borderId="33" xfId="0" applyBorder="1"/>
    <xf numFmtId="0" fontId="18" fillId="0" borderId="9" xfId="0" applyFont="1" applyBorder="1" applyAlignment="1">
      <alignment vertical="center"/>
    </xf>
    <xf numFmtId="9" fontId="18" fillId="0" borderId="8" xfId="2" applyFont="1" applyBorder="1" applyAlignment="1">
      <alignment horizontal="center" vertical="center" wrapText="1"/>
    </xf>
    <xf numFmtId="9" fontId="18" fillId="0" borderId="8" xfId="2" applyFont="1" applyFill="1" applyBorder="1" applyAlignment="1">
      <alignment horizontal="center" vertical="center" wrapText="1"/>
    </xf>
    <xf numFmtId="0" fontId="18" fillId="0" borderId="8" xfId="0" applyFont="1" applyBorder="1" applyAlignment="1">
      <alignment horizontal="center" vertical="center" wrapText="1"/>
    </xf>
    <xf numFmtId="9" fontId="11" fillId="0" borderId="26" xfId="2" applyFont="1" applyFill="1" applyBorder="1"/>
    <xf numFmtId="9" fontId="11" fillId="0" borderId="26" xfId="2" applyFont="1" applyFill="1" applyBorder="1" applyAlignment="1">
      <alignment horizontal="center"/>
    </xf>
    <xf numFmtId="0" fontId="11" fillId="0" borderId="26" xfId="0" applyFont="1" applyBorder="1"/>
    <xf numFmtId="0" fontId="11" fillId="0" borderId="27" xfId="0" applyFont="1" applyBorder="1"/>
    <xf numFmtId="165" fontId="13" fillId="4" borderId="26" xfId="2" applyNumberFormat="1" applyFont="1" applyFill="1" applyBorder="1" applyAlignment="1" applyProtection="1">
      <alignment horizontal="center" vertical="center" wrapText="1"/>
    </xf>
    <xf numFmtId="165" fontId="11" fillId="0" borderId="0" xfId="0" applyNumberFormat="1" applyFont="1"/>
    <xf numFmtId="0" fontId="6" fillId="0" borderId="10" xfId="0" applyFont="1" applyBorder="1" applyAlignment="1">
      <alignment horizontal="left" vertical="center" wrapText="1"/>
    </xf>
    <xf numFmtId="0" fontId="22" fillId="0" borderId="8" xfId="0" applyFont="1" applyBorder="1" applyAlignment="1">
      <alignment horizontal="center" vertical="center" wrapText="1"/>
    </xf>
    <xf numFmtId="9" fontId="22" fillId="0" borderId="8" xfId="0" applyNumberFormat="1" applyFont="1" applyBorder="1" applyAlignment="1">
      <alignment horizontal="center" vertical="center" wrapText="1"/>
    </xf>
    <xf numFmtId="0" fontId="22" fillId="0" borderId="11" xfId="0" applyFont="1" applyBorder="1" applyAlignment="1">
      <alignment horizontal="center" vertical="center" wrapText="1"/>
    </xf>
    <xf numFmtId="9" fontId="6" fillId="0" borderId="8" xfId="2" applyFont="1" applyFill="1" applyBorder="1" applyAlignment="1">
      <alignment horizontal="center"/>
    </xf>
    <xf numFmtId="0" fontId="22" fillId="0" borderId="13" xfId="0" applyFont="1" applyBorder="1" applyAlignment="1">
      <alignment horizontal="center" vertical="center" wrapText="1"/>
    </xf>
    <xf numFmtId="0" fontId="22" fillId="0" borderId="25" xfId="0" applyFont="1" applyBorder="1" applyAlignment="1">
      <alignment horizontal="center" vertical="center" wrapText="1"/>
    </xf>
    <xf numFmtId="165" fontId="13" fillId="4" borderId="13" xfId="2" applyNumberFormat="1" applyFont="1" applyFill="1" applyBorder="1" applyAlignment="1" applyProtection="1">
      <alignment horizontal="center" vertical="center" wrapText="1"/>
    </xf>
    <xf numFmtId="9" fontId="18" fillId="0" borderId="13" xfId="2" applyFont="1" applyFill="1" applyBorder="1" applyAlignment="1">
      <alignment horizontal="center" vertical="center" wrapText="1"/>
    </xf>
    <xf numFmtId="9" fontId="18" fillId="0" borderId="23" xfId="2" applyFont="1" applyFill="1" applyBorder="1" applyAlignment="1">
      <alignment horizontal="center" vertical="center" wrapText="1"/>
    </xf>
    <xf numFmtId="0" fontId="22" fillId="7" borderId="8" xfId="0" applyFont="1" applyFill="1" applyBorder="1" applyAlignment="1">
      <alignment horizontal="center" vertical="center" wrapText="1"/>
    </xf>
    <xf numFmtId="9" fontId="6" fillId="0" borderId="8" xfId="2" applyFont="1" applyFill="1" applyBorder="1" applyAlignment="1">
      <alignment horizontal="center" vertical="center" wrapText="1"/>
    </xf>
    <xf numFmtId="166" fontId="6" fillId="0" borderId="8" xfId="4" applyNumberFormat="1" applyFont="1" applyFill="1" applyBorder="1" applyAlignment="1">
      <alignment horizontal="center" vertical="center" wrapText="1"/>
    </xf>
    <xf numFmtId="165" fontId="18" fillId="0" borderId="8" xfId="2" applyNumberFormat="1" applyFont="1" applyFill="1" applyBorder="1" applyAlignment="1">
      <alignment horizontal="center" vertical="center" wrapText="1"/>
    </xf>
    <xf numFmtId="9" fontId="18" fillId="0" borderId="9" xfId="2" applyFont="1" applyFill="1" applyBorder="1" applyAlignment="1">
      <alignment horizontal="center" vertical="center" wrapText="1"/>
    </xf>
    <xf numFmtId="9" fontId="22" fillId="0" borderId="8" xfId="2" applyFont="1" applyFill="1" applyBorder="1" applyAlignment="1">
      <alignment horizontal="center" vertical="center" wrapText="1"/>
    </xf>
    <xf numFmtId="165" fontId="22" fillId="0" borderId="11" xfId="2" applyNumberFormat="1" applyFont="1" applyFill="1" applyBorder="1" applyAlignment="1">
      <alignment horizontal="center" vertical="center" wrapText="1"/>
    </xf>
    <xf numFmtId="0" fontId="22" fillId="0" borderId="9" xfId="0" applyFont="1" applyBorder="1" applyAlignment="1">
      <alignment horizontal="center" vertical="center" wrapText="1"/>
    </xf>
    <xf numFmtId="6" fontId="22" fillId="0" borderId="8" xfId="0" applyNumberFormat="1" applyFont="1" applyBorder="1" applyAlignment="1">
      <alignment horizontal="center" vertical="center" wrapText="1"/>
    </xf>
    <xf numFmtId="165" fontId="6" fillId="0" borderId="8" xfId="2" applyNumberFormat="1" applyFont="1" applyFill="1" applyBorder="1" applyAlignment="1">
      <alignment horizontal="center" vertical="center" wrapText="1"/>
    </xf>
    <xf numFmtId="165" fontId="22" fillId="0" borderId="8" xfId="0" applyNumberFormat="1" applyFont="1" applyBorder="1" applyAlignment="1">
      <alignment horizontal="center" vertical="center" wrapText="1"/>
    </xf>
    <xf numFmtId="165" fontId="6" fillId="0" borderId="9" xfId="2" applyNumberFormat="1" applyFont="1" applyFill="1" applyBorder="1" applyAlignment="1">
      <alignment horizontal="center" vertical="center" wrapText="1"/>
    </xf>
    <xf numFmtId="165" fontId="6" fillId="0" borderId="26" xfId="2" applyNumberFormat="1" applyFont="1" applyFill="1" applyBorder="1" applyAlignment="1">
      <alignment horizontal="center" vertical="center" wrapText="1"/>
    </xf>
    <xf numFmtId="165" fontId="6" fillId="0" borderId="8" xfId="2" applyNumberFormat="1" applyFont="1" applyFill="1" applyBorder="1" applyAlignment="1">
      <alignment horizontal="center"/>
    </xf>
    <xf numFmtId="10" fontId="22" fillId="0" borderId="8" xfId="0" applyNumberFormat="1" applyFont="1" applyBorder="1" applyAlignment="1">
      <alignment horizontal="center" vertical="center" wrapText="1"/>
    </xf>
    <xf numFmtId="0" fontId="18" fillId="0" borderId="10" xfId="0" applyFont="1" applyBorder="1" applyAlignment="1">
      <alignment horizontal="left" vertical="center" wrapText="1"/>
    </xf>
    <xf numFmtId="3" fontId="22" fillId="0" borderId="8" xfId="0" applyNumberFormat="1" applyFont="1" applyBorder="1" applyAlignment="1">
      <alignment horizontal="center" vertical="center" wrapText="1"/>
    </xf>
    <xf numFmtId="3" fontId="18" fillId="0" borderId="8" xfId="0" applyNumberFormat="1" applyFont="1" applyBorder="1" applyAlignment="1">
      <alignment horizontal="center" vertical="center" wrapText="1"/>
    </xf>
    <xf numFmtId="165" fontId="18" fillId="0" borderId="9" xfId="2" applyNumberFormat="1" applyFont="1" applyFill="1" applyBorder="1" applyAlignment="1">
      <alignment horizontal="center" vertical="center" wrapText="1"/>
    </xf>
    <xf numFmtId="165" fontId="22" fillId="0" borderId="8" xfId="2" applyNumberFormat="1" applyFont="1" applyFill="1" applyBorder="1" applyAlignment="1">
      <alignment horizontal="center" vertical="center" wrapText="1"/>
    </xf>
    <xf numFmtId="10" fontId="22" fillId="0" borderId="9" xfId="0" applyNumberFormat="1" applyFont="1" applyBorder="1" applyAlignment="1">
      <alignment horizontal="center" vertical="center" wrapText="1"/>
    </xf>
    <xf numFmtId="0" fontId="13" fillId="0" borderId="10" xfId="0" applyFont="1" applyBorder="1" applyAlignment="1">
      <alignment horizontal="left" vertical="center" wrapText="1"/>
    </xf>
    <xf numFmtId="166" fontId="18" fillId="0" borderId="8" xfId="4" applyNumberFormat="1" applyFont="1" applyFill="1" applyBorder="1" applyAlignment="1">
      <alignment horizontal="center" vertical="center" wrapText="1"/>
    </xf>
    <xf numFmtId="9" fontId="18" fillId="0" borderId="8" xfId="0" applyNumberFormat="1" applyFont="1" applyBorder="1" applyAlignment="1">
      <alignment horizontal="center" vertical="center" wrapText="1"/>
    </xf>
    <xf numFmtId="9" fontId="13" fillId="0" borderId="8" xfId="2" applyFont="1" applyFill="1" applyBorder="1" applyAlignment="1">
      <alignment horizontal="center" vertical="center" wrapText="1"/>
    </xf>
    <xf numFmtId="10" fontId="6" fillId="0" borderId="8" xfId="2" applyNumberFormat="1" applyFont="1" applyFill="1" applyBorder="1" applyAlignment="1">
      <alignment horizontal="center" vertical="center" wrapText="1"/>
    </xf>
    <xf numFmtId="3" fontId="6" fillId="0" borderId="8" xfId="0" applyNumberFormat="1" applyFont="1" applyBorder="1" applyAlignment="1">
      <alignment horizontal="center"/>
    </xf>
    <xf numFmtId="167" fontId="22" fillId="0" borderId="11" xfId="0" applyNumberFormat="1" applyFont="1" applyBorder="1" applyAlignment="1">
      <alignment horizontal="center" vertical="center" wrapText="1"/>
    </xf>
    <xf numFmtId="167" fontId="22" fillId="0" borderId="8" xfId="0" applyNumberFormat="1" applyFont="1" applyBorder="1" applyAlignment="1">
      <alignment horizontal="center" vertical="center" wrapText="1"/>
    </xf>
    <xf numFmtId="3" fontId="6" fillId="0" borderId="26" xfId="0" applyNumberFormat="1" applyFont="1" applyBorder="1" applyAlignment="1">
      <alignment horizontal="center"/>
    </xf>
    <xf numFmtId="3" fontId="22" fillId="0" borderId="11" xfId="0" applyNumberFormat="1" applyFont="1" applyBorder="1" applyAlignment="1">
      <alignment horizontal="center" vertical="center" wrapText="1"/>
    </xf>
    <xf numFmtId="165" fontId="6" fillId="0" borderId="12" xfId="2" applyNumberFormat="1" applyFont="1" applyFill="1" applyBorder="1" applyAlignment="1">
      <alignment horizontal="center" vertical="center" wrapText="1"/>
    </xf>
    <xf numFmtId="0" fontId="6" fillId="0" borderId="8" xfId="0" applyFont="1" applyBorder="1" applyAlignment="1">
      <alignment horizontal="left" vertical="center" wrapText="1"/>
    </xf>
    <xf numFmtId="166" fontId="6" fillId="0" borderId="8" xfId="5" applyNumberFormat="1" applyFont="1" applyBorder="1" applyAlignment="1">
      <alignment horizontal="center" vertical="center" wrapText="1"/>
    </xf>
    <xf numFmtId="166" fontId="6" fillId="0" borderId="8" xfId="5" applyNumberFormat="1" applyFont="1" applyFill="1" applyBorder="1" applyAlignment="1">
      <alignment horizontal="center" vertical="center" wrapText="1"/>
    </xf>
    <xf numFmtId="3" fontId="6" fillId="0" borderId="13" xfId="0" applyNumberFormat="1" applyFont="1" applyBorder="1" applyAlignment="1">
      <alignment horizontal="center" vertical="center" wrapText="1"/>
    </xf>
    <xf numFmtId="9" fontId="6" fillId="0" borderId="13" xfId="2" applyFont="1" applyFill="1" applyBorder="1" applyAlignment="1">
      <alignment horizontal="center" vertical="center" wrapText="1"/>
    </xf>
    <xf numFmtId="0" fontId="6" fillId="0" borderId="13" xfId="0" applyFont="1" applyBorder="1" applyAlignment="1">
      <alignment horizontal="center" vertical="center" wrapText="1"/>
    </xf>
    <xf numFmtId="3" fontId="6" fillId="6" borderId="8" xfId="0" applyNumberFormat="1" applyFont="1" applyFill="1" applyBorder="1" applyAlignment="1">
      <alignment horizontal="center" vertical="center" wrapText="1"/>
    </xf>
    <xf numFmtId="3" fontId="6" fillId="7" borderId="8" xfId="0" applyNumberFormat="1" applyFont="1" applyFill="1" applyBorder="1" applyAlignment="1">
      <alignment horizontal="center" vertical="center" wrapText="1"/>
    </xf>
    <xf numFmtId="3" fontId="6" fillId="0" borderId="8" xfId="0" applyNumberFormat="1" applyFont="1" applyBorder="1" applyAlignment="1">
      <alignment horizontal="center" vertical="center" wrapText="1"/>
    </xf>
    <xf numFmtId="0" fontId="6" fillId="0" borderId="8" xfId="0" applyFont="1" applyBorder="1" applyAlignment="1">
      <alignment horizontal="center" vertical="center" wrapText="1"/>
    </xf>
    <xf numFmtId="168" fontId="6" fillId="0" borderId="8" xfId="0" applyNumberFormat="1" applyFont="1" applyBorder="1" applyAlignment="1">
      <alignment horizontal="center" vertical="center" wrapText="1"/>
    </xf>
    <xf numFmtId="168" fontId="6" fillId="6" borderId="8" xfId="0" applyNumberFormat="1" applyFont="1" applyFill="1" applyBorder="1" applyAlignment="1">
      <alignment horizontal="center" vertical="center" wrapText="1"/>
    </xf>
    <xf numFmtId="2" fontId="6" fillId="0" borderId="8" xfId="2" applyNumberFormat="1" applyFont="1" applyFill="1" applyBorder="1" applyAlignment="1">
      <alignment horizontal="center" vertical="center" wrapText="1"/>
    </xf>
    <xf numFmtId="3" fontId="6" fillId="13" borderId="8" xfId="0" applyNumberFormat="1" applyFont="1" applyFill="1" applyBorder="1" applyAlignment="1">
      <alignment horizontal="center" vertical="center" wrapText="1"/>
    </xf>
    <xf numFmtId="0" fontId="6" fillId="0" borderId="9" xfId="0" applyFont="1" applyBorder="1" applyAlignment="1">
      <alignment vertical="center"/>
    </xf>
    <xf numFmtId="165" fontId="3" fillId="0" borderId="26" xfId="2" applyNumberFormat="1" applyFont="1" applyFill="1" applyBorder="1" applyAlignment="1">
      <alignment horizontal="center"/>
    </xf>
    <xf numFmtId="0" fontId="6" fillId="0" borderId="8" xfId="0" applyFont="1" applyBorder="1" applyAlignment="1">
      <alignment horizontal="center"/>
    </xf>
    <xf numFmtId="165" fontId="6" fillId="0" borderId="11" xfId="2" applyNumberFormat="1" applyFont="1" applyFill="1" applyBorder="1" applyAlignment="1">
      <alignment horizontal="center" vertical="center" wrapText="1"/>
    </xf>
    <xf numFmtId="0" fontId="6" fillId="0" borderId="26" xfId="0" applyFont="1" applyBorder="1" applyAlignment="1">
      <alignment horizontal="center"/>
    </xf>
    <xf numFmtId="0" fontId="3" fillId="0" borderId="0" xfId="0" applyFont="1"/>
    <xf numFmtId="9" fontId="3" fillId="0" borderId="26" xfId="2" applyFont="1" applyFill="1" applyBorder="1" applyAlignment="1">
      <alignment horizontal="center"/>
    </xf>
    <xf numFmtId="0" fontId="6" fillId="0" borderId="42" xfId="0" applyFont="1" applyBorder="1" applyAlignment="1">
      <alignment horizontal="center"/>
    </xf>
    <xf numFmtId="9" fontId="18" fillId="0" borderId="42" xfId="2" applyFont="1" applyFill="1" applyBorder="1" applyAlignment="1">
      <alignment horizontal="center" vertical="center" wrapText="1"/>
    </xf>
    <xf numFmtId="9" fontId="18" fillId="0" borderId="11" xfId="2" applyFont="1" applyFill="1" applyBorder="1" applyAlignment="1">
      <alignment horizontal="center" vertical="center" wrapText="1"/>
    </xf>
    <xf numFmtId="9" fontId="18" fillId="0" borderId="10" xfId="2" applyFont="1" applyFill="1" applyBorder="1" applyAlignment="1">
      <alignment horizontal="center" vertical="center" wrapText="1"/>
    </xf>
    <xf numFmtId="0" fontId="6" fillId="0" borderId="12" xfId="0" applyFont="1" applyBorder="1" applyAlignment="1">
      <alignment horizontal="center"/>
    </xf>
    <xf numFmtId="9" fontId="18" fillId="0" borderId="43" xfId="2" applyFont="1" applyFill="1" applyBorder="1" applyAlignment="1">
      <alignment horizontal="center" vertical="center" wrapText="1"/>
    </xf>
    <xf numFmtId="165" fontId="6" fillId="0" borderId="10" xfId="2" applyNumberFormat="1" applyFont="1" applyFill="1" applyBorder="1" applyAlignment="1">
      <alignment horizontal="center" vertical="center" wrapText="1"/>
    </xf>
    <xf numFmtId="165" fontId="6" fillId="0" borderId="42" xfId="2" applyNumberFormat="1" applyFont="1" applyFill="1" applyBorder="1" applyAlignment="1">
      <alignment horizontal="center" vertical="center" wrapText="1"/>
    </xf>
    <xf numFmtId="9" fontId="22" fillId="0" borderId="42" xfId="0" applyNumberFormat="1" applyFont="1" applyBorder="1" applyAlignment="1">
      <alignment horizontal="center" vertical="center" wrapText="1"/>
    </xf>
    <xf numFmtId="3" fontId="6" fillId="0" borderId="42" xfId="0" applyNumberFormat="1" applyFont="1" applyBorder="1" applyAlignment="1">
      <alignment horizontal="center"/>
    </xf>
    <xf numFmtId="0" fontId="22" fillId="0" borderId="10" xfId="0" applyFont="1" applyBorder="1" applyAlignment="1">
      <alignment horizontal="center" vertical="center" wrapText="1"/>
    </xf>
    <xf numFmtId="9" fontId="6" fillId="0" borderId="11" xfId="2" applyFont="1" applyFill="1" applyBorder="1" applyAlignment="1">
      <alignment horizontal="center" vertical="center" wrapText="1"/>
    </xf>
    <xf numFmtId="9" fontId="6" fillId="0" borderId="10" xfId="2" applyFont="1" applyFill="1" applyBorder="1" applyAlignment="1">
      <alignment horizontal="center" vertical="center" wrapText="1"/>
    </xf>
    <xf numFmtId="9" fontId="6" fillId="0" borderId="26" xfId="2" applyFont="1" applyFill="1" applyBorder="1" applyAlignment="1">
      <alignment horizontal="center" vertical="center" wrapText="1"/>
    </xf>
    <xf numFmtId="165" fontId="18" fillId="0" borderId="11" xfId="2" applyNumberFormat="1" applyFont="1" applyFill="1" applyBorder="1" applyAlignment="1">
      <alignment horizontal="center" vertical="center" wrapText="1"/>
    </xf>
    <xf numFmtId="165" fontId="18" fillId="0" borderId="10" xfId="2" applyNumberFormat="1" applyFont="1" applyFill="1" applyBorder="1" applyAlignment="1">
      <alignment horizontal="center" vertical="center" wrapText="1"/>
    </xf>
    <xf numFmtId="168" fontId="6" fillId="0" borderId="26" xfId="0" applyNumberFormat="1" applyFont="1" applyBorder="1" applyAlignment="1">
      <alignment horizontal="center"/>
    </xf>
    <xf numFmtId="0" fontId="22" fillId="13" borderId="8" xfId="0" applyFont="1" applyFill="1" applyBorder="1" applyAlignment="1">
      <alignment horizontal="center" vertical="center" wrapText="1"/>
    </xf>
    <xf numFmtId="6" fontId="22" fillId="13" borderId="8" xfId="0" applyNumberFormat="1" applyFont="1" applyFill="1" applyBorder="1" applyAlignment="1">
      <alignment horizontal="center" vertical="center" wrapText="1"/>
    </xf>
    <xf numFmtId="0" fontId="6" fillId="7" borderId="8" xfId="0" applyFont="1" applyFill="1" applyBorder="1" applyAlignment="1">
      <alignment horizontal="center" vertical="center" wrapText="1"/>
    </xf>
    <xf numFmtId="164" fontId="18" fillId="0" borderId="8" xfId="4" applyNumberFormat="1" applyFont="1" applyFill="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3" fontId="24" fillId="0" borderId="8" xfId="0" applyNumberFormat="1" applyFont="1" applyBorder="1" applyAlignment="1">
      <alignment horizontal="center"/>
    </xf>
    <xf numFmtId="3" fontId="11" fillId="0" borderId="26" xfId="0" applyNumberFormat="1" applyFont="1" applyBorder="1" applyAlignment="1">
      <alignment horizontal="center"/>
    </xf>
    <xf numFmtId="3" fontId="24" fillId="0" borderId="26" xfId="0" applyNumberFormat="1" applyFont="1" applyBorder="1" applyAlignment="1">
      <alignment horizontal="center"/>
    </xf>
    <xf numFmtId="164" fontId="6" fillId="0" borderId="8" xfId="4" applyNumberFormat="1" applyFont="1" applyFill="1" applyBorder="1" applyAlignment="1">
      <alignment horizontal="center" vertical="center" wrapText="1"/>
    </xf>
    <xf numFmtId="168" fontId="6" fillId="0" borderId="11" xfId="0" applyNumberFormat="1" applyFont="1" applyBorder="1" applyAlignment="1">
      <alignment horizontal="center" vertical="center" wrapText="1"/>
    </xf>
    <xf numFmtId="0" fontId="5" fillId="0" borderId="0" xfId="0" applyFont="1" applyAlignment="1">
      <alignment horizontal="center"/>
    </xf>
    <xf numFmtId="0" fontId="6" fillId="0" borderId="8" xfId="0" applyFont="1" applyBorder="1" applyAlignment="1">
      <alignment horizontal="left" vertical="center"/>
    </xf>
    <xf numFmtId="0" fontId="6" fillId="0" borderId="9" xfId="0" applyFont="1" applyBorder="1" applyAlignment="1">
      <alignment horizontal="center"/>
    </xf>
    <xf numFmtId="9" fontId="6" fillId="0" borderId="9" xfId="2" applyFont="1" applyFill="1" applyBorder="1" applyAlignment="1">
      <alignment horizontal="center" vertical="center" wrapText="1"/>
    </xf>
    <xf numFmtId="168" fontId="6" fillId="0" borderId="9" xfId="0" applyNumberFormat="1" applyFont="1" applyBorder="1" applyAlignment="1">
      <alignment horizontal="center" vertical="center" wrapText="1"/>
    </xf>
    <xf numFmtId="168" fontId="6" fillId="0" borderId="26" xfId="0" applyNumberFormat="1" applyFont="1" applyBorder="1" applyAlignment="1">
      <alignment horizontal="center" vertical="center" wrapText="1"/>
    </xf>
    <xf numFmtId="0" fontId="6" fillId="0" borderId="8" xfId="2" applyNumberFormat="1" applyFont="1" applyFill="1" applyBorder="1" applyAlignment="1">
      <alignment horizontal="center" vertical="center" wrapText="1"/>
    </xf>
    <xf numFmtId="3" fontId="6" fillId="0" borderId="9" xfId="0" applyNumberFormat="1" applyFont="1" applyBorder="1" applyAlignment="1">
      <alignment horizontal="center" vertical="center" wrapText="1"/>
    </xf>
    <xf numFmtId="3" fontId="6" fillId="0" borderId="26" xfId="0" applyNumberFormat="1" applyFont="1" applyBorder="1" applyAlignment="1">
      <alignment horizontal="center" vertical="center" wrapText="1"/>
    </xf>
    <xf numFmtId="9" fontId="22" fillId="5" borderId="8" xfId="0" applyNumberFormat="1" applyFont="1" applyFill="1" applyBorder="1" applyAlignment="1">
      <alignment horizontal="center" vertical="center" wrapText="1"/>
    </xf>
    <xf numFmtId="9" fontId="3" fillId="0" borderId="26" xfId="2" applyFont="1" applyBorder="1" applyAlignment="1">
      <alignment horizontal="center"/>
    </xf>
    <xf numFmtId="0" fontId="3" fillId="0" borderId="0" xfId="0" applyFont="1" applyAlignment="1">
      <alignment horizontal="left" wrapText="1"/>
    </xf>
    <xf numFmtId="3" fontId="5" fillId="4" borderId="0" xfId="0" applyNumberFormat="1" applyFont="1" applyFill="1"/>
    <xf numFmtId="3" fontId="5" fillId="0" borderId="0" xfId="0" applyNumberFormat="1" applyFont="1"/>
    <xf numFmtId="0" fontId="6" fillId="0" borderId="0" xfId="0" applyFont="1" applyAlignment="1">
      <alignment horizontal="left"/>
    </xf>
    <xf numFmtId="0" fontId="25" fillId="0" borderId="9" xfId="0" applyFont="1" applyBorder="1" applyAlignment="1">
      <alignment vertical="center"/>
    </xf>
    <xf numFmtId="0" fontId="6" fillId="4" borderId="8" xfId="0" applyFont="1" applyFill="1" applyBorder="1" applyAlignment="1">
      <alignment horizontal="center" vertical="center" wrapText="1"/>
    </xf>
    <xf numFmtId="9" fontId="6" fillId="9" borderId="8" xfId="2" applyFont="1" applyFill="1" applyBorder="1" applyAlignment="1">
      <alignment horizontal="center" vertical="center" wrapText="1"/>
    </xf>
    <xf numFmtId="165" fontId="6" fillId="0" borderId="8" xfId="2" applyNumberFormat="1" applyFont="1" applyBorder="1" applyAlignment="1">
      <alignment horizontal="center" vertical="center" wrapText="1"/>
    </xf>
    <xf numFmtId="0" fontId="6" fillId="0" borderId="0" xfId="0" applyFont="1" applyAlignment="1">
      <alignment horizontal="center" vertical="center"/>
    </xf>
    <xf numFmtId="0" fontId="6" fillId="4" borderId="8" xfId="0" applyFont="1" applyFill="1" applyBorder="1" applyAlignment="1">
      <alignment horizontal="center" vertical="center"/>
    </xf>
    <xf numFmtId="9" fontId="6" fillId="9" borderId="8" xfId="2" applyFont="1" applyFill="1" applyBorder="1" applyAlignment="1">
      <alignment horizontal="center" vertical="center"/>
    </xf>
    <xf numFmtId="9" fontId="6" fillId="0" borderId="8" xfId="2" applyFont="1" applyFill="1" applyBorder="1" applyAlignment="1">
      <alignment horizontal="center" vertical="center"/>
    </xf>
    <xf numFmtId="165" fontId="6" fillId="0" borderId="8" xfId="2" applyNumberFormat="1" applyFont="1" applyBorder="1" applyAlignment="1">
      <alignment horizontal="center" vertical="center"/>
    </xf>
    <xf numFmtId="0" fontId="6" fillId="0" borderId="0" xfId="0" applyFont="1"/>
    <xf numFmtId="9" fontId="6" fillId="14" borderId="8" xfId="2" applyFont="1" applyFill="1" applyBorder="1" applyAlignment="1">
      <alignment horizontal="center" vertical="center"/>
    </xf>
    <xf numFmtId="165" fontId="6" fillId="14" borderId="8" xfId="2" applyNumberFormat="1" applyFont="1" applyFill="1" applyBorder="1" applyAlignment="1">
      <alignment horizontal="center" vertical="center"/>
    </xf>
    <xf numFmtId="0" fontId="8" fillId="4" borderId="8" xfId="0" applyFont="1" applyFill="1" applyBorder="1" applyAlignment="1">
      <alignment horizontal="center" vertical="center"/>
    </xf>
    <xf numFmtId="0" fontId="6" fillId="0" borderId="8" xfId="0" applyFont="1" applyBorder="1" applyAlignment="1">
      <alignment horizontal="center" vertical="center"/>
    </xf>
    <xf numFmtId="9" fontId="6" fillId="4" borderId="8" xfId="2" applyFont="1" applyFill="1" applyBorder="1" applyAlignment="1">
      <alignment horizontal="center" vertical="center" wrapText="1"/>
    </xf>
    <xf numFmtId="165" fontId="6" fillId="14" borderId="8" xfId="2" applyNumberFormat="1" applyFont="1" applyFill="1" applyBorder="1" applyAlignment="1">
      <alignment horizontal="center" vertical="center" wrapText="1"/>
    </xf>
    <xf numFmtId="9" fontId="6" fillId="14" borderId="8" xfId="2" applyFont="1" applyFill="1" applyBorder="1" applyAlignment="1">
      <alignment horizontal="center" vertical="center" wrapText="1"/>
    </xf>
    <xf numFmtId="165" fontId="8" fillId="0" borderId="8" xfId="2" applyNumberFormat="1" applyFont="1" applyFill="1" applyBorder="1" applyAlignment="1">
      <alignment horizontal="center" vertical="center" wrapText="1"/>
    </xf>
    <xf numFmtId="9" fontId="6" fillId="0" borderId="8" xfId="2" applyFont="1" applyBorder="1" applyAlignment="1">
      <alignment horizontal="center" vertical="center"/>
    </xf>
    <xf numFmtId="168" fontId="6" fillId="14" borderId="8" xfId="0" applyNumberFormat="1" applyFont="1" applyFill="1" applyBorder="1" applyAlignment="1">
      <alignment horizontal="center" vertical="center" wrapText="1"/>
    </xf>
    <xf numFmtId="168" fontId="8" fillId="0" borderId="8" xfId="0" applyNumberFormat="1" applyFont="1" applyBorder="1" applyAlignment="1">
      <alignment horizontal="center" vertical="center" wrapText="1"/>
    </xf>
    <xf numFmtId="3" fontId="26" fillId="0" borderId="8" xfId="2" applyNumberFormat="1" applyFont="1" applyFill="1" applyBorder="1" applyAlignment="1">
      <alignment horizontal="right" vertical="center" wrapText="1"/>
    </xf>
    <xf numFmtId="3" fontId="6" fillId="0" borderId="8" xfId="0" applyNumberFormat="1" applyFont="1" applyBorder="1" applyAlignment="1">
      <alignment horizontal="center" vertical="center"/>
    </xf>
    <xf numFmtId="9" fontId="6" fillId="4" borderId="8" xfId="2" applyFont="1" applyFill="1" applyBorder="1" applyAlignment="1">
      <alignment horizontal="center" vertical="center"/>
    </xf>
    <xf numFmtId="3" fontId="6" fillId="0" borderId="22" xfId="0" applyNumberFormat="1" applyFont="1" applyBorder="1" applyAlignment="1">
      <alignment horizontal="center" vertical="center"/>
    </xf>
    <xf numFmtId="3" fontId="6" fillId="14" borderId="8" xfId="0" applyNumberFormat="1" applyFont="1" applyFill="1" applyBorder="1" applyAlignment="1">
      <alignment horizontal="center" vertical="center"/>
    </xf>
    <xf numFmtId="9" fontId="26" fillId="4" borderId="8" xfId="2" applyFont="1" applyFill="1" applyBorder="1" applyAlignment="1">
      <alignment horizontal="center" vertical="center" wrapText="1"/>
    </xf>
    <xf numFmtId="9" fontId="6" fillId="5" borderId="8" xfId="2" applyFont="1" applyFill="1" applyBorder="1" applyAlignment="1">
      <alignment horizontal="center" vertical="center" wrapText="1"/>
    </xf>
    <xf numFmtId="9" fontId="6" fillId="8" borderId="8" xfId="2" applyFont="1" applyFill="1" applyBorder="1" applyAlignment="1">
      <alignment horizontal="center" vertical="center" wrapText="1"/>
    </xf>
    <xf numFmtId="3" fontId="6" fillId="14" borderId="8" xfId="2" applyNumberFormat="1" applyFont="1" applyFill="1" applyBorder="1" applyAlignment="1">
      <alignment horizontal="center" vertical="center" wrapText="1"/>
    </xf>
    <xf numFmtId="0" fontId="25" fillId="15" borderId="9" xfId="0" applyFont="1" applyFill="1" applyBorder="1"/>
    <xf numFmtId="10" fontId="27" fillId="0" borderId="8" xfId="0" applyNumberFormat="1" applyFont="1" applyBorder="1" applyAlignment="1">
      <alignment horizontal="center" vertical="center" wrapText="1"/>
    </xf>
    <xf numFmtId="9" fontId="27" fillId="16" borderId="8" xfId="0" applyNumberFormat="1" applyFont="1" applyFill="1" applyBorder="1" applyAlignment="1">
      <alignment horizontal="center" vertical="center" wrapText="1"/>
    </xf>
    <xf numFmtId="165" fontId="27" fillId="0" borderId="8" xfId="0" applyNumberFormat="1" applyFont="1" applyBorder="1" applyAlignment="1">
      <alignment horizontal="center" vertical="center" wrapText="1"/>
    </xf>
    <xf numFmtId="10" fontId="18" fillId="0" borderId="8" xfId="2" applyNumberFormat="1" applyFont="1" applyBorder="1" applyAlignment="1">
      <alignment horizontal="center" vertical="center" wrapText="1"/>
    </xf>
    <xf numFmtId="9" fontId="27" fillId="17" borderId="8" xfId="0" applyNumberFormat="1" applyFont="1" applyFill="1" applyBorder="1" applyAlignment="1">
      <alignment horizontal="center" vertical="center" wrapText="1"/>
    </xf>
    <xf numFmtId="9" fontId="27" fillId="9" borderId="8" xfId="0" applyNumberFormat="1" applyFont="1" applyFill="1" applyBorder="1" applyAlignment="1">
      <alignment horizontal="center" vertical="center" wrapText="1"/>
    </xf>
    <xf numFmtId="10" fontId="6" fillId="0" borderId="8" xfId="2" applyNumberFormat="1" applyFont="1" applyFill="1" applyBorder="1" applyAlignment="1">
      <alignment horizontal="center" vertical="center"/>
    </xf>
    <xf numFmtId="10" fontId="6" fillId="0" borderId="8" xfId="0" applyNumberFormat="1" applyFont="1" applyBorder="1" applyAlignment="1">
      <alignment horizontal="center" vertical="center"/>
    </xf>
    <xf numFmtId="10" fontId="18" fillId="14" borderId="8" xfId="2" applyNumberFormat="1" applyFont="1" applyFill="1" applyBorder="1" applyAlignment="1">
      <alignment horizontal="center" vertical="center" wrapText="1"/>
    </xf>
    <xf numFmtId="10" fontId="6" fillId="14" borderId="8" xfId="2" applyNumberFormat="1" applyFont="1" applyFill="1" applyBorder="1" applyAlignment="1">
      <alignment horizontal="center" vertical="center"/>
    </xf>
    <xf numFmtId="0" fontId="3" fillId="0" borderId="0" xfId="0" applyFont="1" applyAlignment="1">
      <alignment horizontal="left"/>
    </xf>
    <xf numFmtId="0" fontId="3" fillId="0" borderId="0" xfId="0" applyFont="1" applyAlignment="1">
      <alignment horizontal="center"/>
    </xf>
    <xf numFmtId="0" fontId="7" fillId="0" borderId="0" xfId="0" applyFont="1" applyAlignment="1">
      <alignment horizontal="center" vertical="center"/>
    </xf>
    <xf numFmtId="0" fontId="8" fillId="2" borderId="50" xfId="0" applyFont="1" applyFill="1" applyBorder="1" applyAlignment="1">
      <alignment horizontal="center" vertical="center" wrapText="1"/>
    </xf>
    <xf numFmtId="9" fontId="0" fillId="0" borderId="0" xfId="2" applyFont="1"/>
    <xf numFmtId="166" fontId="13" fillId="0" borderId="8" xfId="1" applyNumberFormat="1" applyFont="1" applyBorder="1" applyAlignment="1">
      <alignment horizontal="center" wrapText="1"/>
    </xf>
    <xf numFmtId="0" fontId="0" fillId="0" borderId="0" xfId="0" pivotButton="1"/>
    <xf numFmtId="165" fontId="8" fillId="0" borderId="8" xfId="0" applyNumberFormat="1" applyFont="1" applyBorder="1" applyAlignment="1">
      <alignment horizontal="center" vertical="center"/>
    </xf>
    <xf numFmtId="165" fontId="13" fillId="0" borderId="13" xfId="2" applyNumberFormat="1" applyFont="1" applyFill="1" applyBorder="1" applyAlignment="1" applyProtection="1">
      <alignment horizontal="center" vertical="center" wrapText="1"/>
    </xf>
    <xf numFmtId="9" fontId="13" fillId="0" borderId="13" xfId="2" applyFont="1" applyFill="1" applyBorder="1" applyAlignment="1" applyProtection="1">
      <alignment horizontal="center" vertical="center" wrapText="1"/>
    </xf>
    <xf numFmtId="0" fontId="28" fillId="0" borderId="0" xfId="0" applyFont="1"/>
    <xf numFmtId="9" fontId="10" fillId="0" borderId="8" xfId="2" applyFont="1" applyFill="1" applyBorder="1" applyAlignment="1">
      <alignment horizontal="center"/>
    </xf>
    <xf numFmtId="0" fontId="11" fillId="0" borderId="8" xfId="0" applyFont="1" applyBorder="1"/>
    <xf numFmtId="9" fontId="11" fillId="0" borderId="8" xfId="2" applyFont="1" applyFill="1" applyBorder="1" applyAlignment="1">
      <alignment horizontal="center"/>
    </xf>
    <xf numFmtId="10" fontId="11" fillId="0" borderId="8" xfId="2" applyNumberFormat="1" applyFont="1" applyFill="1" applyBorder="1" applyAlignment="1">
      <alignment horizontal="center"/>
    </xf>
    <xf numFmtId="1" fontId="22" fillId="0" borderId="8" xfId="0" applyNumberFormat="1" applyFont="1" applyBorder="1" applyAlignment="1">
      <alignment horizontal="center" vertical="center" wrapText="1"/>
    </xf>
    <xf numFmtId="165" fontId="11" fillId="0" borderId="8" xfId="2" applyNumberFormat="1" applyFont="1" applyFill="1" applyBorder="1" applyAlignment="1">
      <alignment horizontal="center"/>
    </xf>
    <xf numFmtId="0" fontId="0" fillId="0" borderId="8" xfId="0" applyBorder="1"/>
    <xf numFmtId="165" fontId="0" fillId="0" borderId="0" xfId="0" applyNumberFormat="1"/>
    <xf numFmtId="165" fontId="15" fillId="0" borderId="0" xfId="0" applyNumberFormat="1" applyFont="1" applyAlignment="1">
      <alignment horizontal="center" vertical="center" wrapText="1"/>
    </xf>
    <xf numFmtId="10" fontId="0" fillId="0" borderId="0" xfId="2" applyNumberFormat="1" applyFont="1" applyAlignment="1">
      <alignment horizontal="center"/>
    </xf>
    <xf numFmtId="43" fontId="8" fillId="0" borderId="0" xfId="1" applyFont="1" applyAlignment="1">
      <alignment horizontal="center" vertical="center" wrapText="1"/>
    </xf>
    <xf numFmtId="165" fontId="8" fillId="0" borderId="0" xfId="0" applyNumberFormat="1" applyFont="1" applyAlignment="1">
      <alignment horizontal="center" vertical="center" wrapText="1"/>
    </xf>
    <xf numFmtId="10" fontId="0" fillId="0" borderId="0" xfId="0" applyNumberFormat="1" applyAlignment="1">
      <alignment horizontal="center"/>
    </xf>
    <xf numFmtId="9" fontId="0" fillId="0" borderId="0" xfId="0" applyNumberFormat="1" applyAlignment="1">
      <alignment horizontal="center"/>
    </xf>
    <xf numFmtId="0" fontId="9" fillId="0" borderId="8" xfId="0" applyFont="1" applyFill="1" applyBorder="1" applyAlignment="1">
      <alignment horizontal="center" vertical="center" wrapText="1"/>
    </xf>
    <xf numFmtId="0" fontId="0" fillId="0" borderId="0" xfId="0" applyFill="1"/>
    <xf numFmtId="0" fontId="11" fillId="0" borderId="0" xfId="0" applyFont="1" applyFill="1"/>
    <xf numFmtId="0" fontId="9" fillId="0" borderId="13" xfId="0" applyFont="1" applyFill="1" applyBorder="1" applyAlignment="1">
      <alignment horizontal="center" vertical="center" wrapText="1"/>
    </xf>
    <xf numFmtId="0" fontId="10" fillId="0" borderId="21" xfId="0" applyFont="1" applyFill="1" applyBorder="1" applyAlignment="1">
      <alignment horizontal="center" vertical="center"/>
    </xf>
    <xf numFmtId="0" fontId="11" fillId="0" borderId="0" xfId="0" applyFont="1" applyFill="1" applyAlignment="1">
      <alignment horizontal="center"/>
    </xf>
    <xf numFmtId="0" fontId="0" fillId="0" borderId="0" xfId="0" applyFill="1" applyAlignment="1">
      <alignment horizontal="center"/>
    </xf>
    <xf numFmtId="9" fontId="2" fillId="0" borderId="0" xfId="2" applyFont="1" applyFill="1" applyAlignment="1" applyProtection="1">
      <alignment horizontal="center"/>
    </xf>
    <xf numFmtId="0" fontId="8" fillId="0" borderId="13" xfId="0" applyFont="1" applyBorder="1" applyAlignment="1">
      <alignment vertical="center" wrapText="1"/>
    </xf>
    <xf numFmtId="0" fontId="0" fillId="0" borderId="8" xfId="0" applyFill="1" applyBorder="1" applyAlignment="1">
      <alignment vertical="center"/>
    </xf>
    <xf numFmtId="9" fontId="14" fillId="0" borderId="8" xfId="0" applyNumberFormat="1" applyFont="1" applyFill="1" applyBorder="1" applyAlignment="1">
      <alignment horizontal="center" vertical="center" wrapText="1"/>
    </xf>
    <xf numFmtId="3" fontId="14" fillId="0" borderId="8" xfId="0" applyNumberFormat="1" applyFont="1" applyFill="1" applyBorder="1" applyAlignment="1">
      <alignment horizontal="center" vertical="center" wrapText="1"/>
    </xf>
    <xf numFmtId="165" fontId="14" fillId="0" borderId="8" xfId="0" applyNumberFormat="1" applyFont="1" applyFill="1" applyBorder="1" applyAlignment="1">
      <alignment horizontal="center" vertical="center" wrapText="1"/>
    </xf>
    <xf numFmtId="4" fontId="13" fillId="0" borderId="8" xfId="0" applyNumberFormat="1" applyFont="1" applyFill="1" applyBorder="1" applyAlignment="1">
      <alignment horizontal="center" vertical="center" wrapText="1"/>
    </xf>
    <xf numFmtId="3" fontId="8" fillId="0" borderId="8" xfId="0" applyNumberFormat="1" applyFont="1" applyFill="1" applyBorder="1" applyAlignment="1">
      <alignment horizontal="center" vertical="center"/>
    </xf>
    <xf numFmtId="3" fontId="13" fillId="0" borderId="8" xfId="0" applyNumberFormat="1" applyFont="1" applyFill="1" applyBorder="1" applyAlignment="1">
      <alignment horizontal="center" vertical="center" wrapText="1"/>
    </xf>
    <xf numFmtId="166" fontId="13" fillId="0" borderId="8" xfId="1" applyNumberFormat="1" applyFont="1" applyFill="1" applyBorder="1" applyAlignment="1">
      <alignment horizontal="center" wrapText="1"/>
    </xf>
    <xf numFmtId="0" fontId="29" fillId="0" borderId="8" xfId="0" applyFont="1" applyFill="1" applyBorder="1" applyAlignment="1">
      <alignment horizontal="center" vertical="center" wrapText="1"/>
    </xf>
    <xf numFmtId="0" fontId="29" fillId="0" borderId="9" xfId="0" applyFont="1" applyFill="1" applyBorder="1" applyAlignment="1">
      <alignment horizontal="center" vertical="center" wrapText="1"/>
    </xf>
    <xf numFmtId="0" fontId="0" fillId="0" borderId="8" xfId="0" applyFont="1" applyFill="1" applyBorder="1" applyAlignment="1">
      <alignment vertical="center"/>
    </xf>
    <xf numFmtId="0" fontId="0" fillId="0" borderId="0" xfId="0" applyFont="1" applyFill="1"/>
    <xf numFmtId="166" fontId="17" fillId="0" borderId="8" xfId="1" applyNumberFormat="1" applyFont="1" applyFill="1" applyBorder="1" applyAlignment="1">
      <alignment horizontal="center" wrapText="1"/>
    </xf>
    <xf numFmtId="166" fontId="17" fillId="0" borderId="8" xfId="1" applyNumberFormat="1" applyFont="1" applyBorder="1" applyAlignment="1">
      <alignment horizontal="center" wrapText="1"/>
    </xf>
    <xf numFmtId="166" fontId="17" fillId="0" borderId="8" xfId="1" applyNumberFormat="1" applyFont="1" applyFill="1" applyBorder="1" applyAlignment="1">
      <alignment horizontal="center" vertical="center" wrapText="1"/>
    </xf>
    <xf numFmtId="0" fontId="7" fillId="0" borderId="8" xfId="0" applyFont="1" applyBorder="1" applyAlignment="1"/>
    <xf numFmtId="0" fontId="8" fillId="0" borderId="9" xfId="0" applyFont="1" applyBorder="1" applyAlignment="1">
      <alignment vertical="center" wrapText="1"/>
    </xf>
    <xf numFmtId="0" fontId="8" fillId="0" borderId="10" xfId="0" applyFont="1" applyBorder="1" applyAlignment="1">
      <alignment vertical="center" wrapText="1"/>
    </xf>
    <xf numFmtId="9" fontId="0" fillId="0" borderId="8" xfId="2" applyFont="1" applyFill="1" applyBorder="1" applyAlignment="1">
      <alignment horizontal="center"/>
    </xf>
    <xf numFmtId="9" fontId="0" fillId="0" borderId="8" xfId="2" applyFont="1" applyBorder="1" applyAlignment="1">
      <alignment horizontal="center"/>
    </xf>
    <xf numFmtId="165" fontId="0" fillId="0" borderId="26" xfId="2" applyNumberFormat="1" applyFont="1" applyBorder="1"/>
    <xf numFmtId="0" fontId="0" fillId="0" borderId="26" xfId="0" applyBorder="1"/>
    <xf numFmtId="0" fontId="0" fillId="0" borderId="26" xfId="0" applyBorder="1" applyAlignment="1">
      <alignment horizontal="center"/>
    </xf>
    <xf numFmtId="9" fontId="0" fillId="0" borderId="26" xfId="2" applyFont="1" applyBorder="1"/>
    <xf numFmtId="43" fontId="0" fillId="0" borderId="26" xfId="1" applyFont="1" applyBorder="1"/>
    <xf numFmtId="0" fontId="0" fillId="0" borderId="26" xfId="0" applyBorder="1" applyAlignment="1">
      <alignment horizontal="left"/>
    </xf>
    <xf numFmtId="0" fontId="0" fillId="0" borderId="0" xfId="0" applyAlignment="1">
      <alignment horizontal="left"/>
    </xf>
    <xf numFmtId="0" fontId="0" fillId="0" borderId="0" xfId="0" applyNumberFormat="1"/>
    <xf numFmtId="10" fontId="0" fillId="0" borderId="0" xfId="0" applyNumberFormat="1"/>
    <xf numFmtId="165" fontId="0" fillId="0" borderId="26" xfId="2" applyNumberFormat="1" applyFont="1" applyBorder="1" applyAlignment="1">
      <alignment horizontal="center"/>
    </xf>
    <xf numFmtId="10" fontId="11" fillId="0" borderId="26" xfId="2" applyNumberFormat="1" applyFont="1" applyFill="1" applyBorder="1" applyAlignment="1">
      <alignment horizontal="center"/>
    </xf>
    <xf numFmtId="10" fontId="0" fillId="0" borderId="0" xfId="2" applyNumberFormat="1" applyFont="1"/>
    <xf numFmtId="0" fontId="3" fillId="0" borderId="0" xfId="0" applyFont="1" applyAlignment="1">
      <alignment wrapText="1"/>
    </xf>
    <xf numFmtId="0" fontId="0" fillId="0" borderId="0" xfId="0" applyFont="1"/>
    <xf numFmtId="0" fontId="0" fillId="0" borderId="26" xfId="0" applyBorder="1" applyAlignment="1">
      <alignment wrapText="1"/>
    </xf>
    <xf numFmtId="0" fontId="0" fillId="0" borderId="0" xfId="0" applyAlignment="1">
      <alignment vertical="center" wrapText="1"/>
    </xf>
    <xf numFmtId="0" fontId="3" fillId="0" borderId="0" xfId="0" applyFont="1" applyAlignment="1">
      <alignment vertical="center" wrapText="1"/>
    </xf>
    <xf numFmtId="0" fontId="3" fillId="18" borderId="26" xfId="0" applyFont="1" applyFill="1" applyBorder="1" applyAlignment="1">
      <alignment horizontal="center"/>
    </xf>
    <xf numFmtId="0" fontId="3" fillId="0" borderId="0" xfId="0" applyFont="1" applyAlignment="1">
      <alignment horizontal="center" wrapText="1"/>
    </xf>
    <xf numFmtId="17" fontId="3" fillId="18" borderId="26" xfId="0" applyNumberFormat="1" applyFont="1" applyFill="1" applyBorder="1" applyAlignment="1">
      <alignment horizontal="center"/>
    </xf>
    <xf numFmtId="165" fontId="13" fillId="4" borderId="52" xfId="2" applyNumberFormat="1" applyFont="1" applyFill="1" applyBorder="1" applyAlignment="1" applyProtection="1">
      <alignment horizontal="center" vertical="center" wrapText="1"/>
    </xf>
    <xf numFmtId="0" fontId="0" fillId="0" borderId="52" xfId="0" applyBorder="1"/>
    <xf numFmtId="10" fontId="3" fillId="0" borderId="26" xfId="0" applyNumberFormat="1" applyFont="1" applyBorder="1" applyAlignment="1">
      <alignment horizontal="center"/>
    </xf>
    <xf numFmtId="10" fontId="0" fillId="0" borderId="26" xfId="0" applyNumberFormat="1" applyBorder="1" applyAlignment="1">
      <alignment horizontal="center"/>
    </xf>
    <xf numFmtId="170" fontId="0" fillId="0" borderId="26" xfId="1" applyNumberFormat="1" applyFont="1" applyBorder="1" applyAlignment="1">
      <alignment horizontal="center"/>
    </xf>
    <xf numFmtId="169" fontId="0" fillId="0" borderId="26" xfId="0" applyNumberFormat="1" applyFont="1" applyBorder="1" applyAlignment="1">
      <alignment horizontal="center"/>
    </xf>
    <xf numFmtId="43" fontId="3" fillId="0" borderId="26" xfId="1" applyFont="1" applyBorder="1" applyAlignment="1">
      <alignment horizontal="center"/>
    </xf>
    <xf numFmtId="9" fontId="3" fillId="0" borderId="26" xfId="0" applyNumberFormat="1" applyFont="1" applyBorder="1" applyAlignment="1">
      <alignment horizontal="center"/>
    </xf>
    <xf numFmtId="0" fontId="3" fillId="0" borderId="26" xfId="0" applyFont="1" applyBorder="1" applyAlignment="1">
      <alignment horizontal="center"/>
    </xf>
    <xf numFmtId="170" fontId="3" fillId="0" borderId="26" xfId="1" applyNumberFormat="1" applyFont="1" applyBorder="1" applyAlignment="1">
      <alignment horizontal="center"/>
    </xf>
    <xf numFmtId="170" fontId="3" fillId="0" borderId="26" xfId="1" applyNumberFormat="1" applyFont="1" applyFill="1" applyBorder="1" applyAlignment="1">
      <alignment horizontal="center"/>
    </xf>
    <xf numFmtId="169" fontId="3" fillId="0" borderId="26" xfId="0" applyNumberFormat="1" applyFont="1" applyBorder="1" applyAlignment="1">
      <alignment horizontal="center"/>
    </xf>
    <xf numFmtId="165" fontId="3" fillId="0" borderId="26" xfId="0" applyNumberFormat="1" applyFont="1" applyBorder="1" applyAlignment="1">
      <alignment horizontal="center"/>
    </xf>
    <xf numFmtId="2" fontId="3" fillId="0" borderId="26" xfId="0" applyNumberFormat="1" applyFont="1" applyBorder="1" applyAlignment="1">
      <alignment horizontal="center"/>
    </xf>
    <xf numFmtId="17" fontId="3" fillId="18" borderId="26" xfId="0" applyNumberFormat="1" applyFont="1" applyFill="1" applyBorder="1" applyAlignment="1">
      <alignment horizontal="center" wrapText="1"/>
    </xf>
    <xf numFmtId="10" fontId="3" fillId="0" borderId="26" xfId="0" applyNumberFormat="1" applyFont="1" applyBorder="1" applyAlignment="1">
      <alignment horizontal="center" wrapText="1"/>
    </xf>
    <xf numFmtId="10" fontId="3" fillId="0" borderId="26" xfId="2" applyNumberFormat="1" applyFont="1" applyBorder="1" applyAlignment="1">
      <alignment horizontal="center" wrapText="1"/>
    </xf>
    <xf numFmtId="165" fontId="3" fillId="0" borderId="26" xfId="0" applyNumberFormat="1" applyFont="1" applyBorder="1" applyAlignment="1">
      <alignment horizontal="center" wrapText="1"/>
    </xf>
    <xf numFmtId="171" fontId="3" fillId="0" borderId="26" xfId="5" applyNumberFormat="1" applyFont="1" applyBorder="1" applyAlignment="1">
      <alignment horizontal="center"/>
    </xf>
    <xf numFmtId="169" fontId="3" fillId="0" borderId="26" xfId="5" applyNumberFormat="1" applyFont="1" applyBorder="1" applyAlignment="1">
      <alignment horizontal="center"/>
    </xf>
    <xf numFmtId="169" fontId="3" fillId="0" borderId="26" xfId="2" applyNumberFormat="1" applyFont="1" applyBorder="1" applyAlignment="1">
      <alignment horizontal="center"/>
    </xf>
    <xf numFmtId="165" fontId="10" fillId="4" borderId="0" xfId="0" applyNumberFormat="1" applyFont="1" applyFill="1" applyAlignment="1">
      <alignment horizontal="center" vertical="center" wrapText="1"/>
    </xf>
    <xf numFmtId="9" fontId="3" fillId="0" borderId="0" xfId="0" applyNumberFormat="1" applyFont="1" applyAlignment="1">
      <alignment horizontal="center"/>
    </xf>
    <xf numFmtId="0" fontId="0" fillId="0" borderId="26" xfId="0" applyFill="1" applyBorder="1"/>
    <xf numFmtId="0" fontId="0" fillId="0" borderId="26" xfId="0" applyFill="1" applyBorder="1" applyAlignment="1">
      <alignment horizontal="center"/>
    </xf>
    <xf numFmtId="0" fontId="0" fillId="0" borderId="26" xfId="0" applyFill="1" applyBorder="1" applyAlignment="1">
      <alignment wrapText="1"/>
    </xf>
    <xf numFmtId="0" fontId="3" fillId="0" borderId="0" xfId="0" pivotButton="1" applyFont="1"/>
    <xf numFmtId="165" fontId="3" fillId="0" borderId="0" xfId="0" applyNumberFormat="1" applyFont="1" applyAlignment="1">
      <alignment horizontal="center"/>
    </xf>
    <xf numFmtId="170" fontId="3" fillId="0" borderId="0" xfId="0" applyNumberFormat="1" applyFont="1" applyAlignment="1">
      <alignment horizontal="center"/>
    </xf>
    <xf numFmtId="10" fontId="3" fillId="0" borderId="0" xfId="0" applyNumberFormat="1" applyFont="1" applyAlignment="1">
      <alignment horizontal="center"/>
    </xf>
    <xf numFmtId="169" fontId="3" fillId="0" borderId="0" xfId="0" applyNumberFormat="1" applyFont="1" applyAlignment="1">
      <alignment horizontal="center"/>
    </xf>
    <xf numFmtId="0" fontId="0" fillId="0" borderId="0" xfId="0" applyFont="1" applyAlignment="1">
      <alignment horizontal="center"/>
    </xf>
    <xf numFmtId="173" fontId="3" fillId="0" borderId="0" xfId="0" applyNumberFormat="1" applyFont="1" applyAlignment="1">
      <alignment horizontal="center"/>
    </xf>
    <xf numFmtId="172" fontId="3" fillId="0" borderId="0" xfId="0" applyNumberFormat="1" applyFont="1" applyAlignment="1">
      <alignment horizontal="center"/>
    </xf>
    <xf numFmtId="0" fontId="8" fillId="0" borderId="8" xfId="0" applyFont="1" applyBorder="1" applyAlignment="1">
      <alignment horizontal="center"/>
    </xf>
    <xf numFmtId="0" fontId="3" fillId="18" borderId="27" xfId="0" applyFont="1" applyFill="1" applyBorder="1" applyAlignment="1">
      <alignment horizontal="center"/>
    </xf>
    <xf numFmtId="10" fontId="3" fillId="0" borderId="26" xfId="2" applyNumberFormat="1" applyFont="1" applyBorder="1" applyAlignment="1">
      <alignment horizontal="center"/>
    </xf>
    <xf numFmtId="165" fontId="3" fillId="0" borderId="26" xfId="2" applyNumberFormat="1" applyFont="1" applyBorder="1" applyAlignment="1">
      <alignment horizontal="center"/>
    </xf>
    <xf numFmtId="0" fontId="0" fillId="0" borderId="52" xfId="0" applyBorder="1" applyAlignment="1">
      <alignment wrapText="1"/>
    </xf>
    <xf numFmtId="17" fontId="3" fillId="18" borderId="26" xfId="0" applyNumberFormat="1" applyFont="1" applyFill="1" applyBorder="1" applyAlignment="1"/>
    <xf numFmtId="173" fontId="3" fillId="0" borderId="26" xfId="0" applyNumberFormat="1" applyFont="1" applyBorder="1" applyAlignment="1">
      <alignment horizontal="center"/>
    </xf>
    <xf numFmtId="169" fontId="0" fillId="0" borderId="26" xfId="2" applyNumberFormat="1" applyFont="1" applyBorder="1" applyAlignment="1">
      <alignment horizontal="center"/>
    </xf>
    <xf numFmtId="10" fontId="13" fillId="4" borderId="26" xfId="2" applyNumberFormat="1" applyFont="1" applyFill="1" applyBorder="1" applyAlignment="1" applyProtection="1">
      <alignment horizontal="center" vertical="center" wrapText="1"/>
    </xf>
    <xf numFmtId="10" fontId="3" fillId="19" borderId="26" xfId="2" applyNumberFormat="1" applyFont="1" applyFill="1" applyBorder="1" applyAlignment="1">
      <alignment horizontal="center"/>
    </xf>
    <xf numFmtId="165" fontId="3" fillId="19" borderId="26" xfId="2" applyNumberFormat="1" applyFont="1" applyFill="1" applyBorder="1" applyAlignment="1">
      <alignment horizontal="center"/>
    </xf>
    <xf numFmtId="0" fontId="3" fillId="19" borderId="26" xfId="0" applyFont="1" applyFill="1" applyBorder="1" applyAlignment="1">
      <alignment horizontal="center"/>
    </xf>
    <xf numFmtId="9" fontId="3" fillId="19" borderId="26" xfId="2" applyFont="1" applyFill="1" applyBorder="1" applyAlignment="1">
      <alignment horizontal="center"/>
    </xf>
    <xf numFmtId="169" fontId="3" fillId="19" borderId="26" xfId="0" applyNumberFormat="1" applyFont="1" applyFill="1" applyBorder="1"/>
    <xf numFmtId="0" fontId="3" fillId="19" borderId="26" xfId="0" applyFont="1" applyFill="1" applyBorder="1"/>
    <xf numFmtId="170" fontId="3" fillId="19" borderId="26" xfId="1" applyNumberFormat="1" applyFont="1" applyFill="1" applyBorder="1" applyAlignment="1">
      <alignment horizontal="center"/>
    </xf>
    <xf numFmtId="2" fontId="3" fillId="19" borderId="26" xfId="0" applyNumberFormat="1" applyFont="1" applyFill="1" applyBorder="1" applyAlignment="1">
      <alignment horizontal="center"/>
    </xf>
    <xf numFmtId="174" fontId="3" fillId="0" borderId="26" xfId="1" applyNumberFormat="1" applyFont="1" applyBorder="1" applyAlignment="1">
      <alignment horizontal="center"/>
    </xf>
    <xf numFmtId="169" fontId="3" fillId="19" borderId="26" xfId="1" applyNumberFormat="1" applyFont="1" applyFill="1" applyBorder="1" applyAlignment="1">
      <alignment horizontal="center"/>
    </xf>
    <xf numFmtId="0" fontId="30" fillId="0" borderId="0" xfId="0" applyFont="1" applyAlignment="1">
      <alignment horizontal="left" readingOrder="1"/>
    </xf>
    <xf numFmtId="0" fontId="0" fillId="0" borderId="0" xfId="0" applyAlignment="1">
      <alignment horizontal="center" wrapText="1"/>
    </xf>
    <xf numFmtId="0" fontId="3" fillId="11" borderId="8" xfId="0" applyFont="1" applyFill="1" applyBorder="1" applyAlignment="1">
      <alignment horizontal="center" vertical="center"/>
    </xf>
    <xf numFmtId="0" fontId="3" fillId="2" borderId="8" xfId="0" applyFont="1" applyFill="1" applyBorder="1" applyAlignment="1">
      <alignment horizontal="center" vertical="center"/>
    </xf>
    <xf numFmtId="168" fontId="7" fillId="0" borderId="8" xfId="2" applyNumberFormat="1" applyFont="1" applyFill="1" applyBorder="1" applyAlignment="1" applyProtection="1">
      <alignment horizontal="center" vertical="center" wrapText="1"/>
    </xf>
    <xf numFmtId="168" fontId="7" fillId="11" borderId="8" xfId="2" applyNumberFormat="1" applyFont="1" applyFill="1" applyBorder="1" applyAlignment="1" applyProtection="1">
      <alignment horizontal="center" vertical="center" wrapText="1"/>
    </xf>
    <xf numFmtId="0" fontId="0" fillId="0" borderId="8" xfId="0" applyBorder="1" applyAlignment="1">
      <alignment wrapText="1"/>
    </xf>
    <xf numFmtId="10" fontId="8" fillId="11" borderId="8" xfId="2" applyNumberFormat="1" applyFont="1" applyFill="1" applyBorder="1" applyAlignment="1" applyProtection="1">
      <alignment horizontal="center" vertical="center" wrapText="1"/>
    </xf>
    <xf numFmtId="0" fontId="8" fillId="0" borderId="8" xfId="0" applyFont="1" applyBorder="1" applyAlignment="1">
      <alignment horizontal="left" vertical="center" wrapText="1"/>
    </xf>
    <xf numFmtId="10" fontId="8" fillId="0" borderId="8" xfId="0" applyNumberFormat="1" applyFont="1" applyBorder="1" applyAlignment="1">
      <alignment horizontal="center" vertical="center" wrapText="1"/>
    </xf>
    <xf numFmtId="10" fontId="13" fillId="11" borderId="8" xfId="2" applyNumberFormat="1" applyFont="1" applyFill="1" applyBorder="1" applyAlignment="1" applyProtection="1">
      <alignment horizontal="center" vertical="center" wrapText="1"/>
    </xf>
    <xf numFmtId="0" fontId="7" fillId="0" borderId="8" xfId="0" applyFont="1" applyBorder="1" applyAlignment="1">
      <alignment vertical="center" wrapText="1"/>
    </xf>
    <xf numFmtId="0" fontId="8" fillId="8" borderId="8" xfId="0" applyFont="1" applyFill="1" applyBorder="1" applyAlignment="1">
      <alignment horizontal="left" vertical="center" wrapText="1"/>
    </xf>
    <xf numFmtId="0" fontId="8" fillId="0" borderId="8" xfId="0" applyFont="1" applyBorder="1" applyAlignment="1">
      <alignment horizontal="center" vertical="center" wrapText="1"/>
    </xf>
    <xf numFmtId="9" fontId="8" fillId="11" borderId="8" xfId="0" applyNumberFormat="1" applyFont="1" applyFill="1" applyBorder="1" applyAlignment="1">
      <alignment horizontal="center" vertical="center"/>
    </xf>
    <xf numFmtId="165" fontId="8" fillId="0" borderId="8" xfId="0" applyNumberFormat="1" applyFont="1" applyBorder="1" applyAlignment="1">
      <alignment horizontal="center" vertical="center" wrapText="1"/>
    </xf>
    <xf numFmtId="9" fontId="13" fillId="11" borderId="8" xfId="2" applyFont="1" applyFill="1" applyBorder="1" applyAlignment="1" applyProtection="1">
      <alignment horizontal="center" vertical="center" wrapText="1"/>
    </xf>
    <xf numFmtId="0" fontId="7" fillId="0" borderId="8" xfId="0" applyFont="1" applyBorder="1" applyAlignment="1">
      <alignment vertical="center"/>
    </xf>
    <xf numFmtId="2" fontId="13" fillId="11" borderId="8" xfId="0" applyNumberFormat="1" applyFont="1" applyFill="1" applyBorder="1" applyAlignment="1">
      <alignment horizontal="center" vertical="center" wrapText="1"/>
    </xf>
    <xf numFmtId="165" fontId="8" fillId="0" borderId="8" xfId="2" applyNumberFormat="1" applyFont="1" applyBorder="1" applyAlignment="1">
      <alignment horizontal="center" vertical="center" wrapText="1"/>
    </xf>
    <xf numFmtId="165" fontId="8" fillId="11" borderId="8" xfId="2" applyNumberFormat="1" applyFont="1" applyFill="1" applyBorder="1" applyAlignment="1" applyProtection="1">
      <alignment horizontal="center" vertical="center" wrapText="1"/>
    </xf>
    <xf numFmtId="10" fontId="8" fillId="0" borderId="8" xfId="2" applyNumberFormat="1" applyFont="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3" fontId="7" fillId="0" borderId="8" xfId="0" applyNumberFormat="1" applyFont="1" applyBorder="1" applyAlignment="1">
      <alignment horizontal="center" vertical="center"/>
    </xf>
    <xf numFmtId="165" fontId="13" fillId="11" borderId="8" xfId="2" applyNumberFormat="1" applyFont="1" applyFill="1" applyBorder="1" applyAlignment="1" applyProtection="1">
      <alignment horizontal="center" vertical="center" wrapText="1"/>
    </xf>
    <xf numFmtId="10" fontId="8" fillId="0" borderId="8" xfId="2" applyNumberFormat="1" applyFont="1" applyBorder="1" applyAlignment="1">
      <alignment horizontal="center" vertical="center"/>
    </xf>
    <xf numFmtId="0" fontId="8" fillId="8" borderId="8" xfId="0" applyFont="1" applyFill="1" applyBorder="1" applyAlignment="1">
      <alignment vertical="center"/>
    </xf>
    <xf numFmtId="0" fontId="8" fillId="0" borderId="0" xfId="0" applyFont="1" applyAlignment="1">
      <alignment vertical="center" wrapText="1"/>
    </xf>
    <xf numFmtId="10" fontId="8" fillId="0" borderId="0" xfId="2" applyNumberFormat="1" applyFont="1" applyBorder="1" applyAlignment="1" applyProtection="1">
      <alignment horizontal="center" vertical="center" wrapText="1"/>
    </xf>
    <xf numFmtId="0" fontId="8" fillId="0" borderId="0" xfId="0" applyFont="1"/>
    <xf numFmtId="0" fontId="8" fillId="11" borderId="8" xfId="0" applyFont="1" applyFill="1" applyBorder="1" applyAlignment="1">
      <alignment horizontal="center" vertical="center"/>
    </xf>
    <xf numFmtId="0" fontId="8" fillId="8" borderId="8" xfId="0" applyFont="1" applyFill="1" applyBorder="1" applyAlignment="1">
      <alignment vertical="center" wrapText="1"/>
    </xf>
    <xf numFmtId="3" fontId="7" fillId="0" borderId="8" xfId="2" applyNumberFormat="1" applyFont="1" applyFill="1" applyBorder="1" applyAlignment="1" applyProtection="1">
      <alignment horizontal="center" vertical="center"/>
    </xf>
    <xf numFmtId="3" fontId="7" fillId="11" borderId="8" xfId="2" applyNumberFormat="1" applyFont="1" applyFill="1" applyBorder="1" applyAlignment="1" applyProtection="1">
      <alignment horizontal="center" vertical="center"/>
    </xf>
    <xf numFmtId="10" fontId="8" fillId="0" borderId="8" xfId="2" applyNumberFormat="1" applyFont="1" applyFill="1" applyBorder="1" applyAlignment="1" applyProtection="1">
      <alignment horizontal="center" vertical="center"/>
    </xf>
    <xf numFmtId="10" fontId="8" fillId="11" borderId="8" xfId="2" applyNumberFormat="1" applyFont="1" applyFill="1" applyBorder="1" applyAlignment="1" applyProtection="1">
      <alignment horizontal="center" vertical="center"/>
    </xf>
    <xf numFmtId="10" fontId="32" fillId="0" borderId="0" xfId="2" applyNumberFormat="1" applyFont="1" applyFill="1" applyBorder="1" applyAlignment="1" applyProtection="1">
      <alignment horizontal="center" vertical="center"/>
    </xf>
    <xf numFmtId="10" fontId="13" fillId="0" borderId="8" xfId="0" applyNumberFormat="1" applyFont="1" applyBorder="1" applyAlignment="1">
      <alignment horizontal="center" vertical="center"/>
    </xf>
    <xf numFmtId="9" fontId="13" fillId="11" borderId="8" xfId="0" applyNumberFormat="1" applyFont="1" applyFill="1" applyBorder="1" applyAlignment="1">
      <alignment horizontal="center" vertical="center"/>
    </xf>
    <xf numFmtId="0" fontId="7" fillId="0" borderId="0" xfId="0" applyFont="1" applyAlignment="1">
      <alignment vertical="center"/>
    </xf>
    <xf numFmtId="9" fontId="13" fillId="0" borderId="8" xfId="0" applyNumberFormat="1" applyFont="1" applyBorder="1" applyAlignment="1">
      <alignment horizontal="center" vertical="center"/>
    </xf>
    <xf numFmtId="165" fontId="13" fillId="0" borderId="8" xfId="0" applyNumberFormat="1" applyFont="1" applyBorder="1" applyAlignment="1">
      <alignment horizontal="center" vertical="center"/>
    </xf>
    <xf numFmtId="0" fontId="33" fillId="0" borderId="0" xfId="0" applyFont="1" applyAlignment="1">
      <alignment horizontal="center" vertical="center"/>
    </xf>
    <xf numFmtId="9" fontId="14" fillId="0" borderId="12" xfId="0" applyNumberFormat="1" applyFont="1" applyBorder="1" applyAlignment="1">
      <alignment vertical="center"/>
    </xf>
    <xf numFmtId="0" fontId="17" fillId="0" borderId="8" xfId="0" applyFont="1" applyBorder="1" applyAlignment="1">
      <alignment horizontal="center" vertical="center"/>
    </xf>
    <xf numFmtId="167" fontId="7" fillId="0" borderId="8" xfId="0" applyNumberFormat="1" applyFont="1" applyBorder="1" applyAlignment="1">
      <alignment horizontal="center" vertical="center"/>
    </xf>
    <xf numFmtId="167" fontId="17" fillId="0" borderId="8" xfId="0" applyNumberFormat="1" applyFont="1" applyBorder="1" applyAlignment="1">
      <alignment horizontal="center" vertical="center"/>
    </xf>
    <xf numFmtId="10" fontId="14" fillId="11" borderId="8" xfId="0" applyNumberFormat="1" applyFont="1" applyFill="1" applyBorder="1" applyAlignment="1">
      <alignment horizontal="center" vertical="center"/>
    </xf>
    <xf numFmtId="0" fontId="13" fillId="20" borderId="8" xfId="0" applyFont="1" applyFill="1" applyBorder="1" applyAlignment="1">
      <alignment horizontal="left" vertical="center" wrapText="1"/>
    </xf>
    <xf numFmtId="0" fontId="7" fillId="0" borderId="0" xfId="0" applyFont="1" applyAlignment="1">
      <alignment horizontal="left" vertical="center"/>
    </xf>
    <xf numFmtId="165" fontId="0" fillId="0" borderId="0" xfId="2" applyNumberFormat="1" applyFont="1" applyAlignment="1">
      <alignment horizontal="center"/>
    </xf>
    <xf numFmtId="10" fontId="13" fillId="0" borderId="8" xfId="2" applyNumberFormat="1" applyFont="1" applyBorder="1" applyAlignment="1" applyProtection="1">
      <alignment horizontal="center" vertical="center" wrapText="1"/>
    </xf>
    <xf numFmtId="0" fontId="8" fillId="20" borderId="8" xfId="0" applyFont="1" applyFill="1" applyBorder="1" applyAlignment="1">
      <alignment vertical="center" wrapText="1"/>
    </xf>
    <xf numFmtId="0" fontId="0" fillId="0" borderId="0" xfId="0" applyAlignment="1">
      <alignment horizontal="left" vertical="center"/>
    </xf>
    <xf numFmtId="9" fontId="13" fillId="0" borderId="8" xfId="2" applyFont="1" applyBorder="1" applyAlignment="1" applyProtection="1">
      <alignment horizontal="center" vertical="center" wrapText="1"/>
    </xf>
    <xf numFmtId="165" fontId="13" fillId="0" borderId="8" xfId="2" applyNumberFormat="1" applyFont="1" applyBorder="1" applyAlignment="1" applyProtection="1">
      <alignment horizontal="center" vertical="center" wrapText="1"/>
    </xf>
    <xf numFmtId="0" fontId="24" fillId="14" borderId="8" xfId="0" applyFont="1" applyFill="1" applyBorder="1" applyAlignment="1">
      <alignment horizontal="center"/>
    </xf>
    <xf numFmtId="0" fontId="7" fillId="0" borderId="8" xfId="0" applyFont="1" applyBorder="1" applyAlignment="1">
      <alignment horizontal="left" wrapText="1"/>
    </xf>
    <xf numFmtId="0" fontId="34" fillId="11" borderId="8" xfId="0" applyFont="1" applyFill="1" applyBorder="1" applyAlignment="1">
      <alignment horizontal="center" vertical="center"/>
    </xf>
    <xf numFmtId="0" fontId="7" fillId="0" borderId="12" xfId="0" applyFont="1" applyBorder="1" applyAlignment="1">
      <alignment horizontal="left" vertical="center"/>
    </xf>
    <xf numFmtId="0" fontId="2" fillId="0" borderId="0" xfId="0" applyFont="1" applyAlignment="1">
      <alignment horizontal="center" wrapText="1"/>
    </xf>
    <xf numFmtId="0" fontId="2" fillId="0" borderId="0" xfId="0" applyFont="1" applyAlignment="1">
      <alignment horizontal="center"/>
    </xf>
    <xf numFmtId="2" fontId="3" fillId="0" borderId="26" xfId="2" applyNumberFormat="1" applyFont="1" applyBorder="1" applyAlignment="1">
      <alignment horizontal="center"/>
    </xf>
    <xf numFmtId="0" fontId="37" fillId="0" borderId="8" xfId="0" applyFont="1" applyBorder="1" applyAlignment="1">
      <alignment horizontal="center" vertical="center" wrapText="1"/>
    </xf>
    <xf numFmtId="9" fontId="8" fillId="0" borderId="8" xfId="2" applyFont="1" applyBorder="1" applyAlignment="1">
      <alignment horizontal="center" vertical="center" wrapText="1"/>
    </xf>
    <xf numFmtId="168" fontId="8" fillId="0" borderId="8" xfId="2" applyNumberFormat="1" applyFont="1" applyFill="1" applyBorder="1" applyAlignment="1" applyProtection="1">
      <alignment horizontal="center" vertical="center" wrapText="1"/>
    </xf>
    <xf numFmtId="165" fontId="8" fillId="0" borderId="8" xfId="2" applyNumberFormat="1" applyFont="1" applyFill="1" applyBorder="1" applyAlignment="1" applyProtection="1">
      <alignment horizontal="center" vertical="center" wrapText="1"/>
    </xf>
    <xf numFmtId="2" fontId="8" fillId="0" borderId="8" xfId="0" applyNumberFormat="1" applyFont="1" applyBorder="1" applyAlignment="1">
      <alignment horizontal="center" vertical="center" wrapText="1"/>
    </xf>
    <xf numFmtId="9" fontId="3" fillId="19" borderId="26" xfId="0" applyNumberFormat="1" applyFont="1" applyFill="1" applyBorder="1" applyAlignment="1">
      <alignment horizontal="center"/>
    </xf>
    <xf numFmtId="3" fontId="8" fillId="0" borderId="8" xfId="2" applyNumberFormat="1" applyFont="1" applyFill="1" applyBorder="1" applyAlignment="1" applyProtection="1">
      <alignment horizontal="center" vertical="center"/>
    </xf>
    <xf numFmtId="10" fontId="8" fillId="0" borderId="8" xfId="0" applyNumberFormat="1" applyFont="1" applyBorder="1" applyAlignment="1">
      <alignment horizontal="center" wrapText="1"/>
    </xf>
    <xf numFmtId="0" fontId="8" fillId="0" borderId="8" xfId="0" applyFont="1" applyBorder="1" applyAlignment="1">
      <alignment horizontal="center" wrapText="1"/>
    </xf>
    <xf numFmtId="9" fontId="14" fillId="0" borderId="8" xfId="0" applyNumberFormat="1" applyFont="1" applyBorder="1" applyAlignment="1">
      <alignment horizontal="center" vertical="center"/>
    </xf>
    <xf numFmtId="10" fontId="14" fillId="0" borderId="8" xfId="0" applyNumberFormat="1" applyFont="1" applyBorder="1" applyAlignment="1">
      <alignment horizontal="center" vertical="center"/>
    </xf>
    <xf numFmtId="0" fontId="13" fillId="0" borderId="8" xfId="0" applyFont="1" applyBorder="1" applyAlignment="1">
      <alignment horizontal="center" vertical="center"/>
    </xf>
    <xf numFmtId="3" fontId="8" fillId="0" borderId="8" xfId="0" applyNumberFormat="1" applyFont="1" applyBorder="1" applyAlignment="1">
      <alignment horizontal="center" vertical="center" wrapText="1"/>
    </xf>
    <xf numFmtId="0" fontId="8" fillId="0" borderId="9" xfId="0" applyFont="1" applyBorder="1" applyAlignment="1">
      <alignment horizontal="center" vertical="center" wrapText="1"/>
    </xf>
    <xf numFmtId="10" fontId="8" fillId="0" borderId="9" xfId="0" applyNumberFormat="1" applyFont="1" applyBorder="1" applyAlignment="1">
      <alignment horizontal="center" vertical="center" wrapText="1"/>
    </xf>
    <xf numFmtId="3" fontId="13" fillId="11" borderId="8" xfId="2" applyNumberFormat="1" applyFont="1" applyFill="1" applyBorder="1" applyAlignment="1" applyProtection="1">
      <alignment horizontal="center" vertical="center" wrapText="1"/>
    </xf>
    <xf numFmtId="168" fontId="8" fillId="11" borderId="8" xfId="2" applyNumberFormat="1" applyFont="1" applyFill="1" applyBorder="1" applyAlignment="1" applyProtection="1">
      <alignment horizontal="center" vertical="center" wrapText="1"/>
    </xf>
    <xf numFmtId="0" fontId="8" fillId="0" borderId="12" xfId="0" applyFont="1" applyBorder="1" applyAlignment="1">
      <alignment horizontal="center" vertical="center" wrapText="1"/>
    </xf>
    <xf numFmtId="166" fontId="8" fillId="0" borderId="12" xfId="0" applyNumberFormat="1" applyFont="1" applyBorder="1" applyAlignment="1">
      <alignment horizontal="center" vertical="center" wrapText="1"/>
    </xf>
    <xf numFmtId="165" fontId="8" fillId="0" borderId="13" xfId="2" applyNumberFormat="1" applyFont="1" applyBorder="1" applyAlignment="1">
      <alignment horizontal="center" vertical="center" wrapText="1"/>
    </xf>
    <xf numFmtId="10" fontId="8" fillId="0" borderId="13" xfId="0" applyNumberFormat="1" applyFont="1" applyBorder="1" applyAlignment="1">
      <alignment horizontal="center" vertical="center" wrapText="1"/>
    </xf>
    <xf numFmtId="165" fontId="8" fillId="0" borderId="11" xfId="0" applyNumberFormat="1" applyFont="1" applyBorder="1" applyAlignment="1">
      <alignment horizontal="center" vertical="center" wrapText="1"/>
    </xf>
    <xf numFmtId="168" fontId="8" fillId="0" borderId="11" xfId="2" applyNumberFormat="1" applyFont="1" applyFill="1" applyBorder="1" applyAlignment="1" applyProtection="1">
      <alignment horizontal="center" vertical="center" wrapText="1"/>
    </xf>
    <xf numFmtId="10" fontId="8" fillId="0" borderId="12" xfId="0" applyNumberFormat="1" applyFont="1" applyBorder="1" applyAlignment="1">
      <alignment horizontal="center" wrapText="1"/>
    </xf>
    <xf numFmtId="2" fontId="8" fillId="0" borderId="8" xfId="0" applyNumberFormat="1" applyFont="1" applyBorder="1" applyAlignment="1">
      <alignment horizontal="center" wrapText="1"/>
    </xf>
    <xf numFmtId="9" fontId="8" fillId="11" borderId="12" xfId="2" applyFont="1" applyFill="1" applyBorder="1" applyAlignment="1" applyProtection="1">
      <alignment horizontal="center" wrapText="1"/>
    </xf>
    <xf numFmtId="9" fontId="8" fillId="11" borderId="13" xfId="2" applyFont="1" applyFill="1" applyBorder="1" applyAlignment="1" applyProtection="1">
      <alignment horizontal="center" vertical="center" wrapText="1"/>
    </xf>
    <xf numFmtId="165" fontId="13" fillId="11" borderId="8" xfId="0" applyNumberFormat="1" applyFont="1" applyFill="1" applyBorder="1" applyAlignment="1">
      <alignment horizontal="center" vertical="center"/>
    </xf>
    <xf numFmtId="175" fontId="13" fillId="11" borderId="8" xfId="1" applyNumberFormat="1" applyFont="1" applyFill="1" applyBorder="1" applyAlignment="1">
      <alignment horizontal="center" vertical="center"/>
    </xf>
    <xf numFmtId="175" fontId="8" fillId="0" borderId="8" xfId="1" applyNumberFormat="1" applyFont="1" applyBorder="1" applyAlignment="1">
      <alignment horizontal="center" vertical="center" wrapText="1"/>
    </xf>
    <xf numFmtId="165" fontId="8" fillId="0" borderId="13" xfId="0" applyNumberFormat="1" applyFont="1" applyBorder="1" applyAlignment="1">
      <alignment horizontal="center" vertical="center" wrapText="1"/>
    </xf>
    <xf numFmtId="0" fontId="0" fillId="0" borderId="0" xfId="0" applyAlignment="1">
      <alignment horizontal="center" vertical="center" wrapText="1"/>
    </xf>
    <xf numFmtId="0" fontId="7" fillId="0" borderId="8" xfId="0" applyFont="1" applyBorder="1" applyAlignment="1">
      <alignment horizontal="left" vertical="center" wrapText="1"/>
    </xf>
    <xf numFmtId="0" fontId="0" fillId="0" borderId="8" xfId="0" applyBorder="1" applyAlignment="1">
      <alignment horizontal="center" vertical="center"/>
    </xf>
    <xf numFmtId="0" fontId="7" fillId="0" borderId="8" xfId="0" applyFont="1" applyBorder="1" applyAlignment="1">
      <alignment horizontal="left" vertical="center"/>
    </xf>
    <xf numFmtId="0" fontId="0" fillId="0" borderId="8" xfId="0" applyBorder="1" applyAlignment="1">
      <alignment horizontal="center" vertical="center" wrapText="1"/>
    </xf>
    <xf numFmtId="0" fontId="8" fillId="0" borderId="8" xfId="0" applyFont="1" applyBorder="1" applyAlignment="1">
      <alignment horizontal="left" vertical="center" wrapText="1"/>
    </xf>
    <xf numFmtId="0" fontId="3" fillId="18" borderId="26" xfId="0" applyFont="1" applyFill="1" applyBorder="1" applyAlignment="1"/>
    <xf numFmtId="49" fontId="3" fillId="18" borderId="26" xfId="1" applyNumberFormat="1" applyFont="1" applyFill="1" applyBorder="1" applyAlignment="1"/>
    <xf numFmtId="10" fontId="8" fillId="0" borderId="0" xfId="0" applyNumberFormat="1" applyFont="1" applyBorder="1" applyAlignment="1">
      <alignment horizontal="center" wrapText="1"/>
    </xf>
    <xf numFmtId="0" fontId="8" fillId="0" borderId="0" xfId="0" applyFont="1" applyBorder="1" applyAlignment="1">
      <alignment horizontal="center" wrapText="1"/>
    </xf>
    <xf numFmtId="2" fontId="8" fillId="0" borderId="0" xfId="0" applyNumberFormat="1" applyFont="1" applyBorder="1" applyAlignment="1">
      <alignment horizontal="center" wrapText="1"/>
    </xf>
    <xf numFmtId="2" fontId="8" fillId="0" borderId="0" xfId="0" applyNumberFormat="1" applyFont="1" applyBorder="1" applyAlignment="1">
      <alignment horizontal="center" vertical="center" wrapText="1"/>
    </xf>
    <xf numFmtId="0" fontId="8" fillId="0" borderId="0" xfId="0" applyFont="1" applyBorder="1" applyAlignment="1">
      <alignment horizontal="center" vertical="center" wrapText="1"/>
    </xf>
    <xf numFmtId="10" fontId="8" fillId="0" borderId="0" xfId="0" applyNumberFormat="1" applyFont="1" applyBorder="1" applyAlignment="1">
      <alignment horizontal="center" vertical="center" wrapText="1"/>
    </xf>
    <xf numFmtId="175" fontId="8" fillId="0" borderId="0" xfId="1" applyNumberFormat="1" applyFont="1" applyBorder="1" applyAlignment="1">
      <alignment horizontal="center" vertical="center" wrapText="1"/>
    </xf>
    <xf numFmtId="10" fontId="8" fillId="0" borderId="0" xfId="2" applyNumberFormat="1" applyFont="1" applyBorder="1" applyAlignment="1">
      <alignment horizontal="center" vertical="center" wrapText="1"/>
    </xf>
    <xf numFmtId="0" fontId="0" fillId="0" borderId="0" xfId="0" applyBorder="1" applyAlignment="1">
      <alignment wrapText="1"/>
    </xf>
    <xf numFmtId="9" fontId="13" fillId="11" borderId="8" xfId="0" applyNumberFormat="1" applyFont="1" applyFill="1" applyBorder="1" applyAlignment="1">
      <alignment horizontal="center" vertical="center" wrapText="1"/>
    </xf>
    <xf numFmtId="3" fontId="7" fillId="21" borderId="8" xfId="0" applyNumberFormat="1" applyFont="1" applyFill="1" applyBorder="1" applyAlignment="1">
      <alignment horizontal="center" vertical="center"/>
    </xf>
    <xf numFmtId="0" fontId="7" fillId="21" borderId="8" xfId="0" applyFont="1" applyFill="1" applyBorder="1" applyAlignment="1">
      <alignment horizontal="center" vertical="center"/>
    </xf>
    <xf numFmtId="10" fontId="38" fillId="11" borderId="8" xfId="2" applyNumberFormat="1" applyFont="1" applyFill="1" applyBorder="1" applyAlignment="1" applyProtection="1">
      <alignment horizontal="center" vertical="center" wrapText="1"/>
    </xf>
    <xf numFmtId="0" fontId="34" fillId="8" borderId="8" xfId="0" applyFont="1" applyFill="1" applyBorder="1" applyAlignment="1">
      <alignment vertical="center"/>
    </xf>
    <xf numFmtId="10" fontId="0" fillId="0" borderId="0" xfId="2" applyNumberFormat="1" applyFont="1" applyAlignment="1">
      <alignment horizontal="center" vertical="center"/>
    </xf>
    <xf numFmtId="9" fontId="0" fillId="0" borderId="0" xfId="2" applyFont="1" applyAlignment="1">
      <alignment horizontal="center" vertical="center"/>
    </xf>
    <xf numFmtId="0" fontId="7" fillId="0" borderId="0" xfId="0" applyFont="1" applyAlignment="1">
      <alignment horizontal="left"/>
    </xf>
    <xf numFmtId="14" fontId="0" fillId="0" borderId="26" xfId="0" applyNumberFormat="1" applyBorder="1" applyAlignment="1">
      <alignment horizontal="center"/>
    </xf>
    <xf numFmtId="166" fontId="3" fillId="0" borderId="26" xfId="1" applyNumberFormat="1" applyFont="1" applyBorder="1" applyAlignment="1">
      <alignment horizontal="center"/>
    </xf>
    <xf numFmtId="5" fontId="3" fillId="0" borderId="26" xfId="5" applyNumberFormat="1" applyFont="1" applyBorder="1" applyAlignment="1">
      <alignment horizontal="center"/>
    </xf>
    <xf numFmtId="0" fontId="0" fillId="0" borderId="26" xfId="0" applyBorder="1" applyAlignment="1">
      <alignment horizontal="center" wrapText="1"/>
    </xf>
    <xf numFmtId="16" fontId="0" fillId="0" borderId="26" xfId="0" applyNumberFormat="1" applyBorder="1" applyAlignment="1">
      <alignment horizontal="right"/>
    </xf>
    <xf numFmtId="16" fontId="0" fillId="0" borderId="26" xfId="0" applyNumberFormat="1" applyBorder="1"/>
    <xf numFmtId="0" fontId="0" fillId="0" borderId="28" xfId="0" applyBorder="1"/>
    <xf numFmtId="165" fontId="0" fillId="0" borderId="27" xfId="2" applyNumberFormat="1" applyFont="1" applyBorder="1" applyAlignment="1">
      <alignment horizontal="center"/>
    </xf>
    <xf numFmtId="0" fontId="3" fillId="18" borderId="54" xfId="0" applyFont="1" applyFill="1" applyBorder="1" applyAlignment="1">
      <alignment horizontal="center" vertical="center" wrapText="1"/>
    </xf>
    <xf numFmtId="0" fontId="3" fillId="18" borderId="52" xfId="0" applyFont="1" applyFill="1" applyBorder="1" applyAlignment="1">
      <alignment horizontal="center" vertical="center" wrapText="1"/>
    </xf>
    <xf numFmtId="0" fontId="3" fillId="18" borderId="55" xfId="0" applyFont="1" applyFill="1" applyBorder="1" applyAlignment="1">
      <alignment horizontal="center" vertical="center" wrapText="1"/>
    </xf>
    <xf numFmtId="0" fontId="0" fillId="0" borderId="57" xfId="0" applyBorder="1" applyAlignment="1">
      <alignment horizontal="center"/>
    </xf>
    <xf numFmtId="165" fontId="0" fillId="0" borderId="58" xfId="2" applyNumberFormat="1" applyFont="1" applyBorder="1" applyAlignment="1">
      <alignment horizontal="center"/>
    </xf>
    <xf numFmtId="0" fontId="0" fillId="0" borderId="28" xfId="0" applyBorder="1" applyAlignment="1">
      <alignment horizontal="center"/>
    </xf>
    <xf numFmtId="0" fontId="0" fillId="0" borderId="56" xfId="0" applyBorder="1" applyAlignment="1">
      <alignment horizontal="center"/>
    </xf>
    <xf numFmtId="10" fontId="11" fillId="0" borderId="57" xfId="2" applyNumberFormat="1" applyFont="1" applyFill="1" applyBorder="1" applyAlignment="1">
      <alignment horizontal="center"/>
    </xf>
    <xf numFmtId="0" fontId="0" fillId="0" borderId="26" xfId="0" applyBorder="1" applyAlignment="1">
      <alignment horizontal="center" vertical="center"/>
    </xf>
    <xf numFmtId="0" fontId="0" fillId="0" borderId="26" xfId="0" applyBorder="1" applyAlignment="1">
      <alignment horizontal="center" vertical="center"/>
    </xf>
    <xf numFmtId="10" fontId="0" fillId="0" borderId="26" xfId="2" applyNumberFormat="1" applyFont="1" applyBorder="1"/>
    <xf numFmtId="0" fontId="0" fillId="22" borderId="0" xfId="0" applyFill="1"/>
    <xf numFmtId="43" fontId="0" fillId="0" borderId="26" xfId="1" applyNumberFormat="1" applyFont="1" applyBorder="1"/>
    <xf numFmtId="10" fontId="0" fillId="0" borderId="26" xfId="1" applyNumberFormat="1" applyFont="1" applyBorder="1"/>
    <xf numFmtId="165" fontId="0" fillId="0" borderId="0" xfId="2" applyNumberFormat="1" applyFont="1"/>
    <xf numFmtId="2" fontId="0" fillId="0" borderId="0" xfId="0" applyNumberFormat="1"/>
    <xf numFmtId="0" fontId="0" fillId="24" borderId="0" xfId="0" applyFill="1"/>
    <xf numFmtId="10" fontId="0" fillId="0" borderId="26" xfId="2" applyNumberFormat="1" applyFont="1" applyBorder="1" applyAlignment="1">
      <alignment horizontal="center"/>
    </xf>
    <xf numFmtId="9" fontId="0" fillId="0" borderId="26" xfId="2" applyFont="1" applyBorder="1" applyAlignment="1">
      <alignment horizontal="center"/>
    </xf>
    <xf numFmtId="174" fontId="0" fillId="0" borderId="26" xfId="1" applyNumberFormat="1" applyFont="1" applyBorder="1" applyAlignment="1">
      <alignment horizontal="center"/>
    </xf>
    <xf numFmtId="10" fontId="3" fillId="0" borderId="52" xfId="2" applyNumberFormat="1" applyFont="1" applyBorder="1" applyAlignment="1">
      <alignment horizontal="center"/>
    </xf>
    <xf numFmtId="10" fontId="3" fillId="19" borderId="26" xfId="0" applyNumberFormat="1" applyFont="1" applyFill="1" applyBorder="1" applyAlignment="1">
      <alignment horizontal="center"/>
    </xf>
    <xf numFmtId="165" fontId="13" fillId="4" borderId="26" xfId="2" applyNumberFormat="1" applyFont="1" applyFill="1" applyBorder="1" applyAlignment="1">
      <alignment horizontal="center" vertical="center" wrapText="1"/>
    </xf>
    <xf numFmtId="0" fontId="0" fillId="23" borderId="59" xfId="0" applyFont="1" applyFill="1" applyBorder="1" applyAlignment="1">
      <alignment horizontal="center"/>
    </xf>
    <xf numFmtId="165" fontId="0" fillId="23" borderId="26" xfId="2" applyNumberFormat="1" applyFont="1" applyFill="1" applyBorder="1" applyAlignment="1">
      <alignment horizontal="center"/>
    </xf>
    <xf numFmtId="17" fontId="3" fillId="0" borderId="0" xfId="0" applyNumberFormat="1" applyFont="1" applyFill="1" applyBorder="1" applyAlignment="1">
      <alignment horizontal="center" wrapText="1"/>
    </xf>
    <xf numFmtId="165" fontId="0" fillId="0" borderId="0" xfId="2" applyNumberFormat="1" applyFont="1" applyFill="1" applyBorder="1" applyAlignment="1">
      <alignment horizontal="center"/>
    </xf>
    <xf numFmtId="0" fontId="0" fillId="0" borderId="0" xfId="0" applyFill="1" applyBorder="1" applyAlignment="1">
      <alignment horizontal="center"/>
    </xf>
    <xf numFmtId="0" fontId="0" fillId="0" borderId="0" xfId="0" applyFill="1" applyBorder="1"/>
    <xf numFmtId="17" fontId="3" fillId="18" borderId="26" xfId="0" applyNumberFormat="1" applyFont="1" applyFill="1" applyBorder="1" applyAlignment="1">
      <alignment horizontal="center" vertical="center" wrapText="1"/>
    </xf>
    <xf numFmtId="14" fontId="0" fillId="0" borderId="26" xfId="2" applyNumberFormat="1" applyFont="1" applyFill="1" applyBorder="1" applyAlignment="1">
      <alignment horizontal="center"/>
    </xf>
    <xf numFmtId="0" fontId="3" fillId="18" borderId="26" xfId="0" applyFont="1" applyFill="1" applyBorder="1" applyAlignment="1">
      <alignment horizontal="center" vertical="center"/>
    </xf>
    <xf numFmtId="17" fontId="3" fillId="18" borderId="26" xfId="0" applyNumberFormat="1" applyFont="1" applyFill="1" applyBorder="1" applyAlignment="1">
      <alignment horizontal="center" vertical="center"/>
    </xf>
    <xf numFmtId="165" fontId="13" fillId="4" borderId="27" xfId="2" applyNumberFormat="1" applyFont="1" applyFill="1" applyBorder="1" applyAlignment="1" applyProtection="1">
      <alignment horizontal="center" vertical="center" wrapText="1"/>
    </xf>
    <xf numFmtId="165" fontId="13" fillId="4" borderId="58" xfId="2" applyNumberFormat="1" applyFont="1" applyFill="1" applyBorder="1" applyAlignment="1" applyProtection="1">
      <alignment horizontal="center" vertical="center" wrapText="1"/>
    </xf>
    <xf numFmtId="10" fontId="0" fillId="8" borderId="26" xfId="2" applyNumberFormat="1" applyFont="1" applyFill="1" applyBorder="1"/>
    <xf numFmtId="165" fontId="0" fillId="8" borderId="26" xfId="2" applyNumberFormat="1" applyFont="1" applyFill="1" applyBorder="1"/>
    <xf numFmtId="0" fontId="3" fillId="18" borderId="26" xfId="0" applyFont="1" applyFill="1" applyBorder="1" applyAlignment="1">
      <alignment horizontal="center" vertical="center" wrapText="1"/>
    </xf>
    <xf numFmtId="165" fontId="13" fillId="4" borderId="27" xfId="2" applyNumberFormat="1" applyFont="1" applyFill="1" applyBorder="1" applyAlignment="1">
      <alignment horizontal="center" vertical="center" wrapText="1"/>
    </xf>
    <xf numFmtId="10" fontId="0" fillId="0" borderId="0" xfId="0" applyNumberFormat="1" applyFill="1"/>
    <xf numFmtId="10" fontId="13" fillId="4" borderId="27" xfId="2" applyNumberFormat="1" applyFont="1" applyFill="1" applyBorder="1" applyAlignment="1">
      <alignment horizontal="center" vertical="center" wrapText="1"/>
    </xf>
    <xf numFmtId="0" fontId="0" fillId="0" borderId="54" xfId="0" applyBorder="1"/>
    <xf numFmtId="17" fontId="3" fillId="18" borderId="27" xfId="0" applyNumberFormat="1" applyFont="1" applyFill="1" applyBorder="1" applyAlignment="1">
      <alignment horizontal="center" vertical="center" wrapText="1"/>
    </xf>
    <xf numFmtId="174" fontId="3" fillId="19" borderId="26" xfId="1" applyNumberFormat="1" applyFont="1" applyFill="1" applyBorder="1" applyAlignment="1">
      <alignment horizontal="center"/>
    </xf>
    <xf numFmtId="0" fontId="3" fillId="18" borderId="28" xfId="0" applyFont="1" applyFill="1" applyBorder="1" applyAlignment="1">
      <alignment horizontal="center" vertical="center"/>
    </xf>
    <xf numFmtId="165" fontId="0" fillId="23" borderId="27" xfId="2" applyNumberFormat="1" applyFont="1" applyFill="1" applyBorder="1" applyAlignment="1">
      <alignment horizontal="center"/>
    </xf>
    <xf numFmtId="174" fontId="11" fillId="0" borderId="57" xfId="1" applyNumberFormat="1" applyFont="1" applyFill="1" applyBorder="1" applyAlignment="1">
      <alignment horizontal="center"/>
    </xf>
    <xf numFmtId="174" fontId="11" fillId="0" borderId="26" xfId="1" applyNumberFormat="1" applyFont="1" applyFill="1" applyBorder="1" applyAlignment="1">
      <alignment horizontal="center"/>
    </xf>
    <xf numFmtId="2" fontId="11" fillId="0" borderId="57" xfId="2" applyNumberFormat="1" applyFont="1" applyFill="1" applyBorder="1" applyAlignment="1">
      <alignment horizontal="center"/>
    </xf>
    <xf numFmtId="2" fontId="11" fillId="0" borderId="26" xfId="2" applyNumberFormat="1" applyFont="1" applyFill="1" applyBorder="1" applyAlignment="1">
      <alignment horizontal="center"/>
    </xf>
    <xf numFmtId="2" fontId="0" fillId="0" borderId="26" xfId="2" applyNumberFormat="1" applyFont="1" applyBorder="1" applyAlignment="1">
      <alignment horizontal="center"/>
    </xf>
    <xf numFmtId="2" fontId="0" fillId="0" borderId="26" xfId="1" applyNumberFormat="1" applyFont="1" applyBorder="1" applyAlignment="1">
      <alignment horizontal="center"/>
    </xf>
    <xf numFmtId="2" fontId="0" fillId="8" borderId="26" xfId="2" applyNumberFormat="1" applyFont="1" applyFill="1" applyBorder="1" applyAlignment="1">
      <alignment horizontal="center"/>
    </xf>
    <xf numFmtId="2" fontId="0" fillId="0" borderId="57" xfId="2" applyNumberFormat="1" applyFont="1" applyBorder="1" applyAlignment="1">
      <alignment horizontal="center"/>
    </xf>
    <xf numFmtId="2" fontId="0" fillId="0" borderId="57" xfId="1" applyNumberFormat="1" applyFont="1" applyBorder="1" applyAlignment="1">
      <alignment horizontal="center"/>
    </xf>
    <xf numFmtId="169" fontId="3" fillId="19" borderId="0" xfId="1" applyNumberFormat="1" applyFont="1" applyFill="1" applyBorder="1" applyAlignment="1">
      <alignment horizontal="center"/>
    </xf>
    <xf numFmtId="169" fontId="3" fillId="19" borderId="0" xfId="0" applyNumberFormat="1" applyFont="1" applyFill="1" applyBorder="1"/>
    <xf numFmtId="2" fontId="3" fillId="19" borderId="0" xfId="0" applyNumberFormat="1" applyFont="1" applyFill="1" applyBorder="1" applyAlignment="1">
      <alignment horizontal="center"/>
    </xf>
    <xf numFmtId="10" fontId="3" fillId="19" borderId="0" xfId="0" applyNumberFormat="1" applyFont="1" applyFill="1" applyBorder="1" applyAlignment="1">
      <alignment horizontal="center"/>
    </xf>
    <xf numFmtId="10" fontId="3" fillId="19" borderId="0" xfId="0" applyNumberFormat="1" applyFont="1" applyFill="1" applyBorder="1"/>
    <xf numFmtId="2" fontId="3" fillId="19" borderId="26" xfId="2" applyNumberFormat="1" applyFont="1" applyFill="1" applyBorder="1" applyAlignment="1">
      <alignment horizontal="center"/>
    </xf>
    <xf numFmtId="2" fontId="3" fillId="19" borderId="26" xfId="1" applyNumberFormat="1" applyFont="1" applyFill="1" applyBorder="1" applyAlignment="1">
      <alignment horizontal="center"/>
    </xf>
    <xf numFmtId="2" fontId="3" fillId="19" borderId="0" xfId="1" applyNumberFormat="1" applyFont="1" applyFill="1" applyBorder="1" applyAlignment="1">
      <alignment horizontal="center"/>
    </xf>
    <xf numFmtId="2" fontId="3" fillId="19" borderId="0" xfId="2" applyNumberFormat="1" applyFont="1" applyFill="1" applyBorder="1" applyAlignment="1">
      <alignment horizontal="center"/>
    </xf>
    <xf numFmtId="2" fontId="3" fillId="19" borderId="52" xfId="2" applyNumberFormat="1" applyFont="1" applyFill="1" applyBorder="1" applyAlignment="1">
      <alignment horizontal="center"/>
    </xf>
    <xf numFmtId="4" fontId="3" fillId="0" borderId="57" xfId="0" applyNumberFormat="1" applyFont="1" applyBorder="1" applyAlignment="1">
      <alignment horizontal="center"/>
    </xf>
    <xf numFmtId="4" fontId="3" fillId="0" borderId="57" xfId="1" applyNumberFormat="1" applyFont="1" applyBorder="1" applyAlignment="1">
      <alignment horizontal="center"/>
    </xf>
    <xf numFmtId="4" fontId="0" fillId="0" borderId="57" xfId="2" applyNumberFormat="1" applyFont="1" applyBorder="1" applyAlignment="1">
      <alignment horizontal="center"/>
    </xf>
    <xf numFmtId="4" fontId="0" fillId="0" borderId="57" xfId="1" applyNumberFormat="1" applyFont="1" applyBorder="1" applyAlignment="1">
      <alignment horizontal="center"/>
    </xf>
    <xf numFmtId="4" fontId="0" fillId="0" borderId="57" xfId="0" applyNumberFormat="1" applyBorder="1" applyAlignment="1">
      <alignment horizontal="center"/>
    </xf>
    <xf numFmtId="4" fontId="0" fillId="0" borderId="0" xfId="0" applyNumberFormat="1"/>
    <xf numFmtId="4" fontId="0" fillId="0" borderId="0" xfId="2" applyNumberFormat="1" applyFont="1" applyAlignment="1">
      <alignment horizontal="center"/>
    </xf>
    <xf numFmtId="4" fontId="3" fillId="0" borderId="60" xfId="2" applyNumberFormat="1" applyFont="1" applyBorder="1" applyAlignment="1">
      <alignment horizontal="center"/>
    </xf>
    <xf numFmtId="0" fontId="0" fillId="0" borderId="26" xfId="0" applyBorder="1" applyAlignment="1">
      <alignment horizontal="center" vertical="center"/>
    </xf>
    <xf numFmtId="43" fontId="0" fillId="0" borderId="26" xfId="1" applyFont="1" applyBorder="1" applyAlignment="1"/>
    <xf numFmtId="10" fontId="11" fillId="8" borderId="57" xfId="2" applyNumberFormat="1" applyFont="1" applyFill="1" applyBorder="1" applyAlignment="1">
      <alignment horizontal="center"/>
    </xf>
    <xf numFmtId="174" fontId="11" fillId="8" borderId="57" xfId="1" applyNumberFormat="1" applyFont="1" applyFill="1" applyBorder="1" applyAlignment="1">
      <alignment horizontal="center"/>
    </xf>
    <xf numFmtId="2" fontId="11" fillId="8" borderId="57" xfId="2" applyNumberFormat="1" applyFont="1" applyFill="1" applyBorder="1" applyAlignment="1">
      <alignment horizontal="center"/>
    </xf>
    <xf numFmtId="165" fontId="13" fillId="8" borderId="27" xfId="2" applyNumberFormat="1" applyFont="1" applyFill="1" applyBorder="1" applyAlignment="1" applyProtection="1">
      <alignment horizontal="center" vertical="center" wrapText="1"/>
    </xf>
    <xf numFmtId="0" fontId="0" fillId="0" borderId="28" xfId="0" applyFill="1" applyBorder="1" applyAlignment="1">
      <alignment horizontal="center"/>
    </xf>
    <xf numFmtId="14" fontId="0" fillId="0" borderId="26" xfId="0" applyNumberFormat="1" applyFill="1" applyBorder="1" applyAlignment="1">
      <alignment horizontal="center"/>
    </xf>
    <xf numFmtId="0" fontId="0" fillId="0" borderId="57" xfId="0" applyFill="1" applyBorder="1" applyAlignment="1">
      <alignment horizontal="center"/>
    </xf>
    <xf numFmtId="165" fontId="13" fillId="0" borderId="27" xfId="2" applyNumberFormat="1" applyFont="1" applyFill="1" applyBorder="1" applyAlignment="1" applyProtection="1">
      <alignment horizontal="center" vertical="center" wrapText="1"/>
    </xf>
    <xf numFmtId="165" fontId="0" fillId="0" borderId="27" xfId="2" applyNumberFormat="1" applyFont="1" applyFill="1" applyBorder="1" applyAlignment="1">
      <alignment horizontal="center"/>
    </xf>
    <xf numFmtId="0" fontId="11" fillId="8" borderId="28" xfId="0" applyFont="1" applyFill="1" applyBorder="1" applyAlignment="1">
      <alignment horizontal="center"/>
    </xf>
    <xf numFmtId="14" fontId="11" fillId="8" borderId="26" xfId="0" applyNumberFormat="1" applyFont="1" applyFill="1" applyBorder="1" applyAlignment="1">
      <alignment horizontal="center"/>
    </xf>
    <xf numFmtId="0" fontId="11" fillId="8" borderId="26" xfId="0" applyFont="1" applyFill="1" applyBorder="1" applyAlignment="1">
      <alignment horizontal="center"/>
    </xf>
    <xf numFmtId="0" fontId="11" fillId="8" borderId="57" xfId="0" applyFont="1" applyFill="1" applyBorder="1" applyAlignment="1">
      <alignment horizontal="center"/>
    </xf>
    <xf numFmtId="165" fontId="11" fillId="8" borderId="27" xfId="2" applyNumberFormat="1" applyFont="1" applyFill="1" applyBorder="1" applyAlignment="1">
      <alignment horizontal="center"/>
    </xf>
    <xf numFmtId="9" fontId="39" fillId="0" borderId="26" xfId="2" applyFont="1" applyBorder="1" applyAlignment="1">
      <alignment horizontal="center" vertical="center" wrapText="1"/>
    </xf>
    <xf numFmtId="174" fontId="39" fillId="0" borderId="26" xfId="1" applyNumberFormat="1" applyFont="1" applyBorder="1" applyAlignment="1">
      <alignment horizontal="center" vertical="center" wrapText="1"/>
    </xf>
    <xf numFmtId="2" fontId="39" fillId="0" borderId="26" xfId="0" applyNumberFormat="1" applyFont="1" applyBorder="1" applyAlignment="1">
      <alignment horizontal="center" vertical="center" wrapText="1"/>
    </xf>
    <xf numFmtId="10" fontId="5" fillId="0" borderId="26" xfId="2" applyNumberFormat="1" applyFont="1" applyFill="1" applyBorder="1" applyAlignment="1">
      <alignment horizontal="center" vertical="center" wrapText="1"/>
    </xf>
    <xf numFmtId="174" fontId="5" fillId="0" borderId="26" xfId="1" applyNumberFormat="1" applyFont="1" applyFill="1" applyBorder="1" applyAlignment="1">
      <alignment horizontal="center" vertical="center" wrapText="1"/>
    </xf>
    <xf numFmtId="2" fontId="5" fillId="0" borderId="26" xfId="2" applyNumberFormat="1" applyFont="1" applyFill="1" applyBorder="1" applyAlignment="1">
      <alignment horizontal="center" vertical="center" wrapText="1"/>
    </xf>
    <xf numFmtId="165" fontId="5" fillId="0" borderId="26" xfId="2" applyNumberFormat="1" applyFont="1" applyFill="1" applyBorder="1" applyAlignment="1">
      <alignment horizontal="center" vertical="center" wrapText="1"/>
    </xf>
    <xf numFmtId="9" fontId="39" fillId="0" borderId="26" xfId="2" applyFont="1" applyFill="1" applyBorder="1" applyAlignment="1">
      <alignment horizontal="center" vertical="center" wrapText="1"/>
    </xf>
    <xf numFmtId="174" fontId="39" fillId="0" borderId="26" xfId="1" applyNumberFormat="1" applyFont="1" applyFill="1" applyBorder="1" applyAlignment="1">
      <alignment horizontal="center" vertical="center" wrapText="1"/>
    </xf>
    <xf numFmtId="2" fontId="39" fillId="0" borderId="26" xfId="2" applyNumberFormat="1" applyFont="1" applyFill="1" applyBorder="1" applyAlignment="1">
      <alignment horizontal="center" vertical="center" wrapText="1"/>
    </xf>
    <xf numFmtId="2" fontId="39" fillId="0" borderId="26" xfId="2" applyNumberFormat="1" applyFont="1" applyBorder="1" applyAlignment="1">
      <alignment horizontal="center" vertical="center" wrapText="1"/>
    </xf>
    <xf numFmtId="10" fontId="39" fillId="0" borderId="26" xfId="2" applyNumberFormat="1" applyFont="1" applyFill="1" applyBorder="1" applyAlignment="1">
      <alignment horizontal="center" vertical="center" wrapText="1"/>
    </xf>
    <xf numFmtId="10" fontId="39" fillId="0" borderId="26" xfId="2" applyNumberFormat="1" applyFont="1" applyBorder="1" applyAlignment="1">
      <alignment horizontal="center" vertical="center" wrapText="1"/>
    </xf>
    <xf numFmtId="10" fontId="39" fillId="0" borderId="26" xfId="0" applyNumberFormat="1" applyFont="1" applyBorder="1" applyAlignment="1">
      <alignment horizontal="center" vertical="center" wrapText="1"/>
    </xf>
    <xf numFmtId="0" fontId="0" fillId="8" borderId="28" xfId="0" applyFill="1" applyBorder="1"/>
    <xf numFmtId="10" fontId="0" fillId="0" borderId="52" xfId="0" applyNumberFormat="1" applyBorder="1" applyAlignment="1">
      <alignment horizontal="center"/>
    </xf>
    <xf numFmtId="4" fontId="0" fillId="0" borderId="60" xfId="0" applyNumberFormat="1" applyBorder="1" applyAlignment="1">
      <alignment horizontal="center"/>
    </xf>
    <xf numFmtId="10" fontId="3" fillId="0" borderId="26" xfId="1" applyNumberFormat="1" applyFont="1" applyBorder="1" applyAlignment="1">
      <alignment horizontal="center"/>
    </xf>
    <xf numFmtId="0" fontId="0" fillId="0" borderId="56" xfId="0" applyBorder="1"/>
    <xf numFmtId="0" fontId="0" fillId="8" borderId="28" xfId="0" applyFill="1" applyBorder="1" applyAlignment="1">
      <alignment horizontal="center"/>
    </xf>
    <xf numFmtId="165" fontId="13" fillId="4" borderId="26" xfId="2" applyNumberFormat="1" applyFont="1" applyFill="1" applyBorder="1" applyAlignment="1" applyProtection="1">
      <alignment horizontal="center"/>
    </xf>
    <xf numFmtId="10" fontId="13" fillId="4" borderId="26" xfId="2" applyNumberFormat="1" applyFont="1" applyFill="1" applyBorder="1" applyAlignment="1" applyProtection="1">
      <alignment horizontal="center"/>
    </xf>
    <xf numFmtId="0" fontId="0" fillId="0" borderId="57" xfId="0" applyBorder="1" applyAlignment="1">
      <alignment wrapText="1"/>
    </xf>
    <xf numFmtId="9" fontId="3" fillId="0" borderId="57" xfId="0" applyNumberFormat="1" applyFont="1" applyBorder="1" applyAlignment="1">
      <alignment horizontal="center"/>
    </xf>
    <xf numFmtId="10" fontId="3" fillId="0" borderId="57" xfId="0" applyNumberFormat="1" applyFont="1" applyBorder="1" applyAlignment="1">
      <alignment horizontal="center"/>
    </xf>
    <xf numFmtId="43" fontId="3" fillId="0" borderId="57" xfId="1" applyFont="1" applyBorder="1" applyAlignment="1">
      <alignment horizontal="center"/>
    </xf>
    <xf numFmtId="165" fontId="13" fillId="4" borderId="57" xfId="2" applyNumberFormat="1" applyFont="1" applyFill="1" applyBorder="1" applyAlignment="1" applyProtection="1">
      <alignment horizontal="center"/>
    </xf>
    <xf numFmtId="165" fontId="0" fillId="0" borderId="57" xfId="2" applyNumberFormat="1" applyFont="1" applyBorder="1" applyAlignment="1">
      <alignment horizontal="center"/>
    </xf>
    <xf numFmtId="14" fontId="0" fillId="0" borderId="57" xfId="2" applyNumberFormat="1" applyFont="1" applyFill="1" applyBorder="1" applyAlignment="1">
      <alignment horizontal="center"/>
    </xf>
    <xf numFmtId="0" fontId="0" fillId="23" borderId="57" xfId="0" applyFont="1" applyFill="1" applyBorder="1" applyAlignment="1">
      <alignment horizontal="center"/>
    </xf>
    <xf numFmtId="165" fontId="13" fillId="4" borderId="57" xfId="2" applyNumberFormat="1" applyFont="1" applyFill="1" applyBorder="1" applyAlignment="1" applyProtection="1">
      <alignment horizontal="center" vertical="center" wrapText="1"/>
    </xf>
    <xf numFmtId="165" fontId="13" fillId="4" borderId="58" xfId="2" applyNumberFormat="1" applyFont="1" applyFill="1" applyBorder="1" applyAlignment="1">
      <alignment horizontal="center" vertical="center" wrapText="1"/>
    </xf>
    <xf numFmtId="165" fontId="0" fillId="23" borderId="58" xfId="2" applyNumberFormat="1" applyFont="1" applyFill="1" applyBorder="1" applyAlignment="1">
      <alignment horizontal="center"/>
    </xf>
    <xf numFmtId="174" fontId="3" fillId="19" borderId="52" xfId="1" applyNumberFormat="1" applyFont="1" applyFill="1" applyBorder="1" applyAlignment="1">
      <alignment horizontal="center"/>
    </xf>
    <xf numFmtId="2" fontId="3" fillId="0" borderId="60" xfId="2" applyNumberFormat="1" applyFont="1" applyBorder="1" applyAlignment="1">
      <alignment horizont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10" fillId="3" borderId="44" xfId="0" applyFont="1" applyFill="1" applyBorder="1" applyAlignment="1">
      <alignment horizontal="center" vertical="center"/>
    </xf>
    <xf numFmtId="0" fontId="10" fillId="3" borderId="21" xfId="0" applyFont="1" applyFill="1" applyBorder="1" applyAlignment="1">
      <alignment horizontal="center" vertical="center"/>
    </xf>
    <xf numFmtId="0" fontId="10" fillId="3" borderId="51"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165" fontId="13" fillId="0" borderId="9" xfId="2" applyNumberFormat="1" applyFont="1" applyFill="1" applyBorder="1" applyAlignment="1" applyProtection="1">
      <alignment horizontal="center" vertical="center" wrapText="1"/>
    </xf>
    <xf numFmtId="165" fontId="13" fillId="0" borderId="10" xfId="2" applyNumberFormat="1" applyFont="1" applyFill="1" applyBorder="1" applyAlignment="1" applyProtection="1">
      <alignment horizontal="center" vertical="center" wrapText="1"/>
    </xf>
    <xf numFmtId="0" fontId="10" fillId="6" borderId="14"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16" xfId="0" applyFont="1" applyFill="1" applyBorder="1" applyAlignment="1">
      <alignment horizontal="center" vertical="center"/>
    </xf>
    <xf numFmtId="0" fontId="10" fillId="6" borderId="17" xfId="0" applyFont="1" applyFill="1" applyBorder="1" applyAlignment="1">
      <alignment horizontal="center" vertical="center"/>
    </xf>
    <xf numFmtId="0" fontId="10" fillId="6" borderId="18" xfId="0" applyFont="1" applyFill="1" applyBorder="1" applyAlignment="1">
      <alignment horizontal="center" vertical="center"/>
    </xf>
    <xf numFmtId="0" fontId="10" fillId="6" borderId="19" xfId="0" applyFont="1" applyFill="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0" xfId="0" applyFont="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9" fillId="2" borderId="8" xfId="0" applyFont="1" applyFill="1" applyBorder="1" applyAlignment="1">
      <alignment horizontal="center" vertical="center" wrapText="1"/>
    </xf>
    <xf numFmtId="0" fontId="10" fillId="7" borderId="14" xfId="0" applyFont="1" applyFill="1" applyBorder="1" applyAlignment="1">
      <alignment horizontal="center" vertical="center"/>
    </xf>
    <xf numFmtId="0" fontId="10" fillId="7" borderId="15" xfId="0" applyFont="1" applyFill="1" applyBorder="1" applyAlignment="1">
      <alignment horizontal="center" vertical="center"/>
    </xf>
    <xf numFmtId="0" fontId="10" fillId="7" borderId="16" xfId="0" applyFont="1" applyFill="1" applyBorder="1" applyAlignment="1">
      <alignment horizontal="center" vertical="center"/>
    </xf>
    <xf numFmtId="0" fontId="9" fillId="2" borderId="12"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12" borderId="16" xfId="0" applyFont="1" applyFill="1" applyBorder="1" applyAlignment="1">
      <alignment horizontal="center" vertical="center"/>
    </xf>
    <xf numFmtId="0" fontId="8" fillId="0" borderId="8" xfId="0" applyFont="1" applyBorder="1" applyAlignment="1">
      <alignment horizontal="center"/>
    </xf>
    <xf numFmtId="0" fontId="20" fillId="0" borderId="0" xfId="6" applyFont="1" applyAlignment="1" applyProtection="1">
      <alignment horizontal="center" vertical="center" wrapText="1"/>
    </xf>
    <xf numFmtId="0" fontId="8" fillId="11" borderId="29" xfId="0" applyFont="1" applyFill="1" applyBorder="1" applyAlignment="1">
      <alignment horizontal="center" vertical="center" wrapText="1"/>
    </xf>
    <xf numFmtId="0" fontId="8" fillId="11" borderId="30" xfId="0" applyFont="1" applyFill="1" applyBorder="1" applyAlignment="1">
      <alignment horizontal="center" vertical="center" wrapText="1"/>
    </xf>
    <xf numFmtId="0" fontId="8" fillId="11" borderId="31"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8" fillId="2" borderId="30" xfId="0" applyFont="1" applyFill="1" applyBorder="1" applyAlignment="1">
      <alignment horizontal="center" vertical="center" wrapText="1"/>
    </xf>
    <xf numFmtId="0" fontId="8" fillId="2" borderId="31" xfId="0" applyFont="1" applyFill="1" applyBorder="1" applyAlignment="1">
      <alignment horizontal="center" vertical="center" wrapText="1"/>
    </xf>
    <xf numFmtId="0" fontId="21" fillId="12" borderId="39" xfId="0" applyFont="1" applyFill="1" applyBorder="1" applyAlignment="1">
      <alignment horizontal="center" vertical="center" textRotation="90" wrapText="1"/>
    </xf>
    <xf numFmtId="0" fontId="21" fillId="12" borderId="40" xfId="0" applyFont="1" applyFill="1" applyBorder="1" applyAlignment="1">
      <alignment horizontal="center" vertical="center" textRotation="90" wrapText="1"/>
    </xf>
    <xf numFmtId="0" fontId="21" fillId="12" borderId="41" xfId="0" applyFont="1" applyFill="1" applyBorder="1" applyAlignment="1">
      <alignment horizontal="center" vertical="center" textRotation="90" wrapText="1"/>
    </xf>
    <xf numFmtId="0" fontId="21" fillId="12" borderId="34" xfId="0" applyFont="1" applyFill="1" applyBorder="1" applyAlignment="1">
      <alignment horizontal="center" vertical="center" textRotation="90" wrapText="1"/>
    </xf>
    <xf numFmtId="0" fontId="21" fillId="12" borderId="35" xfId="0" applyFont="1" applyFill="1" applyBorder="1" applyAlignment="1">
      <alignment horizontal="center" vertical="center" textRotation="90" wrapText="1"/>
    </xf>
    <xf numFmtId="0" fontId="21" fillId="12" borderId="36" xfId="0" applyFont="1" applyFill="1" applyBorder="1" applyAlignment="1">
      <alignment horizontal="center" vertical="center" textRotation="90" wrapText="1"/>
    </xf>
    <xf numFmtId="0" fontId="21" fillId="12" borderId="37" xfId="0" applyFont="1" applyFill="1" applyBorder="1" applyAlignment="1">
      <alignment horizontal="center" vertical="center" textRotation="90" wrapText="1"/>
    </xf>
    <xf numFmtId="0" fontId="21" fillId="12" borderId="38" xfId="0" applyFont="1" applyFill="1" applyBorder="1" applyAlignment="1">
      <alignment horizontal="center" vertical="center" textRotation="90" wrapText="1"/>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0" fillId="0" borderId="40" xfId="0" applyBorder="1" applyAlignment="1"/>
    <xf numFmtId="0" fontId="0" fillId="0" borderId="41" xfId="0" applyBorder="1" applyAlignment="1"/>
    <xf numFmtId="0" fontId="21" fillId="12" borderId="1" xfId="0" applyFont="1" applyFill="1" applyBorder="1" applyAlignment="1">
      <alignment horizontal="center" vertical="center" textRotation="90" wrapText="1"/>
    </xf>
    <xf numFmtId="0" fontId="21" fillId="12" borderId="47" xfId="0" applyFont="1" applyFill="1" applyBorder="1" applyAlignment="1">
      <alignment horizontal="center" vertical="center" textRotation="90" wrapText="1"/>
    </xf>
    <xf numFmtId="0" fontId="21" fillId="12" borderId="48" xfId="0" applyFont="1" applyFill="1" applyBorder="1" applyAlignment="1">
      <alignment horizontal="center" vertical="center" textRotation="90" wrapText="1"/>
    </xf>
    <xf numFmtId="0" fontId="21" fillId="12" borderId="49" xfId="0" applyFont="1" applyFill="1" applyBorder="1" applyAlignment="1">
      <alignment horizontal="center" vertical="center" textRotation="90" wrapText="1"/>
    </xf>
    <xf numFmtId="0" fontId="23" fillId="12" borderId="44" xfId="0" applyFont="1" applyFill="1" applyBorder="1" applyAlignment="1">
      <alignment horizontal="center" vertical="center" textRotation="90" wrapText="1"/>
    </xf>
    <xf numFmtId="0" fontId="23" fillId="12" borderId="45" xfId="0" applyFont="1" applyFill="1" applyBorder="1" applyAlignment="1">
      <alignment horizontal="center" vertical="center" textRotation="90" wrapText="1"/>
    </xf>
    <xf numFmtId="0" fontId="23" fillId="12" borderId="46" xfId="0" applyFont="1" applyFill="1" applyBorder="1" applyAlignment="1">
      <alignment horizontal="center" vertical="center" textRotation="90"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26" xfId="0" applyBorder="1" applyAlignment="1">
      <alignment horizontal="center" vertical="center"/>
    </xf>
    <xf numFmtId="0" fontId="0" fillId="0" borderId="8" xfId="0" applyBorder="1" applyAlignment="1">
      <alignment horizontal="center" vertical="center" wrapText="1"/>
    </xf>
    <xf numFmtId="0" fontId="7" fillId="0" borderId="8" xfId="0" applyFont="1" applyBorder="1" applyAlignment="1">
      <alignment horizontal="left" vertical="center"/>
    </xf>
    <xf numFmtId="0" fontId="8" fillId="0" borderId="12"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13" xfId="0" applyFont="1" applyBorder="1" applyAlignment="1">
      <alignment horizontal="center" vertical="center" wrapText="1"/>
    </xf>
    <xf numFmtId="0" fontId="31" fillId="0" borderId="12" xfId="0" applyFont="1" applyBorder="1" applyAlignment="1">
      <alignment horizontal="left" vertical="center" wrapText="1"/>
    </xf>
    <xf numFmtId="0" fontId="31" fillId="0" borderId="43" xfId="0" applyFont="1" applyBorder="1" applyAlignment="1">
      <alignment horizontal="left" vertical="center" wrapText="1"/>
    </xf>
    <xf numFmtId="0" fontId="31" fillId="0" borderId="13" xfId="0" applyFont="1" applyBorder="1" applyAlignment="1">
      <alignment horizontal="left" vertical="center" wrapText="1"/>
    </xf>
    <xf numFmtId="9" fontId="0" fillId="0" borderId="8" xfId="0" applyNumberFormat="1" applyBorder="1" applyAlignment="1">
      <alignment horizontal="center" vertical="center" wrapText="1"/>
    </xf>
    <xf numFmtId="9" fontId="8" fillId="0" borderId="8" xfId="0" applyNumberFormat="1" applyFont="1" applyBorder="1" applyAlignment="1">
      <alignment horizontal="left" vertical="center" wrapText="1"/>
    </xf>
    <xf numFmtId="9" fontId="8" fillId="0" borderId="8" xfId="0" applyNumberFormat="1" applyFont="1" applyBorder="1" applyAlignment="1">
      <alignment horizontal="left" vertical="center"/>
    </xf>
    <xf numFmtId="0" fontId="0" fillId="0" borderId="12" xfId="0" applyBorder="1" applyAlignment="1">
      <alignment horizontal="center" vertical="center"/>
    </xf>
    <xf numFmtId="0" fontId="0" fillId="0" borderId="13" xfId="0" applyBorder="1" applyAlignment="1">
      <alignment horizontal="center" vertical="center"/>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7" fillId="0" borderId="12" xfId="0" applyFont="1" applyBorder="1" applyAlignment="1">
      <alignment horizontal="left" vertical="center" wrapText="1"/>
    </xf>
    <xf numFmtId="0" fontId="7" fillId="0" borderId="13" xfId="0" applyFont="1" applyBorder="1" applyAlignment="1">
      <alignment horizontal="left" vertical="center"/>
    </xf>
    <xf numFmtId="0" fontId="7" fillId="0" borderId="8" xfId="0" applyFont="1" applyBorder="1" applyAlignment="1">
      <alignment horizontal="left" vertical="center" wrapText="1"/>
    </xf>
    <xf numFmtId="0" fontId="8" fillId="8" borderId="8" xfId="0" applyFont="1" applyFill="1" applyBorder="1" applyAlignment="1">
      <alignment horizontal="left" vertical="center"/>
    </xf>
    <xf numFmtId="0" fontId="8" fillId="0" borderId="8" xfId="0" applyFont="1" applyBorder="1" applyAlignment="1">
      <alignment horizontal="left" vertical="center"/>
    </xf>
    <xf numFmtId="0" fontId="8" fillId="8" borderId="9" xfId="0" applyFont="1" applyFill="1" applyBorder="1" applyAlignment="1">
      <alignment horizontal="left" vertical="center" wrapText="1"/>
    </xf>
    <xf numFmtId="10" fontId="8" fillId="0" borderId="12" xfId="0" applyNumberFormat="1" applyFont="1" applyBorder="1" applyAlignment="1">
      <alignment horizontal="center" wrapText="1"/>
    </xf>
    <xf numFmtId="10" fontId="8" fillId="0" borderId="13" xfId="0" applyNumberFormat="1" applyFont="1" applyBorder="1" applyAlignment="1">
      <alignment horizontal="center" wrapText="1"/>
    </xf>
    <xf numFmtId="0" fontId="8" fillId="0" borderId="8" xfId="0" applyFont="1" applyBorder="1" applyAlignment="1">
      <alignment horizontal="left" vertical="center" wrapText="1"/>
    </xf>
    <xf numFmtId="10" fontId="8" fillId="0" borderId="12" xfId="0" applyNumberFormat="1" applyFont="1" applyBorder="1" applyAlignment="1">
      <alignment horizontal="center" vertical="center" wrapText="1"/>
    </xf>
    <xf numFmtId="10" fontId="8" fillId="0" borderId="13" xfId="0" applyNumberFormat="1" applyFont="1" applyBorder="1" applyAlignment="1">
      <alignment horizontal="center" vertical="center" wrapText="1"/>
    </xf>
    <xf numFmtId="10" fontId="8" fillId="0" borderId="8" xfId="2" applyNumberFormat="1" applyFont="1" applyFill="1" applyBorder="1" applyAlignment="1" applyProtection="1">
      <alignment horizontal="left" vertical="center"/>
    </xf>
    <xf numFmtId="0" fontId="0" fillId="0" borderId="9" xfId="0" applyBorder="1" applyAlignment="1">
      <alignment horizontal="center" vertical="center"/>
    </xf>
    <xf numFmtId="0" fontId="0" fillId="0" borderId="11" xfId="0" applyBorder="1" applyAlignment="1">
      <alignment horizontal="center" vertical="center"/>
    </xf>
    <xf numFmtId="0" fontId="8" fillId="8" borderId="8" xfId="0" applyFont="1" applyFill="1" applyBorder="1" applyAlignment="1">
      <alignment horizontal="left" vertical="center" wrapText="1"/>
    </xf>
    <xf numFmtId="0" fontId="0" fillId="11" borderId="8" xfId="0" applyFill="1" applyBorder="1" applyAlignment="1">
      <alignment horizontal="center" vertical="center"/>
    </xf>
    <xf numFmtId="0" fontId="0" fillId="0" borderId="8" xfId="0" applyBorder="1" applyAlignment="1">
      <alignment horizontal="center" vertical="center"/>
    </xf>
    <xf numFmtId="0" fontId="35" fillId="0" borderId="8" xfId="0" applyFont="1" applyBorder="1" applyAlignment="1">
      <alignment horizontal="center" vertical="center" wrapText="1"/>
    </xf>
    <xf numFmtId="0" fontId="8" fillId="20" borderId="53" xfId="0" applyFont="1" applyFill="1" applyBorder="1" applyAlignment="1">
      <alignment horizontal="left" vertical="center" wrapText="1"/>
    </xf>
    <xf numFmtId="0" fontId="8" fillId="20" borderId="0" xfId="0" applyFont="1" applyFill="1" applyAlignment="1">
      <alignment horizontal="left" vertical="center" wrapText="1"/>
    </xf>
    <xf numFmtId="0" fontId="8" fillId="0" borderId="8" xfId="0" applyFont="1" applyBorder="1" applyAlignment="1">
      <alignment horizontal="center" vertical="center" wrapText="1"/>
    </xf>
    <xf numFmtId="0" fontId="31" fillId="0" borderId="8" xfId="0" applyFont="1" applyBorder="1" applyAlignment="1">
      <alignment horizontal="left" vertical="center" wrapText="1"/>
    </xf>
    <xf numFmtId="0" fontId="8" fillId="8" borderId="12" xfId="0" applyFont="1" applyFill="1" applyBorder="1" applyAlignment="1">
      <alignment horizontal="center" vertical="center" wrapText="1"/>
    </xf>
    <xf numFmtId="0" fontId="8" fillId="8" borderId="13" xfId="0" applyFont="1" applyFill="1" applyBorder="1" applyAlignment="1">
      <alignment horizontal="center" vertical="center" wrapText="1"/>
    </xf>
    <xf numFmtId="10" fontId="8" fillId="0" borderId="8" xfId="2" applyNumberFormat="1" applyFont="1" applyBorder="1" applyAlignment="1">
      <alignment horizontal="center" vertical="center" wrapText="1"/>
    </xf>
    <xf numFmtId="10" fontId="32" fillId="0" borderId="0" xfId="2" applyNumberFormat="1" applyFont="1" applyFill="1" applyBorder="1" applyAlignment="1" applyProtection="1">
      <alignment horizontal="right" vertical="center"/>
    </xf>
    <xf numFmtId="0" fontId="3" fillId="0" borderId="0" xfId="0" applyFont="1" applyAlignment="1">
      <alignment horizontal="center" vertical="center" wrapText="1"/>
    </xf>
  </cellXfs>
  <cellStyles count="7">
    <cellStyle name="Hipervínculo" xfId="3" builtinId="8"/>
    <cellStyle name="Hipervínculo 2" xfId="6" xr:uid="{F9DD9019-9A4A-4BD9-A9B7-2D5C83F13ABD}"/>
    <cellStyle name="Millares" xfId="1" builtinId="3"/>
    <cellStyle name="Millares [0]" xfId="4" builtinId="6"/>
    <cellStyle name="Moneda" xfId="5" builtinId="4"/>
    <cellStyle name="Normal" xfId="0" builtinId="0"/>
    <cellStyle name="Porcentaje" xfId="2" builtinId="5"/>
  </cellStyles>
  <dxfs count="1200">
    <dxf>
      <font>
        <b val="0"/>
        <i val="0"/>
        <strike val="0"/>
        <condense val="0"/>
        <extend val="0"/>
        <outline val="0"/>
        <shadow val="0"/>
        <u val="none"/>
        <vertAlign val="baseline"/>
        <sz val="11"/>
        <color theme="1"/>
        <name val="Calibri"/>
        <family val="2"/>
        <scheme val="minor"/>
      </font>
      <numFmt numFmtId="165" formatCode="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9"/>
        <color auto="1"/>
        <name val="Calibri"/>
        <family val="2"/>
        <scheme val="minor"/>
      </font>
      <numFmt numFmtId="165" formatCode="0.0%"/>
      <fill>
        <patternFill patternType="solid">
          <fgColor indexed="64"/>
          <bgColor rgb="FF92D05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1" hidden="0"/>
    </dxf>
    <dxf>
      <font>
        <b/>
        <i val="0"/>
        <strike val="0"/>
        <condense val="0"/>
        <extend val="0"/>
        <outline val="0"/>
        <shadow val="0"/>
        <u val="none"/>
        <vertAlign val="baseline"/>
        <sz val="9"/>
        <color auto="1"/>
        <name val="Calibri"/>
        <family val="2"/>
        <scheme val="minor"/>
      </font>
      <numFmt numFmtId="165" formatCode="0.0%"/>
      <fill>
        <patternFill patternType="solid">
          <fgColor indexed="64"/>
          <bgColor rgb="FF92D05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dxf>
    <dxf>
      <numFmt numFmtId="174" formatCode="#,##0.00_ ;\-#,##0.00\ "/>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ont>
        <b val="0"/>
        <i val="0"/>
        <strike val="0"/>
        <condense val="0"/>
        <extend val="0"/>
        <outline val="0"/>
        <shadow val="0"/>
        <u val="none"/>
        <vertAlign val="baseline"/>
        <sz val="11"/>
        <color theme="1"/>
        <name val="Calibri"/>
        <family val="2"/>
        <scheme val="minor"/>
      </font>
      <numFmt numFmtId="165" formatCode="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9"/>
        <color auto="1"/>
        <name val="Calibri"/>
        <family val="2"/>
        <scheme val="minor"/>
      </font>
      <numFmt numFmtId="165" formatCode="0.0%"/>
      <fill>
        <patternFill patternType="solid">
          <fgColor indexed="64"/>
          <bgColor rgb="FF92D05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1" hidden="0"/>
    </dxf>
    <dxf>
      <font>
        <b/>
        <i val="0"/>
        <strike val="0"/>
        <condense val="0"/>
        <extend val="0"/>
        <outline val="0"/>
        <shadow val="0"/>
        <u val="none"/>
        <vertAlign val="baseline"/>
        <sz val="9"/>
        <color auto="1"/>
        <name val="Calibri"/>
        <family val="2"/>
        <scheme val="minor"/>
      </font>
      <numFmt numFmtId="165" formatCode="0.0%"/>
      <fill>
        <patternFill patternType="solid">
          <fgColor indexed="64"/>
          <bgColor rgb="FF92D05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9"/>
        <color auto="1"/>
        <name val="Calibri"/>
        <family val="2"/>
        <scheme val="minor"/>
      </font>
      <numFmt numFmtId="165" formatCode="0.0%"/>
      <fill>
        <patternFill patternType="solid">
          <fgColor indexed="64"/>
          <bgColor rgb="FF92D05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9"/>
        <color auto="1"/>
        <name val="Calibri"/>
        <family val="2"/>
        <scheme val="minor"/>
      </font>
      <numFmt numFmtId="165" formatCode="0.0%"/>
      <fill>
        <patternFill patternType="solid">
          <fgColor indexed="64"/>
          <bgColor rgb="FF92D05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4" formatCode="0.00%"/>
    </dxf>
    <dxf>
      <numFmt numFmtId="14" formatCode="0.00%"/>
    </dxf>
    <dxf>
      <font>
        <b val="0"/>
        <i val="0"/>
        <strike val="0"/>
        <condense val="0"/>
        <extend val="0"/>
        <outline val="0"/>
        <shadow val="0"/>
        <u val="none"/>
        <vertAlign val="baseline"/>
        <sz val="11"/>
        <color theme="1"/>
        <name val="Calibri"/>
        <family val="2"/>
        <scheme val="minor"/>
      </font>
      <numFmt numFmtId="19" formatCode="d/mm/yyyy"/>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9" formatCode="d/mm/yyyy"/>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rder>
    </dxf>
    <dxf>
      <font>
        <b/>
        <i val="0"/>
        <strike val="0"/>
        <condense val="0"/>
        <extend val="0"/>
        <outline val="0"/>
        <shadow val="0"/>
        <u val="none"/>
        <vertAlign val="baseline"/>
        <sz val="11"/>
        <color theme="1"/>
        <name val="Calibri"/>
        <family val="2"/>
        <scheme val="minor"/>
      </font>
      <numFmt numFmtId="22" formatCode="mmm\-yy"/>
      <fill>
        <patternFill patternType="solid">
          <fgColor indexed="64"/>
          <bgColor theme="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numFmt numFmtId="165" formatCode="0.0%"/>
    </dxf>
    <dxf>
      <alignment horizontal="center"/>
    </dxf>
    <dxf>
      <font>
        <b/>
      </font>
    </dxf>
    <dxf>
      <numFmt numFmtId="165" formatCode="0.0%"/>
    </dxf>
    <dxf>
      <font>
        <b/>
      </font>
    </dxf>
    <dxf>
      <alignment horizontal="center"/>
    </dxf>
    <dxf>
      <numFmt numFmtId="13" formatCode="0%"/>
    </dxf>
    <dxf>
      <numFmt numFmtId="165" formatCode="0.0%"/>
    </dxf>
    <dxf>
      <font>
        <b/>
      </font>
    </dxf>
    <dxf>
      <numFmt numFmtId="14" formatCode="0.00%"/>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sz val="11"/>
      </font>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font>
        <b/>
      </font>
    </dxf>
    <dxf>
      <alignment horizontal="center"/>
    </dxf>
    <dxf>
      <alignment horizontal="center"/>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4" formatCode="0.00%"/>
    </dxf>
    <dxf>
      <numFmt numFmtId="14" formatCode="0.00%"/>
    </dxf>
    <dxf>
      <numFmt numFmtId="14" formatCode="0.00%"/>
    </dxf>
    <dxf>
      <numFmt numFmtId="170" formatCode="_-* #,##0_-;\-* #,##0_-;_-* &quot;-&quot;??_-;_-@_-"/>
    </dxf>
    <dxf>
      <numFmt numFmtId="170" formatCode="_-* #,##0_-;\-* #,##0_-;_-* &quot;-&quot;??_-;_-@_-"/>
    </dxf>
    <dxf>
      <numFmt numFmtId="170" formatCode="_-* #,##0_-;\-* #,##0_-;_-* &quot;-&quot;??_-;_-@_-"/>
    </dxf>
    <dxf>
      <font>
        <b/>
      </font>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73" formatCode="0.0"/>
    </dxf>
    <dxf>
      <numFmt numFmtId="173" formatCode="0.0"/>
    </dxf>
    <dxf>
      <numFmt numFmtId="173" formatCode="0.0"/>
    </dxf>
    <dxf>
      <numFmt numFmtId="172" formatCode="_-* #,##0.0_-;\-* #,##0.0_-;_-* &quot;-&quot;??_-;_-@_-"/>
    </dxf>
    <dxf>
      <numFmt numFmtId="173"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4" formatCode="0.00%"/>
    </dxf>
    <dxf>
      <numFmt numFmtId="14" formatCode="0.00%"/>
    </dxf>
    <dxf>
      <numFmt numFmtId="165" formatCode="0.0%"/>
    </dxf>
    <dxf>
      <numFmt numFmtId="165" formatCode="0.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val="0"/>
      </font>
    </dxf>
    <dxf>
      <numFmt numFmtId="170" formatCode="_-* #,##0_-;\-* #,##0_-;_-* &quot;-&quot;??_-;_-@_-"/>
    </dxf>
    <dxf>
      <numFmt numFmtId="170" formatCode="_-* #,##0_-;\-* #,##0_-;_-* &quot;-&quot;??_-;_-@_-"/>
    </dxf>
    <dxf>
      <numFmt numFmtId="170" formatCode="_-* #,##0_-;\-* #,##0_-;_-* &quot;-&quot;??_-;_-@_-"/>
    </dxf>
    <dxf>
      <numFmt numFmtId="165" formatCode="0.0%"/>
    </dxf>
    <dxf>
      <numFmt numFmtId="165" formatCode="0.0%"/>
    </dxf>
    <dxf>
      <numFmt numFmtId="165" formatCode="0.0%"/>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ont>
        <b/>
      </font>
    </dxf>
    <dxf>
      <font>
        <b/>
      </font>
    </dxf>
    <dxf>
      <alignment wrapText="1"/>
    </dxf>
    <dxf>
      <numFmt numFmtId="14" formatCode="0.00%"/>
    </dxf>
    <dxf>
      <font>
        <b/>
      </font>
    </dxf>
    <dxf>
      <alignment horizontal="center"/>
    </dxf>
    <dxf>
      <alignment horizontal="center"/>
    </dxf>
    <dxf>
      <font>
        <b/>
      </font>
    </dxf>
    <dxf>
      <font>
        <b/>
      </font>
    </dxf>
    <dxf>
      <alignment wrapText="1"/>
    </dxf>
    <dxf>
      <alignment wrapText="1"/>
    </dxf>
    <dxf>
      <font>
        <color rgb="FF9C0006"/>
      </font>
      <fill>
        <patternFill>
          <bgColor rgb="FFFFC7CE"/>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rgb="FFFFFF00"/>
        </patternFill>
      </fill>
    </dxf>
    <dxf>
      <fill>
        <patternFill>
          <bgColor rgb="FF92D050"/>
        </patternFill>
      </fill>
    </dxf>
    <dxf>
      <fill>
        <patternFill>
          <bgColor theme="4" tint="0.59996337778862885"/>
        </patternFill>
      </fill>
    </dxf>
    <dxf>
      <fill>
        <patternFill>
          <bgColor theme="5" tint="0.59996337778862885"/>
        </patternFill>
      </fill>
    </dxf>
    <dxf>
      <fill>
        <patternFill>
          <bgColor rgb="FFFFFF00"/>
        </patternFill>
      </fill>
    </dxf>
    <dxf>
      <fill>
        <patternFill>
          <bgColor rgb="FF92D050"/>
        </patternFill>
      </fill>
    </dxf>
    <dxf>
      <fill>
        <patternFill>
          <bgColor theme="4" tint="0.59996337778862885"/>
        </patternFill>
      </fill>
    </dxf>
    <dxf>
      <fill>
        <patternFill>
          <bgColor theme="5" tint="0.59996337778862885"/>
        </patternFill>
      </fill>
    </dxf>
    <dxf>
      <fill>
        <patternFill>
          <bgColor rgb="FFFFFF00"/>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pivotCacheDefinition" Target="pivotCache/pivotCacheDefinition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Causas y Acciones Regiones'!A1"/><Relationship Id="rId1" Type="http://schemas.openxmlformats.org/officeDocument/2006/relationships/hyperlink" Target="#Regiones!A1"/></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409575</xdr:colOff>
      <xdr:row>0</xdr:row>
      <xdr:rowOff>9525</xdr:rowOff>
    </xdr:from>
    <xdr:to>
      <xdr:col>2</xdr:col>
      <xdr:colOff>1751470</xdr:colOff>
      <xdr:row>1</xdr:row>
      <xdr:rowOff>149803</xdr:rowOff>
    </xdr:to>
    <xdr:pic>
      <xdr:nvPicPr>
        <xdr:cNvPr id="2" name="Picture 2">
          <a:extLst>
            <a:ext uri="{FF2B5EF4-FFF2-40B4-BE49-F238E27FC236}">
              <a16:creationId xmlns:a16="http://schemas.microsoft.com/office/drawing/2014/main" id="{396A316F-0EBE-4E9E-A97E-6735AD154F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9575" y="9525"/>
          <a:ext cx="1341895" cy="406978"/>
        </a:xfrm>
        <a:prstGeom prst="rect">
          <a:avLst/>
        </a:prstGeom>
        <a:noFill/>
        <a:ln w="1">
          <a:noFill/>
          <a:miter lim="800000"/>
          <a:headEnd/>
          <a:tailEnd type="none" w="med" len="med"/>
        </a:ln>
        <a:effectLst/>
      </xdr:spPr>
    </xdr:pic>
    <xdr:clientData/>
  </xdr:twoCellAnchor>
  <xdr:twoCellAnchor>
    <xdr:from>
      <xdr:col>0</xdr:col>
      <xdr:colOff>0</xdr:colOff>
      <xdr:row>2</xdr:row>
      <xdr:rowOff>28575</xdr:rowOff>
    </xdr:from>
    <xdr:to>
      <xdr:col>3</xdr:col>
      <xdr:colOff>19049</xdr:colOff>
      <xdr:row>3</xdr:row>
      <xdr:rowOff>182563</xdr:rowOff>
    </xdr:to>
    <xdr:sp macro="" textlink="">
      <xdr:nvSpPr>
        <xdr:cNvPr id="3" name="9 Rectángulo redondeado">
          <a:extLst>
            <a:ext uri="{FF2B5EF4-FFF2-40B4-BE49-F238E27FC236}">
              <a16:creationId xmlns:a16="http://schemas.microsoft.com/office/drawing/2014/main" id="{0186C183-086D-4999-A0D6-1DC0CA475C66}"/>
            </a:ext>
            <a:ext uri="{147F2762-F138-4A5C-976F-8EAC2B608ADB}">
              <a16:predDERef xmlns:a16="http://schemas.microsoft.com/office/drawing/2014/main" pred="{00000000-0008-0000-0800-00001B000000}"/>
            </a:ext>
          </a:extLst>
        </xdr:cNvPr>
        <xdr:cNvSpPr/>
      </xdr:nvSpPr>
      <xdr:spPr>
        <a:xfrm>
          <a:off x="0" y="542925"/>
          <a:ext cx="2162174" cy="401638"/>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050" b="1">
              <a:solidFill>
                <a:sysClr val="windowText" lastClr="000000"/>
              </a:solidFill>
            </a:rPr>
            <a:t> BIENESTAR</a:t>
          </a:r>
          <a:r>
            <a:rPr lang="es-CO" sz="1050" b="1" baseline="0">
              <a:solidFill>
                <a:sysClr val="windowText" lastClr="000000"/>
              </a:solidFill>
            </a:rPr>
            <a:t> FÍSICO Y EMOCIONAL </a:t>
          </a:r>
        </a:p>
      </xdr:txBody>
    </xdr:sp>
    <xdr:clientData/>
  </xdr:twoCellAnchor>
  <xdr:twoCellAnchor>
    <xdr:from>
      <xdr:col>2</xdr:col>
      <xdr:colOff>9525</xdr:colOff>
      <xdr:row>13</xdr:row>
      <xdr:rowOff>161925</xdr:rowOff>
    </xdr:from>
    <xdr:to>
      <xdr:col>3</xdr:col>
      <xdr:colOff>38100</xdr:colOff>
      <xdr:row>15</xdr:row>
      <xdr:rowOff>146052</xdr:rowOff>
    </xdr:to>
    <xdr:sp macro="" textlink="">
      <xdr:nvSpPr>
        <xdr:cNvPr id="4" name="12 Rectángulo redondeado">
          <a:extLst>
            <a:ext uri="{FF2B5EF4-FFF2-40B4-BE49-F238E27FC236}">
              <a16:creationId xmlns:a16="http://schemas.microsoft.com/office/drawing/2014/main" id="{64CE31B1-6AAB-4043-9112-1E503172AC4E}"/>
            </a:ext>
            <a:ext uri="{147F2762-F138-4A5C-976F-8EAC2B608ADB}">
              <a16:predDERef xmlns:a16="http://schemas.microsoft.com/office/drawing/2014/main" pred="{372369ED-4089-43DF-A564-06A74F5F4A0C}"/>
            </a:ext>
          </a:extLst>
        </xdr:cNvPr>
        <xdr:cNvSpPr/>
      </xdr:nvSpPr>
      <xdr:spPr>
        <a:xfrm>
          <a:off x="9525" y="2790825"/>
          <a:ext cx="2171700" cy="460377"/>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050" b="1">
              <a:solidFill>
                <a:sysClr val="windowText" lastClr="000000"/>
              </a:solidFill>
            </a:rPr>
            <a:t> BIENESTAR</a:t>
          </a:r>
          <a:r>
            <a:rPr lang="es-CO" sz="1050" b="1" baseline="0">
              <a:solidFill>
                <a:sysClr val="windowText" lastClr="000000"/>
              </a:solidFill>
            </a:rPr>
            <a:t> SOCIAL E INTELECTUAL </a:t>
          </a:r>
        </a:p>
      </xdr:txBody>
    </xdr:sp>
    <xdr:clientData/>
  </xdr:twoCellAnchor>
  <xdr:twoCellAnchor>
    <xdr:from>
      <xdr:col>2</xdr:col>
      <xdr:colOff>47526</xdr:colOff>
      <xdr:row>25</xdr:row>
      <xdr:rowOff>75045</xdr:rowOff>
    </xdr:from>
    <xdr:to>
      <xdr:col>2</xdr:col>
      <xdr:colOff>2151063</xdr:colOff>
      <xdr:row>26</xdr:row>
      <xdr:rowOff>227442</xdr:rowOff>
    </xdr:to>
    <xdr:sp macro="" textlink="">
      <xdr:nvSpPr>
        <xdr:cNvPr id="5" name="13 Rectángulo redondeado">
          <a:extLst>
            <a:ext uri="{FF2B5EF4-FFF2-40B4-BE49-F238E27FC236}">
              <a16:creationId xmlns:a16="http://schemas.microsoft.com/office/drawing/2014/main" id="{2FF59369-0257-4E48-A813-A7A6BF399083}"/>
            </a:ext>
          </a:extLst>
        </xdr:cNvPr>
        <xdr:cNvSpPr/>
      </xdr:nvSpPr>
      <xdr:spPr>
        <a:xfrm>
          <a:off x="47526" y="5475720"/>
          <a:ext cx="2094012" cy="352422"/>
        </a:xfrm>
        <a:prstGeom prst="round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s-CO" sz="1050" b="1">
              <a:solidFill>
                <a:sysClr val="windowText" lastClr="000000"/>
              </a:solidFill>
            </a:rPr>
            <a:t> BINESTAR</a:t>
          </a:r>
          <a:r>
            <a:rPr lang="es-CO" sz="1050" b="1" baseline="0">
              <a:solidFill>
                <a:sysClr val="windowText" lastClr="000000"/>
              </a:solidFill>
            </a:rPr>
            <a:t> ECONÓMICO </a:t>
          </a:r>
        </a:p>
      </xdr:txBody>
    </xdr:sp>
    <xdr:clientData/>
  </xdr:twoCellAnchor>
  <xdr:twoCellAnchor editAs="oneCell">
    <xdr:from>
      <xdr:col>0</xdr:col>
      <xdr:colOff>0</xdr:colOff>
      <xdr:row>0</xdr:row>
      <xdr:rowOff>0</xdr:rowOff>
    </xdr:from>
    <xdr:to>
      <xdr:col>2</xdr:col>
      <xdr:colOff>523875</xdr:colOff>
      <xdr:row>2</xdr:row>
      <xdr:rowOff>44267</xdr:rowOff>
    </xdr:to>
    <xdr:pic>
      <xdr:nvPicPr>
        <xdr:cNvPr id="6" name="21 Imagen">
          <a:extLst>
            <a:ext uri="{FF2B5EF4-FFF2-40B4-BE49-F238E27FC236}">
              <a16:creationId xmlns:a16="http://schemas.microsoft.com/office/drawing/2014/main" id="{484568BC-A09C-4783-A92B-25307D96B7C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523875" cy="587192"/>
        </a:xfrm>
        <a:prstGeom prst="rect">
          <a:avLst/>
        </a:prstGeom>
      </xdr:spPr>
    </xdr:pic>
    <xdr:clientData/>
  </xdr:twoCellAnchor>
  <xdr:twoCellAnchor>
    <xdr:from>
      <xdr:col>0</xdr:col>
      <xdr:colOff>0</xdr:colOff>
      <xdr:row>36</xdr:row>
      <xdr:rowOff>38100</xdr:rowOff>
    </xdr:from>
    <xdr:to>
      <xdr:col>3</xdr:col>
      <xdr:colOff>19049</xdr:colOff>
      <xdr:row>37</xdr:row>
      <xdr:rowOff>196992</xdr:rowOff>
    </xdr:to>
    <xdr:sp macro="" textlink="">
      <xdr:nvSpPr>
        <xdr:cNvPr id="7" name="12 Rectángulo redondeado">
          <a:extLst>
            <a:ext uri="{FF2B5EF4-FFF2-40B4-BE49-F238E27FC236}">
              <a16:creationId xmlns:a16="http://schemas.microsoft.com/office/drawing/2014/main" id="{B9E96629-B141-49BF-9A44-ECC81DC1C112}"/>
            </a:ext>
            <a:ext uri="{147F2762-F138-4A5C-976F-8EAC2B608ADB}">
              <a16:predDERef xmlns:a16="http://schemas.microsoft.com/office/drawing/2014/main" pred="{E7E7ED90-AFAE-466A-AA8E-6B29F309771F}"/>
            </a:ext>
          </a:extLst>
        </xdr:cNvPr>
        <xdr:cNvSpPr/>
      </xdr:nvSpPr>
      <xdr:spPr>
        <a:xfrm>
          <a:off x="0" y="7591425"/>
          <a:ext cx="2162174" cy="349392"/>
        </a:xfrm>
        <a:prstGeom prst="roundRect">
          <a:avLst/>
        </a:prstGeom>
        <a:solidFill>
          <a:schemeClr val="accent6">
            <a:lumMod val="40000"/>
            <a:lumOff val="60000"/>
          </a:schemeClr>
        </a:solidFill>
        <a:ln>
          <a:solidFill>
            <a:schemeClr val="bg2">
              <a:lumMod val="90000"/>
            </a:schemeClr>
          </a:solid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s-CO" sz="1050" b="1">
              <a:solidFill>
                <a:sysClr val="windowText" lastClr="000000"/>
              </a:solidFill>
            </a:rPr>
            <a:t> TOTAL</a:t>
          </a:r>
          <a:r>
            <a:rPr lang="es-CO" sz="1050" b="1" baseline="0">
              <a:solidFill>
                <a:sysClr val="windowText" lastClr="000000"/>
              </a:solidFill>
            </a:rPr>
            <a:t> N</a:t>
          </a:r>
          <a:r>
            <a:rPr lang="es-CO" sz="1050" b="1">
              <a:solidFill>
                <a:sysClr val="windowText" lastClr="000000"/>
              </a:solidFill>
            </a:rPr>
            <a:t>ODOS</a:t>
          </a:r>
          <a:r>
            <a:rPr lang="es-CO" sz="1050" b="1" baseline="0">
              <a:solidFill>
                <a:sysClr val="windowText" lastClr="000000"/>
              </a:solidFill>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185741</xdr:colOff>
      <xdr:row>0</xdr:row>
      <xdr:rowOff>23808</xdr:rowOff>
    </xdr:from>
    <xdr:to>
      <xdr:col>10</xdr:col>
      <xdr:colOff>0</xdr:colOff>
      <xdr:row>0</xdr:row>
      <xdr:rowOff>200025</xdr:rowOff>
    </xdr:to>
    <xdr:sp macro="" textlink="">
      <xdr:nvSpPr>
        <xdr:cNvPr id="2" name="2 CuadroTexto">
          <a:hlinkClick xmlns:r="http://schemas.openxmlformats.org/officeDocument/2006/relationships" r:id="rId1"/>
          <a:extLst>
            <a:ext uri="{FF2B5EF4-FFF2-40B4-BE49-F238E27FC236}">
              <a16:creationId xmlns:a16="http://schemas.microsoft.com/office/drawing/2014/main" id="{71CBA0F3-4A86-44CE-A458-14426E589D1B}"/>
            </a:ext>
          </a:extLst>
        </xdr:cNvPr>
        <xdr:cNvSpPr txBox="1"/>
      </xdr:nvSpPr>
      <xdr:spPr>
        <a:xfrm>
          <a:off x="3171825" y="23808"/>
          <a:ext cx="0" cy="1762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s-ES" sz="800"/>
            <a:t>I</a:t>
          </a:r>
          <a:r>
            <a:rPr lang="es-ES" sz="900"/>
            <a:t>r</a:t>
          </a:r>
        </a:p>
      </xdr:txBody>
    </xdr:sp>
    <xdr:clientData/>
  </xdr:twoCellAnchor>
  <xdr:twoCellAnchor>
    <xdr:from>
      <xdr:col>11</xdr:col>
      <xdr:colOff>4766</xdr:colOff>
      <xdr:row>0</xdr:row>
      <xdr:rowOff>14283</xdr:rowOff>
    </xdr:from>
    <xdr:to>
      <xdr:col>11</xdr:col>
      <xdr:colOff>266700</xdr:colOff>
      <xdr:row>0</xdr:row>
      <xdr:rowOff>190500</xdr:rowOff>
    </xdr:to>
    <xdr:sp macro="" textlink="">
      <xdr:nvSpPr>
        <xdr:cNvPr id="3" name="4 CuadroTexto">
          <a:hlinkClick xmlns:r="http://schemas.openxmlformats.org/officeDocument/2006/relationships" r:id="rId2"/>
          <a:extLst>
            <a:ext uri="{FF2B5EF4-FFF2-40B4-BE49-F238E27FC236}">
              <a16:creationId xmlns:a16="http://schemas.microsoft.com/office/drawing/2014/main" id="{ACAD56F6-092B-456D-B744-8BD3EDB854EF}"/>
            </a:ext>
          </a:extLst>
        </xdr:cNvPr>
        <xdr:cNvSpPr txBox="1"/>
      </xdr:nvSpPr>
      <xdr:spPr>
        <a:xfrm>
          <a:off x="3171825" y="14283"/>
          <a:ext cx="0" cy="1762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s-ES" sz="800"/>
            <a:t>I</a:t>
          </a:r>
          <a:r>
            <a:rPr lang="es-ES" sz="900"/>
            <a:t>r</a:t>
          </a:r>
        </a:p>
      </xdr:txBody>
    </xdr:sp>
    <xdr:clientData/>
  </xdr:twoCellAnchor>
  <xdr:twoCellAnchor editAs="oneCell">
    <xdr:from>
      <xdr:col>0</xdr:col>
      <xdr:colOff>0</xdr:colOff>
      <xdr:row>0</xdr:row>
      <xdr:rowOff>19050</xdr:rowOff>
    </xdr:from>
    <xdr:to>
      <xdr:col>1</xdr:col>
      <xdr:colOff>601807</xdr:colOff>
      <xdr:row>1</xdr:row>
      <xdr:rowOff>29944</xdr:rowOff>
    </xdr:to>
    <xdr:pic>
      <xdr:nvPicPr>
        <xdr:cNvPr id="4" name="Picture 1">
          <a:extLst>
            <a:ext uri="{FF2B5EF4-FFF2-40B4-BE49-F238E27FC236}">
              <a16:creationId xmlns:a16="http://schemas.microsoft.com/office/drawing/2014/main" id="{EEC08F36-9AFF-4DA8-88F9-8206FC95AB71}"/>
            </a:ext>
            <a:ext uri="{147F2762-F138-4A5C-976F-8EAC2B608ADB}">
              <a16:predDERef xmlns:a16="http://schemas.microsoft.com/office/drawing/2014/main" pred="{00000000-0008-0000-0D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19050"/>
          <a:ext cx="1201882" cy="229969"/>
        </a:xfrm>
        <a:prstGeom prst="rect">
          <a:avLst/>
        </a:prstGeom>
        <a:noFill/>
        <a:ln w="1">
          <a:noFill/>
          <a:miter lim="800000"/>
          <a:headEnd/>
          <a:tailEnd type="none" w="med" len="med"/>
        </a:ln>
        <a:effectLst/>
      </xdr:spPr>
    </xdr:pic>
    <xdr:clientData/>
  </xdr:twoCellAnchor>
  <xdr:twoCellAnchor>
    <xdr:from>
      <xdr:col>9</xdr:col>
      <xdr:colOff>185741</xdr:colOff>
      <xdr:row>0</xdr:row>
      <xdr:rowOff>23808</xdr:rowOff>
    </xdr:from>
    <xdr:to>
      <xdr:col>10</xdr:col>
      <xdr:colOff>0</xdr:colOff>
      <xdr:row>0</xdr:row>
      <xdr:rowOff>200025</xdr:rowOff>
    </xdr:to>
    <xdr:sp macro="" textlink="">
      <xdr:nvSpPr>
        <xdr:cNvPr id="5" name="8 CuadroTexto">
          <a:hlinkClick xmlns:r="http://schemas.openxmlformats.org/officeDocument/2006/relationships" r:id="rId1"/>
          <a:extLst>
            <a:ext uri="{FF2B5EF4-FFF2-40B4-BE49-F238E27FC236}">
              <a16:creationId xmlns:a16="http://schemas.microsoft.com/office/drawing/2014/main" id="{8475502D-A146-4ED6-BF8A-5752EF0FFC04}"/>
            </a:ext>
          </a:extLst>
        </xdr:cNvPr>
        <xdr:cNvSpPr txBox="1"/>
      </xdr:nvSpPr>
      <xdr:spPr>
        <a:xfrm>
          <a:off x="3171825" y="23808"/>
          <a:ext cx="0" cy="1762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s-ES" sz="800"/>
            <a:t>I</a:t>
          </a:r>
          <a:r>
            <a:rPr lang="es-ES" sz="900"/>
            <a:t>r</a:t>
          </a:r>
        </a:p>
      </xdr:txBody>
    </xdr:sp>
    <xdr:clientData/>
  </xdr:twoCellAnchor>
  <xdr:twoCellAnchor>
    <xdr:from>
      <xdr:col>11</xdr:col>
      <xdr:colOff>4766</xdr:colOff>
      <xdr:row>0</xdr:row>
      <xdr:rowOff>14283</xdr:rowOff>
    </xdr:from>
    <xdr:to>
      <xdr:col>11</xdr:col>
      <xdr:colOff>266700</xdr:colOff>
      <xdr:row>0</xdr:row>
      <xdr:rowOff>190500</xdr:rowOff>
    </xdr:to>
    <xdr:sp macro="" textlink="">
      <xdr:nvSpPr>
        <xdr:cNvPr id="6" name="9 CuadroTexto">
          <a:hlinkClick xmlns:r="http://schemas.openxmlformats.org/officeDocument/2006/relationships" r:id="rId2"/>
          <a:extLst>
            <a:ext uri="{FF2B5EF4-FFF2-40B4-BE49-F238E27FC236}">
              <a16:creationId xmlns:a16="http://schemas.microsoft.com/office/drawing/2014/main" id="{BA90ACE7-C526-4686-899C-2DF284FA3819}"/>
            </a:ext>
          </a:extLst>
        </xdr:cNvPr>
        <xdr:cNvSpPr txBox="1"/>
      </xdr:nvSpPr>
      <xdr:spPr>
        <a:xfrm>
          <a:off x="3171825" y="14283"/>
          <a:ext cx="0" cy="1762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s-ES" sz="800"/>
            <a:t>I</a:t>
          </a:r>
          <a:r>
            <a:rPr lang="es-ES" sz="900"/>
            <a:t>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204106</xdr:colOff>
      <xdr:row>2</xdr:row>
      <xdr:rowOff>149678</xdr:rowOff>
    </xdr:from>
    <xdr:to>
      <xdr:col>2</xdr:col>
      <xdr:colOff>834117</xdr:colOff>
      <xdr:row>3</xdr:row>
      <xdr:rowOff>63953</xdr:rowOff>
    </xdr:to>
    <xdr:sp macro="" textlink="">
      <xdr:nvSpPr>
        <xdr:cNvPr id="2" name="CuadroTexto 1">
          <a:extLst>
            <a:ext uri="{FF2B5EF4-FFF2-40B4-BE49-F238E27FC236}">
              <a16:creationId xmlns:a16="http://schemas.microsoft.com/office/drawing/2014/main" id="{F7D87AD6-48F5-4753-B344-D6D34A024489}"/>
            </a:ext>
          </a:extLst>
        </xdr:cNvPr>
        <xdr:cNvSpPr txBox="1"/>
      </xdr:nvSpPr>
      <xdr:spPr>
        <a:xfrm>
          <a:off x="966106" y="530678"/>
          <a:ext cx="1392011" cy="342900"/>
        </a:xfrm>
        <a:prstGeom prst="round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ctr"/>
        <a:lstStyle/>
        <a:p>
          <a:pPr algn="ctr"/>
          <a:r>
            <a:rPr lang="es-CO" sz="1100" b="1"/>
            <a:t>Arbol de visión</a:t>
          </a:r>
        </a:p>
        <a:p>
          <a:pPr algn="ctr"/>
          <a:endParaRPr lang="es-CO" sz="1100" b="1"/>
        </a:p>
      </xdr:txBody>
    </xdr:sp>
    <xdr:clientData/>
  </xdr:twoCellAnchor>
  <xdr:twoCellAnchor>
    <xdr:from>
      <xdr:col>10</xdr:col>
      <xdr:colOff>706211</xdr:colOff>
      <xdr:row>2</xdr:row>
      <xdr:rowOff>73479</xdr:rowOff>
    </xdr:from>
    <xdr:to>
      <xdr:col>12</xdr:col>
      <xdr:colOff>734786</xdr:colOff>
      <xdr:row>3</xdr:row>
      <xdr:rowOff>168729</xdr:rowOff>
    </xdr:to>
    <xdr:sp macro="" textlink="">
      <xdr:nvSpPr>
        <xdr:cNvPr id="3" name="CuadroTexto 2">
          <a:extLst>
            <a:ext uri="{FF2B5EF4-FFF2-40B4-BE49-F238E27FC236}">
              <a16:creationId xmlns:a16="http://schemas.microsoft.com/office/drawing/2014/main" id="{197EADA3-96B3-414C-8A92-68ABF5949E9A}"/>
            </a:ext>
          </a:extLst>
        </xdr:cNvPr>
        <xdr:cNvSpPr txBox="1"/>
      </xdr:nvSpPr>
      <xdr:spPr>
        <a:xfrm>
          <a:off x="3965122" y="454479"/>
          <a:ext cx="1552575" cy="523875"/>
        </a:xfrm>
        <a:prstGeom prst="round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ctr"/>
        <a:lstStyle/>
        <a:p>
          <a:pPr marL="0" indent="0" algn="ctr"/>
          <a:r>
            <a:rPr lang="es-CO" sz="1100" b="1">
              <a:solidFill>
                <a:schemeClr val="lt1"/>
              </a:solidFill>
              <a:latin typeface="+mn-lt"/>
              <a:ea typeface="+mn-ea"/>
              <a:cs typeface="+mn-cs"/>
            </a:rPr>
            <a:t>Negocios y Regiones</a:t>
          </a:r>
        </a:p>
      </xdr:txBody>
    </xdr:sp>
    <xdr:clientData/>
  </xdr:twoCellAnchor>
  <xdr:twoCellAnchor>
    <xdr:from>
      <xdr:col>15</xdr:col>
      <xdr:colOff>36739</xdr:colOff>
      <xdr:row>2</xdr:row>
      <xdr:rowOff>65315</xdr:rowOff>
    </xdr:from>
    <xdr:to>
      <xdr:col>17</xdr:col>
      <xdr:colOff>666750</xdr:colOff>
      <xdr:row>3</xdr:row>
      <xdr:rowOff>160565</xdr:rowOff>
    </xdr:to>
    <xdr:sp macro="" textlink="">
      <xdr:nvSpPr>
        <xdr:cNvPr id="4" name="CuadroTexto 3">
          <a:extLst>
            <a:ext uri="{FF2B5EF4-FFF2-40B4-BE49-F238E27FC236}">
              <a16:creationId xmlns:a16="http://schemas.microsoft.com/office/drawing/2014/main" id="{E88D4087-EFF6-4C32-BE44-0D6EBED72DE7}"/>
            </a:ext>
          </a:extLst>
        </xdr:cNvPr>
        <xdr:cNvSpPr txBox="1"/>
      </xdr:nvSpPr>
      <xdr:spPr>
        <a:xfrm>
          <a:off x="18267589" y="446315"/>
          <a:ext cx="4773386" cy="523875"/>
        </a:xfrm>
        <a:prstGeom prst="round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ctr"/>
        <a:lstStyle/>
        <a:p>
          <a:pPr marL="0" indent="0" algn="ctr"/>
          <a:r>
            <a:rPr lang="es-CO" sz="1100">
              <a:solidFill>
                <a:schemeClr val="lt1"/>
              </a:solidFill>
              <a:latin typeface="+mn-lt"/>
              <a:ea typeface="+mn-ea"/>
              <a:cs typeface="+mn-cs"/>
            </a:rPr>
            <a:t>Proyectos Planes y Programas</a:t>
          </a:r>
        </a:p>
      </xdr:txBody>
    </xdr:sp>
    <xdr:clientData/>
  </xdr:twoCellAnchor>
  <xdr:twoCellAnchor>
    <xdr:from>
      <xdr:col>9</xdr:col>
      <xdr:colOff>197304</xdr:colOff>
      <xdr:row>0</xdr:row>
      <xdr:rowOff>95250</xdr:rowOff>
    </xdr:from>
    <xdr:to>
      <xdr:col>9</xdr:col>
      <xdr:colOff>210911</xdr:colOff>
      <xdr:row>72</xdr:row>
      <xdr:rowOff>170089</xdr:rowOff>
    </xdr:to>
    <xdr:cxnSp macro="">
      <xdr:nvCxnSpPr>
        <xdr:cNvPr id="8" name="Conector recto 7">
          <a:extLst>
            <a:ext uri="{FF2B5EF4-FFF2-40B4-BE49-F238E27FC236}">
              <a16:creationId xmlns:a16="http://schemas.microsoft.com/office/drawing/2014/main" id="{281E29A7-561A-4904-A001-B9191EDFF5FF}"/>
            </a:ext>
          </a:extLst>
        </xdr:cNvPr>
        <xdr:cNvCxnSpPr/>
      </xdr:nvCxnSpPr>
      <xdr:spPr>
        <a:xfrm flipH="1" flipV="1">
          <a:off x="4129768" y="95250"/>
          <a:ext cx="13607" cy="1269546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223157</xdr:colOff>
      <xdr:row>0</xdr:row>
      <xdr:rowOff>47625</xdr:rowOff>
    </xdr:from>
    <xdr:to>
      <xdr:col>14</xdr:col>
      <xdr:colOff>236764</xdr:colOff>
      <xdr:row>72</xdr:row>
      <xdr:rowOff>122464</xdr:rowOff>
    </xdr:to>
    <xdr:cxnSp macro="">
      <xdr:nvCxnSpPr>
        <xdr:cNvPr id="12" name="Conector recto 11">
          <a:extLst>
            <a:ext uri="{FF2B5EF4-FFF2-40B4-BE49-F238E27FC236}">
              <a16:creationId xmlns:a16="http://schemas.microsoft.com/office/drawing/2014/main" id="{190C6FDC-DE76-4779-923F-439FC5AA42A9}"/>
            </a:ext>
          </a:extLst>
        </xdr:cNvPr>
        <xdr:cNvCxnSpPr/>
      </xdr:nvCxnSpPr>
      <xdr:spPr>
        <a:xfrm flipH="1" flipV="1">
          <a:off x="17692007" y="47625"/>
          <a:ext cx="13607" cy="1574346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33</xdr:row>
      <xdr:rowOff>63500</xdr:rowOff>
    </xdr:from>
    <xdr:to>
      <xdr:col>0</xdr:col>
      <xdr:colOff>2143608</xdr:colOff>
      <xdr:row>34</xdr:row>
      <xdr:rowOff>141067</xdr:rowOff>
    </xdr:to>
    <xdr:sp macro="" textlink="">
      <xdr:nvSpPr>
        <xdr:cNvPr id="2" name="10 Rectángulo redondeado">
          <a:extLst>
            <a:ext uri="{FF2B5EF4-FFF2-40B4-BE49-F238E27FC236}">
              <a16:creationId xmlns:a16="http://schemas.microsoft.com/office/drawing/2014/main" id="{A47FF7B8-BBA2-4232-9742-EC0EFE5B35F1}"/>
            </a:ext>
          </a:extLst>
        </xdr:cNvPr>
        <xdr:cNvSpPr/>
      </xdr:nvSpPr>
      <xdr:spPr>
        <a:xfrm>
          <a:off x="0" y="7874000"/>
          <a:ext cx="2143608" cy="258542"/>
        </a:xfrm>
        <a:prstGeom prst="round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s-CO" sz="1200" b="1" baseline="0">
              <a:solidFill>
                <a:sysClr val="windowText" lastClr="000000"/>
              </a:solidFill>
            </a:rPr>
            <a:t>BIENESTAR  </a:t>
          </a:r>
        </a:p>
      </xdr:txBody>
    </xdr:sp>
    <xdr:clientData/>
  </xdr:twoCellAnchor>
  <xdr:twoCellAnchor>
    <xdr:from>
      <xdr:col>0</xdr:col>
      <xdr:colOff>31174</xdr:colOff>
      <xdr:row>48</xdr:row>
      <xdr:rowOff>76200</xdr:rowOff>
    </xdr:from>
    <xdr:to>
      <xdr:col>0</xdr:col>
      <xdr:colOff>2143126</xdr:colOff>
      <xdr:row>49</xdr:row>
      <xdr:rowOff>155498</xdr:rowOff>
    </xdr:to>
    <xdr:sp macro="" textlink="">
      <xdr:nvSpPr>
        <xdr:cNvPr id="3" name="15 Rectángulo redondeado">
          <a:extLst>
            <a:ext uri="{FF2B5EF4-FFF2-40B4-BE49-F238E27FC236}">
              <a16:creationId xmlns:a16="http://schemas.microsoft.com/office/drawing/2014/main" id="{E161044E-0C02-4323-A8E9-DAF4AE1DEF2C}"/>
            </a:ext>
          </a:extLst>
        </xdr:cNvPr>
        <xdr:cNvSpPr/>
      </xdr:nvSpPr>
      <xdr:spPr>
        <a:xfrm>
          <a:off x="31174" y="11115675"/>
          <a:ext cx="2111952" cy="269798"/>
        </a:xfrm>
        <a:prstGeom prst="round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s-CO" sz="1200" b="1" baseline="0">
              <a:solidFill>
                <a:sysClr val="windowText" lastClr="000000"/>
              </a:solidFill>
            </a:rPr>
            <a:t>INCLUSIÓN  </a:t>
          </a:r>
        </a:p>
      </xdr:txBody>
    </xdr:sp>
    <xdr:clientData/>
  </xdr:twoCellAnchor>
  <xdr:twoCellAnchor>
    <xdr:from>
      <xdr:col>0</xdr:col>
      <xdr:colOff>0</xdr:colOff>
      <xdr:row>40</xdr:row>
      <xdr:rowOff>56767</xdr:rowOff>
    </xdr:from>
    <xdr:to>
      <xdr:col>0</xdr:col>
      <xdr:colOff>2143607</xdr:colOff>
      <xdr:row>41</xdr:row>
      <xdr:rowOff>126539</xdr:rowOff>
    </xdr:to>
    <xdr:sp macro="" textlink="">
      <xdr:nvSpPr>
        <xdr:cNvPr id="4" name="17 Rectángulo redondeado">
          <a:extLst>
            <a:ext uri="{FF2B5EF4-FFF2-40B4-BE49-F238E27FC236}">
              <a16:creationId xmlns:a16="http://schemas.microsoft.com/office/drawing/2014/main" id="{54AFD23F-A2D2-48EF-9DBD-FD80B8F7329E}"/>
            </a:ext>
          </a:extLst>
        </xdr:cNvPr>
        <xdr:cNvSpPr/>
      </xdr:nvSpPr>
      <xdr:spPr>
        <a:xfrm>
          <a:off x="0" y="9267442"/>
          <a:ext cx="2143607" cy="260272"/>
        </a:xfrm>
        <a:prstGeom prst="roundRect">
          <a:avLst/>
        </a:prstGeom>
        <a:solidFill>
          <a:srgbClr val="FFFFCC"/>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200" b="1" baseline="0">
              <a:solidFill>
                <a:sysClr val="windowText" lastClr="000000"/>
              </a:solidFill>
            </a:rPr>
            <a:t>INNOVACIÓN  </a:t>
          </a:r>
        </a:p>
      </xdr:txBody>
    </xdr:sp>
    <xdr:clientData/>
  </xdr:twoCellAnchor>
  <xdr:twoCellAnchor>
    <xdr:from>
      <xdr:col>0</xdr:col>
      <xdr:colOff>7650</xdr:colOff>
      <xdr:row>28</xdr:row>
      <xdr:rowOff>137583</xdr:rowOff>
    </xdr:from>
    <xdr:to>
      <xdr:col>0</xdr:col>
      <xdr:colOff>2122438</xdr:colOff>
      <xdr:row>30</xdr:row>
      <xdr:rowOff>121788</xdr:rowOff>
    </xdr:to>
    <xdr:sp macro="" textlink="">
      <xdr:nvSpPr>
        <xdr:cNvPr id="5" name="19 Rectángulo redondeado">
          <a:extLst>
            <a:ext uri="{FF2B5EF4-FFF2-40B4-BE49-F238E27FC236}">
              <a16:creationId xmlns:a16="http://schemas.microsoft.com/office/drawing/2014/main" id="{E9452FE6-2B1B-4A9B-A434-05DEF26C7E8F}"/>
            </a:ext>
          </a:extLst>
        </xdr:cNvPr>
        <xdr:cNvSpPr/>
      </xdr:nvSpPr>
      <xdr:spPr>
        <a:xfrm>
          <a:off x="7650" y="6786033"/>
          <a:ext cx="2114788" cy="365205"/>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CO" sz="1200" b="1" baseline="0">
              <a:solidFill>
                <a:sysClr val="windowText" lastClr="000000"/>
              </a:solidFill>
            </a:rPr>
            <a:t>EXPERIENCIA DE CLIENTE  </a:t>
          </a:r>
        </a:p>
      </xdr:txBody>
    </xdr:sp>
    <xdr:clientData/>
  </xdr:twoCellAnchor>
  <xdr:twoCellAnchor>
    <xdr:from>
      <xdr:col>0</xdr:col>
      <xdr:colOff>46041</xdr:colOff>
      <xdr:row>13</xdr:row>
      <xdr:rowOff>73027</xdr:rowOff>
    </xdr:from>
    <xdr:to>
      <xdr:col>0</xdr:col>
      <xdr:colOff>2165351</xdr:colOff>
      <xdr:row>14</xdr:row>
      <xdr:rowOff>152325</xdr:rowOff>
    </xdr:to>
    <xdr:sp macro="" textlink="">
      <xdr:nvSpPr>
        <xdr:cNvPr id="6" name="20 Rectángulo redondeado">
          <a:extLst>
            <a:ext uri="{FF2B5EF4-FFF2-40B4-BE49-F238E27FC236}">
              <a16:creationId xmlns:a16="http://schemas.microsoft.com/office/drawing/2014/main" id="{9E480239-56CD-4173-9B33-7A29ECF5DE74}"/>
            </a:ext>
          </a:extLst>
        </xdr:cNvPr>
        <xdr:cNvSpPr/>
      </xdr:nvSpPr>
      <xdr:spPr>
        <a:xfrm>
          <a:off x="46041" y="3625852"/>
          <a:ext cx="2119310" cy="269798"/>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baseline="0">
              <a:solidFill>
                <a:sysClr val="windowText" lastClr="000000"/>
              </a:solidFill>
            </a:rPr>
            <a:t>CRECIMIENTO  </a:t>
          </a:r>
        </a:p>
      </xdr:txBody>
    </xdr:sp>
    <xdr:clientData/>
  </xdr:twoCellAnchor>
  <xdr:twoCellAnchor>
    <xdr:from>
      <xdr:col>0</xdr:col>
      <xdr:colOff>19090</xdr:colOff>
      <xdr:row>2</xdr:row>
      <xdr:rowOff>6594</xdr:rowOff>
    </xdr:from>
    <xdr:to>
      <xdr:col>0</xdr:col>
      <xdr:colOff>2162215</xdr:colOff>
      <xdr:row>2</xdr:row>
      <xdr:rowOff>276392</xdr:rowOff>
    </xdr:to>
    <xdr:sp macro="" textlink="">
      <xdr:nvSpPr>
        <xdr:cNvPr id="7" name="21 Rectángulo redondeado">
          <a:extLst>
            <a:ext uri="{FF2B5EF4-FFF2-40B4-BE49-F238E27FC236}">
              <a16:creationId xmlns:a16="http://schemas.microsoft.com/office/drawing/2014/main" id="{C1204277-9064-49DC-9A1F-D53693D8A84B}"/>
            </a:ext>
          </a:extLst>
        </xdr:cNvPr>
        <xdr:cNvSpPr/>
      </xdr:nvSpPr>
      <xdr:spPr>
        <a:xfrm>
          <a:off x="19090" y="701919"/>
          <a:ext cx="2143125" cy="269798"/>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200" b="1" baseline="0">
              <a:solidFill>
                <a:sysClr val="windowText" lastClr="000000"/>
              </a:solidFill>
            </a:rPr>
            <a:t>SOSTENIBILIDAD FINANCIERA  </a:t>
          </a:r>
        </a:p>
      </xdr:txBody>
    </xdr:sp>
    <xdr:clientData/>
  </xdr:twoCellAnchor>
  <xdr:twoCellAnchor editAs="oneCell">
    <xdr:from>
      <xdr:col>0</xdr:col>
      <xdr:colOff>21167</xdr:colOff>
      <xdr:row>0</xdr:row>
      <xdr:rowOff>36635</xdr:rowOff>
    </xdr:from>
    <xdr:to>
      <xdr:col>0</xdr:col>
      <xdr:colOff>423333</xdr:colOff>
      <xdr:row>1</xdr:row>
      <xdr:rowOff>161728</xdr:rowOff>
    </xdr:to>
    <xdr:pic>
      <xdr:nvPicPr>
        <xdr:cNvPr id="8" name="22 Imagen">
          <a:extLst>
            <a:ext uri="{FF2B5EF4-FFF2-40B4-BE49-F238E27FC236}">
              <a16:creationId xmlns:a16="http://schemas.microsoft.com/office/drawing/2014/main" id="{C9FB2772-101A-4ACE-927C-62BCDC0F13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7" y="36635"/>
          <a:ext cx="402166" cy="448943"/>
        </a:xfrm>
        <a:prstGeom prst="rect">
          <a:avLst/>
        </a:prstGeom>
      </xdr:spPr>
    </xdr:pic>
    <xdr:clientData/>
  </xdr:twoCellAnchor>
  <xdr:twoCellAnchor editAs="oneCell">
    <xdr:from>
      <xdr:col>0</xdr:col>
      <xdr:colOff>415597</xdr:colOff>
      <xdr:row>0</xdr:row>
      <xdr:rowOff>17910</xdr:rowOff>
    </xdr:from>
    <xdr:to>
      <xdr:col>0</xdr:col>
      <xdr:colOff>2154115</xdr:colOff>
      <xdr:row>1</xdr:row>
      <xdr:rowOff>16419</xdr:rowOff>
    </xdr:to>
    <xdr:pic>
      <xdr:nvPicPr>
        <xdr:cNvPr id="9" name="Picture 2">
          <a:extLst>
            <a:ext uri="{FF2B5EF4-FFF2-40B4-BE49-F238E27FC236}">
              <a16:creationId xmlns:a16="http://schemas.microsoft.com/office/drawing/2014/main" id="{FF6E977A-1427-46E2-BCBA-DF88F486BF7E}"/>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15597" y="17910"/>
          <a:ext cx="1738518" cy="322359"/>
        </a:xfrm>
        <a:prstGeom prst="rect">
          <a:avLst/>
        </a:prstGeom>
        <a:noFill/>
        <a:ln w="1">
          <a:noFill/>
          <a:miter lim="800000"/>
          <a:headEnd/>
          <a:tailEnd type="none" w="med" len="med"/>
        </a:ln>
        <a:effectLst/>
      </xdr:spPr>
    </xdr:pic>
    <xdr:clientData/>
  </xdr:twoCellAnchor>
  <xdr:twoCellAnchor>
    <xdr:from>
      <xdr:col>0</xdr:col>
      <xdr:colOff>0</xdr:colOff>
      <xdr:row>53</xdr:row>
      <xdr:rowOff>71437</xdr:rowOff>
    </xdr:from>
    <xdr:to>
      <xdr:col>0</xdr:col>
      <xdr:colOff>2111952</xdr:colOff>
      <xdr:row>55</xdr:row>
      <xdr:rowOff>142876</xdr:rowOff>
    </xdr:to>
    <xdr:sp macro="" textlink="">
      <xdr:nvSpPr>
        <xdr:cNvPr id="10" name="15 Rectángulo redondeado">
          <a:extLst>
            <a:ext uri="{FF2B5EF4-FFF2-40B4-BE49-F238E27FC236}">
              <a16:creationId xmlns:a16="http://schemas.microsoft.com/office/drawing/2014/main" id="{6D990041-1FB5-497F-BCFC-A56DB301DD13}"/>
            </a:ext>
          </a:extLst>
        </xdr:cNvPr>
        <xdr:cNvSpPr/>
      </xdr:nvSpPr>
      <xdr:spPr>
        <a:xfrm>
          <a:off x="0" y="12158662"/>
          <a:ext cx="2111952" cy="452439"/>
        </a:xfrm>
        <a:prstGeom prst="roundRect">
          <a:avLst/>
        </a:prstGeom>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s-CO" sz="1000" b="1" baseline="0">
              <a:solidFill>
                <a:sysClr val="windowText" lastClr="000000"/>
              </a:solidFill>
            </a:rPr>
            <a:t>IMPACTO EN LA TRASNFORMACIÓN SOCIAL </a:t>
          </a:r>
        </a:p>
      </xdr:txBody>
    </xdr:sp>
    <xdr:clientData/>
  </xdr:twoCellAnchor>
  <xdr:twoCellAnchor>
    <xdr:from>
      <xdr:col>0</xdr:col>
      <xdr:colOff>0</xdr:colOff>
      <xdr:row>62</xdr:row>
      <xdr:rowOff>55563</xdr:rowOff>
    </xdr:from>
    <xdr:to>
      <xdr:col>0</xdr:col>
      <xdr:colOff>2111952</xdr:colOff>
      <xdr:row>64</xdr:row>
      <xdr:rowOff>127002</xdr:rowOff>
    </xdr:to>
    <xdr:sp macro="" textlink="">
      <xdr:nvSpPr>
        <xdr:cNvPr id="11" name="15 Rectángulo redondeado">
          <a:extLst>
            <a:ext uri="{FF2B5EF4-FFF2-40B4-BE49-F238E27FC236}">
              <a16:creationId xmlns:a16="http://schemas.microsoft.com/office/drawing/2014/main" id="{03DC88BD-689D-441E-A8BE-C1D7FDCD078E}"/>
            </a:ext>
          </a:extLst>
        </xdr:cNvPr>
        <xdr:cNvSpPr/>
      </xdr:nvSpPr>
      <xdr:spPr>
        <a:xfrm>
          <a:off x="0" y="14085888"/>
          <a:ext cx="2111952" cy="452439"/>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000" b="1" baseline="0">
              <a:solidFill>
                <a:sysClr val="windowText" lastClr="000000"/>
              </a:solidFill>
            </a:rPr>
            <a:t>DESARROLLO HUMANO, SENTIDO Y PROPÓSITO PARA TRABAJAR</a:t>
          </a:r>
        </a:p>
      </xdr:txBody>
    </xdr:sp>
    <xdr:clientData/>
  </xdr:twoCellAnchor>
  <xdr:twoCellAnchor>
    <xdr:from>
      <xdr:col>0</xdr:col>
      <xdr:colOff>0</xdr:colOff>
      <xdr:row>72</xdr:row>
      <xdr:rowOff>80597</xdr:rowOff>
    </xdr:from>
    <xdr:to>
      <xdr:col>0</xdr:col>
      <xdr:colOff>2111952</xdr:colOff>
      <xdr:row>74</xdr:row>
      <xdr:rowOff>150814</xdr:rowOff>
    </xdr:to>
    <xdr:sp macro="" textlink="">
      <xdr:nvSpPr>
        <xdr:cNvPr id="12" name="15 Rectángulo redondeado">
          <a:extLst>
            <a:ext uri="{FF2B5EF4-FFF2-40B4-BE49-F238E27FC236}">
              <a16:creationId xmlns:a16="http://schemas.microsoft.com/office/drawing/2014/main" id="{63B2610D-61E6-4DB9-BF3F-C3EBF45CF0AA}"/>
            </a:ext>
          </a:extLst>
        </xdr:cNvPr>
        <xdr:cNvSpPr/>
      </xdr:nvSpPr>
      <xdr:spPr>
        <a:xfrm>
          <a:off x="0" y="16882697"/>
          <a:ext cx="2111952" cy="470267"/>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marL="0" indent="0" algn="ctr"/>
          <a:r>
            <a:rPr lang="es-CO" sz="1000" b="1" baseline="0">
              <a:solidFill>
                <a:sysClr val="windowText" lastClr="000000"/>
              </a:solidFill>
              <a:latin typeface="+mn-lt"/>
              <a:ea typeface="+mn-ea"/>
              <a:cs typeface="+mn-cs"/>
            </a:rPr>
            <a:t>RECONOCIMIENTO Y POSICIONAMIENTO DE MARCA </a:t>
          </a:r>
        </a:p>
      </xdr:txBody>
    </xdr:sp>
    <xdr:clientData/>
  </xdr:twoCellAnchor>
  <xdr:twoCellAnchor>
    <xdr:from>
      <xdr:col>0</xdr:col>
      <xdr:colOff>0</xdr:colOff>
      <xdr:row>77</xdr:row>
      <xdr:rowOff>0</xdr:rowOff>
    </xdr:from>
    <xdr:to>
      <xdr:col>0</xdr:col>
      <xdr:colOff>2114788</xdr:colOff>
      <xdr:row>79</xdr:row>
      <xdr:rowOff>104775</xdr:rowOff>
    </xdr:to>
    <xdr:sp macro="" textlink="">
      <xdr:nvSpPr>
        <xdr:cNvPr id="13" name="19 Rectángulo redondeado">
          <a:extLst>
            <a:ext uri="{FF2B5EF4-FFF2-40B4-BE49-F238E27FC236}">
              <a16:creationId xmlns:a16="http://schemas.microsoft.com/office/drawing/2014/main" id="{921C78BE-6A51-4071-B112-655398EBBAE8}"/>
            </a:ext>
          </a:extLst>
        </xdr:cNvPr>
        <xdr:cNvSpPr/>
      </xdr:nvSpPr>
      <xdr:spPr>
        <a:xfrm>
          <a:off x="0" y="17964150"/>
          <a:ext cx="2114788" cy="485775"/>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CO" sz="1050" b="1" baseline="0">
              <a:solidFill>
                <a:sysClr val="windowText" lastClr="000000"/>
              </a:solidFill>
            </a:rPr>
            <a:t>PARTICIPACIÓN Y DESARROLLO DE ECOSISTEMAS</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NUTRICION"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comfenalcoantioquia.sharepoint.com/Users/tcaballe/Desktop/Innovacion%202021/Planeacion2021/Plan%20de%20trabajo%20innovaci&#243;n%202021%20-%20macro%208_04_2021.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comfenalcoantioquia-my.sharepoint.com/Users/tcaballe/Desktop/Innovacion%202021/Planeacion2021/Plan%20de%20trabajo%20innovaci&#243;n%202021%20-%20macro%208_04_202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lan1303\modelos\MSOffice\Excel\Ejemplos\MUESTRA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SSOCIALES\EJEC2011\EJ_ACADEMI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OMERCIAL\PPTO2010\COB2010\CO10_USPTOCLAV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OMERCIAL\EJEC2012\EJ_USRIONEG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SSOCIALES\EJEC2012\DEPORTES%20LA%20PLAYA\EJ_DEPORTESLAPLAYA%2020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lan1303\presupuesto-\Mis%20documentos\MODELOS\APORTES\Mis%20documentos\FER\Caja%20sin%20fer\Ppsalu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lan1303\presupuesto-\Mis%20documentos\MODELOS\APORTES\Mis%20documentos\FER\Caja%20sin%20fer\Ppboliv.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lan1303\presupuesto-\Mis%20documentos\MODELOS\APORTES\Mis%20documentos\FER\Caja%20sin%20fer\Ppep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lan1303\presupuesto-\Mis%20documentos\MODELOS\APORTES\Mis%20documentos\FER\Caja%20sin%20fer\Estadistica\FER\Model_F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TRICIO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stivos"/>
      <sheetName val="Cronograma"/>
      <sheetName val="Info_avance_detallado"/>
      <sheetName val="Seg_Grafico"/>
      <sheetName val="Guía"/>
    </sheetNames>
    <sheetDataSet>
      <sheetData sheetId="0">
        <row r="3">
          <cell r="A3">
            <v>43831</v>
          </cell>
        </row>
        <row r="4">
          <cell r="A4">
            <v>43836</v>
          </cell>
        </row>
        <row r="5">
          <cell r="A5">
            <v>43913</v>
          </cell>
        </row>
        <row r="6">
          <cell r="A6">
            <v>43930</v>
          </cell>
        </row>
        <row r="7">
          <cell r="A7">
            <v>43931</v>
          </cell>
        </row>
        <row r="8">
          <cell r="A8">
            <v>43952</v>
          </cell>
        </row>
        <row r="9">
          <cell r="A9">
            <v>43976</v>
          </cell>
        </row>
        <row r="10">
          <cell r="A10">
            <v>43997</v>
          </cell>
        </row>
        <row r="11">
          <cell r="A11">
            <v>44004</v>
          </cell>
        </row>
        <row r="12">
          <cell r="A12">
            <v>44011</v>
          </cell>
        </row>
        <row r="13">
          <cell r="A13">
            <v>44032</v>
          </cell>
        </row>
        <row r="14">
          <cell r="A14">
            <v>44050</v>
          </cell>
        </row>
        <row r="15">
          <cell r="A15">
            <v>44060</v>
          </cell>
        </row>
        <row r="16">
          <cell r="A16">
            <v>44116</v>
          </cell>
        </row>
        <row r="17">
          <cell r="A17">
            <v>44137</v>
          </cell>
        </row>
        <row r="18">
          <cell r="A18">
            <v>44151</v>
          </cell>
        </row>
        <row r="19">
          <cell r="A19">
            <v>44173</v>
          </cell>
        </row>
        <row r="20">
          <cell r="A20">
            <v>44190</v>
          </cell>
        </row>
        <row r="21">
          <cell r="A21">
            <v>44197</v>
          </cell>
        </row>
        <row r="22">
          <cell r="A22">
            <v>44207</v>
          </cell>
        </row>
        <row r="23">
          <cell r="A23">
            <v>44277</v>
          </cell>
        </row>
        <row r="24">
          <cell r="A24">
            <v>44287</v>
          </cell>
        </row>
        <row r="25">
          <cell r="A25">
            <v>44288</v>
          </cell>
        </row>
        <row r="26">
          <cell r="A26">
            <v>44333</v>
          </cell>
        </row>
        <row r="27">
          <cell r="A27">
            <v>44354</v>
          </cell>
        </row>
        <row r="28">
          <cell r="A28">
            <v>44361</v>
          </cell>
        </row>
        <row r="29">
          <cell r="A29">
            <v>44382</v>
          </cell>
        </row>
        <row r="30">
          <cell r="A30">
            <v>44397</v>
          </cell>
        </row>
        <row r="31">
          <cell r="A31">
            <v>44424</v>
          </cell>
        </row>
        <row r="32">
          <cell r="A32">
            <v>44487</v>
          </cell>
        </row>
        <row r="33">
          <cell r="A33">
            <v>44501</v>
          </cell>
        </row>
        <row r="34">
          <cell r="A34">
            <v>44515</v>
          </cell>
        </row>
        <row r="35">
          <cell r="A35">
            <v>44538</v>
          </cell>
        </row>
        <row r="36">
          <cell r="A36">
            <v>44571</v>
          </cell>
        </row>
        <row r="37">
          <cell r="A37">
            <v>44641</v>
          </cell>
        </row>
        <row r="38">
          <cell r="A38">
            <v>44665</v>
          </cell>
        </row>
        <row r="39">
          <cell r="A39">
            <v>44666</v>
          </cell>
        </row>
        <row r="40">
          <cell r="A40">
            <v>44711</v>
          </cell>
        </row>
        <row r="41">
          <cell r="A41">
            <v>44732</v>
          </cell>
        </row>
        <row r="42">
          <cell r="A42">
            <v>44739</v>
          </cell>
        </row>
        <row r="43">
          <cell r="A43">
            <v>44655</v>
          </cell>
        </row>
        <row r="44">
          <cell r="A44">
            <v>44762</v>
          </cell>
        </row>
        <row r="45">
          <cell r="A45">
            <v>44788</v>
          </cell>
        </row>
        <row r="46">
          <cell r="A46">
            <v>44851</v>
          </cell>
        </row>
        <row r="47">
          <cell r="A47">
            <v>44872</v>
          </cell>
        </row>
        <row r="48">
          <cell r="A48">
            <v>44879</v>
          </cell>
        </row>
        <row r="49">
          <cell r="A49">
            <v>44903</v>
          </cell>
        </row>
        <row r="50">
          <cell r="A50">
            <v>44935</v>
          </cell>
        </row>
        <row r="51">
          <cell r="A51">
            <v>45005</v>
          </cell>
        </row>
        <row r="52">
          <cell r="A52">
            <v>45022</v>
          </cell>
        </row>
        <row r="53">
          <cell r="A53">
            <v>45023</v>
          </cell>
        </row>
        <row r="54">
          <cell r="A54">
            <v>45047</v>
          </cell>
        </row>
        <row r="55">
          <cell r="A55">
            <v>45068</v>
          </cell>
        </row>
        <row r="56">
          <cell r="A56">
            <v>45089</v>
          </cell>
        </row>
        <row r="57">
          <cell r="A57">
            <v>45096</v>
          </cell>
        </row>
        <row r="58">
          <cell r="A58">
            <v>45110</v>
          </cell>
        </row>
        <row r="59">
          <cell r="A59">
            <v>45145</v>
          </cell>
        </row>
        <row r="60">
          <cell r="A60">
            <v>45159</v>
          </cell>
        </row>
        <row r="61">
          <cell r="A61">
            <v>45215</v>
          </cell>
        </row>
        <row r="62">
          <cell r="A62">
            <v>45236</v>
          </cell>
        </row>
        <row r="63">
          <cell r="A63">
            <v>45243</v>
          </cell>
        </row>
        <row r="64">
          <cell r="A64">
            <v>45268</v>
          </cell>
        </row>
        <row r="65">
          <cell r="A65">
            <v>45285</v>
          </cell>
        </row>
        <row r="66">
          <cell r="A66">
            <v>45292</v>
          </cell>
        </row>
        <row r="67">
          <cell r="A67">
            <v>45299</v>
          </cell>
        </row>
        <row r="68">
          <cell r="A68">
            <v>45376</v>
          </cell>
        </row>
        <row r="69">
          <cell r="A69">
            <v>45379</v>
          </cell>
        </row>
        <row r="70">
          <cell r="A70">
            <v>45380</v>
          </cell>
        </row>
        <row r="71">
          <cell r="A71">
            <v>45413</v>
          </cell>
        </row>
        <row r="72">
          <cell r="A72">
            <v>45425</v>
          </cell>
        </row>
        <row r="73">
          <cell r="A73">
            <v>45446</v>
          </cell>
        </row>
        <row r="74">
          <cell r="A74">
            <v>45453</v>
          </cell>
        </row>
        <row r="75">
          <cell r="A75">
            <v>45474</v>
          </cell>
        </row>
        <row r="76">
          <cell r="A76">
            <v>45511</v>
          </cell>
        </row>
        <row r="77">
          <cell r="A77">
            <v>45523</v>
          </cell>
        </row>
        <row r="78">
          <cell r="A78">
            <v>45579</v>
          </cell>
        </row>
        <row r="79">
          <cell r="A79">
            <v>45600</v>
          </cell>
        </row>
        <row r="80">
          <cell r="A80">
            <v>45607</v>
          </cell>
        </row>
        <row r="81">
          <cell r="A81">
            <v>45651</v>
          </cell>
        </row>
        <row r="82">
          <cell r="A82">
            <v>45658</v>
          </cell>
        </row>
        <row r="83">
          <cell r="A83">
            <v>45663</v>
          </cell>
        </row>
        <row r="84">
          <cell r="A84">
            <v>45740</v>
          </cell>
        </row>
        <row r="85">
          <cell r="A85">
            <v>45764</v>
          </cell>
        </row>
        <row r="86">
          <cell r="A86">
            <v>45765</v>
          </cell>
        </row>
        <row r="87">
          <cell r="A87">
            <v>45778</v>
          </cell>
        </row>
        <row r="88">
          <cell r="A88">
            <v>45810</v>
          </cell>
        </row>
        <row r="89">
          <cell r="A89">
            <v>45831</v>
          </cell>
        </row>
        <row r="90">
          <cell r="A90">
            <v>45838</v>
          </cell>
        </row>
        <row r="91">
          <cell r="A91">
            <v>45876</v>
          </cell>
        </row>
        <row r="92">
          <cell r="A92">
            <v>45887</v>
          </cell>
        </row>
        <row r="93">
          <cell r="A93">
            <v>45943</v>
          </cell>
        </row>
        <row r="94">
          <cell r="A94">
            <v>45964</v>
          </cell>
        </row>
        <row r="95">
          <cell r="A95">
            <v>45978</v>
          </cell>
        </row>
        <row r="96">
          <cell r="A96">
            <v>45999</v>
          </cell>
        </row>
        <row r="97">
          <cell r="A97">
            <v>46016</v>
          </cell>
        </row>
      </sheetData>
      <sheetData sheetId="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stivos"/>
      <sheetName val="Cronograma"/>
      <sheetName val="Info_avance_detallado"/>
      <sheetName val="Seg_Grafico"/>
      <sheetName val="Guía"/>
    </sheetNames>
    <sheetDataSet>
      <sheetData sheetId="0">
        <row r="3">
          <cell r="A3">
            <v>43831</v>
          </cell>
        </row>
        <row r="4">
          <cell r="A4">
            <v>43836</v>
          </cell>
        </row>
        <row r="5">
          <cell r="A5">
            <v>43913</v>
          </cell>
        </row>
        <row r="6">
          <cell r="A6">
            <v>43930</v>
          </cell>
        </row>
        <row r="7">
          <cell r="A7">
            <v>43931</v>
          </cell>
        </row>
        <row r="8">
          <cell r="A8">
            <v>43952</v>
          </cell>
        </row>
        <row r="9">
          <cell r="A9">
            <v>43976</v>
          </cell>
        </row>
        <row r="10">
          <cell r="A10">
            <v>43997</v>
          </cell>
        </row>
        <row r="11">
          <cell r="A11">
            <v>44004</v>
          </cell>
        </row>
        <row r="12">
          <cell r="A12">
            <v>44011</v>
          </cell>
        </row>
        <row r="13">
          <cell r="A13">
            <v>44032</v>
          </cell>
        </row>
        <row r="14">
          <cell r="A14">
            <v>44050</v>
          </cell>
        </row>
        <row r="15">
          <cell r="A15">
            <v>44060</v>
          </cell>
        </row>
        <row r="16">
          <cell r="A16">
            <v>44116</v>
          </cell>
        </row>
        <row r="17">
          <cell r="A17">
            <v>44137</v>
          </cell>
        </row>
        <row r="18">
          <cell r="A18">
            <v>44151</v>
          </cell>
        </row>
        <row r="19">
          <cell r="A19">
            <v>44173</v>
          </cell>
        </row>
        <row r="20">
          <cell r="A20">
            <v>44190</v>
          </cell>
        </row>
        <row r="21">
          <cell r="A21">
            <v>44197</v>
          </cell>
        </row>
        <row r="22">
          <cell r="A22">
            <v>44207</v>
          </cell>
        </row>
        <row r="23">
          <cell r="A23">
            <v>44277</v>
          </cell>
        </row>
        <row r="24">
          <cell r="A24">
            <v>44287</v>
          </cell>
        </row>
        <row r="25">
          <cell r="A25">
            <v>44288</v>
          </cell>
        </row>
        <row r="26">
          <cell r="A26">
            <v>44333</v>
          </cell>
        </row>
        <row r="27">
          <cell r="A27">
            <v>44354</v>
          </cell>
        </row>
        <row r="28">
          <cell r="A28">
            <v>44361</v>
          </cell>
        </row>
        <row r="29">
          <cell r="A29">
            <v>44382</v>
          </cell>
        </row>
        <row r="30">
          <cell r="A30">
            <v>44397</v>
          </cell>
        </row>
        <row r="31">
          <cell r="A31">
            <v>44424</v>
          </cell>
        </row>
        <row r="32">
          <cell r="A32">
            <v>44487</v>
          </cell>
        </row>
        <row r="33">
          <cell r="A33">
            <v>44501</v>
          </cell>
        </row>
        <row r="34">
          <cell r="A34">
            <v>44515</v>
          </cell>
        </row>
        <row r="35">
          <cell r="A35">
            <v>44538</v>
          </cell>
        </row>
        <row r="36">
          <cell r="A36">
            <v>44571</v>
          </cell>
        </row>
        <row r="37">
          <cell r="A37">
            <v>44641</v>
          </cell>
        </row>
        <row r="38">
          <cell r="A38">
            <v>44665</v>
          </cell>
        </row>
        <row r="39">
          <cell r="A39">
            <v>44666</v>
          </cell>
        </row>
        <row r="40">
          <cell r="A40">
            <v>44711</v>
          </cell>
        </row>
        <row r="41">
          <cell r="A41">
            <v>44732</v>
          </cell>
        </row>
        <row r="42">
          <cell r="A42">
            <v>44739</v>
          </cell>
        </row>
        <row r="43">
          <cell r="A43">
            <v>44655</v>
          </cell>
        </row>
        <row r="44">
          <cell r="A44">
            <v>44762</v>
          </cell>
        </row>
        <row r="45">
          <cell r="A45">
            <v>44788</v>
          </cell>
        </row>
        <row r="46">
          <cell r="A46">
            <v>44851</v>
          </cell>
        </row>
        <row r="47">
          <cell r="A47">
            <v>44872</v>
          </cell>
        </row>
        <row r="48">
          <cell r="A48">
            <v>44879</v>
          </cell>
        </row>
        <row r="49">
          <cell r="A49">
            <v>44903</v>
          </cell>
        </row>
        <row r="50">
          <cell r="A50">
            <v>44935</v>
          </cell>
        </row>
        <row r="51">
          <cell r="A51">
            <v>45005</v>
          </cell>
        </row>
        <row r="52">
          <cell r="A52">
            <v>45022</v>
          </cell>
        </row>
        <row r="53">
          <cell r="A53">
            <v>45023</v>
          </cell>
        </row>
        <row r="54">
          <cell r="A54">
            <v>45047</v>
          </cell>
        </row>
        <row r="55">
          <cell r="A55">
            <v>45068</v>
          </cell>
        </row>
        <row r="56">
          <cell r="A56">
            <v>45089</v>
          </cell>
        </row>
        <row r="57">
          <cell r="A57">
            <v>45096</v>
          </cell>
        </row>
        <row r="58">
          <cell r="A58">
            <v>45110</v>
          </cell>
        </row>
        <row r="59">
          <cell r="A59">
            <v>45145</v>
          </cell>
        </row>
        <row r="60">
          <cell r="A60">
            <v>45159</v>
          </cell>
        </row>
        <row r="61">
          <cell r="A61">
            <v>45215</v>
          </cell>
        </row>
        <row r="62">
          <cell r="A62">
            <v>45236</v>
          </cell>
        </row>
        <row r="63">
          <cell r="A63">
            <v>45243</v>
          </cell>
        </row>
        <row r="64">
          <cell r="A64">
            <v>45268</v>
          </cell>
        </row>
        <row r="65">
          <cell r="A65">
            <v>45285</v>
          </cell>
        </row>
        <row r="66">
          <cell r="A66">
            <v>45292</v>
          </cell>
        </row>
        <row r="67">
          <cell r="A67">
            <v>45299</v>
          </cell>
        </row>
        <row r="68">
          <cell r="A68">
            <v>45376</v>
          </cell>
        </row>
        <row r="69">
          <cell r="A69">
            <v>45379</v>
          </cell>
        </row>
        <row r="70">
          <cell r="A70">
            <v>45380</v>
          </cell>
        </row>
        <row r="71">
          <cell r="A71">
            <v>45413</v>
          </cell>
        </row>
        <row r="72">
          <cell r="A72">
            <v>45425</v>
          </cell>
        </row>
        <row r="73">
          <cell r="A73">
            <v>45446</v>
          </cell>
        </row>
        <row r="74">
          <cell r="A74">
            <v>45453</v>
          </cell>
        </row>
        <row r="75">
          <cell r="A75">
            <v>45474</v>
          </cell>
        </row>
        <row r="76">
          <cell r="A76">
            <v>45511</v>
          </cell>
        </row>
        <row r="77">
          <cell r="A77">
            <v>45523</v>
          </cell>
        </row>
        <row r="78">
          <cell r="A78">
            <v>45579</v>
          </cell>
        </row>
        <row r="79">
          <cell r="A79">
            <v>45600</v>
          </cell>
        </row>
        <row r="80">
          <cell r="A80">
            <v>45607</v>
          </cell>
        </row>
        <row r="81">
          <cell r="A81">
            <v>45651</v>
          </cell>
        </row>
        <row r="82">
          <cell r="A82">
            <v>45658</v>
          </cell>
        </row>
        <row r="83">
          <cell r="A83">
            <v>45663</v>
          </cell>
        </row>
        <row r="84">
          <cell r="A84">
            <v>45740</v>
          </cell>
        </row>
        <row r="85">
          <cell r="A85">
            <v>45764</v>
          </cell>
        </row>
        <row r="86">
          <cell r="A86">
            <v>45765</v>
          </cell>
        </row>
        <row r="87">
          <cell r="A87">
            <v>45778</v>
          </cell>
        </row>
        <row r="88">
          <cell r="A88">
            <v>45810</v>
          </cell>
        </row>
        <row r="89">
          <cell r="A89">
            <v>45831</v>
          </cell>
        </row>
        <row r="90">
          <cell r="A90">
            <v>45838</v>
          </cell>
        </row>
        <row r="91">
          <cell r="A91">
            <v>45876</v>
          </cell>
        </row>
        <row r="92">
          <cell r="A92">
            <v>45887</v>
          </cell>
        </row>
        <row r="93">
          <cell r="A93">
            <v>45943</v>
          </cell>
        </row>
        <row r="94">
          <cell r="A94">
            <v>45964</v>
          </cell>
        </row>
        <row r="95">
          <cell r="A95">
            <v>45978</v>
          </cell>
        </row>
        <row r="96">
          <cell r="A96">
            <v>45999</v>
          </cell>
        </row>
        <row r="97">
          <cell r="A97">
            <v>46016</v>
          </cell>
        </row>
      </sheetData>
      <sheetData sheetId="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iones para hoja de cálculo"/>
      <sheetName val="costos"/>
    </sheetNames>
    <sheetDataSet>
      <sheetData sheetId="0" refreshError="1">
        <row r="11">
          <cell r="H11">
            <v>16000</v>
          </cell>
        </row>
        <row r="12">
          <cell r="H12">
            <v>25000</v>
          </cell>
        </row>
        <row r="13">
          <cell r="H13">
            <v>28500</v>
          </cell>
        </row>
        <row r="14">
          <cell r="H14">
            <v>30000</v>
          </cell>
        </row>
        <row r="15">
          <cell r="H15">
            <v>50000</v>
          </cell>
        </row>
        <row r="16">
          <cell r="H16">
            <v>50000</v>
          </cell>
        </row>
        <row r="33">
          <cell r="C33" t="str">
            <v>Estaba fuera de la primera base.</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NU"/>
      <sheetName val="Conf-Servicios"/>
      <sheetName val="CyE(D)"/>
      <sheetName val="CyE($)"/>
      <sheetName val="RESUMEN (CyE)"/>
      <sheetName val="RESUMEN ($)"/>
    </sheetNames>
    <sheetDataSet>
      <sheetData sheetId="0" refreshError="1"/>
      <sheetData sheetId="1" refreshError="1">
        <row r="3">
          <cell r="W3" t="str">
            <v>C</v>
          </cell>
        </row>
        <row r="4">
          <cell r="W4" t="str">
            <v>C</v>
          </cell>
        </row>
        <row r="5">
          <cell r="W5" t="str">
            <v>C</v>
          </cell>
        </row>
        <row r="6">
          <cell r="W6" t="str">
            <v>C</v>
          </cell>
        </row>
        <row r="7">
          <cell r="W7" t="str">
            <v>C</v>
          </cell>
        </row>
        <row r="8">
          <cell r="W8" t="str">
            <v>C</v>
          </cell>
        </row>
        <row r="9">
          <cell r="W9" t="str">
            <v>C</v>
          </cell>
        </row>
        <row r="10">
          <cell r="W10" t="str">
            <v>C</v>
          </cell>
        </row>
        <row r="11">
          <cell r="W11" t="str">
            <v>C</v>
          </cell>
        </row>
        <row r="12">
          <cell r="W12" t="str">
            <v>C</v>
          </cell>
        </row>
        <row r="13">
          <cell r="W13" t="str">
            <v>C</v>
          </cell>
        </row>
        <row r="14">
          <cell r="W14" t="str">
            <v>C</v>
          </cell>
        </row>
        <row r="15">
          <cell r="W15" t="str">
            <v>C</v>
          </cell>
        </row>
        <row r="16">
          <cell r="W16" t="str">
            <v>C</v>
          </cell>
        </row>
        <row r="17">
          <cell r="W17" t="str">
            <v>C</v>
          </cell>
        </row>
        <row r="18">
          <cell r="W18" t="str">
            <v>C</v>
          </cell>
        </row>
        <row r="19">
          <cell r="W19" t="str">
            <v/>
          </cell>
        </row>
        <row r="20">
          <cell r="W20" t="str">
            <v/>
          </cell>
        </row>
        <row r="21">
          <cell r="W21" t="str">
            <v/>
          </cell>
        </row>
        <row r="22">
          <cell r="W22" t="str">
            <v/>
          </cell>
        </row>
        <row r="23">
          <cell r="W23" t="str">
            <v/>
          </cell>
        </row>
        <row r="24">
          <cell r="W24" t="str">
            <v/>
          </cell>
        </row>
        <row r="25">
          <cell r="W25" t="str">
            <v/>
          </cell>
        </row>
        <row r="26">
          <cell r="W26" t="str">
            <v/>
          </cell>
        </row>
        <row r="27">
          <cell r="W27" t="str">
            <v/>
          </cell>
        </row>
        <row r="28">
          <cell r="W28" t="str">
            <v/>
          </cell>
        </row>
        <row r="29">
          <cell r="W29" t="str">
            <v/>
          </cell>
        </row>
        <row r="30">
          <cell r="W30" t="str">
            <v/>
          </cell>
        </row>
        <row r="31">
          <cell r="W31" t="str">
            <v/>
          </cell>
        </row>
        <row r="32">
          <cell r="W32" t="str">
            <v/>
          </cell>
        </row>
        <row r="33">
          <cell r="W33" t="str">
            <v/>
          </cell>
        </row>
        <row r="34">
          <cell r="W34" t="str">
            <v/>
          </cell>
        </row>
        <row r="35">
          <cell r="W35" t="str">
            <v/>
          </cell>
        </row>
        <row r="36">
          <cell r="W36" t="str">
            <v/>
          </cell>
        </row>
        <row r="37">
          <cell r="W37" t="str">
            <v/>
          </cell>
        </row>
        <row r="38">
          <cell r="W38" t="str">
            <v/>
          </cell>
        </row>
        <row r="39">
          <cell r="W39" t="str">
            <v/>
          </cell>
        </row>
        <row r="40">
          <cell r="W40" t="str">
            <v/>
          </cell>
        </row>
        <row r="41">
          <cell r="W41" t="str">
            <v/>
          </cell>
        </row>
        <row r="42">
          <cell r="W42" t="str">
            <v/>
          </cell>
        </row>
        <row r="43">
          <cell r="W43" t="str">
            <v/>
          </cell>
        </row>
        <row r="44">
          <cell r="W44" t="str">
            <v/>
          </cell>
        </row>
        <row r="45">
          <cell r="W45" t="str">
            <v/>
          </cell>
        </row>
        <row r="46">
          <cell r="W46" t="str">
            <v/>
          </cell>
        </row>
        <row r="47">
          <cell r="W47" t="str">
            <v/>
          </cell>
        </row>
        <row r="48">
          <cell r="W48" t="str">
            <v/>
          </cell>
        </row>
        <row r="49">
          <cell r="W49" t="str">
            <v/>
          </cell>
        </row>
        <row r="50">
          <cell r="W50" t="str">
            <v/>
          </cell>
        </row>
        <row r="51">
          <cell r="W51" t="str">
            <v/>
          </cell>
        </row>
        <row r="52">
          <cell r="W52" t="str">
            <v/>
          </cell>
        </row>
        <row r="53">
          <cell r="W53" t="str">
            <v/>
          </cell>
        </row>
        <row r="54">
          <cell r="W54" t="str">
            <v/>
          </cell>
        </row>
        <row r="55">
          <cell r="W55" t="str">
            <v/>
          </cell>
        </row>
        <row r="56">
          <cell r="W56" t="str">
            <v/>
          </cell>
        </row>
        <row r="57">
          <cell r="W57" t="str">
            <v/>
          </cell>
        </row>
        <row r="58">
          <cell r="W58" t="str">
            <v/>
          </cell>
        </row>
        <row r="59">
          <cell r="W59" t="str">
            <v/>
          </cell>
        </row>
        <row r="60">
          <cell r="W60" t="str">
            <v/>
          </cell>
        </row>
        <row r="61">
          <cell r="W61" t="str">
            <v/>
          </cell>
        </row>
        <row r="62">
          <cell r="W62" t="str">
            <v/>
          </cell>
        </row>
        <row r="63">
          <cell r="W63" t="str">
            <v/>
          </cell>
        </row>
        <row r="64">
          <cell r="W64" t="str">
            <v/>
          </cell>
        </row>
        <row r="65">
          <cell r="W65" t="str">
            <v/>
          </cell>
        </row>
        <row r="66">
          <cell r="W66" t="str">
            <v/>
          </cell>
        </row>
        <row r="67">
          <cell r="W67" t="str">
            <v/>
          </cell>
        </row>
        <row r="68">
          <cell r="W68" t="str">
            <v/>
          </cell>
        </row>
        <row r="69">
          <cell r="W69" t="str">
            <v/>
          </cell>
        </row>
        <row r="70">
          <cell r="W70" t="str">
            <v/>
          </cell>
        </row>
        <row r="71">
          <cell r="W71" t="str">
            <v/>
          </cell>
        </row>
        <row r="72">
          <cell r="W72" t="str">
            <v/>
          </cell>
        </row>
        <row r="73">
          <cell r="W73" t="str">
            <v/>
          </cell>
        </row>
        <row r="74">
          <cell r="W74" t="str">
            <v/>
          </cell>
        </row>
        <row r="75">
          <cell r="W75" t="str">
            <v/>
          </cell>
        </row>
        <row r="76">
          <cell r="W76" t="str">
            <v/>
          </cell>
        </row>
        <row r="77">
          <cell r="W77" t="str">
            <v/>
          </cell>
        </row>
        <row r="78">
          <cell r="W78" t="str">
            <v/>
          </cell>
        </row>
        <row r="79">
          <cell r="W79" t="str">
            <v/>
          </cell>
        </row>
        <row r="80">
          <cell r="W80" t="str">
            <v/>
          </cell>
        </row>
        <row r="81">
          <cell r="W81" t="str">
            <v/>
          </cell>
        </row>
        <row r="82">
          <cell r="W82" t="str">
            <v/>
          </cell>
        </row>
        <row r="83">
          <cell r="W83" t="str">
            <v/>
          </cell>
        </row>
        <row r="84">
          <cell r="W84" t="str">
            <v/>
          </cell>
        </row>
        <row r="85">
          <cell r="W85" t="str">
            <v/>
          </cell>
        </row>
        <row r="86">
          <cell r="W86" t="str">
            <v/>
          </cell>
        </row>
        <row r="87">
          <cell r="W87" t="str">
            <v/>
          </cell>
        </row>
        <row r="88">
          <cell r="W88" t="str">
            <v/>
          </cell>
        </row>
        <row r="89">
          <cell r="W89" t="str">
            <v/>
          </cell>
        </row>
        <row r="90">
          <cell r="W90" t="str">
            <v/>
          </cell>
        </row>
        <row r="91">
          <cell r="W91" t="str">
            <v/>
          </cell>
        </row>
        <row r="92">
          <cell r="W92" t="str">
            <v/>
          </cell>
        </row>
        <row r="93">
          <cell r="W93" t="str">
            <v/>
          </cell>
        </row>
        <row r="94">
          <cell r="W94" t="str">
            <v/>
          </cell>
        </row>
        <row r="95">
          <cell r="W95" t="str">
            <v/>
          </cell>
        </row>
        <row r="96">
          <cell r="W96" t="str">
            <v/>
          </cell>
        </row>
        <row r="97">
          <cell r="W97" t="str">
            <v/>
          </cell>
        </row>
        <row r="98">
          <cell r="W98" t="str">
            <v/>
          </cell>
        </row>
        <row r="99">
          <cell r="W99" t="str">
            <v/>
          </cell>
        </row>
        <row r="100">
          <cell r="W100" t="str">
            <v/>
          </cell>
        </row>
        <row r="101">
          <cell r="W101" t="str">
            <v/>
          </cell>
        </row>
        <row r="102">
          <cell r="W102" t="str">
            <v/>
          </cell>
        </row>
        <row r="103">
          <cell r="W103" t="str">
            <v/>
          </cell>
        </row>
        <row r="104">
          <cell r="W104" t="str">
            <v/>
          </cell>
        </row>
        <row r="105">
          <cell r="W105" t="str">
            <v/>
          </cell>
        </row>
        <row r="106">
          <cell r="W106" t="str">
            <v/>
          </cell>
        </row>
        <row r="107">
          <cell r="W107" t="str">
            <v/>
          </cell>
        </row>
        <row r="108">
          <cell r="W108" t="str">
            <v/>
          </cell>
        </row>
        <row r="109">
          <cell r="W109" t="str">
            <v/>
          </cell>
        </row>
        <row r="110">
          <cell r="W110" t="str">
            <v/>
          </cell>
        </row>
        <row r="111">
          <cell r="W111" t="str">
            <v/>
          </cell>
        </row>
        <row r="112">
          <cell r="W112" t="str">
            <v/>
          </cell>
        </row>
        <row r="113">
          <cell r="W113" t="str">
            <v/>
          </cell>
        </row>
        <row r="114">
          <cell r="W114" t="str">
            <v/>
          </cell>
        </row>
        <row r="115">
          <cell r="W115" t="str">
            <v/>
          </cell>
        </row>
        <row r="116">
          <cell r="W116" t="str">
            <v/>
          </cell>
        </row>
        <row r="117">
          <cell r="W117" t="str">
            <v/>
          </cell>
        </row>
        <row r="118">
          <cell r="W118" t="str">
            <v/>
          </cell>
        </row>
        <row r="119">
          <cell r="W119" t="str">
            <v/>
          </cell>
        </row>
        <row r="120">
          <cell r="W120" t="str">
            <v/>
          </cell>
        </row>
        <row r="121">
          <cell r="W121" t="str">
            <v/>
          </cell>
        </row>
        <row r="122">
          <cell r="W122" t="str">
            <v/>
          </cell>
        </row>
        <row r="123">
          <cell r="W123" t="str">
            <v/>
          </cell>
        </row>
        <row r="124">
          <cell r="W124" t="str">
            <v/>
          </cell>
        </row>
        <row r="125">
          <cell r="W125" t="str">
            <v/>
          </cell>
        </row>
        <row r="126">
          <cell r="W126" t="str">
            <v/>
          </cell>
        </row>
        <row r="127">
          <cell r="W127" t="str">
            <v/>
          </cell>
        </row>
        <row r="128">
          <cell r="W128" t="str">
            <v/>
          </cell>
        </row>
        <row r="129">
          <cell r="W129" t="str">
            <v/>
          </cell>
        </row>
        <row r="130">
          <cell r="W130" t="str">
            <v/>
          </cell>
        </row>
        <row r="131">
          <cell r="W131" t="str">
            <v/>
          </cell>
        </row>
        <row r="132">
          <cell r="W132" t="str">
            <v/>
          </cell>
        </row>
        <row r="133">
          <cell r="W133" t="str">
            <v/>
          </cell>
        </row>
        <row r="134">
          <cell r="W134" t="str">
            <v/>
          </cell>
        </row>
        <row r="135">
          <cell r="W135" t="str">
            <v/>
          </cell>
        </row>
        <row r="136">
          <cell r="W136" t="str">
            <v/>
          </cell>
        </row>
        <row r="137">
          <cell r="W137" t="str">
            <v/>
          </cell>
        </row>
        <row r="138">
          <cell r="W138" t="str">
            <v/>
          </cell>
        </row>
        <row r="139">
          <cell r="W139" t="str">
            <v/>
          </cell>
        </row>
        <row r="140">
          <cell r="W140" t="str">
            <v/>
          </cell>
        </row>
        <row r="141">
          <cell r="W141" t="str">
            <v/>
          </cell>
        </row>
        <row r="142">
          <cell r="W142" t="str">
            <v/>
          </cell>
        </row>
        <row r="143">
          <cell r="W143" t="str">
            <v/>
          </cell>
        </row>
        <row r="144">
          <cell r="W144" t="str">
            <v/>
          </cell>
        </row>
        <row r="145">
          <cell r="W145" t="str">
            <v/>
          </cell>
        </row>
        <row r="146">
          <cell r="W146" t="str">
            <v/>
          </cell>
        </row>
        <row r="147">
          <cell r="W147" t="str">
            <v/>
          </cell>
        </row>
        <row r="148">
          <cell r="W148" t="str">
            <v/>
          </cell>
        </row>
        <row r="149">
          <cell r="W149" t="str">
            <v/>
          </cell>
        </row>
        <row r="150">
          <cell r="W150" t="str">
            <v/>
          </cell>
        </row>
        <row r="151">
          <cell r="W151" t="str">
            <v/>
          </cell>
        </row>
        <row r="152">
          <cell r="W152" t="str">
            <v/>
          </cell>
        </row>
        <row r="153">
          <cell r="W153" t="str">
            <v/>
          </cell>
        </row>
        <row r="154">
          <cell r="W154" t="str">
            <v/>
          </cell>
        </row>
        <row r="155">
          <cell r="W155" t="str">
            <v/>
          </cell>
        </row>
        <row r="156">
          <cell r="W156" t="str">
            <v/>
          </cell>
        </row>
        <row r="157">
          <cell r="W157" t="str">
            <v/>
          </cell>
        </row>
        <row r="158">
          <cell r="W158" t="str">
            <v/>
          </cell>
        </row>
        <row r="159">
          <cell r="W159" t="str">
            <v/>
          </cell>
        </row>
        <row r="160">
          <cell r="W160" t="str">
            <v/>
          </cell>
        </row>
        <row r="161">
          <cell r="W161" t="str">
            <v/>
          </cell>
        </row>
        <row r="162">
          <cell r="W162" t="str">
            <v/>
          </cell>
        </row>
        <row r="163">
          <cell r="W163" t="str">
            <v/>
          </cell>
        </row>
        <row r="164">
          <cell r="W164" t="str">
            <v/>
          </cell>
        </row>
        <row r="165">
          <cell r="W165" t="str">
            <v/>
          </cell>
        </row>
        <row r="166">
          <cell r="W166" t="str">
            <v/>
          </cell>
        </row>
        <row r="167">
          <cell r="W167" t="str">
            <v/>
          </cell>
        </row>
        <row r="168">
          <cell r="W168" t="str">
            <v/>
          </cell>
        </row>
        <row r="169">
          <cell r="W169" t="str">
            <v/>
          </cell>
        </row>
        <row r="170">
          <cell r="W170" t="str">
            <v/>
          </cell>
        </row>
        <row r="171">
          <cell r="W171" t="str">
            <v/>
          </cell>
        </row>
        <row r="172">
          <cell r="W172" t="str">
            <v/>
          </cell>
        </row>
        <row r="173">
          <cell r="W173" t="str">
            <v/>
          </cell>
        </row>
        <row r="174">
          <cell r="W174" t="str">
            <v/>
          </cell>
        </row>
        <row r="175">
          <cell r="W175" t="str">
            <v/>
          </cell>
        </row>
        <row r="176">
          <cell r="W176" t="str">
            <v/>
          </cell>
        </row>
        <row r="177">
          <cell r="W177" t="str">
            <v/>
          </cell>
        </row>
        <row r="178">
          <cell r="W178" t="str">
            <v/>
          </cell>
        </row>
        <row r="179">
          <cell r="W179" t="str">
            <v/>
          </cell>
        </row>
        <row r="180">
          <cell r="W180" t="str">
            <v/>
          </cell>
        </row>
        <row r="181">
          <cell r="W181" t="str">
            <v/>
          </cell>
        </row>
        <row r="182">
          <cell r="W182" t="str">
            <v/>
          </cell>
        </row>
        <row r="183">
          <cell r="W183" t="str">
            <v/>
          </cell>
        </row>
        <row r="184">
          <cell r="W184" t="str">
            <v/>
          </cell>
        </row>
        <row r="185">
          <cell r="W185" t="str">
            <v/>
          </cell>
        </row>
        <row r="186">
          <cell r="W186" t="str">
            <v/>
          </cell>
        </row>
        <row r="187">
          <cell r="W187" t="str">
            <v/>
          </cell>
        </row>
        <row r="188">
          <cell r="W188" t="str">
            <v/>
          </cell>
        </row>
        <row r="189">
          <cell r="W189" t="str">
            <v/>
          </cell>
        </row>
        <row r="190">
          <cell r="W190" t="str">
            <v/>
          </cell>
        </row>
        <row r="191">
          <cell r="W191" t="str">
            <v/>
          </cell>
        </row>
        <row r="192">
          <cell r="W192" t="str">
            <v/>
          </cell>
        </row>
        <row r="193">
          <cell r="W193" t="str">
            <v/>
          </cell>
        </row>
        <row r="194">
          <cell r="W194" t="str">
            <v/>
          </cell>
        </row>
        <row r="195">
          <cell r="W195" t="str">
            <v/>
          </cell>
        </row>
        <row r="196">
          <cell r="W196" t="str">
            <v/>
          </cell>
        </row>
        <row r="197">
          <cell r="W197" t="str">
            <v/>
          </cell>
        </row>
        <row r="198">
          <cell r="W198" t="str">
            <v/>
          </cell>
        </row>
        <row r="199">
          <cell r="W199" t="str">
            <v/>
          </cell>
        </row>
        <row r="200">
          <cell r="W200" t="str">
            <v/>
          </cell>
        </row>
        <row r="201">
          <cell r="W201" t="str">
            <v/>
          </cell>
        </row>
        <row r="202">
          <cell r="W202" t="str">
            <v/>
          </cell>
        </row>
        <row r="203">
          <cell r="W203" t="str">
            <v/>
          </cell>
        </row>
        <row r="204">
          <cell r="W204" t="str">
            <v/>
          </cell>
        </row>
        <row r="205">
          <cell r="W205" t="str">
            <v/>
          </cell>
        </row>
        <row r="206">
          <cell r="W206" t="str">
            <v/>
          </cell>
        </row>
        <row r="207">
          <cell r="W207" t="str">
            <v/>
          </cell>
        </row>
        <row r="208">
          <cell r="W208" t="str">
            <v/>
          </cell>
        </row>
        <row r="209">
          <cell r="W209" t="str">
            <v/>
          </cell>
        </row>
        <row r="210">
          <cell r="W210" t="str">
            <v/>
          </cell>
        </row>
        <row r="211">
          <cell r="W211" t="str">
            <v/>
          </cell>
        </row>
        <row r="212">
          <cell r="W212" t="str">
            <v/>
          </cell>
        </row>
        <row r="213">
          <cell r="W213" t="str">
            <v/>
          </cell>
        </row>
        <row r="214">
          <cell r="W214" t="str">
            <v/>
          </cell>
        </row>
        <row r="215">
          <cell r="W215" t="str">
            <v/>
          </cell>
        </row>
        <row r="216">
          <cell r="W216" t="str">
            <v/>
          </cell>
        </row>
        <row r="217">
          <cell r="W217" t="str">
            <v/>
          </cell>
        </row>
        <row r="218">
          <cell r="W218" t="str">
            <v/>
          </cell>
        </row>
        <row r="219">
          <cell r="W219" t="str">
            <v/>
          </cell>
        </row>
        <row r="220">
          <cell r="W220" t="str">
            <v/>
          </cell>
        </row>
        <row r="221">
          <cell r="W221" t="str">
            <v/>
          </cell>
        </row>
        <row r="222">
          <cell r="W222" t="str">
            <v/>
          </cell>
        </row>
        <row r="223">
          <cell r="W223" t="str">
            <v/>
          </cell>
        </row>
        <row r="224">
          <cell r="W224" t="str">
            <v/>
          </cell>
        </row>
        <row r="225">
          <cell r="W225" t="str">
            <v/>
          </cell>
        </row>
        <row r="226">
          <cell r="W226" t="str">
            <v/>
          </cell>
        </row>
        <row r="227">
          <cell r="W227" t="str">
            <v/>
          </cell>
        </row>
        <row r="228">
          <cell r="W228" t="str">
            <v/>
          </cell>
        </row>
        <row r="229">
          <cell r="W229" t="str">
            <v/>
          </cell>
        </row>
        <row r="230">
          <cell r="W230" t="str">
            <v/>
          </cell>
        </row>
        <row r="231">
          <cell r="W231" t="str">
            <v/>
          </cell>
        </row>
        <row r="232">
          <cell r="W232" t="str">
            <v/>
          </cell>
        </row>
        <row r="233">
          <cell r="W233" t="str">
            <v/>
          </cell>
        </row>
        <row r="234">
          <cell r="W234" t="str">
            <v/>
          </cell>
        </row>
        <row r="235">
          <cell r="W235" t="str">
            <v/>
          </cell>
        </row>
        <row r="236">
          <cell r="W236" t="str">
            <v/>
          </cell>
        </row>
        <row r="237">
          <cell r="W237" t="str">
            <v/>
          </cell>
        </row>
        <row r="238">
          <cell r="W238" t="str">
            <v/>
          </cell>
        </row>
        <row r="239">
          <cell r="W239" t="str">
            <v/>
          </cell>
        </row>
        <row r="240">
          <cell r="W240" t="str">
            <v/>
          </cell>
        </row>
        <row r="241">
          <cell r="W241" t="str">
            <v/>
          </cell>
        </row>
        <row r="242">
          <cell r="W242" t="str">
            <v/>
          </cell>
        </row>
        <row r="243">
          <cell r="W243" t="str">
            <v/>
          </cell>
        </row>
        <row r="244">
          <cell r="W244" t="str">
            <v/>
          </cell>
        </row>
        <row r="245">
          <cell r="W245" t="str">
            <v/>
          </cell>
        </row>
        <row r="246">
          <cell r="W246" t="str">
            <v/>
          </cell>
        </row>
        <row r="247">
          <cell r="W247" t="str">
            <v/>
          </cell>
        </row>
        <row r="248">
          <cell r="W248" t="str">
            <v/>
          </cell>
        </row>
        <row r="249">
          <cell r="W249" t="str">
            <v/>
          </cell>
        </row>
        <row r="250">
          <cell r="W250" t="str">
            <v/>
          </cell>
        </row>
        <row r="251">
          <cell r="W251" t="str">
            <v/>
          </cell>
        </row>
        <row r="252">
          <cell r="W252" t="str">
            <v/>
          </cell>
        </row>
        <row r="253">
          <cell r="W253" t="str">
            <v/>
          </cell>
        </row>
        <row r="254">
          <cell r="W254" t="str">
            <v/>
          </cell>
        </row>
        <row r="255">
          <cell r="W255" t="str">
            <v/>
          </cell>
        </row>
        <row r="256">
          <cell r="W256" t="str">
            <v/>
          </cell>
        </row>
        <row r="257">
          <cell r="W257" t="str">
            <v/>
          </cell>
        </row>
        <row r="258">
          <cell r="W258" t="str">
            <v/>
          </cell>
        </row>
        <row r="259">
          <cell r="W259" t="str">
            <v/>
          </cell>
        </row>
        <row r="260">
          <cell r="W260" t="str">
            <v/>
          </cell>
        </row>
        <row r="261">
          <cell r="W261" t="str">
            <v/>
          </cell>
        </row>
        <row r="262">
          <cell r="W262" t="str">
            <v/>
          </cell>
        </row>
        <row r="263">
          <cell r="W263" t="str">
            <v/>
          </cell>
        </row>
        <row r="264">
          <cell r="W264" t="str">
            <v/>
          </cell>
        </row>
        <row r="265">
          <cell r="W265" t="str">
            <v/>
          </cell>
        </row>
        <row r="266">
          <cell r="W266" t="str">
            <v/>
          </cell>
        </row>
        <row r="267">
          <cell r="W267" t="str">
            <v/>
          </cell>
        </row>
        <row r="268">
          <cell r="W268" t="str">
            <v/>
          </cell>
        </row>
        <row r="269">
          <cell r="W269" t="str">
            <v/>
          </cell>
        </row>
        <row r="270">
          <cell r="W270" t="str">
            <v/>
          </cell>
        </row>
        <row r="271">
          <cell r="W271" t="str">
            <v/>
          </cell>
        </row>
        <row r="272">
          <cell r="W272" t="str">
            <v/>
          </cell>
        </row>
        <row r="273">
          <cell r="W273" t="str">
            <v/>
          </cell>
        </row>
        <row r="274">
          <cell r="W274" t="str">
            <v/>
          </cell>
        </row>
        <row r="275">
          <cell r="W275" t="str">
            <v/>
          </cell>
        </row>
        <row r="276">
          <cell r="W276" t="str">
            <v/>
          </cell>
        </row>
        <row r="277">
          <cell r="W277" t="str">
            <v/>
          </cell>
        </row>
        <row r="278">
          <cell r="W278" t="str">
            <v/>
          </cell>
        </row>
        <row r="279">
          <cell r="W279" t="str">
            <v/>
          </cell>
        </row>
        <row r="280">
          <cell r="W280" t="str">
            <v/>
          </cell>
        </row>
        <row r="281">
          <cell r="W281" t="str">
            <v/>
          </cell>
        </row>
        <row r="282">
          <cell r="W282" t="str">
            <v/>
          </cell>
        </row>
        <row r="283">
          <cell r="W283" t="str">
            <v/>
          </cell>
        </row>
        <row r="284">
          <cell r="W284" t="str">
            <v/>
          </cell>
        </row>
        <row r="285">
          <cell r="W285" t="str">
            <v/>
          </cell>
        </row>
        <row r="286">
          <cell r="W286" t="str">
            <v/>
          </cell>
        </row>
        <row r="287">
          <cell r="W287" t="str">
            <v/>
          </cell>
        </row>
        <row r="288">
          <cell r="W288" t="str">
            <v/>
          </cell>
        </row>
        <row r="289">
          <cell r="W289" t="str">
            <v/>
          </cell>
        </row>
        <row r="290">
          <cell r="W290" t="str">
            <v/>
          </cell>
        </row>
        <row r="291">
          <cell r="W291" t="str">
            <v/>
          </cell>
        </row>
        <row r="292">
          <cell r="W292" t="str">
            <v/>
          </cell>
        </row>
        <row r="293">
          <cell r="W293" t="str">
            <v/>
          </cell>
        </row>
        <row r="294">
          <cell r="W294" t="str">
            <v/>
          </cell>
        </row>
        <row r="295">
          <cell r="W295" t="str">
            <v/>
          </cell>
        </row>
        <row r="296">
          <cell r="W296" t="str">
            <v/>
          </cell>
        </row>
        <row r="297">
          <cell r="W297" t="str">
            <v/>
          </cell>
        </row>
        <row r="298">
          <cell r="W298" t="str">
            <v/>
          </cell>
        </row>
        <row r="299">
          <cell r="W299" t="str">
            <v/>
          </cell>
        </row>
        <row r="300">
          <cell r="W300" t="str">
            <v/>
          </cell>
        </row>
      </sheetData>
      <sheetData sheetId="2" refreshError="1">
        <row r="3">
          <cell r="Q3">
            <v>9</v>
          </cell>
          <cell r="R3">
            <v>0</v>
          </cell>
          <cell r="S3">
            <v>51</v>
          </cell>
        </row>
        <row r="4">
          <cell r="Q4">
            <v>90</v>
          </cell>
          <cell r="R4">
            <v>0</v>
          </cell>
          <cell r="S4">
            <v>510</v>
          </cell>
        </row>
        <row r="5">
          <cell r="Q5">
            <v>1</v>
          </cell>
          <cell r="R5">
            <v>0</v>
          </cell>
          <cell r="S5">
            <v>12</v>
          </cell>
        </row>
        <row r="6">
          <cell r="Q6">
            <v>11</v>
          </cell>
          <cell r="R6">
            <v>0</v>
          </cell>
          <cell r="S6">
            <v>132</v>
          </cell>
        </row>
        <row r="7">
          <cell r="Q7">
            <v>2</v>
          </cell>
          <cell r="R7">
            <v>0</v>
          </cell>
          <cell r="S7">
            <v>13</v>
          </cell>
        </row>
        <row r="8">
          <cell r="Q8">
            <v>22</v>
          </cell>
          <cell r="R8">
            <v>0</v>
          </cell>
          <cell r="S8">
            <v>143</v>
          </cell>
        </row>
        <row r="9">
          <cell r="Q9">
            <v>2</v>
          </cell>
          <cell r="R9">
            <v>0</v>
          </cell>
          <cell r="S9">
            <v>15</v>
          </cell>
        </row>
        <row r="10">
          <cell r="Q10">
            <v>20</v>
          </cell>
          <cell r="R10">
            <v>0</v>
          </cell>
          <cell r="S10">
            <v>150</v>
          </cell>
        </row>
        <row r="11">
          <cell r="Q11">
            <v>2</v>
          </cell>
          <cell r="R11">
            <v>0</v>
          </cell>
          <cell r="S11">
            <v>13</v>
          </cell>
        </row>
        <row r="12">
          <cell r="Q12">
            <v>16</v>
          </cell>
          <cell r="R12">
            <v>0</v>
          </cell>
          <cell r="S12">
            <v>104</v>
          </cell>
        </row>
        <row r="13">
          <cell r="Q13">
            <v>1</v>
          </cell>
          <cell r="R13">
            <v>0</v>
          </cell>
          <cell r="S13">
            <v>10</v>
          </cell>
        </row>
        <row r="14">
          <cell r="Q14">
            <v>10</v>
          </cell>
          <cell r="R14">
            <v>0</v>
          </cell>
          <cell r="S14">
            <v>100</v>
          </cell>
        </row>
        <row r="15">
          <cell r="Q15">
            <v>1</v>
          </cell>
          <cell r="R15">
            <v>0</v>
          </cell>
          <cell r="S15">
            <v>10</v>
          </cell>
        </row>
        <row r="16">
          <cell r="Q16">
            <v>11</v>
          </cell>
          <cell r="R16">
            <v>0</v>
          </cell>
          <cell r="S16">
            <v>110</v>
          </cell>
        </row>
        <row r="17">
          <cell r="Q17">
            <v>0</v>
          </cell>
          <cell r="R17">
            <v>0</v>
          </cell>
          <cell r="S17">
            <v>0</v>
          </cell>
        </row>
        <row r="18">
          <cell r="Q18">
            <v>0</v>
          </cell>
          <cell r="R18">
            <v>0</v>
          </cell>
          <cell r="S18">
            <v>0</v>
          </cell>
        </row>
        <row r="19">
          <cell r="Q19">
            <v>0</v>
          </cell>
          <cell r="R19">
            <v>0</v>
          </cell>
          <cell r="S19">
            <v>0</v>
          </cell>
        </row>
        <row r="20">
          <cell r="Q20">
            <v>0</v>
          </cell>
          <cell r="R20">
            <v>0</v>
          </cell>
          <cell r="S20">
            <v>0</v>
          </cell>
        </row>
        <row r="21">
          <cell r="Q21">
            <v>0</v>
          </cell>
          <cell r="R21">
            <v>0</v>
          </cell>
          <cell r="S21">
            <v>0</v>
          </cell>
        </row>
        <row r="22">
          <cell r="Q22">
            <v>0</v>
          </cell>
          <cell r="R22">
            <v>0</v>
          </cell>
          <cell r="S22">
            <v>0</v>
          </cell>
        </row>
        <row r="23">
          <cell r="Q23">
            <v>0</v>
          </cell>
          <cell r="R23">
            <v>0</v>
          </cell>
          <cell r="S23">
            <v>0</v>
          </cell>
        </row>
        <row r="24">
          <cell r="Q24">
            <v>0</v>
          </cell>
          <cell r="R24">
            <v>0</v>
          </cell>
          <cell r="S24">
            <v>0</v>
          </cell>
        </row>
        <row r="25">
          <cell r="Q25">
            <v>0</v>
          </cell>
          <cell r="R25">
            <v>0</v>
          </cell>
          <cell r="S25">
            <v>0</v>
          </cell>
        </row>
        <row r="26">
          <cell r="Q26">
            <v>0</v>
          </cell>
          <cell r="R26">
            <v>0</v>
          </cell>
          <cell r="S26">
            <v>0</v>
          </cell>
        </row>
        <row r="27">
          <cell r="Q27">
            <v>0</v>
          </cell>
          <cell r="R27">
            <v>0</v>
          </cell>
          <cell r="S27">
            <v>0</v>
          </cell>
        </row>
        <row r="28">
          <cell r="Q28">
            <v>0</v>
          </cell>
          <cell r="R28">
            <v>0</v>
          </cell>
          <cell r="S28">
            <v>0</v>
          </cell>
        </row>
        <row r="29">
          <cell r="Q29">
            <v>0</v>
          </cell>
          <cell r="R29">
            <v>0</v>
          </cell>
          <cell r="S29">
            <v>0</v>
          </cell>
        </row>
        <row r="30">
          <cell r="Q30">
            <v>0</v>
          </cell>
          <cell r="R30">
            <v>0</v>
          </cell>
          <cell r="S30">
            <v>0</v>
          </cell>
        </row>
        <row r="31">
          <cell r="Q31">
            <v>0</v>
          </cell>
          <cell r="R31">
            <v>0</v>
          </cell>
          <cell r="S31">
            <v>0</v>
          </cell>
        </row>
        <row r="32">
          <cell r="Q32">
            <v>0</v>
          </cell>
          <cell r="R32">
            <v>0</v>
          </cell>
          <cell r="S32">
            <v>0</v>
          </cell>
        </row>
        <row r="33">
          <cell r="Q33">
            <v>0</v>
          </cell>
          <cell r="R33">
            <v>0</v>
          </cell>
          <cell r="S33">
            <v>0</v>
          </cell>
        </row>
        <row r="34">
          <cell r="Q34">
            <v>0</v>
          </cell>
          <cell r="R34">
            <v>0</v>
          </cell>
          <cell r="S34">
            <v>0</v>
          </cell>
        </row>
        <row r="35">
          <cell r="Q35">
            <v>0</v>
          </cell>
          <cell r="R35">
            <v>0</v>
          </cell>
          <cell r="S35">
            <v>0</v>
          </cell>
        </row>
        <row r="36">
          <cell r="Q36">
            <v>0</v>
          </cell>
          <cell r="R36">
            <v>0</v>
          </cell>
          <cell r="S36">
            <v>0</v>
          </cell>
        </row>
        <row r="37">
          <cell r="Q37">
            <v>0</v>
          </cell>
          <cell r="R37">
            <v>0</v>
          </cell>
          <cell r="S37">
            <v>0</v>
          </cell>
        </row>
        <row r="38">
          <cell r="Q38">
            <v>0</v>
          </cell>
          <cell r="R38">
            <v>0</v>
          </cell>
          <cell r="S38">
            <v>0</v>
          </cell>
        </row>
        <row r="39">
          <cell r="Q39">
            <v>0</v>
          </cell>
          <cell r="R39">
            <v>0</v>
          </cell>
          <cell r="S39">
            <v>0</v>
          </cell>
        </row>
        <row r="40">
          <cell r="Q40">
            <v>0</v>
          </cell>
          <cell r="R40">
            <v>0</v>
          </cell>
          <cell r="S40">
            <v>0</v>
          </cell>
        </row>
        <row r="41">
          <cell r="Q41">
            <v>0</v>
          </cell>
          <cell r="R41">
            <v>0</v>
          </cell>
          <cell r="S41">
            <v>0</v>
          </cell>
        </row>
        <row r="42">
          <cell r="Q42">
            <v>0</v>
          </cell>
          <cell r="R42">
            <v>0</v>
          </cell>
          <cell r="S42">
            <v>0</v>
          </cell>
        </row>
        <row r="43">
          <cell r="Q43">
            <v>0</v>
          </cell>
          <cell r="R43">
            <v>0</v>
          </cell>
          <cell r="S43">
            <v>0</v>
          </cell>
        </row>
        <row r="44">
          <cell r="Q44">
            <v>0</v>
          </cell>
          <cell r="R44">
            <v>0</v>
          </cell>
          <cell r="S44">
            <v>0</v>
          </cell>
        </row>
        <row r="45">
          <cell r="Q45">
            <v>0</v>
          </cell>
          <cell r="R45">
            <v>0</v>
          </cell>
          <cell r="S45">
            <v>0</v>
          </cell>
        </row>
        <row r="46">
          <cell r="Q46">
            <v>0</v>
          </cell>
          <cell r="R46">
            <v>0</v>
          </cell>
          <cell r="S46">
            <v>0</v>
          </cell>
        </row>
        <row r="47">
          <cell r="Q47">
            <v>0</v>
          </cell>
          <cell r="R47">
            <v>0</v>
          </cell>
          <cell r="S47">
            <v>0</v>
          </cell>
        </row>
        <row r="48">
          <cell r="Q48">
            <v>0</v>
          </cell>
          <cell r="R48">
            <v>0</v>
          </cell>
          <cell r="S48">
            <v>0</v>
          </cell>
        </row>
        <row r="49">
          <cell r="Q49">
            <v>0</v>
          </cell>
          <cell r="R49">
            <v>0</v>
          </cell>
          <cell r="S49">
            <v>0</v>
          </cell>
        </row>
        <row r="50">
          <cell r="Q50">
            <v>0</v>
          </cell>
          <cell r="R50">
            <v>0</v>
          </cell>
          <cell r="S50">
            <v>0</v>
          </cell>
        </row>
        <row r="51">
          <cell r="Q51">
            <v>0</v>
          </cell>
          <cell r="R51">
            <v>0</v>
          </cell>
          <cell r="S51">
            <v>0</v>
          </cell>
        </row>
        <row r="52">
          <cell r="Q52">
            <v>0</v>
          </cell>
          <cell r="R52">
            <v>0</v>
          </cell>
          <cell r="S52">
            <v>0</v>
          </cell>
        </row>
        <row r="53">
          <cell r="Q53">
            <v>0</v>
          </cell>
          <cell r="R53">
            <v>0</v>
          </cell>
          <cell r="S53">
            <v>0</v>
          </cell>
        </row>
        <row r="54">
          <cell r="Q54">
            <v>0</v>
          </cell>
          <cell r="R54">
            <v>0</v>
          </cell>
          <cell r="S54">
            <v>0</v>
          </cell>
        </row>
        <row r="55">
          <cell r="Q55">
            <v>0</v>
          </cell>
          <cell r="R55">
            <v>0</v>
          </cell>
          <cell r="S55">
            <v>0</v>
          </cell>
        </row>
        <row r="56">
          <cell r="Q56">
            <v>0</v>
          </cell>
          <cell r="R56">
            <v>0</v>
          </cell>
          <cell r="S56">
            <v>0</v>
          </cell>
        </row>
        <row r="57">
          <cell r="Q57">
            <v>0</v>
          </cell>
          <cell r="R57">
            <v>0</v>
          </cell>
          <cell r="S57">
            <v>0</v>
          </cell>
        </row>
        <row r="58">
          <cell r="Q58">
            <v>0</v>
          </cell>
          <cell r="R58">
            <v>0</v>
          </cell>
          <cell r="S58">
            <v>0</v>
          </cell>
        </row>
        <row r="59">
          <cell r="Q59">
            <v>0</v>
          </cell>
          <cell r="R59">
            <v>0</v>
          </cell>
          <cell r="S59">
            <v>0</v>
          </cell>
        </row>
        <row r="60">
          <cell r="Q60">
            <v>0</v>
          </cell>
          <cell r="R60">
            <v>0</v>
          </cell>
          <cell r="S60">
            <v>0</v>
          </cell>
        </row>
        <row r="61">
          <cell r="Q61">
            <v>0</v>
          </cell>
          <cell r="R61">
            <v>0</v>
          </cell>
          <cell r="S61">
            <v>0</v>
          </cell>
        </row>
        <row r="62">
          <cell r="Q62">
            <v>0</v>
          </cell>
          <cell r="R62">
            <v>0</v>
          </cell>
          <cell r="S62">
            <v>0</v>
          </cell>
        </row>
        <row r="63">
          <cell r="Q63">
            <v>0</v>
          </cell>
          <cell r="R63">
            <v>0</v>
          </cell>
          <cell r="S63">
            <v>0</v>
          </cell>
        </row>
        <row r="64">
          <cell r="Q64">
            <v>0</v>
          </cell>
          <cell r="R64">
            <v>0</v>
          </cell>
          <cell r="S64">
            <v>0</v>
          </cell>
        </row>
        <row r="65">
          <cell r="Q65">
            <v>0</v>
          </cell>
          <cell r="R65">
            <v>0</v>
          </cell>
          <cell r="S65">
            <v>0</v>
          </cell>
        </row>
        <row r="66">
          <cell r="Q66">
            <v>0</v>
          </cell>
          <cell r="R66">
            <v>0</v>
          </cell>
          <cell r="S66">
            <v>0</v>
          </cell>
        </row>
        <row r="67">
          <cell r="Q67">
            <v>0</v>
          </cell>
          <cell r="R67">
            <v>0</v>
          </cell>
          <cell r="S67">
            <v>0</v>
          </cell>
        </row>
        <row r="68">
          <cell r="Q68">
            <v>0</v>
          </cell>
          <cell r="R68">
            <v>0</v>
          </cell>
          <cell r="S68">
            <v>0</v>
          </cell>
        </row>
        <row r="69">
          <cell r="Q69">
            <v>0</v>
          </cell>
          <cell r="R69">
            <v>0</v>
          </cell>
          <cell r="S69">
            <v>0</v>
          </cell>
        </row>
        <row r="70">
          <cell r="Q70">
            <v>0</v>
          </cell>
          <cell r="R70">
            <v>0</v>
          </cell>
          <cell r="S70">
            <v>0</v>
          </cell>
        </row>
        <row r="71">
          <cell r="Q71">
            <v>0</v>
          </cell>
          <cell r="R71">
            <v>0</v>
          </cell>
          <cell r="S71">
            <v>0</v>
          </cell>
        </row>
        <row r="72">
          <cell r="Q72">
            <v>0</v>
          </cell>
          <cell r="R72">
            <v>0</v>
          </cell>
          <cell r="S72">
            <v>0</v>
          </cell>
        </row>
        <row r="73">
          <cell r="Q73">
            <v>0</v>
          </cell>
          <cell r="R73">
            <v>0</v>
          </cell>
          <cell r="S73">
            <v>0</v>
          </cell>
        </row>
        <row r="74">
          <cell r="Q74">
            <v>0</v>
          </cell>
          <cell r="R74">
            <v>0</v>
          </cell>
          <cell r="S74">
            <v>0</v>
          </cell>
        </row>
        <row r="75">
          <cell r="Q75">
            <v>0</v>
          </cell>
          <cell r="R75">
            <v>0</v>
          </cell>
          <cell r="S75">
            <v>0</v>
          </cell>
        </row>
        <row r="76">
          <cell r="Q76">
            <v>0</v>
          </cell>
          <cell r="R76">
            <v>0</v>
          </cell>
          <cell r="S76">
            <v>0</v>
          </cell>
        </row>
        <row r="77">
          <cell r="Q77">
            <v>0</v>
          </cell>
          <cell r="R77">
            <v>0</v>
          </cell>
          <cell r="S77">
            <v>0</v>
          </cell>
        </row>
        <row r="78">
          <cell r="Q78">
            <v>0</v>
          </cell>
          <cell r="R78">
            <v>0</v>
          </cell>
          <cell r="S78">
            <v>0</v>
          </cell>
        </row>
        <row r="79">
          <cell r="Q79">
            <v>0</v>
          </cell>
          <cell r="R79">
            <v>0</v>
          </cell>
          <cell r="S79">
            <v>0</v>
          </cell>
        </row>
        <row r="80">
          <cell r="Q80">
            <v>0</v>
          </cell>
          <cell r="R80">
            <v>0</v>
          </cell>
          <cell r="S80">
            <v>0</v>
          </cell>
        </row>
        <row r="81">
          <cell r="Q81">
            <v>0</v>
          </cell>
          <cell r="R81">
            <v>0</v>
          </cell>
          <cell r="S81">
            <v>0</v>
          </cell>
        </row>
        <row r="82">
          <cell r="Q82">
            <v>0</v>
          </cell>
          <cell r="R82">
            <v>0</v>
          </cell>
          <cell r="S82">
            <v>0</v>
          </cell>
        </row>
        <row r="83">
          <cell r="Q83">
            <v>0</v>
          </cell>
          <cell r="R83">
            <v>0</v>
          </cell>
          <cell r="S83">
            <v>0</v>
          </cell>
        </row>
        <row r="84">
          <cell r="Q84">
            <v>0</v>
          </cell>
          <cell r="R84">
            <v>0</v>
          </cell>
          <cell r="S84">
            <v>0</v>
          </cell>
        </row>
        <row r="85">
          <cell r="Q85">
            <v>0</v>
          </cell>
          <cell r="R85">
            <v>0</v>
          </cell>
          <cell r="S85">
            <v>0</v>
          </cell>
        </row>
        <row r="86">
          <cell r="Q86">
            <v>0</v>
          </cell>
          <cell r="R86">
            <v>0</v>
          </cell>
          <cell r="S86">
            <v>0</v>
          </cell>
        </row>
        <row r="87">
          <cell r="Q87">
            <v>0</v>
          </cell>
          <cell r="R87">
            <v>0</v>
          </cell>
          <cell r="S87">
            <v>0</v>
          </cell>
        </row>
        <row r="88">
          <cell r="Q88">
            <v>0</v>
          </cell>
          <cell r="R88">
            <v>0</v>
          </cell>
          <cell r="S88">
            <v>0</v>
          </cell>
        </row>
        <row r="89">
          <cell r="Q89">
            <v>0</v>
          </cell>
          <cell r="R89">
            <v>0</v>
          </cell>
          <cell r="S89">
            <v>0</v>
          </cell>
        </row>
        <row r="90">
          <cell r="Q90">
            <v>0</v>
          </cell>
          <cell r="R90">
            <v>0</v>
          </cell>
          <cell r="S90">
            <v>0</v>
          </cell>
        </row>
        <row r="91">
          <cell r="Q91">
            <v>0</v>
          </cell>
          <cell r="R91">
            <v>0</v>
          </cell>
          <cell r="S91">
            <v>0</v>
          </cell>
        </row>
        <row r="92">
          <cell r="Q92">
            <v>0</v>
          </cell>
          <cell r="R92">
            <v>0</v>
          </cell>
          <cell r="S92">
            <v>0</v>
          </cell>
        </row>
        <row r="93">
          <cell r="Q93">
            <v>0</v>
          </cell>
          <cell r="R93">
            <v>0</v>
          </cell>
          <cell r="S93">
            <v>0</v>
          </cell>
        </row>
        <row r="94">
          <cell r="Q94">
            <v>0</v>
          </cell>
          <cell r="R94">
            <v>0</v>
          </cell>
          <cell r="S94">
            <v>0</v>
          </cell>
        </row>
        <row r="95">
          <cell r="Q95">
            <v>0</v>
          </cell>
          <cell r="R95">
            <v>0</v>
          </cell>
          <cell r="S95">
            <v>0</v>
          </cell>
        </row>
        <row r="96">
          <cell r="Q96">
            <v>0</v>
          </cell>
          <cell r="R96">
            <v>0</v>
          </cell>
          <cell r="S96">
            <v>0</v>
          </cell>
        </row>
        <row r="97">
          <cell r="Q97">
            <v>0</v>
          </cell>
          <cell r="R97">
            <v>0</v>
          </cell>
          <cell r="S97">
            <v>0</v>
          </cell>
        </row>
        <row r="98">
          <cell r="Q98">
            <v>0</v>
          </cell>
          <cell r="R98">
            <v>0</v>
          </cell>
          <cell r="S98">
            <v>0</v>
          </cell>
        </row>
        <row r="99">
          <cell r="Q99">
            <v>0</v>
          </cell>
          <cell r="R99">
            <v>0</v>
          </cell>
          <cell r="S99">
            <v>0</v>
          </cell>
        </row>
        <row r="100">
          <cell r="Q100">
            <v>0</v>
          </cell>
          <cell r="R100">
            <v>0</v>
          </cell>
          <cell r="S100">
            <v>0</v>
          </cell>
        </row>
        <row r="101">
          <cell r="Q101">
            <v>0</v>
          </cell>
          <cell r="R101">
            <v>0</v>
          </cell>
          <cell r="S101">
            <v>0</v>
          </cell>
        </row>
        <row r="102">
          <cell r="Q102">
            <v>0</v>
          </cell>
          <cell r="R102">
            <v>0</v>
          </cell>
          <cell r="S102">
            <v>0</v>
          </cell>
        </row>
        <row r="103">
          <cell r="Q103">
            <v>0</v>
          </cell>
          <cell r="R103">
            <v>0</v>
          </cell>
          <cell r="S103">
            <v>0</v>
          </cell>
        </row>
        <row r="104">
          <cell r="Q104">
            <v>0</v>
          </cell>
          <cell r="R104">
            <v>0</v>
          </cell>
          <cell r="S104">
            <v>0</v>
          </cell>
        </row>
        <row r="105">
          <cell r="Q105">
            <v>0</v>
          </cell>
          <cell r="R105">
            <v>0</v>
          </cell>
          <cell r="S105">
            <v>0</v>
          </cell>
        </row>
        <row r="106">
          <cell r="Q106">
            <v>0</v>
          </cell>
          <cell r="R106">
            <v>0</v>
          </cell>
          <cell r="S106">
            <v>0</v>
          </cell>
        </row>
        <row r="107">
          <cell r="Q107">
            <v>0</v>
          </cell>
          <cell r="R107">
            <v>0</v>
          </cell>
          <cell r="S107">
            <v>0</v>
          </cell>
        </row>
        <row r="108">
          <cell r="Q108">
            <v>0</v>
          </cell>
          <cell r="R108">
            <v>0</v>
          </cell>
          <cell r="S108">
            <v>0</v>
          </cell>
        </row>
        <row r="109">
          <cell r="Q109">
            <v>0</v>
          </cell>
          <cell r="R109">
            <v>0</v>
          </cell>
          <cell r="S109">
            <v>0</v>
          </cell>
        </row>
        <row r="110">
          <cell r="Q110">
            <v>0</v>
          </cell>
          <cell r="R110">
            <v>0</v>
          </cell>
          <cell r="S110">
            <v>0</v>
          </cell>
        </row>
        <row r="111">
          <cell r="Q111">
            <v>0</v>
          </cell>
          <cell r="R111">
            <v>0</v>
          </cell>
          <cell r="S111">
            <v>0</v>
          </cell>
        </row>
        <row r="112">
          <cell r="Q112">
            <v>0</v>
          </cell>
          <cell r="R112">
            <v>0</v>
          </cell>
          <cell r="S112">
            <v>0</v>
          </cell>
        </row>
        <row r="113">
          <cell r="Q113">
            <v>0</v>
          </cell>
          <cell r="R113">
            <v>0</v>
          </cell>
          <cell r="S113">
            <v>0</v>
          </cell>
        </row>
        <row r="114">
          <cell r="Q114">
            <v>0</v>
          </cell>
          <cell r="R114">
            <v>0</v>
          </cell>
          <cell r="S114">
            <v>0</v>
          </cell>
        </row>
        <row r="115">
          <cell r="Q115">
            <v>0</v>
          </cell>
          <cell r="R115">
            <v>0</v>
          </cell>
          <cell r="S115">
            <v>0</v>
          </cell>
        </row>
        <row r="116">
          <cell r="Q116">
            <v>0</v>
          </cell>
          <cell r="R116">
            <v>0</v>
          </cell>
          <cell r="S116">
            <v>0</v>
          </cell>
        </row>
        <row r="117">
          <cell r="Q117">
            <v>0</v>
          </cell>
          <cell r="R117">
            <v>0</v>
          </cell>
          <cell r="S117">
            <v>0</v>
          </cell>
        </row>
        <row r="118">
          <cell r="Q118">
            <v>0</v>
          </cell>
          <cell r="R118">
            <v>0</v>
          </cell>
          <cell r="S118">
            <v>0</v>
          </cell>
        </row>
        <row r="119">
          <cell r="Q119">
            <v>0</v>
          </cell>
          <cell r="R119">
            <v>0</v>
          </cell>
          <cell r="S119">
            <v>0</v>
          </cell>
        </row>
        <row r="120">
          <cell r="Q120">
            <v>0</v>
          </cell>
          <cell r="R120">
            <v>0</v>
          </cell>
          <cell r="S120">
            <v>0</v>
          </cell>
        </row>
        <row r="121">
          <cell r="Q121">
            <v>0</v>
          </cell>
          <cell r="R121">
            <v>0</v>
          </cell>
          <cell r="S121">
            <v>0</v>
          </cell>
        </row>
        <row r="122">
          <cell r="Q122">
            <v>0</v>
          </cell>
          <cell r="R122">
            <v>0</v>
          </cell>
          <cell r="S122">
            <v>0</v>
          </cell>
        </row>
        <row r="123">
          <cell r="Q123">
            <v>0</v>
          </cell>
          <cell r="R123">
            <v>0</v>
          </cell>
          <cell r="S123">
            <v>0</v>
          </cell>
        </row>
        <row r="124">
          <cell r="Q124">
            <v>0</v>
          </cell>
          <cell r="R124">
            <v>0</v>
          </cell>
          <cell r="S124">
            <v>0</v>
          </cell>
        </row>
        <row r="125">
          <cell r="Q125">
            <v>0</v>
          </cell>
          <cell r="R125">
            <v>0</v>
          </cell>
          <cell r="S125">
            <v>0</v>
          </cell>
        </row>
        <row r="126">
          <cell r="Q126">
            <v>0</v>
          </cell>
          <cell r="R126">
            <v>0</v>
          </cell>
          <cell r="S126">
            <v>0</v>
          </cell>
        </row>
        <row r="127">
          <cell r="Q127">
            <v>0</v>
          </cell>
          <cell r="R127">
            <v>0</v>
          </cell>
          <cell r="S127">
            <v>0</v>
          </cell>
        </row>
        <row r="128">
          <cell r="Q128">
            <v>0</v>
          </cell>
          <cell r="R128">
            <v>0</v>
          </cell>
          <cell r="S128">
            <v>0</v>
          </cell>
        </row>
        <row r="129">
          <cell r="Q129">
            <v>0</v>
          </cell>
          <cell r="R129">
            <v>0</v>
          </cell>
          <cell r="S129">
            <v>0</v>
          </cell>
        </row>
        <row r="130">
          <cell r="Q130">
            <v>0</v>
          </cell>
          <cell r="R130">
            <v>0</v>
          </cell>
          <cell r="S130">
            <v>0</v>
          </cell>
        </row>
        <row r="131">
          <cell r="Q131">
            <v>0</v>
          </cell>
          <cell r="R131">
            <v>0</v>
          </cell>
          <cell r="S131">
            <v>0</v>
          </cell>
        </row>
        <row r="132">
          <cell r="Q132">
            <v>0</v>
          </cell>
          <cell r="R132">
            <v>0</v>
          </cell>
          <cell r="S132">
            <v>0</v>
          </cell>
        </row>
        <row r="133">
          <cell r="Q133">
            <v>0</v>
          </cell>
          <cell r="R133">
            <v>0</v>
          </cell>
          <cell r="S133">
            <v>0</v>
          </cell>
        </row>
        <row r="134">
          <cell r="Q134">
            <v>0</v>
          </cell>
          <cell r="R134">
            <v>0</v>
          </cell>
          <cell r="S134">
            <v>0</v>
          </cell>
        </row>
        <row r="135">
          <cell r="Q135">
            <v>0</v>
          </cell>
          <cell r="R135">
            <v>0</v>
          </cell>
          <cell r="S135">
            <v>0</v>
          </cell>
        </row>
        <row r="136">
          <cell r="Q136">
            <v>0</v>
          </cell>
          <cell r="R136">
            <v>0</v>
          </cell>
          <cell r="S136">
            <v>0</v>
          </cell>
        </row>
        <row r="137">
          <cell r="Q137">
            <v>0</v>
          </cell>
          <cell r="R137">
            <v>0</v>
          </cell>
          <cell r="S137">
            <v>0</v>
          </cell>
        </row>
        <row r="138">
          <cell r="Q138">
            <v>0</v>
          </cell>
          <cell r="R138">
            <v>0</v>
          </cell>
          <cell r="S138">
            <v>0</v>
          </cell>
        </row>
        <row r="139">
          <cell r="Q139">
            <v>0</v>
          </cell>
          <cell r="R139">
            <v>0</v>
          </cell>
          <cell r="S139">
            <v>0</v>
          </cell>
        </row>
        <row r="140">
          <cell r="Q140">
            <v>0</v>
          </cell>
          <cell r="R140">
            <v>0</v>
          </cell>
          <cell r="S140">
            <v>0</v>
          </cell>
        </row>
        <row r="141">
          <cell r="Q141">
            <v>0</v>
          </cell>
          <cell r="R141">
            <v>0</v>
          </cell>
          <cell r="S141">
            <v>0</v>
          </cell>
        </row>
        <row r="142">
          <cell r="Q142">
            <v>0</v>
          </cell>
          <cell r="R142">
            <v>0</v>
          </cell>
          <cell r="S142">
            <v>0</v>
          </cell>
        </row>
        <row r="143">
          <cell r="Q143">
            <v>0</v>
          </cell>
          <cell r="R143">
            <v>0</v>
          </cell>
          <cell r="S143">
            <v>0</v>
          </cell>
        </row>
        <row r="144">
          <cell r="Q144">
            <v>0</v>
          </cell>
          <cell r="R144">
            <v>0</v>
          </cell>
          <cell r="S144">
            <v>0</v>
          </cell>
        </row>
        <row r="145">
          <cell r="Q145">
            <v>0</v>
          </cell>
          <cell r="R145">
            <v>0</v>
          </cell>
          <cell r="S145">
            <v>0</v>
          </cell>
        </row>
        <row r="146">
          <cell r="Q146">
            <v>0</v>
          </cell>
          <cell r="R146">
            <v>0</v>
          </cell>
          <cell r="S146">
            <v>0</v>
          </cell>
        </row>
        <row r="147">
          <cell r="Q147">
            <v>0</v>
          </cell>
          <cell r="R147">
            <v>0</v>
          </cell>
          <cell r="S147">
            <v>0</v>
          </cell>
        </row>
        <row r="148">
          <cell r="Q148">
            <v>0</v>
          </cell>
          <cell r="R148">
            <v>0</v>
          </cell>
          <cell r="S148">
            <v>0</v>
          </cell>
        </row>
        <row r="149">
          <cell r="Q149">
            <v>0</v>
          </cell>
          <cell r="R149">
            <v>0</v>
          </cell>
          <cell r="S149">
            <v>0</v>
          </cell>
        </row>
        <row r="150">
          <cell r="Q150">
            <v>0</v>
          </cell>
          <cell r="R150">
            <v>0</v>
          </cell>
          <cell r="S150">
            <v>0</v>
          </cell>
        </row>
        <row r="151">
          <cell r="Q151">
            <v>0</v>
          </cell>
          <cell r="R151">
            <v>0</v>
          </cell>
          <cell r="S151">
            <v>0</v>
          </cell>
        </row>
        <row r="152">
          <cell r="Q152">
            <v>0</v>
          </cell>
          <cell r="R152">
            <v>0</v>
          </cell>
          <cell r="S152">
            <v>0</v>
          </cell>
        </row>
        <row r="153">
          <cell r="Q153">
            <v>0</v>
          </cell>
          <cell r="R153">
            <v>0</v>
          </cell>
          <cell r="S153">
            <v>0</v>
          </cell>
        </row>
        <row r="154">
          <cell r="Q154">
            <v>0</v>
          </cell>
          <cell r="R154">
            <v>0</v>
          </cell>
          <cell r="S154">
            <v>0</v>
          </cell>
        </row>
        <row r="155">
          <cell r="Q155">
            <v>0</v>
          </cell>
          <cell r="R155">
            <v>0</v>
          </cell>
          <cell r="S155">
            <v>0</v>
          </cell>
        </row>
        <row r="156">
          <cell r="Q156">
            <v>0</v>
          </cell>
          <cell r="R156">
            <v>0</v>
          </cell>
          <cell r="S156">
            <v>0</v>
          </cell>
        </row>
        <row r="157">
          <cell r="Q157">
            <v>0</v>
          </cell>
          <cell r="R157">
            <v>0</v>
          </cell>
          <cell r="S157">
            <v>0</v>
          </cell>
        </row>
        <row r="158">
          <cell r="Q158">
            <v>0</v>
          </cell>
          <cell r="R158">
            <v>0</v>
          </cell>
          <cell r="S158">
            <v>0</v>
          </cell>
        </row>
        <row r="159">
          <cell r="Q159">
            <v>0</v>
          </cell>
          <cell r="R159">
            <v>0</v>
          </cell>
          <cell r="S159">
            <v>0</v>
          </cell>
        </row>
        <row r="160">
          <cell r="Q160">
            <v>0</v>
          </cell>
          <cell r="R160">
            <v>0</v>
          </cell>
          <cell r="S160">
            <v>0</v>
          </cell>
        </row>
        <row r="161">
          <cell r="Q161">
            <v>0</v>
          </cell>
          <cell r="R161">
            <v>0</v>
          </cell>
          <cell r="S161">
            <v>0</v>
          </cell>
        </row>
        <row r="162">
          <cell r="Q162">
            <v>0</v>
          </cell>
          <cell r="R162">
            <v>0</v>
          </cell>
          <cell r="S162">
            <v>0</v>
          </cell>
        </row>
        <row r="163">
          <cell r="Q163">
            <v>0</v>
          </cell>
          <cell r="R163">
            <v>0</v>
          </cell>
          <cell r="S163">
            <v>0</v>
          </cell>
        </row>
        <row r="164">
          <cell r="Q164">
            <v>0</v>
          </cell>
          <cell r="R164">
            <v>0</v>
          </cell>
          <cell r="S164">
            <v>0</v>
          </cell>
        </row>
        <row r="165">
          <cell r="Q165">
            <v>0</v>
          </cell>
          <cell r="R165">
            <v>0</v>
          </cell>
          <cell r="S165">
            <v>0</v>
          </cell>
        </row>
        <row r="166">
          <cell r="Q166">
            <v>0</v>
          </cell>
          <cell r="R166">
            <v>0</v>
          </cell>
          <cell r="S166">
            <v>0</v>
          </cell>
        </row>
        <row r="167">
          <cell r="Q167">
            <v>0</v>
          </cell>
          <cell r="R167">
            <v>0</v>
          </cell>
          <cell r="S167">
            <v>0</v>
          </cell>
        </row>
        <row r="168">
          <cell r="Q168">
            <v>0</v>
          </cell>
          <cell r="R168">
            <v>0</v>
          </cell>
          <cell r="S168">
            <v>0</v>
          </cell>
        </row>
        <row r="169">
          <cell r="Q169">
            <v>0</v>
          </cell>
          <cell r="R169">
            <v>0</v>
          </cell>
          <cell r="S169">
            <v>0</v>
          </cell>
        </row>
        <row r="170">
          <cell r="Q170">
            <v>0</v>
          </cell>
          <cell r="R170">
            <v>0</v>
          </cell>
          <cell r="S170">
            <v>0</v>
          </cell>
        </row>
        <row r="171">
          <cell r="Q171">
            <v>0</v>
          </cell>
          <cell r="R171">
            <v>0</v>
          </cell>
          <cell r="S171">
            <v>0</v>
          </cell>
        </row>
        <row r="172">
          <cell r="Q172">
            <v>0</v>
          </cell>
          <cell r="R172">
            <v>0</v>
          </cell>
          <cell r="S172">
            <v>0</v>
          </cell>
        </row>
        <row r="173">
          <cell r="Q173">
            <v>0</v>
          </cell>
          <cell r="R173">
            <v>0</v>
          </cell>
          <cell r="S173">
            <v>0</v>
          </cell>
        </row>
        <row r="174">
          <cell r="Q174">
            <v>0</v>
          </cell>
          <cell r="R174">
            <v>0</v>
          </cell>
          <cell r="S174">
            <v>0</v>
          </cell>
        </row>
        <row r="175">
          <cell r="Q175">
            <v>0</v>
          </cell>
          <cell r="R175">
            <v>0</v>
          </cell>
          <cell r="S175">
            <v>0</v>
          </cell>
        </row>
        <row r="176">
          <cell r="Q176">
            <v>0</v>
          </cell>
          <cell r="R176">
            <v>0</v>
          </cell>
          <cell r="S176">
            <v>0</v>
          </cell>
        </row>
        <row r="177">
          <cell r="Q177">
            <v>0</v>
          </cell>
          <cell r="R177">
            <v>0</v>
          </cell>
          <cell r="S177">
            <v>0</v>
          </cell>
        </row>
        <row r="178">
          <cell r="Q178">
            <v>0</v>
          </cell>
          <cell r="R178">
            <v>0</v>
          </cell>
          <cell r="S178">
            <v>0</v>
          </cell>
        </row>
        <row r="179">
          <cell r="Q179">
            <v>0</v>
          </cell>
          <cell r="R179">
            <v>0</v>
          </cell>
          <cell r="S179">
            <v>0</v>
          </cell>
        </row>
        <row r="180">
          <cell r="Q180">
            <v>0</v>
          </cell>
          <cell r="R180">
            <v>0</v>
          </cell>
          <cell r="S180">
            <v>0</v>
          </cell>
        </row>
        <row r="181">
          <cell r="Q181">
            <v>0</v>
          </cell>
          <cell r="R181">
            <v>0</v>
          </cell>
          <cell r="S181">
            <v>0</v>
          </cell>
        </row>
        <row r="182">
          <cell r="Q182">
            <v>0</v>
          </cell>
          <cell r="R182">
            <v>0</v>
          </cell>
          <cell r="S182">
            <v>0</v>
          </cell>
        </row>
        <row r="183">
          <cell r="Q183">
            <v>0</v>
          </cell>
          <cell r="R183">
            <v>0</v>
          </cell>
          <cell r="S183">
            <v>0</v>
          </cell>
        </row>
        <row r="184">
          <cell r="Q184">
            <v>0</v>
          </cell>
          <cell r="R184">
            <v>0</v>
          </cell>
          <cell r="S184">
            <v>0</v>
          </cell>
        </row>
        <row r="185">
          <cell r="Q185">
            <v>0</v>
          </cell>
          <cell r="R185">
            <v>0</v>
          </cell>
          <cell r="S185">
            <v>0</v>
          </cell>
        </row>
        <row r="186">
          <cell r="Q186">
            <v>0</v>
          </cell>
          <cell r="R186">
            <v>0</v>
          </cell>
          <cell r="S186">
            <v>0</v>
          </cell>
        </row>
        <row r="187">
          <cell r="Q187">
            <v>0</v>
          </cell>
          <cell r="R187">
            <v>0</v>
          </cell>
          <cell r="S187">
            <v>0</v>
          </cell>
        </row>
        <row r="188">
          <cell r="Q188">
            <v>0</v>
          </cell>
          <cell r="R188">
            <v>0</v>
          </cell>
          <cell r="S188">
            <v>0</v>
          </cell>
        </row>
        <row r="189">
          <cell r="Q189">
            <v>0</v>
          </cell>
          <cell r="R189">
            <v>0</v>
          </cell>
          <cell r="S189">
            <v>0</v>
          </cell>
        </row>
        <row r="190">
          <cell r="Q190">
            <v>0</v>
          </cell>
          <cell r="R190">
            <v>0</v>
          </cell>
          <cell r="S190">
            <v>0</v>
          </cell>
        </row>
        <row r="191">
          <cell r="Q191">
            <v>0</v>
          </cell>
          <cell r="R191">
            <v>0</v>
          </cell>
          <cell r="S191">
            <v>0</v>
          </cell>
        </row>
        <row r="192">
          <cell r="Q192">
            <v>0</v>
          </cell>
          <cell r="R192">
            <v>0</v>
          </cell>
          <cell r="S192">
            <v>0</v>
          </cell>
        </row>
        <row r="193">
          <cell r="Q193">
            <v>0</v>
          </cell>
          <cell r="R193">
            <v>0</v>
          </cell>
          <cell r="S193">
            <v>0</v>
          </cell>
        </row>
        <row r="194">
          <cell r="Q194">
            <v>0</v>
          </cell>
          <cell r="R194">
            <v>0</v>
          </cell>
          <cell r="S194">
            <v>0</v>
          </cell>
        </row>
        <row r="195">
          <cell r="Q195">
            <v>0</v>
          </cell>
          <cell r="R195">
            <v>0</v>
          </cell>
          <cell r="S195">
            <v>0</v>
          </cell>
        </row>
        <row r="196">
          <cell r="Q196">
            <v>0</v>
          </cell>
          <cell r="R196">
            <v>0</v>
          </cell>
          <cell r="S196">
            <v>0</v>
          </cell>
        </row>
        <row r="197">
          <cell r="Q197">
            <v>0</v>
          </cell>
          <cell r="R197">
            <v>0</v>
          </cell>
          <cell r="S197">
            <v>0</v>
          </cell>
        </row>
        <row r="198">
          <cell r="Q198">
            <v>0</v>
          </cell>
          <cell r="R198">
            <v>0</v>
          </cell>
          <cell r="S198">
            <v>0</v>
          </cell>
        </row>
        <row r="199">
          <cell r="Q199">
            <v>0</v>
          </cell>
          <cell r="R199">
            <v>0</v>
          </cell>
          <cell r="S199">
            <v>0</v>
          </cell>
        </row>
        <row r="200">
          <cell r="Q200">
            <v>0</v>
          </cell>
          <cell r="R200">
            <v>0</v>
          </cell>
          <cell r="S200">
            <v>0</v>
          </cell>
        </row>
        <row r="201">
          <cell r="Q201">
            <v>0</v>
          </cell>
          <cell r="R201">
            <v>0</v>
          </cell>
          <cell r="S201">
            <v>0</v>
          </cell>
        </row>
        <row r="202">
          <cell r="Q202">
            <v>0</v>
          </cell>
          <cell r="R202">
            <v>0</v>
          </cell>
          <cell r="S202">
            <v>0</v>
          </cell>
        </row>
        <row r="203">
          <cell r="Q203">
            <v>0</v>
          </cell>
          <cell r="R203">
            <v>0</v>
          </cell>
          <cell r="S203">
            <v>0</v>
          </cell>
        </row>
        <row r="204">
          <cell r="Q204">
            <v>0</v>
          </cell>
          <cell r="R204">
            <v>0</v>
          </cell>
          <cell r="S204">
            <v>0</v>
          </cell>
        </row>
        <row r="205">
          <cell r="Q205">
            <v>0</v>
          </cell>
          <cell r="R205">
            <v>0</v>
          </cell>
          <cell r="S205">
            <v>0</v>
          </cell>
        </row>
        <row r="206">
          <cell r="Q206">
            <v>0</v>
          </cell>
          <cell r="R206">
            <v>0</v>
          </cell>
          <cell r="S206">
            <v>0</v>
          </cell>
        </row>
        <row r="207">
          <cell r="Q207">
            <v>0</v>
          </cell>
          <cell r="R207">
            <v>0</v>
          </cell>
          <cell r="S207">
            <v>0</v>
          </cell>
        </row>
        <row r="208">
          <cell r="Q208">
            <v>0</v>
          </cell>
          <cell r="R208">
            <v>0</v>
          </cell>
          <cell r="S208">
            <v>0</v>
          </cell>
        </row>
        <row r="209">
          <cell r="Q209">
            <v>0</v>
          </cell>
          <cell r="R209">
            <v>0</v>
          </cell>
          <cell r="S209">
            <v>0</v>
          </cell>
        </row>
        <row r="210">
          <cell r="Q210">
            <v>0</v>
          </cell>
          <cell r="R210">
            <v>0</v>
          </cell>
          <cell r="S210">
            <v>0</v>
          </cell>
        </row>
        <row r="211">
          <cell r="Q211">
            <v>0</v>
          </cell>
          <cell r="R211">
            <v>0</v>
          </cell>
          <cell r="S211">
            <v>0</v>
          </cell>
        </row>
        <row r="212">
          <cell r="Q212">
            <v>0</v>
          </cell>
          <cell r="R212">
            <v>0</v>
          </cell>
          <cell r="S212">
            <v>0</v>
          </cell>
        </row>
        <row r="213">
          <cell r="Q213">
            <v>0</v>
          </cell>
          <cell r="R213">
            <v>0</v>
          </cell>
          <cell r="S213">
            <v>0</v>
          </cell>
        </row>
        <row r="214">
          <cell r="Q214">
            <v>0</v>
          </cell>
          <cell r="R214">
            <v>0</v>
          </cell>
          <cell r="S214">
            <v>0</v>
          </cell>
        </row>
        <row r="215">
          <cell r="Q215">
            <v>0</v>
          </cell>
          <cell r="R215">
            <v>0</v>
          </cell>
          <cell r="S215">
            <v>0</v>
          </cell>
        </row>
        <row r="216">
          <cell r="Q216">
            <v>0</v>
          </cell>
          <cell r="R216">
            <v>0</v>
          </cell>
          <cell r="S216">
            <v>0</v>
          </cell>
        </row>
        <row r="217">
          <cell r="Q217">
            <v>0</v>
          </cell>
          <cell r="R217">
            <v>0</v>
          </cell>
          <cell r="S217">
            <v>0</v>
          </cell>
        </row>
        <row r="218">
          <cell r="Q218">
            <v>0</v>
          </cell>
          <cell r="R218">
            <v>0</v>
          </cell>
          <cell r="S218">
            <v>0</v>
          </cell>
        </row>
        <row r="219">
          <cell r="Q219">
            <v>0</v>
          </cell>
          <cell r="R219">
            <v>0</v>
          </cell>
          <cell r="S219">
            <v>0</v>
          </cell>
        </row>
        <row r="220">
          <cell r="Q220">
            <v>0</v>
          </cell>
          <cell r="R220">
            <v>0</v>
          </cell>
          <cell r="S220">
            <v>0</v>
          </cell>
        </row>
        <row r="221">
          <cell r="Q221">
            <v>0</v>
          </cell>
          <cell r="R221">
            <v>0</v>
          </cell>
          <cell r="S221">
            <v>0</v>
          </cell>
        </row>
        <row r="222">
          <cell r="Q222">
            <v>0</v>
          </cell>
          <cell r="R222">
            <v>0</v>
          </cell>
          <cell r="S222">
            <v>0</v>
          </cell>
        </row>
        <row r="223">
          <cell r="Q223">
            <v>0</v>
          </cell>
          <cell r="R223">
            <v>0</v>
          </cell>
          <cell r="S223">
            <v>0</v>
          </cell>
        </row>
        <row r="224">
          <cell r="Q224">
            <v>0</v>
          </cell>
          <cell r="R224">
            <v>0</v>
          </cell>
          <cell r="S224">
            <v>0</v>
          </cell>
        </row>
        <row r="225">
          <cell r="Q225">
            <v>0</v>
          </cell>
          <cell r="R225">
            <v>0</v>
          </cell>
          <cell r="S225">
            <v>0</v>
          </cell>
        </row>
        <row r="226">
          <cell r="Q226">
            <v>0</v>
          </cell>
          <cell r="R226">
            <v>0</v>
          </cell>
          <cell r="S226">
            <v>0</v>
          </cell>
        </row>
        <row r="227">
          <cell r="Q227">
            <v>0</v>
          </cell>
          <cell r="R227">
            <v>0</v>
          </cell>
          <cell r="S227">
            <v>0</v>
          </cell>
        </row>
        <row r="228">
          <cell r="Q228">
            <v>0</v>
          </cell>
          <cell r="R228">
            <v>0</v>
          </cell>
          <cell r="S228">
            <v>0</v>
          </cell>
        </row>
        <row r="229">
          <cell r="Q229">
            <v>0</v>
          </cell>
          <cell r="R229">
            <v>0</v>
          </cell>
          <cell r="S229">
            <v>0</v>
          </cell>
        </row>
        <row r="230">
          <cell r="Q230">
            <v>0</v>
          </cell>
          <cell r="R230">
            <v>0</v>
          </cell>
          <cell r="S230">
            <v>0</v>
          </cell>
        </row>
        <row r="231">
          <cell r="Q231">
            <v>0</v>
          </cell>
          <cell r="R231">
            <v>0</v>
          </cell>
          <cell r="S231">
            <v>0</v>
          </cell>
        </row>
        <row r="232">
          <cell r="Q232">
            <v>0</v>
          </cell>
          <cell r="R232">
            <v>0</v>
          </cell>
          <cell r="S232">
            <v>0</v>
          </cell>
        </row>
        <row r="233">
          <cell r="Q233">
            <v>0</v>
          </cell>
          <cell r="R233">
            <v>0</v>
          </cell>
          <cell r="S233">
            <v>0</v>
          </cell>
        </row>
        <row r="234">
          <cell r="Q234">
            <v>0</v>
          </cell>
          <cell r="R234">
            <v>0</v>
          </cell>
          <cell r="S234">
            <v>0</v>
          </cell>
        </row>
        <row r="235">
          <cell r="Q235">
            <v>0</v>
          </cell>
          <cell r="R235">
            <v>0</v>
          </cell>
          <cell r="S235">
            <v>0</v>
          </cell>
        </row>
        <row r="236">
          <cell r="Q236">
            <v>0</v>
          </cell>
          <cell r="R236">
            <v>0</v>
          </cell>
          <cell r="S236">
            <v>0</v>
          </cell>
        </row>
        <row r="237">
          <cell r="Q237">
            <v>0</v>
          </cell>
          <cell r="R237">
            <v>0</v>
          </cell>
          <cell r="S237">
            <v>0</v>
          </cell>
        </row>
        <row r="238">
          <cell r="Q238">
            <v>0</v>
          </cell>
          <cell r="R238">
            <v>0</v>
          </cell>
          <cell r="S238">
            <v>0</v>
          </cell>
        </row>
        <row r="239">
          <cell r="Q239">
            <v>0</v>
          </cell>
          <cell r="R239">
            <v>0</v>
          </cell>
          <cell r="S239">
            <v>0</v>
          </cell>
        </row>
        <row r="240">
          <cell r="Q240">
            <v>0</v>
          </cell>
          <cell r="R240">
            <v>0</v>
          </cell>
          <cell r="S240">
            <v>0</v>
          </cell>
        </row>
        <row r="241">
          <cell r="Q241">
            <v>0</v>
          </cell>
          <cell r="R241">
            <v>0</v>
          </cell>
          <cell r="S241">
            <v>0</v>
          </cell>
        </row>
        <row r="242">
          <cell r="Q242">
            <v>0</v>
          </cell>
          <cell r="R242">
            <v>0</v>
          </cell>
          <cell r="S242">
            <v>0</v>
          </cell>
        </row>
        <row r="243">
          <cell r="Q243">
            <v>0</v>
          </cell>
          <cell r="R243">
            <v>0</v>
          </cell>
          <cell r="S243">
            <v>0</v>
          </cell>
        </row>
        <row r="244">
          <cell r="Q244">
            <v>0</v>
          </cell>
          <cell r="R244">
            <v>0</v>
          </cell>
          <cell r="S244">
            <v>0</v>
          </cell>
        </row>
        <row r="245">
          <cell r="Q245">
            <v>0</v>
          </cell>
          <cell r="R245">
            <v>0</v>
          </cell>
          <cell r="S245">
            <v>0</v>
          </cell>
        </row>
        <row r="246">
          <cell r="Q246">
            <v>0</v>
          </cell>
          <cell r="R246">
            <v>0</v>
          </cell>
          <cell r="S246">
            <v>0</v>
          </cell>
        </row>
        <row r="247">
          <cell r="Q247">
            <v>0</v>
          </cell>
          <cell r="R247">
            <v>0</v>
          </cell>
          <cell r="S247">
            <v>0</v>
          </cell>
        </row>
        <row r="248">
          <cell r="Q248">
            <v>0</v>
          </cell>
          <cell r="R248">
            <v>0</v>
          </cell>
          <cell r="S248">
            <v>0</v>
          </cell>
        </row>
        <row r="249">
          <cell r="Q249">
            <v>0</v>
          </cell>
          <cell r="R249">
            <v>0</v>
          </cell>
          <cell r="S249">
            <v>0</v>
          </cell>
        </row>
        <row r="250">
          <cell r="Q250">
            <v>0</v>
          </cell>
          <cell r="R250">
            <v>0</v>
          </cell>
          <cell r="S250">
            <v>0</v>
          </cell>
        </row>
        <row r="251">
          <cell r="Q251">
            <v>0</v>
          </cell>
          <cell r="R251">
            <v>0</v>
          </cell>
          <cell r="S251">
            <v>0</v>
          </cell>
        </row>
        <row r="252">
          <cell r="Q252">
            <v>0</v>
          </cell>
          <cell r="R252">
            <v>0</v>
          </cell>
          <cell r="S252">
            <v>0</v>
          </cell>
        </row>
        <row r="253">
          <cell r="Q253">
            <v>0</v>
          </cell>
          <cell r="R253">
            <v>0</v>
          </cell>
          <cell r="S253">
            <v>0</v>
          </cell>
        </row>
        <row r="254">
          <cell r="Q254">
            <v>0</v>
          </cell>
          <cell r="R254">
            <v>0</v>
          </cell>
          <cell r="S254">
            <v>0</v>
          </cell>
        </row>
        <row r="255">
          <cell r="Q255">
            <v>0</v>
          </cell>
          <cell r="R255">
            <v>0</v>
          </cell>
          <cell r="S255">
            <v>0</v>
          </cell>
        </row>
        <row r="256">
          <cell r="Q256">
            <v>0</v>
          </cell>
          <cell r="R256">
            <v>0</v>
          </cell>
          <cell r="S256">
            <v>0</v>
          </cell>
        </row>
        <row r="257">
          <cell r="Q257">
            <v>0</v>
          </cell>
          <cell r="R257">
            <v>0</v>
          </cell>
          <cell r="S257">
            <v>0</v>
          </cell>
        </row>
        <row r="258">
          <cell r="Q258">
            <v>0</v>
          </cell>
          <cell r="R258">
            <v>0</v>
          </cell>
          <cell r="S258">
            <v>0</v>
          </cell>
        </row>
        <row r="259">
          <cell r="Q259">
            <v>0</v>
          </cell>
          <cell r="R259">
            <v>0</v>
          </cell>
          <cell r="S259">
            <v>0</v>
          </cell>
        </row>
        <row r="260">
          <cell r="Q260">
            <v>0</v>
          </cell>
          <cell r="R260">
            <v>0</v>
          </cell>
          <cell r="S260">
            <v>0</v>
          </cell>
        </row>
        <row r="261">
          <cell r="Q261">
            <v>0</v>
          </cell>
          <cell r="R261">
            <v>0</v>
          </cell>
          <cell r="S261">
            <v>0</v>
          </cell>
        </row>
        <row r="262">
          <cell r="Q262">
            <v>0</v>
          </cell>
          <cell r="R262">
            <v>0</v>
          </cell>
          <cell r="S262">
            <v>0</v>
          </cell>
        </row>
        <row r="263">
          <cell r="Q263">
            <v>0</v>
          </cell>
          <cell r="R263">
            <v>0</v>
          </cell>
          <cell r="S263">
            <v>0</v>
          </cell>
        </row>
        <row r="264">
          <cell r="Q264">
            <v>0</v>
          </cell>
          <cell r="R264">
            <v>0</v>
          </cell>
          <cell r="S264">
            <v>0</v>
          </cell>
        </row>
        <row r="265">
          <cell r="Q265">
            <v>0</v>
          </cell>
          <cell r="R265">
            <v>0</v>
          </cell>
          <cell r="S265">
            <v>0</v>
          </cell>
        </row>
        <row r="266">
          <cell r="Q266">
            <v>0</v>
          </cell>
          <cell r="R266">
            <v>0</v>
          </cell>
          <cell r="S266">
            <v>0</v>
          </cell>
        </row>
        <row r="267">
          <cell r="Q267">
            <v>0</v>
          </cell>
          <cell r="R267">
            <v>0</v>
          </cell>
          <cell r="S267">
            <v>0</v>
          </cell>
        </row>
        <row r="268">
          <cell r="Q268">
            <v>0</v>
          </cell>
          <cell r="R268">
            <v>0</v>
          </cell>
          <cell r="S268">
            <v>0</v>
          </cell>
        </row>
        <row r="269">
          <cell r="Q269">
            <v>0</v>
          </cell>
          <cell r="R269">
            <v>0</v>
          </cell>
          <cell r="S269">
            <v>0</v>
          </cell>
        </row>
        <row r="270">
          <cell r="Q270">
            <v>0</v>
          </cell>
          <cell r="R270">
            <v>0</v>
          </cell>
          <cell r="S270">
            <v>0</v>
          </cell>
        </row>
        <row r="271">
          <cell r="Q271">
            <v>0</v>
          </cell>
          <cell r="R271">
            <v>0</v>
          </cell>
          <cell r="S271">
            <v>0</v>
          </cell>
        </row>
        <row r="272">
          <cell r="Q272">
            <v>0</v>
          </cell>
          <cell r="R272">
            <v>0</v>
          </cell>
          <cell r="S272">
            <v>0</v>
          </cell>
        </row>
        <row r="273">
          <cell r="Q273">
            <v>0</v>
          </cell>
          <cell r="R273">
            <v>0</v>
          </cell>
          <cell r="S273">
            <v>0</v>
          </cell>
        </row>
        <row r="274">
          <cell r="Q274">
            <v>0</v>
          </cell>
          <cell r="R274">
            <v>0</v>
          </cell>
          <cell r="S274">
            <v>0</v>
          </cell>
        </row>
        <row r="275">
          <cell r="Q275">
            <v>0</v>
          </cell>
          <cell r="R275">
            <v>0</v>
          </cell>
          <cell r="S275">
            <v>0</v>
          </cell>
        </row>
        <row r="276">
          <cell r="Q276">
            <v>0</v>
          </cell>
          <cell r="R276">
            <v>0</v>
          </cell>
          <cell r="S276">
            <v>0</v>
          </cell>
        </row>
        <row r="277">
          <cell r="Q277">
            <v>0</v>
          </cell>
          <cell r="R277">
            <v>0</v>
          </cell>
          <cell r="S277">
            <v>0</v>
          </cell>
        </row>
        <row r="278">
          <cell r="Q278">
            <v>0</v>
          </cell>
          <cell r="R278">
            <v>0</v>
          </cell>
          <cell r="S278">
            <v>0</v>
          </cell>
        </row>
        <row r="279">
          <cell r="Q279">
            <v>0</v>
          </cell>
          <cell r="R279">
            <v>0</v>
          </cell>
          <cell r="S279">
            <v>0</v>
          </cell>
        </row>
        <row r="280">
          <cell r="Q280">
            <v>0</v>
          </cell>
          <cell r="R280">
            <v>0</v>
          </cell>
          <cell r="S280">
            <v>0</v>
          </cell>
        </row>
        <row r="281">
          <cell r="Q281">
            <v>0</v>
          </cell>
          <cell r="R281">
            <v>0</v>
          </cell>
          <cell r="S281">
            <v>0</v>
          </cell>
        </row>
        <row r="282">
          <cell r="Q282">
            <v>0</v>
          </cell>
          <cell r="R282">
            <v>0</v>
          </cell>
          <cell r="S282">
            <v>0</v>
          </cell>
        </row>
        <row r="283">
          <cell r="Q283">
            <v>0</v>
          </cell>
          <cell r="R283">
            <v>0</v>
          </cell>
          <cell r="S283">
            <v>0</v>
          </cell>
        </row>
        <row r="284">
          <cell r="Q284">
            <v>0</v>
          </cell>
          <cell r="R284">
            <v>0</v>
          </cell>
          <cell r="S284">
            <v>0</v>
          </cell>
        </row>
        <row r="285">
          <cell r="Q285">
            <v>0</v>
          </cell>
          <cell r="R285">
            <v>0</v>
          </cell>
          <cell r="S285">
            <v>0</v>
          </cell>
        </row>
        <row r="286">
          <cell r="Q286">
            <v>0</v>
          </cell>
          <cell r="R286">
            <v>0</v>
          </cell>
          <cell r="S286">
            <v>0</v>
          </cell>
        </row>
        <row r="287">
          <cell r="Q287">
            <v>0</v>
          </cell>
          <cell r="R287">
            <v>0</v>
          </cell>
          <cell r="S287">
            <v>0</v>
          </cell>
        </row>
        <row r="288">
          <cell r="Q288">
            <v>0</v>
          </cell>
          <cell r="R288">
            <v>0</v>
          </cell>
          <cell r="S288">
            <v>0</v>
          </cell>
        </row>
        <row r="289">
          <cell r="Q289">
            <v>0</v>
          </cell>
          <cell r="R289">
            <v>0</v>
          </cell>
          <cell r="S289">
            <v>0</v>
          </cell>
        </row>
        <row r="290">
          <cell r="Q290">
            <v>0</v>
          </cell>
          <cell r="R290">
            <v>0</v>
          </cell>
          <cell r="S290">
            <v>0</v>
          </cell>
        </row>
        <row r="291">
          <cell r="Q291">
            <v>0</v>
          </cell>
          <cell r="R291">
            <v>0</v>
          </cell>
          <cell r="S291">
            <v>0</v>
          </cell>
        </row>
        <row r="292">
          <cell r="Q292">
            <v>0</v>
          </cell>
          <cell r="R292">
            <v>0</v>
          </cell>
          <cell r="S292">
            <v>0</v>
          </cell>
        </row>
        <row r="293">
          <cell r="Q293">
            <v>0</v>
          </cell>
          <cell r="R293">
            <v>0</v>
          </cell>
          <cell r="S293">
            <v>0</v>
          </cell>
        </row>
        <row r="294">
          <cell r="Q294">
            <v>0</v>
          </cell>
          <cell r="R294">
            <v>0</v>
          </cell>
          <cell r="S294">
            <v>0</v>
          </cell>
        </row>
        <row r="295">
          <cell r="Q295">
            <v>0</v>
          </cell>
          <cell r="R295">
            <v>0</v>
          </cell>
          <cell r="S295">
            <v>0</v>
          </cell>
        </row>
        <row r="296">
          <cell r="Q296">
            <v>0</v>
          </cell>
          <cell r="R296">
            <v>0</v>
          </cell>
          <cell r="S296">
            <v>0</v>
          </cell>
        </row>
        <row r="297">
          <cell r="Q297">
            <v>0</v>
          </cell>
          <cell r="R297">
            <v>0</v>
          </cell>
          <cell r="S297">
            <v>0</v>
          </cell>
        </row>
        <row r="298">
          <cell r="Q298">
            <v>0</v>
          </cell>
          <cell r="R298">
            <v>0</v>
          </cell>
          <cell r="S298">
            <v>0</v>
          </cell>
        </row>
        <row r="299">
          <cell r="Q299">
            <v>0</v>
          </cell>
          <cell r="R299">
            <v>0</v>
          </cell>
          <cell r="S299">
            <v>0</v>
          </cell>
        </row>
        <row r="300">
          <cell r="Q300">
            <v>0</v>
          </cell>
          <cell r="R300">
            <v>0</v>
          </cell>
          <cell r="S300">
            <v>0</v>
          </cell>
        </row>
      </sheetData>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NU"/>
      <sheetName val="Conf-Servicios"/>
      <sheetName val="CyE(D)"/>
      <sheetName val="CyE($)"/>
      <sheetName val="RESUMEN (CyE)"/>
      <sheetName val="RESUMEN ($)"/>
    </sheetNames>
    <sheetDataSet>
      <sheetData sheetId="0" refreshError="1"/>
      <sheetData sheetId="1">
        <row r="3">
          <cell r="S3" t="str">
            <v>NC</v>
          </cell>
        </row>
        <row r="4">
          <cell r="S4" t="str">
            <v>NC</v>
          </cell>
        </row>
        <row r="5">
          <cell r="S5" t="str">
            <v>NC</v>
          </cell>
        </row>
        <row r="6">
          <cell r="S6" t="str">
            <v>NC</v>
          </cell>
        </row>
        <row r="7">
          <cell r="S7" t="str">
            <v>NC</v>
          </cell>
        </row>
        <row r="8">
          <cell r="S8" t="str">
            <v>NC</v>
          </cell>
        </row>
        <row r="9">
          <cell r="S9" t="str">
            <v>NC</v>
          </cell>
        </row>
        <row r="10">
          <cell r="S10" t="str">
            <v>NC</v>
          </cell>
        </row>
        <row r="11">
          <cell r="S11" t="str">
            <v>NC</v>
          </cell>
        </row>
        <row r="12">
          <cell r="S12" t="str">
            <v>NC</v>
          </cell>
        </row>
        <row r="13">
          <cell r="S13" t="str">
            <v>NC</v>
          </cell>
        </row>
        <row r="14">
          <cell r="S14" t="str">
            <v>NC</v>
          </cell>
        </row>
        <row r="15">
          <cell r="S15" t="str">
            <v>NC</v>
          </cell>
        </row>
        <row r="16">
          <cell r="S16" t="str">
            <v>NC</v>
          </cell>
        </row>
        <row r="17">
          <cell r="S17" t="str">
            <v>NC</v>
          </cell>
        </row>
        <row r="18">
          <cell r="S18" t="str">
            <v>NC</v>
          </cell>
        </row>
        <row r="19">
          <cell r="S19" t="str">
            <v>NC</v>
          </cell>
        </row>
        <row r="20">
          <cell r="S20" t="str">
            <v>NC</v>
          </cell>
        </row>
        <row r="21">
          <cell r="S21" t="str">
            <v>NC</v>
          </cell>
        </row>
        <row r="22">
          <cell r="S22" t="str">
            <v>NC</v>
          </cell>
        </row>
        <row r="23">
          <cell r="S23" t="str">
            <v>NC</v>
          </cell>
        </row>
        <row r="24">
          <cell r="S24" t="str">
            <v>NC</v>
          </cell>
        </row>
        <row r="25">
          <cell r="S25" t="str">
            <v>NC</v>
          </cell>
        </row>
        <row r="26">
          <cell r="S26" t="str">
            <v>NC</v>
          </cell>
        </row>
        <row r="27">
          <cell r="S27" t="str">
            <v>NC</v>
          </cell>
        </row>
        <row r="28">
          <cell r="S28" t="str">
            <v>NC</v>
          </cell>
        </row>
        <row r="29">
          <cell r="S29" t="str">
            <v>NC</v>
          </cell>
        </row>
        <row r="30">
          <cell r="S30" t="str">
            <v>NC</v>
          </cell>
        </row>
        <row r="31">
          <cell r="S31" t="str">
            <v>NC</v>
          </cell>
        </row>
        <row r="32">
          <cell r="S32" t="str">
            <v>NC</v>
          </cell>
        </row>
        <row r="33">
          <cell r="S33" t="str">
            <v>NC</v>
          </cell>
        </row>
        <row r="34">
          <cell r="S34" t="str">
            <v>NC</v>
          </cell>
        </row>
        <row r="35">
          <cell r="S35" t="str">
            <v>NC</v>
          </cell>
        </row>
        <row r="36">
          <cell r="S36" t="str">
            <v>NC</v>
          </cell>
        </row>
        <row r="37">
          <cell r="S37" t="str">
            <v>NC</v>
          </cell>
        </row>
        <row r="38">
          <cell r="S38" t="str">
            <v>NC</v>
          </cell>
        </row>
        <row r="39">
          <cell r="S39" t="str">
            <v>NC</v>
          </cell>
        </row>
        <row r="40">
          <cell r="S40" t="str">
            <v>NC</v>
          </cell>
        </row>
        <row r="41">
          <cell r="S41" t="str">
            <v>NC</v>
          </cell>
        </row>
        <row r="42">
          <cell r="S42" t="str">
            <v>NC</v>
          </cell>
        </row>
        <row r="43">
          <cell r="S43" t="str">
            <v>NC</v>
          </cell>
        </row>
        <row r="44">
          <cell r="S44" t="str">
            <v>NC</v>
          </cell>
        </row>
        <row r="45">
          <cell r="S45" t="str">
            <v>NC</v>
          </cell>
        </row>
        <row r="46">
          <cell r="S46" t="str">
            <v>NC</v>
          </cell>
        </row>
        <row r="47">
          <cell r="S47" t="str">
            <v>NC</v>
          </cell>
        </row>
        <row r="48">
          <cell r="S48" t="str">
            <v>NC</v>
          </cell>
        </row>
        <row r="49">
          <cell r="S49" t="str">
            <v>NC</v>
          </cell>
        </row>
        <row r="50">
          <cell r="S50" t="str">
            <v>NC</v>
          </cell>
        </row>
        <row r="51">
          <cell r="S51" t="str">
            <v>NC</v>
          </cell>
        </row>
        <row r="52">
          <cell r="S52" t="str">
            <v/>
          </cell>
        </row>
        <row r="53">
          <cell r="S53" t="str">
            <v/>
          </cell>
        </row>
        <row r="54">
          <cell r="S54" t="str">
            <v/>
          </cell>
        </row>
        <row r="55">
          <cell r="S55" t="str">
            <v/>
          </cell>
        </row>
        <row r="56">
          <cell r="S56" t="str">
            <v/>
          </cell>
        </row>
        <row r="57">
          <cell r="S57" t="str">
            <v/>
          </cell>
        </row>
        <row r="58">
          <cell r="S58" t="str">
            <v/>
          </cell>
        </row>
        <row r="59">
          <cell r="S59" t="str">
            <v/>
          </cell>
        </row>
        <row r="60">
          <cell r="S60" t="str">
            <v/>
          </cell>
        </row>
        <row r="61">
          <cell r="S61" t="str">
            <v/>
          </cell>
        </row>
        <row r="62">
          <cell r="S62" t="str">
            <v/>
          </cell>
        </row>
        <row r="63">
          <cell r="S63" t="str">
            <v/>
          </cell>
        </row>
        <row r="64">
          <cell r="S64" t="str">
            <v/>
          </cell>
        </row>
        <row r="65">
          <cell r="S65" t="str">
            <v/>
          </cell>
        </row>
        <row r="66">
          <cell r="S66" t="str">
            <v/>
          </cell>
        </row>
        <row r="67">
          <cell r="S67" t="str">
            <v/>
          </cell>
        </row>
        <row r="68">
          <cell r="S68" t="str">
            <v/>
          </cell>
        </row>
        <row r="69">
          <cell r="S69" t="str">
            <v/>
          </cell>
        </row>
        <row r="70">
          <cell r="S70" t="str">
            <v/>
          </cell>
        </row>
        <row r="71">
          <cell r="S71" t="str">
            <v/>
          </cell>
        </row>
        <row r="72">
          <cell r="S72" t="str">
            <v/>
          </cell>
        </row>
        <row r="73">
          <cell r="S73" t="str">
            <v/>
          </cell>
        </row>
        <row r="74">
          <cell r="S74" t="str">
            <v/>
          </cell>
        </row>
        <row r="75">
          <cell r="S75" t="str">
            <v/>
          </cell>
        </row>
        <row r="76">
          <cell r="S76" t="str">
            <v/>
          </cell>
        </row>
        <row r="77">
          <cell r="S77" t="str">
            <v/>
          </cell>
        </row>
        <row r="78">
          <cell r="S78" t="str">
            <v/>
          </cell>
        </row>
        <row r="79">
          <cell r="S79" t="str">
            <v/>
          </cell>
        </row>
        <row r="80">
          <cell r="S80" t="str">
            <v/>
          </cell>
        </row>
        <row r="81">
          <cell r="S81" t="str">
            <v/>
          </cell>
        </row>
        <row r="82">
          <cell r="S82" t="str">
            <v/>
          </cell>
        </row>
        <row r="83">
          <cell r="S83" t="str">
            <v/>
          </cell>
        </row>
        <row r="84">
          <cell r="S84" t="str">
            <v/>
          </cell>
        </row>
        <row r="85">
          <cell r="S85" t="str">
            <v/>
          </cell>
        </row>
        <row r="86">
          <cell r="S86" t="str">
            <v/>
          </cell>
        </row>
        <row r="87">
          <cell r="S87" t="str">
            <v/>
          </cell>
        </row>
        <row r="88">
          <cell r="S88" t="str">
            <v/>
          </cell>
        </row>
        <row r="89">
          <cell r="S89" t="str">
            <v/>
          </cell>
        </row>
        <row r="90">
          <cell r="S90" t="str">
            <v/>
          </cell>
        </row>
        <row r="91">
          <cell r="S91" t="str">
            <v/>
          </cell>
        </row>
        <row r="92">
          <cell r="S92" t="str">
            <v/>
          </cell>
        </row>
        <row r="93">
          <cell r="S93" t="str">
            <v/>
          </cell>
        </row>
        <row r="94">
          <cell r="S94" t="str">
            <v/>
          </cell>
        </row>
        <row r="95">
          <cell r="S95" t="str">
            <v/>
          </cell>
        </row>
        <row r="96">
          <cell r="S96" t="str">
            <v/>
          </cell>
        </row>
        <row r="97">
          <cell r="S97" t="str">
            <v/>
          </cell>
        </row>
        <row r="98">
          <cell r="S98" t="str">
            <v/>
          </cell>
        </row>
        <row r="99">
          <cell r="S99" t="str">
            <v/>
          </cell>
        </row>
        <row r="100">
          <cell r="S100" t="str">
            <v/>
          </cell>
        </row>
        <row r="101">
          <cell r="S101" t="str">
            <v/>
          </cell>
        </row>
        <row r="102">
          <cell r="S102" t="str">
            <v/>
          </cell>
        </row>
        <row r="103">
          <cell r="S103" t="str">
            <v/>
          </cell>
        </row>
        <row r="104">
          <cell r="S104" t="str">
            <v/>
          </cell>
        </row>
        <row r="105">
          <cell r="S105" t="str">
            <v/>
          </cell>
        </row>
        <row r="106">
          <cell r="S106" t="str">
            <v/>
          </cell>
        </row>
        <row r="107">
          <cell r="S107" t="str">
            <v/>
          </cell>
        </row>
        <row r="108">
          <cell r="S108" t="str">
            <v/>
          </cell>
        </row>
        <row r="109">
          <cell r="S109" t="str">
            <v/>
          </cell>
        </row>
        <row r="110">
          <cell r="S110" t="str">
            <v/>
          </cell>
        </row>
        <row r="111">
          <cell r="S111" t="str">
            <v/>
          </cell>
        </row>
        <row r="112">
          <cell r="S112" t="str">
            <v/>
          </cell>
        </row>
        <row r="113">
          <cell r="S113" t="str">
            <v/>
          </cell>
        </row>
        <row r="114">
          <cell r="S114" t="str">
            <v/>
          </cell>
        </row>
        <row r="115">
          <cell r="S115" t="str">
            <v/>
          </cell>
        </row>
        <row r="116">
          <cell r="S116" t="str">
            <v/>
          </cell>
        </row>
        <row r="117">
          <cell r="S117" t="str">
            <v/>
          </cell>
        </row>
        <row r="118">
          <cell r="S118" t="str">
            <v/>
          </cell>
        </row>
        <row r="119">
          <cell r="S119" t="str">
            <v/>
          </cell>
        </row>
        <row r="120">
          <cell r="S120" t="str">
            <v/>
          </cell>
        </row>
        <row r="121">
          <cell r="S121" t="str">
            <v/>
          </cell>
        </row>
        <row r="122">
          <cell r="S122" t="str">
            <v/>
          </cell>
        </row>
        <row r="123">
          <cell r="S123" t="str">
            <v/>
          </cell>
        </row>
        <row r="124">
          <cell r="S124" t="str">
            <v/>
          </cell>
        </row>
        <row r="125">
          <cell r="S125" t="str">
            <v/>
          </cell>
        </row>
        <row r="126">
          <cell r="S126" t="str">
            <v/>
          </cell>
        </row>
        <row r="127">
          <cell r="S127" t="str">
            <v/>
          </cell>
        </row>
        <row r="128">
          <cell r="S128" t="str">
            <v/>
          </cell>
        </row>
        <row r="129">
          <cell r="S129" t="str">
            <v/>
          </cell>
        </row>
        <row r="130">
          <cell r="S130" t="str">
            <v/>
          </cell>
        </row>
        <row r="131">
          <cell r="S131" t="str">
            <v/>
          </cell>
        </row>
        <row r="132">
          <cell r="S132" t="str">
            <v/>
          </cell>
        </row>
        <row r="133">
          <cell r="S133" t="str">
            <v/>
          </cell>
        </row>
        <row r="134">
          <cell r="S134" t="str">
            <v/>
          </cell>
        </row>
        <row r="135">
          <cell r="S135" t="str">
            <v/>
          </cell>
        </row>
        <row r="136">
          <cell r="S136" t="str">
            <v/>
          </cell>
        </row>
        <row r="137">
          <cell r="S137" t="str">
            <v/>
          </cell>
        </row>
        <row r="138">
          <cell r="S138" t="str">
            <v/>
          </cell>
        </row>
        <row r="139">
          <cell r="S139" t="str">
            <v/>
          </cell>
        </row>
        <row r="140">
          <cell r="S140" t="str">
            <v/>
          </cell>
        </row>
        <row r="141">
          <cell r="S141" t="str">
            <v/>
          </cell>
        </row>
        <row r="142">
          <cell r="S142" t="str">
            <v/>
          </cell>
        </row>
        <row r="143">
          <cell r="S143" t="str">
            <v/>
          </cell>
        </row>
        <row r="144">
          <cell r="S144" t="str">
            <v/>
          </cell>
        </row>
        <row r="145">
          <cell r="S145" t="str">
            <v/>
          </cell>
        </row>
        <row r="146">
          <cell r="S146" t="str">
            <v/>
          </cell>
        </row>
        <row r="147">
          <cell r="S147" t="str">
            <v/>
          </cell>
        </row>
        <row r="148">
          <cell r="S148" t="str">
            <v/>
          </cell>
        </row>
        <row r="149">
          <cell r="S149" t="str">
            <v/>
          </cell>
        </row>
        <row r="150">
          <cell r="S150" t="str">
            <v/>
          </cell>
        </row>
        <row r="151">
          <cell r="S151" t="str">
            <v/>
          </cell>
        </row>
        <row r="152">
          <cell r="S152" t="str">
            <v/>
          </cell>
        </row>
        <row r="153">
          <cell r="S153" t="str">
            <v/>
          </cell>
        </row>
        <row r="154">
          <cell r="S154" t="str">
            <v/>
          </cell>
        </row>
        <row r="155">
          <cell r="S155" t="str">
            <v/>
          </cell>
        </row>
        <row r="156">
          <cell r="S156" t="str">
            <v/>
          </cell>
        </row>
        <row r="157">
          <cell r="S157" t="str">
            <v/>
          </cell>
        </row>
        <row r="158">
          <cell r="S158" t="str">
            <v/>
          </cell>
        </row>
        <row r="159">
          <cell r="S159" t="str">
            <v/>
          </cell>
        </row>
        <row r="160">
          <cell r="S160" t="str">
            <v/>
          </cell>
        </row>
        <row r="161">
          <cell r="S161" t="str">
            <v/>
          </cell>
        </row>
        <row r="162">
          <cell r="S162" t="str">
            <v/>
          </cell>
        </row>
        <row r="163">
          <cell r="S163" t="str">
            <v/>
          </cell>
        </row>
        <row r="164">
          <cell r="S164" t="str">
            <v/>
          </cell>
        </row>
        <row r="165">
          <cell r="S165" t="str">
            <v/>
          </cell>
        </row>
        <row r="166">
          <cell r="S166" t="str">
            <v/>
          </cell>
        </row>
        <row r="167">
          <cell r="S167" t="str">
            <v/>
          </cell>
        </row>
        <row r="168">
          <cell r="S168" t="str">
            <v/>
          </cell>
        </row>
        <row r="169">
          <cell r="S169" t="str">
            <v/>
          </cell>
        </row>
        <row r="170">
          <cell r="S170" t="str">
            <v/>
          </cell>
        </row>
        <row r="171">
          <cell r="S171" t="str">
            <v/>
          </cell>
        </row>
        <row r="172">
          <cell r="S172" t="str">
            <v/>
          </cell>
        </row>
        <row r="173">
          <cell r="S173" t="str">
            <v/>
          </cell>
        </row>
        <row r="174">
          <cell r="S174" t="str">
            <v/>
          </cell>
        </row>
        <row r="175">
          <cell r="S175" t="str">
            <v/>
          </cell>
        </row>
        <row r="176">
          <cell r="S176" t="str">
            <v/>
          </cell>
        </row>
        <row r="177">
          <cell r="S177" t="str">
            <v/>
          </cell>
        </row>
        <row r="178">
          <cell r="S178" t="str">
            <v/>
          </cell>
        </row>
        <row r="179">
          <cell r="S179" t="str">
            <v/>
          </cell>
        </row>
        <row r="180">
          <cell r="S180" t="str">
            <v/>
          </cell>
        </row>
        <row r="181">
          <cell r="S181" t="str">
            <v/>
          </cell>
        </row>
        <row r="182">
          <cell r="S182" t="str">
            <v/>
          </cell>
        </row>
        <row r="183">
          <cell r="S183" t="str">
            <v/>
          </cell>
        </row>
        <row r="184">
          <cell r="S184" t="str">
            <v/>
          </cell>
        </row>
        <row r="185">
          <cell r="S185" t="str">
            <v/>
          </cell>
        </row>
        <row r="186">
          <cell r="S186" t="str">
            <v/>
          </cell>
        </row>
        <row r="187">
          <cell r="S187" t="str">
            <v/>
          </cell>
        </row>
        <row r="188">
          <cell r="S188" t="str">
            <v/>
          </cell>
        </row>
        <row r="189">
          <cell r="S189" t="str">
            <v/>
          </cell>
        </row>
        <row r="190">
          <cell r="S190" t="str">
            <v/>
          </cell>
        </row>
        <row r="191">
          <cell r="S191" t="str">
            <v/>
          </cell>
        </row>
        <row r="192">
          <cell r="S192" t="str">
            <v/>
          </cell>
        </row>
        <row r="193">
          <cell r="S193" t="str">
            <v/>
          </cell>
        </row>
        <row r="194">
          <cell r="S194" t="str">
            <v/>
          </cell>
        </row>
        <row r="195">
          <cell r="S195" t="str">
            <v/>
          </cell>
        </row>
        <row r="196">
          <cell r="S196" t="str">
            <v/>
          </cell>
        </row>
        <row r="197">
          <cell r="S197" t="str">
            <v/>
          </cell>
        </row>
        <row r="198">
          <cell r="S198" t="str">
            <v/>
          </cell>
        </row>
        <row r="199">
          <cell r="S199" t="str">
            <v/>
          </cell>
        </row>
        <row r="200">
          <cell r="S200" t="str">
            <v/>
          </cell>
        </row>
        <row r="201">
          <cell r="S201" t="str">
            <v/>
          </cell>
        </row>
        <row r="202">
          <cell r="S202" t="str">
            <v/>
          </cell>
        </row>
        <row r="203">
          <cell r="S203" t="str">
            <v/>
          </cell>
        </row>
        <row r="204">
          <cell r="S204" t="str">
            <v/>
          </cell>
        </row>
        <row r="205">
          <cell r="S205" t="str">
            <v/>
          </cell>
        </row>
        <row r="206">
          <cell r="S206" t="str">
            <v/>
          </cell>
        </row>
        <row r="207">
          <cell r="S207" t="str">
            <v/>
          </cell>
        </row>
        <row r="208">
          <cell r="S208" t="str">
            <v/>
          </cell>
        </row>
        <row r="209">
          <cell r="S209" t="str">
            <v/>
          </cell>
        </row>
        <row r="210">
          <cell r="S210" t="str">
            <v/>
          </cell>
        </row>
        <row r="211">
          <cell r="S211" t="str">
            <v/>
          </cell>
        </row>
        <row r="212">
          <cell r="S212" t="str">
            <v/>
          </cell>
        </row>
        <row r="213">
          <cell r="S213" t="str">
            <v/>
          </cell>
        </row>
        <row r="214">
          <cell r="S214" t="str">
            <v/>
          </cell>
        </row>
        <row r="215">
          <cell r="S215" t="str">
            <v/>
          </cell>
        </row>
        <row r="216">
          <cell r="S216" t="str">
            <v/>
          </cell>
        </row>
        <row r="217">
          <cell r="S217" t="str">
            <v/>
          </cell>
        </row>
        <row r="218">
          <cell r="S218" t="str">
            <v/>
          </cell>
        </row>
        <row r="219">
          <cell r="S219" t="str">
            <v/>
          </cell>
        </row>
        <row r="220">
          <cell r="S220" t="str">
            <v/>
          </cell>
        </row>
        <row r="221">
          <cell r="S221" t="str">
            <v/>
          </cell>
        </row>
        <row r="222">
          <cell r="S222" t="str">
            <v/>
          </cell>
        </row>
        <row r="223">
          <cell r="S223" t="str">
            <v/>
          </cell>
        </row>
        <row r="224">
          <cell r="S224" t="str">
            <v/>
          </cell>
        </row>
        <row r="225">
          <cell r="S225" t="str">
            <v/>
          </cell>
        </row>
        <row r="226">
          <cell r="S226" t="str">
            <v/>
          </cell>
        </row>
        <row r="227">
          <cell r="S227" t="str">
            <v/>
          </cell>
        </row>
        <row r="228">
          <cell r="S228" t="str">
            <v/>
          </cell>
        </row>
        <row r="229">
          <cell r="S229" t="str">
            <v/>
          </cell>
        </row>
        <row r="230">
          <cell r="S230" t="str">
            <v/>
          </cell>
        </row>
        <row r="231">
          <cell r="S231" t="str">
            <v/>
          </cell>
        </row>
        <row r="232">
          <cell r="S232" t="str">
            <v/>
          </cell>
        </row>
        <row r="233">
          <cell r="S233" t="str">
            <v/>
          </cell>
        </row>
        <row r="234">
          <cell r="S234" t="str">
            <v/>
          </cell>
        </row>
        <row r="235">
          <cell r="S235" t="str">
            <v/>
          </cell>
        </row>
        <row r="236">
          <cell r="S236" t="str">
            <v/>
          </cell>
        </row>
        <row r="237">
          <cell r="S237" t="str">
            <v/>
          </cell>
        </row>
        <row r="238">
          <cell r="S238" t="str">
            <v/>
          </cell>
        </row>
        <row r="239">
          <cell r="S239" t="str">
            <v/>
          </cell>
        </row>
        <row r="240">
          <cell r="S240" t="str">
            <v/>
          </cell>
        </row>
        <row r="241">
          <cell r="S241" t="str">
            <v/>
          </cell>
        </row>
        <row r="242">
          <cell r="S242" t="str">
            <v/>
          </cell>
        </row>
        <row r="243">
          <cell r="S243" t="str">
            <v/>
          </cell>
        </row>
        <row r="244">
          <cell r="S244" t="str">
            <v/>
          </cell>
        </row>
        <row r="245">
          <cell r="S245" t="str">
            <v/>
          </cell>
        </row>
        <row r="246">
          <cell r="S246" t="str">
            <v/>
          </cell>
        </row>
        <row r="247">
          <cell r="S247" t="str">
            <v/>
          </cell>
        </row>
        <row r="248">
          <cell r="S248" t="str">
            <v/>
          </cell>
        </row>
        <row r="249">
          <cell r="S249" t="str">
            <v/>
          </cell>
        </row>
        <row r="250">
          <cell r="S250" t="str">
            <v/>
          </cell>
        </row>
        <row r="251">
          <cell r="S251" t="str">
            <v/>
          </cell>
        </row>
        <row r="252">
          <cell r="S252" t="str">
            <v/>
          </cell>
        </row>
        <row r="253">
          <cell r="S253" t="str">
            <v/>
          </cell>
        </row>
        <row r="254">
          <cell r="S254" t="str">
            <v/>
          </cell>
        </row>
        <row r="255">
          <cell r="S255" t="str">
            <v/>
          </cell>
        </row>
        <row r="256">
          <cell r="S256" t="str">
            <v/>
          </cell>
        </row>
        <row r="257">
          <cell r="S257" t="str">
            <v/>
          </cell>
        </row>
        <row r="258">
          <cell r="S258" t="str">
            <v/>
          </cell>
        </row>
        <row r="259">
          <cell r="S259" t="str">
            <v/>
          </cell>
        </row>
        <row r="260">
          <cell r="S260" t="str">
            <v/>
          </cell>
        </row>
        <row r="261">
          <cell r="S261" t="str">
            <v/>
          </cell>
        </row>
        <row r="262">
          <cell r="S262" t="str">
            <v/>
          </cell>
        </row>
        <row r="263">
          <cell r="S263" t="str">
            <v/>
          </cell>
        </row>
        <row r="264">
          <cell r="S264" t="str">
            <v/>
          </cell>
        </row>
        <row r="265">
          <cell r="S265" t="str">
            <v/>
          </cell>
        </row>
        <row r="266">
          <cell r="S266" t="str">
            <v/>
          </cell>
        </row>
        <row r="267">
          <cell r="S267" t="str">
            <v/>
          </cell>
        </row>
        <row r="268">
          <cell r="S268" t="str">
            <v/>
          </cell>
        </row>
        <row r="269">
          <cell r="S269" t="str">
            <v/>
          </cell>
        </row>
        <row r="270">
          <cell r="S270" t="str">
            <v/>
          </cell>
        </row>
        <row r="271">
          <cell r="S271" t="str">
            <v/>
          </cell>
        </row>
        <row r="272">
          <cell r="S272" t="str">
            <v/>
          </cell>
        </row>
        <row r="273">
          <cell r="S273" t="str">
            <v/>
          </cell>
        </row>
        <row r="274">
          <cell r="S274" t="str">
            <v/>
          </cell>
        </row>
        <row r="275">
          <cell r="S275" t="str">
            <v/>
          </cell>
        </row>
        <row r="276">
          <cell r="S276" t="str">
            <v/>
          </cell>
        </row>
        <row r="277">
          <cell r="S277" t="str">
            <v/>
          </cell>
        </row>
        <row r="278">
          <cell r="S278" t="str">
            <v/>
          </cell>
        </row>
        <row r="279">
          <cell r="S279" t="str">
            <v/>
          </cell>
        </row>
        <row r="280">
          <cell r="S280" t="str">
            <v/>
          </cell>
        </row>
        <row r="281">
          <cell r="S281" t="str">
            <v/>
          </cell>
        </row>
        <row r="282">
          <cell r="S282" t="str">
            <v/>
          </cell>
        </row>
        <row r="283">
          <cell r="S283" t="str">
            <v/>
          </cell>
        </row>
        <row r="284">
          <cell r="S284" t="str">
            <v/>
          </cell>
        </row>
        <row r="285">
          <cell r="S285" t="str">
            <v/>
          </cell>
        </row>
        <row r="286">
          <cell r="S286" t="str">
            <v/>
          </cell>
        </row>
        <row r="287">
          <cell r="S287" t="str">
            <v/>
          </cell>
        </row>
        <row r="288">
          <cell r="S288" t="str">
            <v/>
          </cell>
        </row>
        <row r="289">
          <cell r="S289" t="str">
            <v/>
          </cell>
        </row>
        <row r="290">
          <cell r="S290" t="str">
            <v/>
          </cell>
        </row>
        <row r="291">
          <cell r="S291" t="str">
            <v/>
          </cell>
        </row>
        <row r="292">
          <cell r="S292" t="str">
            <v/>
          </cell>
        </row>
        <row r="293">
          <cell r="S293" t="str">
            <v/>
          </cell>
        </row>
        <row r="294">
          <cell r="S294" t="str">
            <v/>
          </cell>
        </row>
        <row r="295">
          <cell r="S295" t="str">
            <v/>
          </cell>
        </row>
        <row r="296">
          <cell r="S296" t="str">
            <v/>
          </cell>
        </row>
        <row r="297">
          <cell r="S297" t="str">
            <v/>
          </cell>
        </row>
        <row r="298">
          <cell r="S298" t="str">
            <v/>
          </cell>
        </row>
        <row r="299">
          <cell r="S299" t="str">
            <v/>
          </cell>
        </row>
        <row r="300">
          <cell r="S300" t="str">
            <v/>
          </cell>
        </row>
      </sheetData>
      <sheetData sheetId="2">
        <row r="3">
          <cell r="EO3">
            <v>1230</v>
          </cell>
          <cell r="EP3">
            <v>0</v>
          </cell>
          <cell r="EQ3">
            <v>0</v>
          </cell>
        </row>
        <row r="4">
          <cell r="EO4">
            <v>0</v>
          </cell>
          <cell r="EP4">
            <v>0</v>
          </cell>
          <cell r="EQ4">
            <v>0</v>
          </cell>
        </row>
        <row r="5">
          <cell r="EO5">
            <v>4.0999999999999996</v>
          </cell>
          <cell r="EP5">
            <v>0</v>
          </cell>
          <cell r="EQ5">
            <v>0</v>
          </cell>
        </row>
        <row r="6">
          <cell r="EO6">
            <v>1.0249999999999999</v>
          </cell>
          <cell r="EP6">
            <v>0</v>
          </cell>
          <cell r="EQ6">
            <v>0</v>
          </cell>
        </row>
        <row r="7">
          <cell r="EO7">
            <v>379.25</v>
          </cell>
          <cell r="EP7">
            <v>0</v>
          </cell>
          <cell r="EQ7">
            <v>0</v>
          </cell>
        </row>
        <row r="8">
          <cell r="EO8">
            <v>0</v>
          </cell>
          <cell r="EP8">
            <v>0</v>
          </cell>
          <cell r="EQ8">
            <v>0</v>
          </cell>
        </row>
        <row r="9">
          <cell r="EO9">
            <v>4.0999999999999996</v>
          </cell>
          <cell r="EP9">
            <v>0</v>
          </cell>
          <cell r="EQ9">
            <v>0</v>
          </cell>
        </row>
        <row r="10">
          <cell r="EO10">
            <v>1.0249999999999999</v>
          </cell>
          <cell r="EP10">
            <v>0</v>
          </cell>
          <cell r="EQ10">
            <v>0</v>
          </cell>
        </row>
        <row r="11">
          <cell r="EO11">
            <v>65.599999999999994</v>
          </cell>
          <cell r="EP11">
            <v>0</v>
          </cell>
          <cell r="EQ11">
            <v>0</v>
          </cell>
        </row>
        <row r="12">
          <cell r="EO12">
            <v>75.849999999999994</v>
          </cell>
          <cell r="EP12">
            <v>0</v>
          </cell>
          <cell r="EQ12">
            <v>0</v>
          </cell>
        </row>
        <row r="13">
          <cell r="EO13">
            <v>2.0499999999999998</v>
          </cell>
          <cell r="EP13">
            <v>0</v>
          </cell>
          <cell r="EQ13">
            <v>0</v>
          </cell>
        </row>
        <row r="14">
          <cell r="EO14">
            <v>5.125</v>
          </cell>
          <cell r="EP14">
            <v>0</v>
          </cell>
          <cell r="EQ14">
            <v>0</v>
          </cell>
        </row>
        <row r="15">
          <cell r="EO15">
            <v>24.6</v>
          </cell>
          <cell r="EP15">
            <v>0</v>
          </cell>
          <cell r="EQ15">
            <v>0</v>
          </cell>
        </row>
        <row r="16">
          <cell r="EO16">
            <v>43.05</v>
          </cell>
          <cell r="EP16">
            <v>0</v>
          </cell>
          <cell r="EQ16">
            <v>0</v>
          </cell>
        </row>
        <row r="17">
          <cell r="EO17">
            <v>29.725000000000001</v>
          </cell>
          <cell r="EP17">
            <v>0</v>
          </cell>
          <cell r="EQ17">
            <v>0</v>
          </cell>
        </row>
        <row r="18">
          <cell r="EO18">
            <v>4.0999999999999996</v>
          </cell>
          <cell r="EP18">
            <v>0</v>
          </cell>
          <cell r="EQ18">
            <v>0</v>
          </cell>
        </row>
        <row r="19">
          <cell r="EO19">
            <v>32.799999999999997</v>
          </cell>
          <cell r="EP19">
            <v>0</v>
          </cell>
          <cell r="EQ19">
            <v>0</v>
          </cell>
        </row>
        <row r="20">
          <cell r="EO20">
            <v>1.0249999999999999</v>
          </cell>
          <cell r="EP20">
            <v>0</v>
          </cell>
          <cell r="EQ20">
            <v>0</v>
          </cell>
        </row>
        <row r="21">
          <cell r="EO21">
            <v>11.275</v>
          </cell>
          <cell r="EP21">
            <v>0</v>
          </cell>
          <cell r="EQ21">
            <v>0</v>
          </cell>
        </row>
        <row r="22">
          <cell r="EO22">
            <v>0</v>
          </cell>
          <cell r="EP22">
            <v>0</v>
          </cell>
          <cell r="EQ22">
            <v>0</v>
          </cell>
        </row>
        <row r="23">
          <cell r="EO23">
            <v>0</v>
          </cell>
          <cell r="EP23">
            <v>0</v>
          </cell>
          <cell r="EQ23">
            <v>0</v>
          </cell>
        </row>
        <row r="24">
          <cell r="EO24">
            <v>0</v>
          </cell>
          <cell r="EP24">
            <v>0</v>
          </cell>
          <cell r="EQ24">
            <v>0</v>
          </cell>
        </row>
        <row r="25">
          <cell r="EO25">
            <v>6.15</v>
          </cell>
          <cell r="EP25">
            <v>0</v>
          </cell>
          <cell r="EQ25">
            <v>0</v>
          </cell>
        </row>
        <row r="26">
          <cell r="EO26">
            <v>1.0249999999999999</v>
          </cell>
          <cell r="EP26">
            <v>0</v>
          </cell>
          <cell r="EQ26">
            <v>1.0249999999999999</v>
          </cell>
        </row>
        <row r="27">
          <cell r="EO27">
            <v>5.125</v>
          </cell>
          <cell r="EP27">
            <v>0</v>
          </cell>
          <cell r="EQ27">
            <v>21.524999999999999</v>
          </cell>
        </row>
        <row r="28">
          <cell r="EO28">
            <v>20.5</v>
          </cell>
          <cell r="EP28">
            <v>0</v>
          </cell>
          <cell r="EQ28">
            <v>26.65</v>
          </cell>
        </row>
        <row r="29">
          <cell r="EO29">
            <v>0</v>
          </cell>
          <cell r="EP29">
            <v>0</v>
          </cell>
          <cell r="EQ29">
            <v>0</v>
          </cell>
        </row>
        <row r="30">
          <cell r="EO30">
            <v>2.0499999999999998</v>
          </cell>
          <cell r="EP30">
            <v>0</v>
          </cell>
          <cell r="EQ30">
            <v>0</v>
          </cell>
        </row>
        <row r="31">
          <cell r="EO31">
            <v>0</v>
          </cell>
          <cell r="EP31">
            <v>0</v>
          </cell>
          <cell r="EQ31">
            <v>0</v>
          </cell>
        </row>
        <row r="32">
          <cell r="EO32">
            <v>0</v>
          </cell>
          <cell r="EP32">
            <v>0</v>
          </cell>
          <cell r="EQ32">
            <v>0</v>
          </cell>
        </row>
        <row r="33">
          <cell r="EO33">
            <v>0</v>
          </cell>
          <cell r="EP33">
            <v>0</v>
          </cell>
          <cell r="EQ33">
            <v>0</v>
          </cell>
        </row>
        <row r="34">
          <cell r="EO34">
            <v>4.0999999999999996</v>
          </cell>
          <cell r="EP34">
            <v>0</v>
          </cell>
          <cell r="EQ34">
            <v>0</v>
          </cell>
        </row>
        <row r="35">
          <cell r="EO35">
            <v>11.275</v>
          </cell>
          <cell r="EP35">
            <v>0</v>
          </cell>
          <cell r="EQ35">
            <v>11.275</v>
          </cell>
        </row>
        <row r="36">
          <cell r="EO36">
            <v>12.3</v>
          </cell>
          <cell r="EP36">
            <v>0</v>
          </cell>
          <cell r="EQ36">
            <v>12.3</v>
          </cell>
        </row>
        <row r="37">
          <cell r="EO37">
            <v>7.1749999999999998</v>
          </cell>
          <cell r="EP37">
            <v>0</v>
          </cell>
          <cell r="EQ37">
            <v>3.0750000000000002</v>
          </cell>
        </row>
        <row r="38">
          <cell r="EO38">
            <v>1.0249999999999999</v>
          </cell>
          <cell r="EP38">
            <v>0</v>
          </cell>
          <cell r="EQ38">
            <v>0</v>
          </cell>
        </row>
        <row r="39">
          <cell r="EO39">
            <v>0</v>
          </cell>
          <cell r="EP39">
            <v>0</v>
          </cell>
          <cell r="EQ39">
            <v>0</v>
          </cell>
        </row>
        <row r="40">
          <cell r="EO40">
            <v>4.0999999999999996</v>
          </cell>
          <cell r="EP40">
            <v>0</v>
          </cell>
          <cell r="EQ40">
            <v>2.0499999999999998</v>
          </cell>
        </row>
        <row r="41">
          <cell r="EO41">
            <v>3.0750000000000002</v>
          </cell>
          <cell r="EP41">
            <v>0</v>
          </cell>
          <cell r="EQ41">
            <v>1.0249999999999999</v>
          </cell>
        </row>
        <row r="42">
          <cell r="EO42">
            <v>0</v>
          </cell>
          <cell r="EP42">
            <v>0</v>
          </cell>
          <cell r="EQ42">
            <v>0</v>
          </cell>
        </row>
        <row r="43">
          <cell r="EO43">
            <v>2.0499999999999998</v>
          </cell>
          <cell r="EP43">
            <v>0</v>
          </cell>
          <cell r="EQ43">
            <v>2.0499999999999998</v>
          </cell>
        </row>
        <row r="44">
          <cell r="EO44">
            <v>4.0999999999999996</v>
          </cell>
          <cell r="EP44">
            <v>0</v>
          </cell>
          <cell r="EQ44">
            <v>1.0249999999999999</v>
          </cell>
        </row>
        <row r="45">
          <cell r="EO45">
            <v>0</v>
          </cell>
          <cell r="EP45">
            <v>0</v>
          </cell>
          <cell r="EQ45">
            <v>0</v>
          </cell>
        </row>
        <row r="46">
          <cell r="EO46">
            <v>0</v>
          </cell>
          <cell r="EP46">
            <v>0</v>
          </cell>
          <cell r="EQ46">
            <v>0</v>
          </cell>
        </row>
        <row r="47">
          <cell r="EO47">
            <v>0</v>
          </cell>
          <cell r="EP47">
            <v>0</v>
          </cell>
          <cell r="EQ47">
            <v>0</v>
          </cell>
        </row>
        <row r="48">
          <cell r="EO48">
            <v>5.125</v>
          </cell>
          <cell r="EP48">
            <v>0</v>
          </cell>
          <cell r="EQ48">
            <v>5.125</v>
          </cell>
        </row>
        <row r="49">
          <cell r="EO49">
            <v>4.0999999999999996</v>
          </cell>
          <cell r="EP49">
            <v>0</v>
          </cell>
          <cell r="EQ49">
            <v>1.0249999999999999</v>
          </cell>
        </row>
        <row r="50">
          <cell r="EO50">
            <v>0</v>
          </cell>
          <cell r="EP50">
            <v>0</v>
          </cell>
          <cell r="EQ50">
            <v>0</v>
          </cell>
        </row>
        <row r="51">
          <cell r="EO51">
            <v>722</v>
          </cell>
          <cell r="EP51">
            <v>0</v>
          </cell>
          <cell r="EQ51">
            <v>19</v>
          </cell>
        </row>
        <row r="52">
          <cell r="EO52">
            <v>0</v>
          </cell>
          <cell r="EP52">
            <v>0</v>
          </cell>
          <cell r="EQ52">
            <v>0</v>
          </cell>
        </row>
        <row r="53">
          <cell r="EO53">
            <v>0</v>
          </cell>
          <cell r="EP53">
            <v>0</v>
          </cell>
          <cell r="EQ53">
            <v>0</v>
          </cell>
        </row>
        <row r="54">
          <cell r="EO54">
            <v>0</v>
          </cell>
          <cell r="EP54">
            <v>0</v>
          </cell>
          <cell r="EQ54">
            <v>0</v>
          </cell>
        </row>
        <row r="55">
          <cell r="EO55">
            <v>0</v>
          </cell>
          <cell r="EP55">
            <v>0</v>
          </cell>
          <cell r="EQ55">
            <v>0</v>
          </cell>
        </row>
        <row r="56">
          <cell r="EO56">
            <v>0</v>
          </cell>
          <cell r="EP56">
            <v>0</v>
          </cell>
          <cell r="EQ56">
            <v>0</v>
          </cell>
        </row>
        <row r="57">
          <cell r="EO57">
            <v>0</v>
          </cell>
          <cell r="EP57">
            <v>0</v>
          </cell>
          <cell r="EQ57">
            <v>0</v>
          </cell>
        </row>
        <row r="58">
          <cell r="EO58">
            <v>0</v>
          </cell>
          <cell r="EP58">
            <v>0</v>
          </cell>
          <cell r="EQ58">
            <v>0</v>
          </cell>
        </row>
        <row r="59">
          <cell r="EO59">
            <v>0</v>
          </cell>
          <cell r="EP59">
            <v>0</v>
          </cell>
          <cell r="EQ59">
            <v>0</v>
          </cell>
        </row>
        <row r="60">
          <cell r="EO60">
            <v>0</v>
          </cell>
          <cell r="EP60">
            <v>0</v>
          </cell>
          <cell r="EQ60">
            <v>0</v>
          </cell>
        </row>
        <row r="61">
          <cell r="EO61">
            <v>0</v>
          </cell>
          <cell r="EP61">
            <v>0</v>
          </cell>
          <cell r="EQ61">
            <v>0</v>
          </cell>
        </row>
        <row r="62">
          <cell r="EO62">
            <v>0</v>
          </cell>
          <cell r="EP62">
            <v>0</v>
          </cell>
          <cell r="EQ62">
            <v>0</v>
          </cell>
        </row>
        <row r="63">
          <cell r="EO63">
            <v>0</v>
          </cell>
          <cell r="EP63">
            <v>0</v>
          </cell>
          <cell r="EQ63">
            <v>0</v>
          </cell>
        </row>
        <row r="64">
          <cell r="EO64">
            <v>0</v>
          </cell>
          <cell r="EP64">
            <v>0</v>
          </cell>
          <cell r="EQ64">
            <v>0</v>
          </cell>
        </row>
        <row r="65">
          <cell r="EO65">
            <v>0</v>
          </cell>
          <cell r="EP65">
            <v>0</v>
          </cell>
          <cell r="EQ65">
            <v>0</v>
          </cell>
        </row>
        <row r="66">
          <cell r="EO66">
            <v>0</v>
          </cell>
          <cell r="EP66">
            <v>0</v>
          </cell>
          <cell r="EQ66">
            <v>0</v>
          </cell>
        </row>
        <row r="67">
          <cell r="EO67">
            <v>0</v>
          </cell>
          <cell r="EP67">
            <v>0</v>
          </cell>
          <cell r="EQ67">
            <v>0</v>
          </cell>
        </row>
        <row r="68">
          <cell r="EO68">
            <v>0</v>
          </cell>
          <cell r="EP68">
            <v>0</v>
          </cell>
          <cell r="EQ68">
            <v>0</v>
          </cell>
        </row>
        <row r="69">
          <cell r="EO69">
            <v>0</v>
          </cell>
          <cell r="EP69">
            <v>0</v>
          </cell>
          <cell r="EQ69">
            <v>0</v>
          </cell>
        </row>
        <row r="70">
          <cell r="EO70">
            <v>0</v>
          </cell>
          <cell r="EP70">
            <v>0</v>
          </cell>
          <cell r="EQ70">
            <v>0</v>
          </cell>
        </row>
        <row r="71">
          <cell r="EO71">
            <v>0</v>
          </cell>
          <cell r="EP71">
            <v>0</v>
          </cell>
          <cell r="EQ71">
            <v>0</v>
          </cell>
        </row>
        <row r="72">
          <cell r="EO72">
            <v>0</v>
          </cell>
          <cell r="EP72">
            <v>0</v>
          </cell>
          <cell r="EQ72">
            <v>0</v>
          </cell>
        </row>
        <row r="73">
          <cell r="EO73">
            <v>0</v>
          </cell>
          <cell r="EP73">
            <v>0</v>
          </cell>
          <cell r="EQ73">
            <v>0</v>
          </cell>
        </row>
        <row r="74">
          <cell r="EO74">
            <v>0</v>
          </cell>
          <cell r="EP74">
            <v>0</v>
          </cell>
          <cell r="EQ74">
            <v>0</v>
          </cell>
        </row>
        <row r="75">
          <cell r="EO75">
            <v>0</v>
          </cell>
          <cell r="EP75">
            <v>0</v>
          </cell>
          <cell r="EQ75">
            <v>0</v>
          </cell>
        </row>
        <row r="76">
          <cell r="EO76">
            <v>0</v>
          </cell>
          <cell r="EP76">
            <v>0</v>
          </cell>
          <cell r="EQ76">
            <v>0</v>
          </cell>
        </row>
        <row r="77">
          <cell r="EO77">
            <v>0</v>
          </cell>
          <cell r="EP77">
            <v>0</v>
          </cell>
          <cell r="EQ77">
            <v>0</v>
          </cell>
        </row>
        <row r="78">
          <cell r="EO78">
            <v>0</v>
          </cell>
          <cell r="EP78">
            <v>0</v>
          </cell>
          <cell r="EQ78">
            <v>0</v>
          </cell>
        </row>
        <row r="79">
          <cell r="EO79">
            <v>0</v>
          </cell>
          <cell r="EP79">
            <v>0</v>
          </cell>
          <cell r="EQ79">
            <v>0</v>
          </cell>
        </row>
        <row r="80">
          <cell r="EO80">
            <v>0</v>
          </cell>
          <cell r="EP80">
            <v>0</v>
          </cell>
          <cell r="EQ80">
            <v>0</v>
          </cell>
        </row>
        <row r="81">
          <cell r="EO81">
            <v>0</v>
          </cell>
          <cell r="EP81">
            <v>0</v>
          </cell>
          <cell r="EQ81">
            <v>0</v>
          </cell>
        </row>
        <row r="82">
          <cell r="EO82">
            <v>0</v>
          </cell>
          <cell r="EP82">
            <v>0</v>
          </cell>
          <cell r="EQ82">
            <v>0</v>
          </cell>
        </row>
        <row r="83">
          <cell r="EO83">
            <v>0</v>
          </cell>
          <cell r="EP83">
            <v>0</v>
          </cell>
          <cell r="EQ83">
            <v>0</v>
          </cell>
        </row>
        <row r="84">
          <cell r="EO84">
            <v>0</v>
          </cell>
          <cell r="EP84">
            <v>0</v>
          </cell>
          <cell r="EQ84">
            <v>0</v>
          </cell>
        </row>
        <row r="85">
          <cell r="EO85">
            <v>0</v>
          </cell>
          <cell r="EP85">
            <v>0</v>
          </cell>
          <cell r="EQ85">
            <v>0</v>
          </cell>
        </row>
        <row r="86">
          <cell r="EO86">
            <v>0</v>
          </cell>
          <cell r="EP86">
            <v>0</v>
          </cell>
          <cell r="EQ86">
            <v>0</v>
          </cell>
        </row>
        <row r="87">
          <cell r="EO87">
            <v>0</v>
          </cell>
          <cell r="EP87">
            <v>0</v>
          </cell>
          <cell r="EQ87">
            <v>0</v>
          </cell>
        </row>
        <row r="88">
          <cell r="EO88">
            <v>0</v>
          </cell>
          <cell r="EP88">
            <v>0</v>
          </cell>
          <cell r="EQ88">
            <v>0</v>
          </cell>
        </row>
        <row r="89">
          <cell r="EO89">
            <v>0</v>
          </cell>
          <cell r="EP89">
            <v>0</v>
          </cell>
          <cell r="EQ89">
            <v>0</v>
          </cell>
        </row>
        <row r="90">
          <cell r="EO90">
            <v>0</v>
          </cell>
          <cell r="EP90">
            <v>0</v>
          </cell>
          <cell r="EQ90">
            <v>0</v>
          </cell>
        </row>
        <row r="91">
          <cell r="EO91">
            <v>0</v>
          </cell>
          <cell r="EP91">
            <v>0</v>
          </cell>
          <cell r="EQ91">
            <v>0</v>
          </cell>
        </row>
        <row r="92">
          <cell r="EO92">
            <v>0</v>
          </cell>
          <cell r="EP92">
            <v>0</v>
          </cell>
          <cell r="EQ92">
            <v>0</v>
          </cell>
        </row>
        <row r="93">
          <cell r="EO93">
            <v>0</v>
          </cell>
          <cell r="EP93">
            <v>0</v>
          </cell>
          <cell r="EQ93">
            <v>0</v>
          </cell>
        </row>
        <row r="94">
          <cell r="EO94">
            <v>0</v>
          </cell>
          <cell r="EP94">
            <v>0</v>
          </cell>
          <cell r="EQ94">
            <v>0</v>
          </cell>
        </row>
        <row r="95">
          <cell r="EO95">
            <v>0</v>
          </cell>
          <cell r="EP95">
            <v>0</v>
          </cell>
          <cell r="EQ95">
            <v>0</v>
          </cell>
        </row>
        <row r="96">
          <cell r="EO96">
            <v>0</v>
          </cell>
          <cell r="EP96">
            <v>0</v>
          </cell>
          <cell r="EQ96">
            <v>0</v>
          </cell>
        </row>
        <row r="97">
          <cell r="EO97">
            <v>0</v>
          </cell>
          <cell r="EP97">
            <v>0</v>
          </cell>
          <cell r="EQ97">
            <v>0</v>
          </cell>
        </row>
        <row r="98">
          <cell r="EO98">
            <v>0</v>
          </cell>
          <cell r="EP98">
            <v>0</v>
          </cell>
          <cell r="EQ98">
            <v>0</v>
          </cell>
        </row>
        <row r="99">
          <cell r="EO99">
            <v>0</v>
          </cell>
          <cell r="EP99">
            <v>0</v>
          </cell>
          <cell r="EQ99">
            <v>0</v>
          </cell>
        </row>
        <row r="100">
          <cell r="EO100">
            <v>0</v>
          </cell>
          <cell r="EP100">
            <v>0</v>
          </cell>
          <cell r="EQ100">
            <v>0</v>
          </cell>
        </row>
        <row r="101">
          <cell r="EO101">
            <v>0</v>
          </cell>
          <cell r="EP101">
            <v>0</v>
          </cell>
          <cell r="EQ101">
            <v>0</v>
          </cell>
        </row>
        <row r="102">
          <cell r="EO102">
            <v>0</v>
          </cell>
          <cell r="EP102">
            <v>0</v>
          </cell>
          <cell r="EQ102">
            <v>0</v>
          </cell>
        </row>
        <row r="103">
          <cell r="EO103">
            <v>0</v>
          </cell>
          <cell r="EP103">
            <v>0</v>
          </cell>
          <cell r="EQ103">
            <v>0</v>
          </cell>
        </row>
        <row r="104">
          <cell r="EO104">
            <v>0</v>
          </cell>
          <cell r="EP104">
            <v>0</v>
          </cell>
          <cell r="EQ104">
            <v>0</v>
          </cell>
        </row>
        <row r="105">
          <cell r="EO105">
            <v>0</v>
          </cell>
          <cell r="EP105">
            <v>0</v>
          </cell>
          <cell r="EQ105">
            <v>0</v>
          </cell>
        </row>
        <row r="106">
          <cell r="EO106">
            <v>0</v>
          </cell>
          <cell r="EP106">
            <v>0</v>
          </cell>
          <cell r="EQ106">
            <v>0</v>
          </cell>
        </row>
        <row r="107">
          <cell r="EO107">
            <v>0</v>
          </cell>
          <cell r="EP107">
            <v>0</v>
          </cell>
          <cell r="EQ107">
            <v>0</v>
          </cell>
        </row>
        <row r="108">
          <cell r="EO108">
            <v>0</v>
          </cell>
          <cell r="EP108">
            <v>0</v>
          </cell>
          <cell r="EQ108">
            <v>0</v>
          </cell>
        </row>
        <row r="109">
          <cell r="EO109">
            <v>0</v>
          </cell>
          <cell r="EP109">
            <v>0</v>
          </cell>
          <cell r="EQ109">
            <v>0</v>
          </cell>
        </row>
        <row r="110">
          <cell r="EO110">
            <v>0</v>
          </cell>
          <cell r="EP110">
            <v>0</v>
          </cell>
          <cell r="EQ110">
            <v>0</v>
          </cell>
        </row>
        <row r="111">
          <cell r="EO111">
            <v>0</v>
          </cell>
          <cell r="EP111">
            <v>0</v>
          </cell>
          <cell r="EQ111">
            <v>0</v>
          </cell>
        </row>
        <row r="112">
          <cell r="EO112">
            <v>0</v>
          </cell>
          <cell r="EP112">
            <v>0</v>
          </cell>
          <cell r="EQ112">
            <v>0</v>
          </cell>
        </row>
        <row r="113">
          <cell r="EO113">
            <v>0</v>
          </cell>
          <cell r="EP113">
            <v>0</v>
          </cell>
          <cell r="EQ113">
            <v>0</v>
          </cell>
        </row>
        <row r="114">
          <cell r="EO114">
            <v>0</v>
          </cell>
          <cell r="EP114">
            <v>0</v>
          </cell>
          <cell r="EQ114">
            <v>0</v>
          </cell>
        </row>
        <row r="115">
          <cell r="EO115">
            <v>0</v>
          </cell>
          <cell r="EP115">
            <v>0</v>
          </cell>
          <cell r="EQ115">
            <v>0</v>
          </cell>
        </row>
        <row r="116">
          <cell r="EO116">
            <v>0</v>
          </cell>
          <cell r="EP116">
            <v>0</v>
          </cell>
          <cell r="EQ116">
            <v>0</v>
          </cell>
        </row>
        <row r="117">
          <cell r="EO117">
            <v>0</v>
          </cell>
          <cell r="EP117">
            <v>0</v>
          </cell>
          <cell r="EQ117">
            <v>0</v>
          </cell>
        </row>
        <row r="118">
          <cell r="EO118">
            <v>0</v>
          </cell>
          <cell r="EP118">
            <v>0</v>
          </cell>
          <cell r="EQ118">
            <v>0</v>
          </cell>
        </row>
        <row r="119">
          <cell r="EO119">
            <v>0</v>
          </cell>
          <cell r="EP119">
            <v>0</v>
          </cell>
          <cell r="EQ119">
            <v>0</v>
          </cell>
        </row>
        <row r="120">
          <cell r="EO120">
            <v>0</v>
          </cell>
          <cell r="EP120">
            <v>0</v>
          </cell>
          <cell r="EQ120">
            <v>0</v>
          </cell>
        </row>
        <row r="121">
          <cell r="EO121">
            <v>0</v>
          </cell>
          <cell r="EP121">
            <v>0</v>
          </cell>
          <cell r="EQ121">
            <v>0</v>
          </cell>
        </row>
        <row r="122">
          <cell r="EO122">
            <v>0</v>
          </cell>
          <cell r="EP122">
            <v>0</v>
          </cell>
          <cell r="EQ122">
            <v>0</v>
          </cell>
        </row>
        <row r="123">
          <cell r="EO123">
            <v>0</v>
          </cell>
          <cell r="EP123">
            <v>0</v>
          </cell>
          <cell r="EQ123">
            <v>0</v>
          </cell>
        </row>
        <row r="124">
          <cell r="EO124">
            <v>0</v>
          </cell>
          <cell r="EP124">
            <v>0</v>
          </cell>
          <cell r="EQ124">
            <v>0</v>
          </cell>
        </row>
        <row r="125">
          <cell r="EO125">
            <v>0</v>
          </cell>
          <cell r="EP125">
            <v>0</v>
          </cell>
          <cell r="EQ125">
            <v>0</v>
          </cell>
        </row>
        <row r="126">
          <cell r="EO126">
            <v>0</v>
          </cell>
          <cell r="EP126">
            <v>0</v>
          </cell>
          <cell r="EQ126">
            <v>0</v>
          </cell>
        </row>
        <row r="127">
          <cell r="EO127">
            <v>0</v>
          </cell>
          <cell r="EP127">
            <v>0</v>
          </cell>
          <cell r="EQ127">
            <v>0</v>
          </cell>
        </row>
        <row r="128">
          <cell r="EO128">
            <v>0</v>
          </cell>
          <cell r="EP128">
            <v>0</v>
          </cell>
          <cell r="EQ128">
            <v>0</v>
          </cell>
        </row>
        <row r="129">
          <cell r="EO129">
            <v>0</v>
          </cell>
          <cell r="EP129">
            <v>0</v>
          </cell>
          <cell r="EQ129">
            <v>0</v>
          </cell>
        </row>
        <row r="130">
          <cell r="EO130">
            <v>0</v>
          </cell>
          <cell r="EP130">
            <v>0</v>
          </cell>
          <cell r="EQ130">
            <v>0</v>
          </cell>
        </row>
        <row r="131">
          <cell r="EO131">
            <v>0</v>
          </cell>
          <cell r="EP131">
            <v>0</v>
          </cell>
          <cell r="EQ131">
            <v>0</v>
          </cell>
        </row>
        <row r="132">
          <cell r="EO132">
            <v>0</v>
          </cell>
          <cell r="EP132">
            <v>0</v>
          </cell>
          <cell r="EQ132">
            <v>0</v>
          </cell>
        </row>
        <row r="133">
          <cell r="EO133">
            <v>0</v>
          </cell>
          <cell r="EP133">
            <v>0</v>
          </cell>
          <cell r="EQ133">
            <v>0</v>
          </cell>
        </row>
        <row r="134">
          <cell r="EO134">
            <v>0</v>
          </cell>
          <cell r="EP134">
            <v>0</v>
          </cell>
          <cell r="EQ134">
            <v>0</v>
          </cell>
        </row>
        <row r="135">
          <cell r="EO135">
            <v>0</v>
          </cell>
          <cell r="EP135">
            <v>0</v>
          </cell>
          <cell r="EQ135">
            <v>0</v>
          </cell>
        </row>
        <row r="136">
          <cell r="EO136">
            <v>0</v>
          </cell>
          <cell r="EP136">
            <v>0</v>
          </cell>
          <cell r="EQ136">
            <v>0</v>
          </cell>
        </row>
        <row r="137">
          <cell r="EO137">
            <v>0</v>
          </cell>
          <cell r="EP137">
            <v>0</v>
          </cell>
          <cell r="EQ137">
            <v>0</v>
          </cell>
        </row>
        <row r="138">
          <cell r="EO138">
            <v>0</v>
          </cell>
          <cell r="EP138">
            <v>0</v>
          </cell>
          <cell r="EQ138">
            <v>0</v>
          </cell>
        </row>
        <row r="139">
          <cell r="EO139">
            <v>0</v>
          </cell>
          <cell r="EP139">
            <v>0</v>
          </cell>
          <cell r="EQ139">
            <v>0</v>
          </cell>
        </row>
        <row r="140">
          <cell r="EO140">
            <v>0</v>
          </cell>
          <cell r="EP140">
            <v>0</v>
          </cell>
          <cell r="EQ140">
            <v>0</v>
          </cell>
        </row>
        <row r="141">
          <cell r="EO141">
            <v>0</v>
          </cell>
          <cell r="EP141">
            <v>0</v>
          </cell>
          <cell r="EQ141">
            <v>0</v>
          </cell>
        </row>
        <row r="142">
          <cell r="EO142">
            <v>0</v>
          </cell>
          <cell r="EP142">
            <v>0</v>
          </cell>
          <cell r="EQ142">
            <v>0</v>
          </cell>
        </row>
        <row r="143">
          <cell r="EO143">
            <v>0</v>
          </cell>
          <cell r="EP143">
            <v>0</v>
          </cell>
          <cell r="EQ143">
            <v>0</v>
          </cell>
        </row>
        <row r="144">
          <cell r="EO144">
            <v>0</v>
          </cell>
          <cell r="EP144">
            <v>0</v>
          </cell>
          <cell r="EQ144">
            <v>0</v>
          </cell>
        </row>
        <row r="145">
          <cell r="EO145">
            <v>0</v>
          </cell>
          <cell r="EP145">
            <v>0</v>
          </cell>
          <cell r="EQ145">
            <v>0</v>
          </cell>
        </row>
        <row r="146">
          <cell r="EO146">
            <v>0</v>
          </cell>
          <cell r="EP146">
            <v>0</v>
          </cell>
          <cell r="EQ146">
            <v>0</v>
          </cell>
        </row>
        <row r="147">
          <cell r="EO147">
            <v>0</v>
          </cell>
          <cell r="EP147">
            <v>0</v>
          </cell>
          <cell r="EQ147">
            <v>0</v>
          </cell>
        </row>
        <row r="148">
          <cell r="EO148">
            <v>0</v>
          </cell>
          <cell r="EP148">
            <v>0</v>
          </cell>
          <cell r="EQ148">
            <v>0</v>
          </cell>
        </row>
        <row r="149">
          <cell r="EO149">
            <v>0</v>
          </cell>
          <cell r="EP149">
            <v>0</v>
          </cell>
          <cell r="EQ149">
            <v>0</v>
          </cell>
        </row>
        <row r="150">
          <cell r="EO150">
            <v>0</v>
          </cell>
          <cell r="EP150">
            <v>0</v>
          </cell>
          <cell r="EQ150">
            <v>0</v>
          </cell>
        </row>
        <row r="151">
          <cell r="EO151">
            <v>0</v>
          </cell>
          <cell r="EP151">
            <v>0</v>
          </cell>
          <cell r="EQ151">
            <v>0</v>
          </cell>
        </row>
        <row r="152">
          <cell r="EO152">
            <v>0</v>
          </cell>
          <cell r="EP152">
            <v>0</v>
          </cell>
          <cell r="EQ152">
            <v>0</v>
          </cell>
        </row>
        <row r="153">
          <cell r="EO153">
            <v>0</v>
          </cell>
          <cell r="EP153">
            <v>0</v>
          </cell>
          <cell r="EQ153">
            <v>0</v>
          </cell>
        </row>
        <row r="154">
          <cell r="EO154">
            <v>0</v>
          </cell>
          <cell r="EP154">
            <v>0</v>
          </cell>
          <cell r="EQ154">
            <v>0</v>
          </cell>
        </row>
        <row r="155">
          <cell r="EO155">
            <v>0</v>
          </cell>
          <cell r="EP155">
            <v>0</v>
          </cell>
          <cell r="EQ155">
            <v>0</v>
          </cell>
        </row>
        <row r="156">
          <cell r="EO156">
            <v>0</v>
          </cell>
          <cell r="EP156">
            <v>0</v>
          </cell>
          <cell r="EQ156">
            <v>0</v>
          </cell>
        </row>
        <row r="157">
          <cell r="EO157">
            <v>0</v>
          </cell>
          <cell r="EP157">
            <v>0</v>
          </cell>
          <cell r="EQ157">
            <v>0</v>
          </cell>
        </row>
        <row r="158">
          <cell r="EO158">
            <v>0</v>
          </cell>
          <cell r="EP158">
            <v>0</v>
          </cell>
          <cell r="EQ158">
            <v>0</v>
          </cell>
        </row>
        <row r="159">
          <cell r="EO159">
            <v>0</v>
          </cell>
          <cell r="EP159">
            <v>0</v>
          </cell>
          <cell r="EQ159">
            <v>0</v>
          </cell>
        </row>
        <row r="160">
          <cell r="EO160">
            <v>0</v>
          </cell>
          <cell r="EP160">
            <v>0</v>
          </cell>
          <cell r="EQ160">
            <v>0</v>
          </cell>
        </row>
        <row r="161">
          <cell r="EO161">
            <v>0</v>
          </cell>
          <cell r="EP161">
            <v>0</v>
          </cell>
          <cell r="EQ161">
            <v>0</v>
          </cell>
        </row>
        <row r="162">
          <cell r="EO162">
            <v>0</v>
          </cell>
          <cell r="EP162">
            <v>0</v>
          </cell>
          <cell r="EQ162">
            <v>0</v>
          </cell>
        </row>
        <row r="163">
          <cell r="EO163">
            <v>0</v>
          </cell>
          <cell r="EP163">
            <v>0</v>
          </cell>
          <cell r="EQ163">
            <v>0</v>
          </cell>
        </row>
        <row r="164">
          <cell r="EO164">
            <v>0</v>
          </cell>
          <cell r="EP164">
            <v>0</v>
          </cell>
          <cell r="EQ164">
            <v>0</v>
          </cell>
        </row>
        <row r="165">
          <cell r="EO165">
            <v>0</v>
          </cell>
          <cell r="EP165">
            <v>0</v>
          </cell>
          <cell r="EQ165">
            <v>0</v>
          </cell>
        </row>
        <row r="166">
          <cell r="EO166">
            <v>0</v>
          </cell>
          <cell r="EP166">
            <v>0</v>
          </cell>
          <cell r="EQ166">
            <v>0</v>
          </cell>
        </row>
        <row r="167">
          <cell r="EO167">
            <v>0</v>
          </cell>
          <cell r="EP167">
            <v>0</v>
          </cell>
          <cell r="EQ167">
            <v>0</v>
          </cell>
        </row>
        <row r="168">
          <cell r="EO168">
            <v>0</v>
          </cell>
          <cell r="EP168">
            <v>0</v>
          </cell>
          <cell r="EQ168">
            <v>0</v>
          </cell>
        </row>
        <row r="169">
          <cell r="EO169">
            <v>0</v>
          </cell>
          <cell r="EP169">
            <v>0</v>
          </cell>
          <cell r="EQ169">
            <v>0</v>
          </cell>
        </row>
        <row r="170">
          <cell r="EO170">
            <v>0</v>
          </cell>
          <cell r="EP170">
            <v>0</v>
          </cell>
          <cell r="EQ170">
            <v>0</v>
          </cell>
        </row>
        <row r="171">
          <cell r="EO171">
            <v>0</v>
          </cell>
          <cell r="EP171">
            <v>0</v>
          </cell>
          <cell r="EQ171">
            <v>0</v>
          </cell>
        </row>
        <row r="172">
          <cell r="EO172">
            <v>0</v>
          </cell>
          <cell r="EP172">
            <v>0</v>
          </cell>
          <cell r="EQ172">
            <v>0</v>
          </cell>
        </row>
        <row r="173">
          <cell r="EO173">
            <v>0</v>
          </cell>
          <cell r="EP173">
            <v>0</v>
          </cell>
          <cell r="EQ173">
            <v>0</v>
          </cell>
        </row>
        <row r="174">
          <cell r="EO174">
            <v>0</v>
          </cell>
          <cell r="EP174">
            <v>0</v>
          </cell>
          <cell r="EQ174">
            <v>0</v>
          </cell>
        </row>
        <row r="175">
          <cell r="EO175">
            <v>0</v>
          </cell>
          <cell r="EP175">
            <v>0</v>
          </cell>
          <cell r="EQ175">
            <v>0</v>
          </cell>
        </row>
        <row r="176">
          <cell r="EO176">
            <v>0</v>
          </cell>
          <cell r="EP176">
            <v>0</v>
          </cell>
          <cell r="EQ176">
            <v>0</v>
          </cell>
        </row>
        <row r="177">
          <cell r="EO177">
            <v>0</v>
          </cell>
          <cell r="EP177">
            <v>0</v>
          </cell>
          <cell r="EQ177">
            <v>0</v>
          </cell>
        </row>
        <row r="178">
          <cell r="EO178">
            <v>0</v>
          </cell>
          <cell r="EP178">
            <v>0</v>
          </cell>
          <cell r="EQ178">
            <v>0</v>
          </cell>
        </row>
        <row r="179">
          <cell r="EO179">
            <v>0</v>
          </cell>
          <cell r="EP179">
            <v>0</v>
          </cell>
          <cell r="EQ179">
            <v>0</v>
          </cell>
        </row>
        <row r="180">
          <cell r="EO180">
            <v>0</v>
          </cell>
          <cell r="EP180">
            <v>0</v>
          </cell>
          <cell r="EQ180">
            <v>0</v>
          </cell>
        </row>
        <row r="181">
          <cell r="EO181">
            <v>0</v>
          </cell>
          <cell r="EP181">
            <v>0</v>
          </cell>
          <cell r="EQ181">
            <v>0</v>
          </cell>
        </row>
        <row r="182">
          <cell r="EO182">
            <v>0</v>
          </cell>
          <cell r="EP182">
            <v>0</v>
          </cell>
          <cell r="EQ182">
            <v>0</v>
          </cell>
        </row>
        <row r="183">
          <cell r="EO183">
            <v>0</v>
          </cell>
          <cell r="EP183">
            <v>0</v>
          </cell>
          <cell r="EQ183">
            <v>0</v>
          </cell>
        </row>
        <row r="184">
          <cell r="EO184">
            <v>0</v>
          </cell>
          <cell r="EP184">
            <v>0</v>
          </cell>
          <cell r="EQ184">
            <v>0</v>
          </cell>
        </row>
        <row r="185">
          <cell r="EO185">
            <v>0</v>
          </cell>
          <cell r="EP185">
            <v>0</v>
          </cell>
          <cell r="EQ185">
            <v>0</v>
          </cell>
        </row>
        <row r="186">
          <cell r="EO186">
            <v>0</v>
          </cell>
          <cell r="EP186">
            <v>0</v>
          </cell>
          <cell r="EQ186">
            <v>0</v>
          </cell>
        </row>
        <row r="187">
          <cell r="EO187">
            <v>0</v>
          </cell>
          <cell r="EP187">
            <v>0</v>
          </cell>
          <cell r="EQ187">
            <v>0</v>
          </cell>
        </row>
        <row r="188">
          <cell r="EO188">
            <v>0</v>
          </cell>
          <cell r="EP188">
            <v>0</v>
          </cell>
          <cell r="EQ188">
            <v>0</v>
          </cell>
        </row>
        <row r="189">
          <cell r="EO189">
            <v>0</v>
          </cell>
          <cell r="EP189">
            <v>0</v>
          </cell>
          <cell r="EQ189">
            <v>0</v>
          </cell>
        </row>
        <row r="190">
          <cell r="EO190">
            <v>0</v>
          </cell>
          <cell r="EP190">
            <v>0</v>
          </cell>
          <cell r="EQ190">
            <v>0</v>
          </cell>
        </row>
        <row r="191">
          <cell r="EO191">
            <v>0</v>
          </cell>
          <cell r="EP191">
            <v>0</v>
          </cell>
          <cell r="EQ191">
            <v>0</v>
          </cell>
        </row>
        <row r="192">
          <cell r="EO192">
            <v>0</v>
          </cell>
          <cell r="EP192">
            <v>0</v>
          </cell>
          <cell r="EQ192">
            <v>0</v>
          </cell>
        </row>
        <row r="193">
          <cell r="EO193">
            <v>0</v>
          </cell>
          <cell r="EP193">
            <v>0</v>
          </cell>
          <cell r="EQ193">
            <v>0</v>
          </cell>
        </row>
        <row r="194">
          <cell r="EO194">
            <v>0</v>
          </cell>
          <cell r="EP194">
            <v>0</v>
          </cell>
          <cell r="EQ194">
            <v>0</v>
          </cell>
        </row>
        <row r="195">
          <cell r="EO195">
            <v>0</v>
          </cell>
          <cell r="EP195">
            <v>0</v>
          </cell>
          <cell r="EQ195">
            <v>0</v>
          </cell>
        </row>
        <row r="196">
          <cell r="EO196">
            <v>0</v>
          </cell>
          <cell r="EP196">
            <v>0</v>
          </cell>
          <cell r="EQ196">
            <v>0</v>
          </cell>
        </row>
        <row r="197">
          <cell r="EO197">
            <v>0</v>
          </cell>
          <cell r="EP197">
            <v>0</v>
          </cell>
          <cell r="EQ197">
            <v>0</v>
          </cell>
        </row>
        <row r="198">
          <cell r="EO198">
            <v>0</v>
          </cell>
          <cell r="EP198">
            <v>0</v>
          </cell>
          <cell r="EQ198">
            <v>0</v>
          </cell>
        </row>
        <row r="199">
          <cell r="EO199">
            <v>0</v>
          </cell>
          <cell r="EP199">
            <v>0</v>
          </cell>
          <cell r="EQ199">
            <v>0</v>
          </cell>
        </row>
        <row r="200">
          <cell r="EO200">
            <v>0</v>
          </cell>
          <cell r="EP200">
            <v>0</v>
          </cell>
          <cell r="EQ200">
            <v>0</v>
          </cell>
        </row>
        <row r="201">
          <cell r="EO201">
            <v>0</v>
          </cell>
          <cell r="EP201">
            <v>0</v>
          </cell>
          <cell r="EQ201">
            <v>0</v>
          </cell>
        </row>
        <row r="202">
          <cell r="EO202">
            <v>0</v>
          </cell>
          <cell r="EP202">
            <v>0</v>
          </cell>
          <cell r="EQ202">
            <v>0</v>
          </cell>
        </row>
        <row r="300">
          <cell r="EO300">
            <v>0</v>
          </cell>
          <cell r="EP300">
            <v>0</v>
          </cell>
          <cell r="EQ300">
            <v>0</v>
          </cell>
        </row>
      </sheetData>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NU"/>
      <sheetName val="Conf-Servicios"/>
      <sheetName val="CyE(D)"/>
      <sheetName val="CyE($)"/>
      <sheetName val="RESUMEN (CyE)"/>
      <sheetName val="RESUMEN ($)"/>
    </sheetNames>
    <sheetDataSet>
      <sheetData sheetId="0" refreshError="1"/>
      <sheetData sheetId="1">
        <row r="3">
          <cell r="W3" t="str">
            <v>NC</v>
          </cell>
        </row>
        <row r="4">
          <cell r="W4" t="str">
            <v>NC</v>
          </cell>
        </row>
        <row r="5">
          <cell r="W5" t="str">
            <v>NC</v>
          </cell>
        </row>
        <row r="6">
          <cell r="W6" t="str">
            <v>NC</v>
          </cell>
        </row>
        <row r="7">
          <cell r="W7" t="str">
            <v>NC</v>
          </cell>
        </row>
        <row r="8">
          <cell r="W8" t="str">
            <v>NC</v>
          </cell>
        </row>
        <row r="9">
          <cell r="W9" t="str">
            <v>NC</v>
          </cell>
        </row>
        <row r="10">
          <cell r="W10" t="str">
            <v>NC</v>
          </cell>
        </row>
        <row r="11">
          <cell r="W11" t="str">
            <v>NC</v>
          </cell>
        </row>
        <row r="12">
          <cell r="W12" t="str">
            <v>NC</v>
          </cell>
        </row>
        <row r="13">
          <cell r="W13" t="str">
            <v>NC</v>
          </cell>
        </row>
        <row r="14">
          <cell r="W14" t="str">
            <v>NC</v>
          </cell>
        </row>
        <row r="15">
          <cell r="W15" t="str">
            <v>NC</v>
          </cell>
        </row>
        <row r="16">
          <cell r="W16" t="str">
            <v>NC</v>
          </cell>
        </row>
        <row r="17">
          <cell r="W17" t="str">
            <v>NC</v>
          </cell>
        </row>
        <row r="18">
          <cell r="W18" t="str">
            <v>NC</v>
          </cell>
        </row>
        <row r="19">
          <cell r="W19" t="str">
            <v>NC</v>
          </cell>
        </row>
        <row r="20">
          <cell r="W20" t="str">
            <v>NC</v>
          </cell>
        </row>
        <row r="21">
          <cell r="W21" t="str">
            <v>NC</v>
          </cell>
        </row>
        <row r="22">
          <cell r="W22" t="str">
            <v>NC</v>
          </cell>
        </row>
        <row r="23">
          <cell r="W23" t="str">
            <v>NC</v>
          </cell>
        </row>
        <row r="24">
          <cell r="W24" t="str">
            <v>NC</v>
          </cell>
        </row>
        <row r="25">
          <cell r="W25" t="str">
            <v>NC</v>
          </cell>
        </row>
        <row r="26">
          <cell r="W26" t="str">
            <v>NC</v>
          </cell>
        </row>
        <row r="27">
          <cell r="W27" t="str">
            <v>NC</v>
          </cell>
        </row>
        <row r="28">
          <cell r="W28" t="str">
            <v>NC</v>
          </cell>
        </row>
        <row r="29">
          <cell r="W29" t="str">
            <v>NC</v>
          </cell>
        </row>
        <row r="30">
          <cell r="W30" t="str">
            <v>NC</v>
          </cell>
        </row>
        <row r="31">
          <cell r="W31" t="str">
            <v>NC</v>
          </cell>
        </row>
        <row r="32">
          <cell r="W32" t="str">
            <v>NC</v>
          </cell>
        </row>
        <row r="33">
          <cell r="W33" t="str">
            <v>NC</v>
          </cell>
        </row>
        <row r="34">
          <cell r="W34" t="str">
            <v>NC</v>
          </cell>
        </row>
        <row r="35">
          <cell r="W35" t="str">
            <v>NC</v>
          </cell>
        </row>
        <row r="36">
          <cell r="W36" t="str">
            <v>NC</v>
          </cell>
        </row>
        <row r="37">
          <cell r="W37" t="str">
            <v>NC</v>
          </cell>
        </row>
        <row r="38">
          <cell r="W38" t="str">
            <v>NC</v>
          </cell>
        </row>
        <row r="39">
          <cell r="W39" t="str">
            <v>NC</v>
          </cell>
        </row>
        <row r="40">
          <cell r="W40" t="str">
            <v>NC</v>
          </cell>
        </row>
        <row r="41">
          <cell r="W41" t="str">
            <v>NC</v>
          </cell>
        </row>
        <row r="42">
          <cell r="W42" t="str">
            <v>NC</v>
          </cell>
        </row>
        <row r="43">
          <cell r="W43" t="str">
            <v>NC</v>
          </cell>
        </row>
        <row r="44">
          <cell r="W44" t="str">
            <v>NC</v>
          </cell>
        </row>
        <row r="45">
          <cell r="W45" t="str">
            <v>NC</v>
          </cell>
        </row>
        <row r="46">
          <cell r="W46" t="str">
            <v>NC</v>
          </cell>
        </row>
        <row r="47">
          <cell r="W47" t="str">
            <v>NC</v>
          </cell>
        </row>
        <row r="48">
          <cell r="W48" t="str">
            <v>NC</v>
          </cell>
        </row>
        <row r="49">
          <cell r="W49" t="str">
            <v>NC</v>
          </cell>
        </row>
        <row r="50">
          <cell r="W50" t="str">
            <v>NC</v>
          </cell>
        </row>
        <row r="51">
          <cell r="W51" t="str">
            <v>NC</v>
          </cell>
        </row>
        <row r="52">
          <cell r="W52" t="str">
            <v>NC</v>
          </cell>
        </row>
        <row r="53">
          <cell r="W53" t="str">
            <v>NC</v>
          </cell>
        </row>
        <row r="54">
          <cell r="W54" t="str">
            <v>NC</v>
          </cell>
        </row>
        <row r="55">
          <cell r="W55" t="str">
            <v>NC</v>
          </cell>
        </row>
        <row r="56">
          <cell r="W56" t="str">
            <v>NC</v>
          </cell>
        </row>
        <row r="57">
          <cell r="W57" t="str">
            <v>NC</v>
          </cell>
        </row>
        <row r="58">
          <cell r="W58" t="str">
            <v>NC</v>
          </cell>
        </row>
        <row r="59">
          <cell r="W59" t="str">
            <v>NC</v>
          </cell>
        </row>
        <row r="60">
          <cell r="W60" t="str">
            <v>NC</v>
          </cell>
        </row>
        <row r="61">
          <cell r="W61" t="str">
            <v>NC</v>
          </cell>
        </row>
        <row r="62">
          <cell r="W62" t="str">
            <v>NC</v>
          </cell>
        </row>
        <row r="63">
          <cell r="W63" t="str">
            <v>NC</v>
          </cell>
        </row>
        <row r="64">
          <cell r="W64" t="str">
            <v>NC</v>
          </cell>
        </row>
        <row r="65">
          <cell r="W65" t="str">
            <v>NC</v>
          </cell>
        </row>
        <row r="66">
          <cell r="W66" t="str">
            <v>NC</v>
          </cell>
        </row>
        <row r="67">
          <cell r="W67" t="str">
            <v>NC</v>
          </cell>
        </row>
        <row r="68">
          <cell r="W68" t="str">
            <v>NC</v>
          </cell>
        </row>
        <row r="69">
          <cell r="W69" t="str">
            <v>NC</v>
          </cell>
        </row>
        <row r="70">
          <cell r="W70" t="str">
            <v>NC</v>
          </cell>
        </row>
        <row r="71">
          <cell r="W71" t="str">
            <v>NC</v>
          </cell>
        </row>
        <row r="72">
          <cell r="W72" t="str">
            <v>NC</v>
          </cell>
        </row>
        <row r="73">
          <cell r="W73" t="str">
            <v>NC</v>
          </cell>
        </row>
        <row r="74">
          <cell r="W74" t="str">
            <v>NC</v>
          </cell>
        </row>
        <row r="75">
          <cell r="W75" t="str">
            <v>NC</v>
          </cell>
        </row>
        <row r="76">
          <cell r="W76" t="str">
            <v>NC</v>
          </cell>
        </row>
        <row r="77">
          <cell r="W77" t="str">
            <v>NC</v>
          </cell>
        </row>
        <row r="78">
          <cell r="W78" t="str">
            <v>NC</v>
          </cell>
        </row>
        <row r="79">
          <cell r="W79" t="str">
            <v>NC</v>
          </cell>
        </row>
        <row r="80">
          <cell r="W80" t="str">
            <v>NC</v>
          </cell>
        </row>
        <row r="81">
          <cell r="W81" t="str">
            <v/>
          </cell>
        </row>
        <row r="82">
          <cell r="W82" t="str">
            <v/>
          </cell>
        </row>
        <row r="83">
          <cell r="W83" t="str">
            <v/>
          </cell>
        </row>
        <row r="84">
          <cell r="W84" t="str">
            <v/>
          </cell>
        </row>
        <row r="85">
          <cell r="W85" t="str">
            <v/>
          </cell>
        </row>
        <row r="86">
          <cell r="W86" t="str">
            <v/>
          </cell>
        </row>
        <row r="87">
          <cell r="W87" t="str">
            <v/>
          </cell>
        </row>
        <row r="88">
          <cell r="W88" t="str">
            <v/>
          </cell>
        </row>
        <row r="89">
          <cell r="W89" t="str">
            <v/>
          </cell>
        </row>
        <row r="90">
          <cell r="W90" t="str">
            <v/>
          </cell>
        </row>
        <row r="91">
          <cell r="W91" t="str">
            <v/>
          </cell>
        </row>
        <row r="92">
          <cell r="W92" t="str">
            <v/>
          </cell>
        </row>
        <row r="93">
          <cell r="W93" t="str">
            <v/>
          </cell>
        </row>
        <row r="94">
          <cell r="W94" t="str">
            <v/>
          </cell>
        </row>
        <row r="95">
          <cell r="W95" t="str">
            <v/>
          </cell>
        </row>
        <row r="96">
          <cell r="W96" t="str">
            <v/>
          </cell>
        </row>
        <row r="97">
          <cell r="W97" t="str">
            <v/>
          </cell>
        </row>
        <row r="98">
          <cell r="W98" t="str">
            <v/>
          </cell>
        </row>
        <row r="99">
          <cell r="W99" t="str">
            <v/>
          </cell>
        </row>
        <row r="100">
          <cell r="W100" t="str">
            <v/>
          </cell>
        </row>
        <row r="101">
          <cell r="W101" t="str">
            <v/>
          </cell>
        </row>
        <row r="102">
          <cell r="W102" t="str">
            <v/>
          </cell>
        </row>
        <row r="103">
          <cell r="W103" t="str">
            <v/>
          </cell>
        </row>
        <row r="104">
          <cell r="W104" t="str">
            <v/>
          </cell>
        </row>
        <row r="105">
          <cell r="W105" t="str">
            <v/>
          </cell>
        </row>
        <row r="106">
          <cell r="W106" t="str">
            <v/>
          </cell>
        </row>
        <row r="107">
          <cell r="W107" t="str">
            <v/>
          </cell>
        </row>
        <row r="108">
          <cell r="W108" t="str">
            <v/>
          </cell>
        </row>
        <row r="109">
          <cell r="W109" t="str">
            <v/>
          </cell>
        </row>
        <row r="110">
          <cell r="W110" t="str">
            <v/>
          </cell>
        </row>
        <row r="111">
          <cell r="W111" t="str">
            <v/>
          </cell>
        </row>
        <row r="112">
          <cell r="W112" t="str">
            <v/>
          </cell>
        </row>
        <row r="113">
          <cell r="W113" t="str">
            <v/>
          </cell>
        </row>
        <row r="114">
          <cell r="W114" t="str">
            <v/>
          </cell>
        </row>
        <row r="115">
          <cell r="W115" t="str">
            <v/>
          </cell>
        </row>
        <row r="116">
          <cell r="W116" t="str">
            <v/>
          </cell>
        </row>
        <row r="117">
          <cell r="W117" t="str">
            <v/>
          </cell>
        </row>
        <row r="118">
          <cell r="W118" t="str">
            <v/>
          </cell>
        </row>
        <row r="119">
          <cell r="W119" t="str">
            <v/>
          </cell>
        </row>
        <row r="120">
          <cell r="W120" t="str">
            <v/>
          </cell>
        </row>
        <row r="121">
          <cell r="W121" t="str">
            <v/>
          </cell>
        </row>
        <row r="122">
          <cell r="W122" t="str">
            <v/>
          </cell>
        </row>
        <row r="123">
          <cell r="W123" t="str">
            <v/>
          </cell>
        </row>
        <row r="124">
          <cell r="W124" t="str">
            <v/>
          </cell>
        </row>
        <row r="125">
          <cell r="W125" t="str">
            <v/>
          </cell>
        </row>
        <row r="126">
          <cell r="W126" t="str">
            <v/>
          </cell>
        </row>
        <row r="127">
          <cell r="W127" t="str">
            <v/>
          </cell>
        </row>
        <row r="128">
          <cell r="W128" t="str">
            <v/>
          </cell>
        </row>
        <row r="129">
          <cell r="W129" t="str">
            <v/>
          </cell>
        </row>
        <row r="130">
          <cell r="W130" t="str">
            <v/>
          </cell>
        </row>
        <row r="131">
          <cell r="W131" t="str">
            <v/>
          </cell>
        </row>
        <row r="132">
          <cell r="W132" t="str">
            <v/>
          </cell>
        </row>
        <row r="133">
          <cell r="W133" t="str">
            <v/>
          </cell>
        </row>
        <row r="134">
          <cell r="W134" t="str">
            <v/>
          </cell>
        </row>
        <row r="135">
          <cell r="W135" t="str">
            <v/>
          </cell>
        </row>
        <row r="136">
          <cell r="W136" t="str">
            <v/>
          </cell>
        </row>
        <row r="137">
          <cell r="W137" t="str">
            <v/>
          </cell>
        </row>
        <row r="138">
          <cell r="W138" t="str">
            <v/>
          </cell>
        </row>
        <row r="139">
          <cell r="W139" t="str">
            <v/>
          </cell>
        </row>
        <row r="140">
          <cell r="W140" t="str">
            <v/>
          </cell>
        </row>
        <row r="141">
          <cell r="W141" t="str">
            <v/>
          </cell>
        </row>
        <row r="142">
          <cell r="W142" t="str">
            <v/>
          </cell>
        </row>
        <row r="143">
          <cell r="W143" t="str">
            <v/>
          </cell>
        </row>
        <row r="144">
          <cell r="W144" t="str">
            <v/>
          </cell>
        </row>
        <row r="145">
          <cell r="W145" t="str">
            <v/>
          </cell>
        </row>
        <row r="146">
          <cell r="W146" t="str">
            <v/>
          </cell>
        </row>
        <row r="147">
          <cell r="W147" t="str">
            <v/>
          </cell>
        </row>
        <row r="148">
          <cell r="W148" t="str">
            <v/>
          </cell>
        </row>
        <row r="149">
          <cell r="W149" t="str">
            <v/>
          </cell>
        </row>
        <row r="150">
          <cell r="W150" t="str">
            <v/>
          </cell>
        </row>
        <row r="151">
          <cell r="W151" t="str">
            <v/>
          </cell>
        </row>
        <row r="152">
          <cell r="W152" t="str">
            <v/>
          </cell>
        </row>
        <row r="153">
          <cell r="W153" t="str">
            <v/>
          </cell>
        </row>
        <row r="154">
          <cell r="W154" t="str">
            <v/>
          </cell>
        </row>
        <row r="155">
          <cell r="W155" t="str">
            <v/>
          </cell>
        </row>
        <row r="156">
          <cell r="W156" t="str">
            <v/>
          </cell>
        </row>
        <row r="157">
          <cell r="W157" t="str">
            <v/>
          </cell>
        </row>
        <row r="158">
          <cell r="W158" t="str">
            <v/>
          </cell>
        </row>
        <row r="159">
          <cell r="W159" t="str">
            <v/>
          </cell>
        </row>
        <row r="160">
          <cell r="W160" t="str">
            <v/>
          </cell>
        </row>
        <row r="161">
          <cell r="W161" t="str">
            <v/>
          </cell>
        </row>
        <row r="162">
          <cell r="W162" t="str">
            <v/>
          </cell>
        </row>
        <row r="163">
          <cell r="W163" t="str">
            <v/>
          </cell>
        </row>
        <row r="164">
          <cell r="W164" t="str">
            <v/>
          </cell>
        </row>
        <row r="165">
          <cell r="W165" t="str">
            <v/>
          </cell>
        </row>
        <row r="166">
          <cell r="W166" t="str">
            <v/>
          </cell>
        </row>
        <row r="167">
          <cell r="W167" t="str">
            <v/>
          </cell>
        </row>
        <row r="168">
          <cell r="W168" t="str">
            <v/>
          </cell>
        </row>
        <row r="169">
          <cell r="W169" t="str">
            <v/>
          </cell>
        </row>
        <row r="170">
          <cell r="W170" t="str">
            <v/>
          </cell>
        </row>
        <row r="171">
          <cell r="W171" t="str">
            <v/>
          </cell>
        </row>
        <row r="172">
          <cell r="W172" t="str">
            <v/>
          </cell>
        </row>
        <row r="173">
          <cell r="W173" t="str">
            <v/>
          </cell>
        </row>
        <row r="174">
          <cell r="W174" t="str">
            <v/>
          </cell>
        </row>
        <row r="175">
          <cell r="W175" t="str">
            <v/>
          </cell>
        </row>
        <row r="176">
          <cell r="W176" t="str">
            <v/>
          </cell>
        </row>
        <row r="177">
          <cell r="W177" t="str">
            <v/>
          </cell>
        </row>
        <row r="178">
          <cell r="W178" t="str">
            <v/>
          </cell>
        </row>
        <row r="179">
          <cell r="W179" t="str">
            <v/>
          </cell>
        </row>
        <row r="180">
          <cell r="W180" t="str">
            <v/>
          </cell>
        </row>
        <row r="181">
          <cell r="W181" t="str">
            <v/>
          </cell>
        </row>
        <row r="182">
          <cell r="W182" t="str">
            <v/>
          </cell>
        </row>
        <row r="183">
          <cell r="W183" t="str">
            <v/>
          </cell>
        </row>
        <row r="184">
          <cell r="W184" t="str">
            <v/>
          </cell>
        </row>
        <row r="185">
          <cell r="W185" t="str">
            <v/>
          </cell>
        </row>
        <row r="186">
          <cell r="W186" t="str">
            <v/>
          </cell>
        </row>
        <row r="187">
          <cell r="W187" t="str">
            <v/>
          </cell>
        </row>
        <row r="188">
          <cell r="W188" t="str">
            <v/>
          </cell>
        </row>
        <row r="189">
          <cell r="W189" t="str">
            <v/>
          </cell>
        </row>
        <row r="190">
          <cell r="W190" t="str">
            <v/>
          </cell>
        </row>
        <row r="191">
          <cell r="W191" t="str">
            <v/>
          </cell>
        </row>
        <row r="192">
          <cell r="W192" t="str">
            <v/>
          </cell>
        </row>
        <row r="193">
          <cell r="W193" t="str">
            <v/>
          </cell>
        </row>
        <row r="194">
          <cell r="W194" t="str">
            <v/>
          </cell>
        </row>
        <row r="195">
          <cell r="W195" t="str">
            <v/>
          </cell>
        </row>
        <row r="196">
          <cell r="W196" t="str">
            <v/>
          </cell>
        </row>
        <row r="197">
          <cell r="W197" t="str">
            <v/>
          </cell>
        </row>
        <row r="198">
          <cell r="W198" t="str">
            <v/>
          </cell>
        </row>
        <row r="199">
          <cell r="W199" t="str">
            <v/>
          </cell>
        </row>
        <row r="200">
          <cell r="W200" t="str">
            <v/>
          </cell>
        </row>
        <row r="201">
          <cell r="W201" t="str">
            <v/>
          </cell>
        </row>
        <row r="202">
          <cell r="W202" t="str">
            <v/>
          </cell>
        </row>
        <row r="203">
          <cell r="W203" t="str">
            <v/>
          </cell>
        </row>
        <row r="204">
          <cell r="W204" t="str">
            <v/>
          </cell>
        </row>
        <row r="205">
          <cell r="W205" t="str">
            <v/>
          </cell>
        </row>
        <row r="206">
          <cell r="W206" t="str">
            <v/>
          </cell>
        </row>
        <row r="207">
          <cell r="W207" t="str">
            <v/>
          </cell>
        </row>
        <row r="208">
          <cell r="W208" t="str">
            <v/>
          </cell>
        </row>
        <row r="209">
          <cell r="W209" t="str">
            <v/>
          </cell>
        </row>
        <row r="210">
          <cell r="W210" t="str">
            <v/>
          </cell>
        </row>
        <row r="211">
          <cell r="W211" t="str">
            <v/>
          </cell>
        </row>
        <row r="212">
          <cell r="W212" t="str">
            <v/>
          </cell>
        </row>
        <row r="213">
          <cell r="W213" t="str">
            <v/>
          </cell>
        </row>
        <row r="214">
          <cell r="W214" t="str">
            <v/>
          </cell>
        </row>
        <row r="215">
          <cell r="W215" t="str">
            <v/>
          </cell>
        </row>
        <row r="216">
          <cell r="W216" t="str">
            <v/>
          </cell>
        </row>
        <row r="217">
          <cell r="W217" t="str">
            <v/>
          </cell>
        </row>
        <row r="218">
          <cell r="W218" t="str">
            <v/>
          </cell>
        </row>
        <row r="219">
          <cell r="W219" t="str">
            <v/>
          </cell>
        </row>
        <row r="220">
          <cell r="W220" t="str">
            <v/>
          </cell>
        </row>
        <row r="221">
          <cell r="W221" t="str">
            <v/>
          </cell>
        </row>
        <row r="222">
          <cell r="W222" t="str">
            <v/>
          </cell>
        </row>
        <row r="223">
          <cell r="W223" t="str">
            <v/>
          </cell>
        </row>
        <row r="224">
          <cell r="W224" t="str">
            <v/>
          </cell>
        </row>
        <row r="225">
          <cell r="W225" t="str">
            <v/>
          </cell>
        </row>
        <row r="226">
          <cell r="W226" t="str">
            <v/>
          </cell>
        </row>
        <row r="227">
          <cell r="W227" t="str">
            <v/>
          </cell>
        </row>
        <row r="228">
          <cell r="W228" t="str">
            <v/>
          </cell>
        </row>
        <row r="229">
          <cell r="W229" t="str">
            <v/>
          </cell>
        </row>
        <row r="230">
          <cell r="W230" t="str">
            <v/>
          </cell>
        </row>
        <row r="231">
          <cell r="W231" t="str">
            <v/>
          </cell>
        </row>
        <row r="232">
          <cell r="W232" t="str">
            <v/>
          </cell>
        </row>
        <row r="233">
          <cell r="W233" t="str">
            <v/>
          </cell>
        </row>
        <row r="234">
          <cell r="W234" t="str">
            <v/>
          </cell>
        </row>
        <row r="235">
          <cell r="W235" t="str">
            <v/>
          </cell>
        </row>
        <row r="236">
          <cell r="W236" t="str">
            <v/>
          </cell>
        </row>
        <row r="237">
          <cell r="W237" t="str">
            <v/>
          </cell>
        </row>
        <row r="238">
          <cell r="W238" t="str">
            <v/>
          </cell>
        </row>
        <row r="239">
          <cell r="W239" t="str">
            <v/>
          </cell>
        </row>
        <row r="240">
          <cell r="W240" t="str">
            <v/>
          </cell>
        </row>
        <row r="241">
          <cell r="W241" t="str">
            <v/>
          </cell>
        </row>
        <row r="242">
          <cell r="W242" t="str">
            <v/>
          </cell>
        </row>
        <row r="243">
          <cell r="W243" t="str">
            <v/>
          </cell>
        </row>
        <row r="244">
          <cell r="W244" t="str">
            <v/>
          </cell>
        </row>
        <row r="245">
          <cell r="W245" t="str">
            <v/>
          </cell>
        </row>
        <row r="246">
          <cell r="W246" t="str">
            <v/>
          </cell>
        </row>
        <row r="247">
          <cell r="W247" t="str">
            <v/>
          </cell>
        </row>
        <row r="248">
          <cell r="W248" t="str">
            <v/>
          </cell>
        </row>
        <row r="249">
          <cell r="W249" t="str">
            <v/>
          </cell>
        </row>
        <row r="250">
          <cell r="W250" t="str">
            <v/>
          </cell>
        </row>
        <row r="251">
          <cell r="W251" t="str">
            <v/>
          </cell>
        </row>
        <row r="252">
          <cell r="W252" t="str">
            <v/>
          </cell>
        </row>
        <row r="253">
          <cell r="W253" t="str">
            <v/>
          </cell>
        </row>
        <row r="254">
          <cell r="W254" t="str">
            <v/>
          </cell>
        </row>
        <row r="255">
          <cell r="W255" t="str">
            <v/>
          </cell>
        </row>
        <row r="256">
          <cell r="W256" t="str">
            <v/>
          </cell>
        </row>
        <row r="257">
          <cell r="W257" t="str">
            <v/>
          </cell>
        </row>
        <row r="258">
          <cell r="W258" t="str">
            <v/>
          </cell>
        </row>
        <row r="259">
          <cell r="W259" t="str">
            <v/>
          </cell>
        </row>
        <row r="260">
          <cell r="W260" t="str">
            <v/>
          </cell>
        </row>
        <row r="261">
          <cell r="W261" t="str">
            <v/>
          </cell>
        </row>
        <row r="262">
          <cell r="W262" t="str">
            <v/>
          </cell>
        </row>
        <row r="263">
          <cell r="W263" t="str">
            <v/>
          </cell>
        </row>
        <row r="264">
          <cell r="W264" t="str">
            <v/>
          </cell>
        </row>
        <row r="265">
          <cell r="W265" t="str">
            <v/>
          </cell>
        </row>
        <row r="266">
          <cell r="W266" t="str">
            <v/>
          </cell>
        </row>
        <row r="267">
          <cell r="W267" t="str">
            <v/>
          </cell>
        </row>
        <row r="268">
          <cell r="W268" t="str">
            <v/>
          </cell>
        </row>
        <row r="269">
          <cell r="W269" t="str">
            <v/>
          </cell>
        </row>
        <row r="270">
          <cell r="W270" t="str">
            <v/>
          </cell>
        </row>
        <row r="271">
          <cell r="W271" t="str">
            <v/>
          </cell>
        </row>
        <row r="272">
          <cell r="W272" t="str">
            <v/>
          </cell>
        </row>
        <row r="273">
          <cell r="W273" t="str">
            <v/>
          </cell>
        </row>
        <row r="274">
          <cell r="W274" t="str">
            <v/>
          </cell>
        </row>
        <row r="275">
          <cell r="W275" t="str">
            <v/>
          </cell>
        </row>
        <row r="276">
          <cell r="W276" t="str">
            <v/>
          </cell>
        </row>
        <row r="277">
          <cell r="W277" t="str">
            <v/>
          </cell>
        </row>
        <row r="278">
          <cell r="W278" t="str">
            <v/>
          </cell>
        </row>
        <row r="279">
          <cell r="W279" t="str">
            <v/>
          </cell>
        </row>
        <row r="280">
          <cell r="W280" t="str">
            <v/>
          </cell>
        </row>
        <row r="281">
          <cell r="W281" t="str">
            <v/>
          </cell>
        </row>
        <row r="282">
          <cell r="W282" t="str">
            <v/>
          </cell>
        </row>
        <row r="283">
          <cell r="W283" t="str">
            <v/>
          </cell>
        </row>
        <row r="284">
          <cell r="W284" t="str">
            <v/>
          </cell>
        </row>
        <row r="285">
          <cell r="W285" t="str">
            <v/>
          </cell>
        </row>
        <row r="286">
          <cell r="W286" t="str">
            <v/>
          </cell>
        </row>
        <row r="287">
          <cell r="W287" t="str">
            <v/>
          </cell>
        </row>
        <row r="288">
          <cell r="W288" t="str">
            <v/>
          </cell>
        </row>
        <row r="289">
          <cell r="W289" t="str">
            <v/>
          </cell>
        </row>
        <row r="290">
          <cell r="W290" t="str">
            <v/>
          </cell>
        </row>
        <row r="291">
          <cell r="W291" t="str">
            <v/>
          </cell>
        </row>
        <row r="292">
          <cell r="W292" t="str">
            <v/>
          </cell>
        </row>
        <row r="293">
          <cell r="W293" t="str">
            <v/>
          </cell>
        </row>
        <row r="294">
          <cell r="W294" t="str">
            <v/>
          </cell>
        </row>
        <row r="295">
          <cell r="W295" t="str">
            <v/>
          </cell>
        </row>
        <row r="296">
          <cell r="W296" t="str">
            <v/>
          </cell>
        </row>
        <row r="297">
          <cell r="W297" t="str">
            <v/>
          </cell>
        </row>
        <row r="298">
          <cell r="W298" t="str">
            <v/>
          </cell>
        </row>
        <row r="299">
          <cell r="W299" t="str">
            <v/>
          </cell>
        </row>
        <row r="300">
          <cell r="W300" t="str">
            <v/>
          </cell>
        </row>
      </sheetData>
      <sheetData sheetId="2">
        <row r="3">
          <cell r="DI3">
            <v>14</v>
          </cell>
          <cell r="DJ3">
            <v>0</v>
          </cell>
          <cell r="DK3">
            <v>0</v>
          </cell>
        </row>
        <row r="4">
          <cell r="DI4">
            <v>6</v>
          </cell>
          <cell r="DJ4">
            <v>0</v>
          </cell>
          <cell r="DK4">
            <v>0</v>
          </cell>
        </row>
        <row r="5">
          <cell r="DI5">
            <v>0</v>
          </cell>
          <cell r="DJ5">
            <v>0</v>
          </cell>
          <cell r="DK5">
            <v>0</v>
          </cell>
        </row>
        <row r="6">
          <cell r="DI6">
            <v>1</v>
          </cell>
          <cell r="DJ6">
            <v>0</v>
          </cell>
          <cell r="DK6">
            <v>0</v>
          </cell>
        </row>
        <row r="7">
          <cell r="DI7">
            <v>5</v>
          </cell>
          <cell r="DJ7">
            <v>0</v>
          </cell>
          <cell r="DK7">
            <v>0</v>
          </cell>
        </row>
        <row r="8">
          <cell r="DI8">
            <v>1</v>
          </cell>
          <cell r="DJ8">
            <v>0</v>
          </cell>
          <cell r="DK8">
            <v>0</v>
          </cell>
        </row>
        <row r="9">
          <cell r="DI9">
            <v>0</v>
          </cell>
          <cell r="DJ9">
            <v>0</v>
          </cell>
          <cell r="DK9">
            <v>0</v>
          </cell>
        </row>
        <row r="10">
          <cell r="DI10">
            <v>0</v>
          </cell>
          <cell r="DJ10">
            <v>0</v>
          </cell>
          <cell r="DK10">
            <v>0</v>
          </cell>
        </row>
        <row r="11">
          <cell r="DI11">
            <v>104</v>
          </cell>
          <cell r="DJ11">
            <v>0</v>
          </cell>
          <cell r="DK11">
            <v>0</v>
          </cell>
        </row>
        <row r="12">
          <cell r="DI12">
            <v>0</v>
          </cell>
          <cell r="DJ12">
            <v>0</v>
          </cell>
          <cell r="DK12">
            <v>0</v>
          </cell>
        </row>
        <row r="13">
          <cell r="DI13">
            <v>29</v>
          </cell>
          <cell r="DJ13">
            <v>0</v>
          </cell>
          <cell r="DK13">
            <v>0</v>
          </cell>
        </row>
        <row r="14">
          <cell r="DI14">
            <v>0</v>
          </cell>
          <cell r="DJ14">
            <v>0</v>
          </cell>
          <cell r="DK14">
            <v>0</v>
          </cell>
        </row>
        <row r="15">
          <cell r="DI15">
            <v>69</v>
          </cell>
          <cell r="DJ15">
            <v>0</v>
          </cell>
          <cell r="DK15">
            <v>0</v>
          </cell>
        </row>
        <row r="16">
          <cell r="DI16">
            <v>0</v>
          </cell>
          <cell r="DJ16">
            <v>0</v>
          </cell>
          <cell r="DK16">
            <v>2</v>
          </cell>
        </row>
        <row r="17">
          <cell r="DI17">
            <v>0</v>
          </cell>
          <cell r="DJ17">
            <v>0</v>
          </cell>
          <cell r="DK17">
            <v>0</v>
          </cell>
        </row>
        <row r="18">
          <cell r="DI18">
            <v>160</v>
          </cell>
          <cell r="DJ18">
            <v>0</v>
          </cell>
          <cell r="DK18">
            <v>0</v>
          </cell>
        </row>
        <row r="19">
          <cell r="DI19">
            <v>59</v>
          </cell>
          <cell r="DJ19">
            <v>0</v>
          </cell>
          <cell r="DK19">
            <v>0</v>
          </cell>
        </row>
        <row r="20">
          <cell r="DI20">
            <v>9</v>
          </cell>
          <cell r="DJ20">
            <v>0</v>
          </cell>
          <cell r="DK20">
            <v>0</v>
          </cell>
        </row>
        <row r="21">
          <cell r="DI21">
            <v>30</v>
          </cell>
          <cell r="DJ21">
            <v>0</v>
          </cell>
          <cell r="DK21">
            <v>0</v>
          </cell>
        </row>
        <row r="22">
          <cell r="DI22">
            <v>22</v>
          </cell>
          <cell r="DJ22">
            <v>0</v>
          </cell>
          <cell r="DK22">
            <v>0</v>
          </cell>
        </row>
        <row r="23">
          <cell r="DI23">
            <v>30</v>
          </cell>
          <cell r="DJ23">
            <v>0</v>
          </cell>
          <cell r="DK23">
            <v>0</v>
          </cell>
        </row>
        <row r="24">
          <cell r="DI24">
            <v>128</v>
          </cell>
          <cell r="DJ24">
            <v>0</v>
          </cell>
          <cell r="DK24">
            <v>0</v>
          </cell>
        </row>
        <row r="25">
          <cell r="DI25">
            <v>145</v>
          </cell>
          <cell r="DJ25">
            <v>0</v>
          </cell>
          <cell r="DK25">
            <v>0</v>
          </cell>
        </row>
        <row r="26">
          <cell r="DI26">
            <v>92</v>
          </cell>
          <cell r="DJ26">
            <v>0</v>
          </cell>
          <cell r="DK26">
            <v>0</v>
          </cell>
        </row>
        <row r="27">
          <cell r="DI27">
            <v>67</v>
          </cell>
          <cell r="DJ27">
            <v>0</v>
          </cell>
          <cell r="DK27">
            <v>61</v>
          </cell>
        </row>
        <row r="28">
          <cell r="DI28">
            <v>49</v>
          </cell>
          <cell r="DJ28">
            <v>0</v>
          </cell>
          <cell r="DK28">
            <v>0</v>
          </cell>
        </row>
        <row r="29">
          <cell r="DI29">
            <v>247</v>
          </cell>
          <cell r="DJ29">
            <v>0</v>
          </cell>
          <cell r="DK29">
            <v>0</v>
          </cell>
        </row>
        <row r="30">
          <cell r="DI30">
            <v>0</v>
          </cell>
          <cell r="DJ30">
            <v>0</v>
          </cell>
          <cell r="DK30">
            <v>0</v>
          </cell>
        </row>
        <row r="31">
          <cell r="DI31">
            <v>0</v>
          </cell>
          <cell r="DJ31">
            <v>0</v>
          </cell>
          <cell r="DK31">
            <v>0</v>
          </cell>
        </row>
        <row r="32">
          <cell r="DI32">
            <v>69</v>
          </cell>
          <cell r="DJ32">
            <v>0</v>
          </cell>
          <cell r="DK32">
            <v>0</v>
          </cell>
        </row>
        <row r="33">
          <cell r="DI33">
            <v>12</v>
          </cell>
          <cell r="DJ33">
            <v>0</v>
          </cell>
          <cell r="DK33">
            <v>0</v>
          </cell>
        </row>
        <row r="34">
          <cell r="DI34">
            <v>197</v>
          </cell>
          <cell r="DJ34">
            <v>0</v>
          </cell>
          <cell r="DK34">
            <v>134</v>
          </cell>
        </row>
        <row r="35">
          <cell r="DI35">
            <v>99</v>
          </cell>
          <cell r="DJ35">
            <v>0</v>
          </cell>
          <cell r="DK35">
            <v>104</v>
          </cell>
        </row>
        <row r="36">
          <cell r="DI36">
            <v>98</v>
          </cell>
          <cell r="DJ36">
            <v>0</v>
          </cell>
          <cell r="DK36">
            <v>18</v>
          </cell>
        </row>
        <row r="37">
          <cell r="DI37">
            <v>12</v>
          </cell>
          <cell r="DJ37">
            <v>0</v>
          </cell>
          <cell r="DK37">
            <v>3</v>
          </cell>
        </row>
        <row r="38">
          <cell r="DI38">
            <v>0</v>
          </cell>
          <cell r="DJ38">
            <v>0</v>
          </cell>
          <cell r="DK38">
            <v>0</v>
          </cell>
        </row>
        <row r="39">
          <cell r="DI39">
            <v>0</v>
          </cell>
          <cell r="DJ39">
            <v>0</v>
          </cell>
          <cell r="DK39">
            <v>0</v>
          </cell>
        </row>
        <row r="40">
          <cell r="DI40">
            <v>0</v>
          </cell>
          <cell r="DJ40">
            <v>0</v>
          </cell>
          <cell r="DK40">
            <v>0</v>
          </cell>
        </row>
        <row r="41">
          <cell r="DI41">
            <v>1</v>
          </cell>
          <cell r="DJ41">
            <v>0</v>
          </cell>
          <cell r="DK41">
            <v>0</v>
          </cell>
        </row>
        <row r="42">
          <cell r="DI42">
            <v>0</v>
          </cell>
          <cell r="DJ42">
            <v>0</v>
          </cell>
          <cell r="DK42">
            <v>0</v>
          </cell>
        </row>
        <row r="43">
          <cell r="DI43">
            <v>5</v>
          </cell>
          <cell r="DJ43">
            <v>0</v>
          </cell>
          <cell r="DK43">
            <v>0</v>
          </cell>
        </row>
        <row r="44">
          <cell r="DI44">
            <v>3</v>
          </cell>
          <cell r="DJ44">
            <v>0</v>
          </cell>
          <cell r="DK44">
            <v>2</v>
          </cell>
        </row>
        <row r="45">
          <cell r="DI45">
            <v>4</v>
          </cell>
          <cell r="DJ45">
            <v>0</v>
          </cell>
          <cell r="DK45">
            <v>2</v>
          </cell>
        </row>
        <row r="46">
          <cell r="DI46">
            <v>7</v>
          </cell>
          <cell r="DJ46">
            <v>0</v>
          </cell>
          <cell r="DK46">
            <v>3</v>
          </cell>
        </row>
        <row r="47">
          <cell r="DI47">
            <v>6</v>
          </cell>
          <cell r="DJ47">
            <v>0</v>
          </cell>
          <cell r="DK47">
            <v>3</v>
          </cell>
        </row>
        <row r="48">
          <cell r="DI48">
            <v>11</v>
          </cell>
          <cell r="DJ48">
            <v>0</v>
          </cell>
          <cell r="DK48">
            <v>8</v>
          </cell>
        </row>
        <row r="49">
          <cell r="DI49">
            <v>3</v>
          </cell>
          <cell r="DJ49">
            <v>0</v>
          </cell>
          <cell r="DK49">
            <v>0</v>
          </cell>
        </row>
        <row r="50">
          <cell r="DI50">
            <v>3</v>
          </cell>
          <cell r="DJ50">
            <v>0</v>
          </cell>
          <cell r="DK50">
            <v>8</v>
          </cell>
        </row>
        <row r="51">
          <cell r="DI51">
            <v>5</v>
          </cell>
          <cell r="DJ51">
            <v>0</v>
          </cell>
          <cell r="DK51">
            <v>13</v>
          </cell>
        </row>
        <row r="52">
          <cell r="DI52">
            <v>0</v>
          </cell>
          <cell r="DJ52">
            <v>0</v>
          </cell>
          <cell r="DK52">
            <v>0</v>
          </cell>
        </row>
        <row r="53">
          <cell r="DI53">
            <v>2</v>
          </cell>
          <cell r="DJ53">
            <v>0</v>
          </cell>
          <cell r="DK53">
            <v>3</v>
          </cell>
        </row>
        <row r="54">
          <cell r="DI54">
            <v>0</v>
          </cell>
          <cell r="DJ54">
            <v>0</v>
          </cell>
          <cell r="DK54">
            <v>0</v>
          </cell>
        </row>
        <row r="55">
          <cell r="DI55">
            <v>0</v>
          </cell>
          <cell r="DJ55">
            <v>0</v>
          </cell>
          <cell r="DK55">
            <v>0</v>
          </cell>
        </row>
        <row r="56">
          <cell r="DI56">
            <v>3</v>
          </cell>
          <cell r="DJ56">
            <v>0</v>
          </cell>
          <cell r="DK56">
            <v>2</v>
          </cell>
        </row>
        <row r="57">
          <cell r="DI57">
            <v>0</v>
          </cell>
          <cell r="DJ57">
            <v>0</v>
          </cell>
          <cell r="DK57">
            <v>0</v>
          </cell>
        </row>
        <row r="58">
          <cell r="DI58">
            <v>12</v>
          </cell>
          <cell r="DJ58">
            <v>0</v>
          </cell>
          <cell r="DK58">
            <v>15</v>
          </cell>
        </row>
        <row r="59">
          <cell r="DI59">
            <v>0</v>
          </cell>
          <cell r="DJ59">
            <v>0</v>
          </cell>
          <cell r="DK59">
            <v>1</v>
          </cell>
        </row>
        <row r="60">
          <cell r="DI60">
            <v>0</v>
          </cell>
          <cell r="DJ60">
            <v>0</v>
          </cell>
          <cell r="DK60">
            <v>0</v>
          </cell>
        </row>
        <row r="61">
          <cell r="DI61">
            <v>1</v>
          </cell>
          <cell r="DJ61">
            <v>0</v>
          </cell>
          <cell r="DK61">
            <v>4</v>
          </cell>
        </row>
        <row r="62">
          <cell r="DI62">
            <v>0</v>
          </cell>
          <cell r="DJ62">
            <v>0</v>
          </cell>
          <cell r="DK62">
            <v>0</v>
          </cell>
        </row>
        <row r="63">
          <cell r="DI63">
            <v>3</v>
          </cell>
          <cell r="DJ63">
            <v>0</v>
          </cell>
          <cell r="DK63">
            <v>7</v>
          </cell>
        </row>
        <row r="64">
          <cell r="DI64">
            <v>107</v>
          </cell>
          <cell r="DJ64">
            <v>0</v>
          </cell>
          <cell r="DK64">
            <v>129</v>
          </cell>
        </row>
        <row r="65">
          <cell r="DI65">
            <v>6</v>
          </cell>
          <cell r="DJ65">
            <v>0</v>
          </cell>
          <cell r="DK65">
            <v>5</v>
          </cell>
        </row>
        <row r="66">
          <cell r="DI66">
            <v>967</v>
          </cell>
          <cell r="DJ66">
            <v>0</v>
          </cell>
          <cell r="DK66">
            <v>333</v>
          </cell>
        </row>
        <row r="67">
          <cell r="DI67">
            <v>9</v>
          </cell>
          <cell r="DJ67">
            <v>0</v>
          </cell>
          <cell r="DK67">
            <v>0</v>
          </cell>
        </row>
        <row r="68">
          <cell r="DI68">
            <v>3</v>
          </cell>
          <cell r="DJ68">
            <v>0</v>
          </cell>
          <cell r="DK68">
            <v>0</v>
          </cell>
        </row>
        <row r="69">
          <cell r="DI69">
            <v>0</v>
          </cell>
          <cell r="DJ69">
            <v>0</v>
          </cell>
          <cell r="DK69">
            <v>0</v>
          </cell>
        </row>
        <row r="70">
          <cell r="DI70">
            <v>22</v>
          </cell>
          <cell r="DJ70">
            <v>0</v>
          </cell>
          <cell r="DK70">
            <v>0</v>
          </cell>
        </row>
        <row r="71">
          <cell r="DI71">
            <v>3</v>
          </cell>
          <cell r="DJ71">
            <v>0</v>
          </cell>
          <cell r="DK71">
            <v>0</v>
          </cell>
        </row>
        <row r="72">
          <cell r="DI72">
            <v>2</v>
          </cell>
          <cell r="DJ72">
            <v>0</v>
          </cell>
          <cell r="DK72">
            <v>0</v>
          </cell>
        </row>
        <row r="73">
          <cell r="DI73">
            <v>14</v>
          </cell>
          <cell r="DJ73">
            <v>0</v>
          </cell>
          <cell r="DK73">
            <v>0</v>
          </cell>
        </row>
        <row r="74">
          <cell r="DI74">
            <v>6</v>
          </cell>
          <cell r="DJ74">
            <v>0</v>
          </cell>
          <cell r="DK74">
            <v>0</v>
          </cell>
        </row>
        <row r="75">
          <cell r="DI75">
            <v>0</v>
          </cell>
          <cell r="DJ75">
            <v>0</v>
          </cell>
          <cell r="DK75">
            <v>0</v>
          </cell>
        </row>
        <row r="76">
          <cell r="DI76">
            <v>0</v>
          </cell>
          <cell r="DJ76">
            <v>0</v>
          </cell>
          <cell r="DK76">
            <v>0</v>
          </cell>
        </row>
        <row r="77">
          <cell r="DI77">
            <v>2</v>
          </cell>
          <cell r="DJ77">
            <v>0</v>
          </cell>
          <cell r="DK77">
            <v>2</v>
          </cell>
        </row>
        <row r="78">
          <cell r="DI78">
            <v>0</v>
          </cell>
          <cell r="DJ78">
            <v>0</v>
          </cell>
          <cell r="DK78">
            <v>0</v>
          </cell>
        </row>
        <row r="79">
          <cell r="DI79">
            <v>0</v>
          </cell>
          <cell r="DJ79">
            <v>0</v>
          </cell>
          <cell r="DK79">
            <v>0</v>
          </cell>
        </row>
        <row r="80">
          <cell r="DI80">
            <v>0</v>
          </cell>
          <cell r="DJ80">
            <v>0</v>
          </cell>
          <cell r="DK80">
            <v>0</v>
          </cell>
        </row>
        <row r="81">
          <cell r="DI81">
            <v>0</v>
          </cell>
          <cell r="DJ81">
            <v>0</v>
          </cell>
          <cell r="DK81">
            <v>0</v>
          </cell>
        </row>
        <row r="82">
          <cell r="DI82">
            <v>0</v>
          </cell>
          <cell r="DJ82">
            <v>0</v>
          </cell>
          <cell r="DK82">
            <v>0</v>
          </cell>
        </row>
        <row r="83">
          <cell r="DI83">
            <v>0</v>
          </cell>
          <cell r="DJ83">
            <v>0</v>
          </cell>
          <cell r="DK83">
            <v>0</v>
          </cell>
        </row>
        <row r="84">
          <cell r="DI84">
            <v>0</v>
          </cell>
          <cell r="DJ84">
            <v>0</v>
          </cell>
          <cell r="DK84">
            <v>0</v>
          </cell>
        </row>
        <row r="85">
          <cell r="DI85">
            <v>0</v>
          </cell>
          <cell r="DJ85">
            <v>0</v>
          </cell>
          <cell r="DK85">
            <v>0</v>
          </cell>
        </row>
        <row r="86">
          <cell r="DI86">
            <v>0</v>
          </cell>
          <cell r="DJ86">
            <v>0</v>
          </cell>
          <cell r="DK86">
            <v>0</v>
          </cell>
        </row>
        <row r="87">
          <cell r="DI87">
            <v>0</v>
          </cell>
          <cell r="DJ87">
            <v>0</v>
          </cell>
          <cell r="DK87">
            <v>0</v>
          </cell>
        </row>
        <row r="88">
          <cell r="DI88">
            <v>0</v>
          </cell>
          <cell r="DJ88">
            <v>0</v>
          </cell>
          <cell r="DK88">
            <v>0</v>
          </cell>
        </row>
        <row r="89">
          <cell r="DI89">
            <v>0</v>
          </cell>
          <cell r="DJ89">
            <v>0</v>
          </cell>
          <cell r="DK89">
            <v>0</v>
          </cell>
        </row>
        <row r="90">
          <cell r="DI90">
            <v>0</v>
          </cell>
          <cell r="DJ90">
            <v>0</v>
          </cell>
          <cell r="DK90">
            <v>0</v>
          </cell>
        </row>
        <row r="91">
          <cell r="DI91">
            <v>0</v>
          </cell>
          <cell r="DJ91">
            <v>0</v>
          </cell>
          <cell r="DK91">
            <v>0</v>
          </cell>
        </row>
        <row r="92">
          <cell r="DI92">
            <v>0</v>
          </cell>
          <cell r="DJ92">
            <v>0</v>
          </cell>
          <cell r="DK92">
            <v>0</v>
          </cell>
        </row>
        <row r="93">
          <cell r="DI93">
            <v>0</v>
          </cell>
          <cell r="DJ93">
            <v>0</v>
          </cell>
          <cell r="DK93">
            <v>0</v>
          </cell>
        </row>
        <row r="94">
          <cell r="DI94">
            <v>0</v>
          </cell>
          <cell r="DJ94">
            <v>0</v>
          </cell>
          <cell r="DK94">
            <v>0</v>
          </cell>
        </row>
        <row r="95">
          <cell r="DI95">
            <v>0</v>
          </cell>
          <cell r="DJ95">
            <v>0</v>
          </cell>
          <cell r="DK95">
            <v>0</v>
          </cell>
        </row>
        <row r="96">
          <cell r="DI96">
            <v>0</v>
          </cell>
          <cell r="DJ96">
            <v>0</v>
          </cell>
          <cell r="DK96">
            <v>0</v>
          </cell>
        </row>
        <row r="97">
          <cell r="DI97">
            <v>0</v>
          </cell>
          <cell r="DJ97">
            <v>0</v>
          </cell>
          <cell r="DK97">
            <v>0</v>
          </cell>
        </row>
        <row r="98">
          <cell r="DI98">
            <v>0</v>
          </cell>
          <cell r="DJ98">
            <v>0</v>
          </cell>
          <cell r="DK98">
            <v>0</v>
          </cell>
        </row>
        <row r="99">
          <cell r="DI99">
            <v>0</v>
          </cell>
          <cell r="DJ99">
            <v>0</v>
          </cell>
          <cell r="DK99">
            <v>0</v>
          </cell>
        </row>
        <row r="100">
          <cell r="DI100">
            <v>0</v>
          </cell>
          <cell r="DJ100">
            <v>0</v>
          </cell>
          <cell r="DK100">
            <v>0</v>
          </cell>
        </row>
        <row r="101">
          <cell r="DI101">
            <v>0</v>
          </cell>
          <cell r="DJ101">
            <v>0</v>
          </cell>
          <cell r="DK101">
            <v>0</v>
          </cell>
        </row>
        <row r="102">
          <cell r="DI102">
            <v>0</v>
          </cell>
          <cell r="DJ102">
            <v>0</v>
          </cell>
          <cell r="DK102">
            <v>0</v>
          </cell>
        </row>
        <row r="103">
          <cell r="DI103">
            <v>0</v>
          </cell>
          <cell r="DJ103">
            <v>0</v>
          </cell>
          <cell r="DK103">
            <v>0</v>
          </cell>
        </row>
        <row r="104">
          <cell r="DI104">
            <v>0</v>
          </cell>
          <cell r="DJ104">
            <v>0</v>
          </cell>
          <cell r="DK104">
            <v>0</v>
          </cell>
        </row>
        <row r="105">
          <cell r="DI105">
            <v>0</v>
          </cell>
          <cell r="DJ105">
            <v>0</v>
          </cell>
          <cell r="DK105">
            <v>0</v>
          </cell>
        </row>
        <row r="106">
          <cell r="DI106">
            <v>0</v>
          </cell>
          <cell r="DJ106">
            <v>0</v>
          </cell>
          <cell r="DK106">
            <v>0</v>
          </cell>
        </row>
        <row r="107">
          <cell r="DI107">
            <v>0</v>
          </cell>
          <cell r="DJ107">
            <v>0</v>
          </cell>
          <cell r="DK107">
            <v>0</v>
          </cell>
        </row>
        <row r="108">
          <cell r="DI108">
            <v>0</v>
          </cell>
          <cell r="DJ108">
            <v>0</v>
          </cell>
          <cell r="DK108">
            <v>0</v>
          </cell>
        </row>
        <row r="109">
          <cell r="DI109">
            <v>0</v>
          </cell>
          <cell r="DJ109">
            <v>0</v>
          </cell>
          <cell r="DK109">
            <v>0</v>
          </cell>
        </row>
        <row r="110">
          <cell r="DI110">
            <v>0</v>
          </cell>
          <cell r="DJ110">
            <v>0</v>
          </cell>
          <cell r="DK110">
            <v>0</v>
          </cell>
        </row>
        <row r="111">
          <cell r="DI111">
            <v>0</v>
          </cell>
          <cell r="DJ111">
            <v>0</v>
          </cell>
          <cell r="DK111">
            <v>0</v>
          </cell>
        </row>
        <row r="112">
          <cell r="DI112">
            <v>0</v>
          </cell>
          <cell r="DJ112">
            <v>0</v>
          </cell>
          <cell r="DK112">
            <v>0</v>
          </cell>
        </row>
        <row r="113">
          <cell r="DI113">
            <v>0</v>
          </cell>
          <cell r="DJ113">
            <v>0</v>
          </cell>
          <cell r="DK113">
            <v>0</v>
          </cell>
        </row>
        <row r="114">
          <cell r="DI114">
            <v>0</v>
          </cell>
          <cell r="DJ114">
            <v>0</v>
          </cell>
          <cell r="DK114">
            <v>0</v>
          </cell>
        </row>
        <row r="115">
          <cell r="DI115">
            <v>0</v>
          </cell>
          <cell r="DJ115">
            <v>0</v>
          </cell>
          <cell r="DK115">
            <v>0</v>
          </cell>
        </row>
        <row r="116">
          <cell r="DI116">
            <v>0</v>
          </cell>
          <cell r="DJ116">
            <v>0</v>
          </cell>
          <cell r="DK116">
            <v>0</v>
          </cell>
        </row>
        <row r="117">
          <cell r="DI117">
            <v>0</v>
          </cell>
          <cell r="DJ117">
            <v>0</v>
          </cell>
          <cell r="DK117">
            <v>0</v>
          </cell>
        </row>
        <row r="118">
          <cell r="DI118">
            <v>0</v>
          </cell>
          <cell r="DJ118">
            <v>0</v>
          </cell>
          <cell r="DK118">
            <v>0</v>
          </cell>
        </row>
        <row r="119">
          <cell r="DI119">
            <v>0</v>
          </cell>
          <cell r="DJ119">
            <v>0</v>
          </cell>
          <cell r="DK119">
            <v>0</v>
          </cell>
        </row>
        <row r="120">
          <cell r="DI120">
            <v>0</v>
          </cell>
          <cell r="DJ120">
            <v>0</v>
          </cell>
          <cell r="DK120">
            <v>0</v>
          </cell>
        </row>
        <row r="121">
          <cell r="DI121">
            <v>0</v>
          </cell>
          <cell r="DJ121">
            <v>0</v>
          </cell>
          <cell r="DK121">
            <v>0</v>
          </cell>
        </row>
        <row r="122">
          <cell r="DI122">
            <v>0</v>
          </cell>
          <cell r="DJ122">
            <v>0</v>
          </cell>
          <cell r="DK122">
            <v>0</v>
          </cell>
        </row>
        <row r="123">
          <cell r="DI123">
            <v>0</v>
          </cell>
          <cell r="DJ123">
            <v>0</v>
          </cell>
          <cell r="DK123">
            <v>0</v>
          </cell>
        </row>
        <row r="124">
          <cell r="DI124">
            <v>0</v>
          </cell>
          <cell r="DJ124">
            <v>0</v>
          </cell>
          <cell r="DK124">
            <v>0</v>
          </cell>
        </row>
        <row r="125">
          <cell r="DI125">
            <v>0</v>
          </cell>
          <cell r="DJ125">
            <v>0</v>
          </cell>
          <cell r="DK125">
            <v>0</v>
          </cell>
        </row>
        <row r="126">
          <cell r="DI126">
            <v>0</v>
          </cell>
          <cell r="DJ126">
            <v>0</v>
          </cell>
          <cell r="DK126">
            <v>0</v>
          </cell>
        </row>
        <row r="127">
          <cell r="DI127">
            <v>0</v>
          </cell>
          <cell r="DJ127">
            <v>0</v>
          </cell>
          <cell r="DK127">
            <v>0</v>
          </cell>
        </row>
        <row r="128">
          <cell r="DI128">
            <v>0</v>
          </cell>
          <cell r="DJ128">
            <v>0</v>
          </cell>
          <cell r="DK128">
            <v>0</v>
          </cell>
        </row>
        <row r="129">
          <cell r="DI129">
            <v>0</v>
          </cell>
          <cell r="DJ129">
            <v>0</v>
          </cell>
          <cell r="DK129">
            <v>0</v>
          </cell>
        </row>
        <row r="130">
          <cell r="DI130">
            <v>0</v>
          </cell>
          <cell r="DJ130">
            <v>0</v>
          </cell>
          <cell r="DK130">
            <v>0</v>
          </cell>
        </row>
        <row r="131">
          <cell r="DI131">
            <v>0</v>
          </cell>
          <cell r="DJ131">
            <v>0</v>
          </cell>
          <cell r="DK131">
            <v>0</v>
          </cell>
        </row>
        <row r="132">
          <cell r="DI132">
            <v>0</v>
          </cell>
          <cell r="DJ132">
            <v>0</v>
          </cell>
          <cell r="DK132">
            <v>0</v>
          </cell>
        </row>
        <row r="133">
          <cell r="DI133">
            <v>0</v>
          </cell>
          <cell r="DJ133">
            <v>0</v>
          </cell>
          <cell r="DK133">
            <v>0</v>
          </cell>
        </row>
        <row r="134">
          <cell r="DI134">
            <v>0</v>
          </cell>
          <cell r="DJ134">
            <v>0</v>
          </cell>
          <cell r="DK134">
            <v>0</v>
          </cell>
        </row>
        <row r="135">
          <cell r="DI135">
            <v>0</v>
          </cell>
          <cell r="DJ135">
            <v>0</v>
          </cell>
          <cell r="DK135">
            <v>0</v>
          </cell>
        </row>
        <row r="136">
          <cell r="DI136">
            <v>0</v>
          </cell>
          <cell r="DJ136">
            <v>0</v>
          </cell>
          <cell r="DK136">
            <v>0</v>
          </cell>
        </row>
        <row r="137">
          <cell r="DI137">
            <v>0</v>
          </cell>
          <cell r="DJ137">
            <v>0</v>
          </cell>
          <cell r="DK137">
            <v>0</v>
          </cell>
        </row>
        <row r="138">
          <cell r="DI138">
            <v>0</v>
          </cell>
          <cell r="DJ138">
            <v>0</v>
          </cell>
          <cell r="DK138">
            <v>0</v>
          </cell>
        </row>
        <row r="139">
          <cell r="DI139">
            <v>0</v>
          </cell>
          <cell r="DJ139">
            <v>0</v>
          </cell>
          <cell r="DK139">
            <v>0</v>
          </cell>
        </row>
        <row r="140">
          <cell r="DI140">
            <v>0</v>
          </cell>
          <cell r="DJ140">
            <v>0</v>
          </cell>
          <cell r="DK140">
            <v>0</v>
          </cell>
        </row>
        <row r="141">
          <cell r="DI141">
            <v>0</v>
          </cell>
          <cell r="DJ141">
            <v>0</v>
          </cell>
          <cell r="DK141">
            <v>0</v>
          </cell>
        </row>
        <row r="142">
          <cell r="DI142">
            <v>0</v>
          </cell>
          <cell r="DJ142">
            <v>0</v>
          </cell>
          <cell r="DK142">
            <v>0</v>
          </cell>
        </row>
        <row r="143">
          <cell r="DI143">
            <v>0</v>
          </cell>
          <cell r="DJ143">
            <v>0</v>
          </cell>
          <cell r="DK143">
            <v>0</v>
          </cell>
        </row>
        <row r="144">
          <cell r="DI144">
            <v>0</v>
          </cell>
          <cell r="DJ144">
            <v>0</v>
          </cell>
          <cell r="DK144">
            <v>0</v>
          </cell>
        </row>
        <row r="145">
          <cell r="DI145">
            <v>0</v>
          </cell>
          <cell r="DJ145">
            <v>0</v>
          </cell>
          <cell r="DK145">
            <v>0</v>
          </cell>
        </row>
        <row r="146">
          <cell r="DI146">
            <v>0</v>
          </cell>
          <cell r="DJ146">
            <v>0</v>
          </cell>
          <cell r="DK146">
            <v>0</v>
          </cell>
        </row>
        <row r="147">
          <cell r="DI147">
            <v>0</v>
          </cell>
          <cell r="DJ147">
            <v>0</v>
          </cell>
          <cell r="DK147">
            <v>0</v>
          </cell>
        </row>
        <row r="148">
          <cell r="DI148">
            <v>0</v>
          </cell>
          <cell r="DJ148">
            <v>0</v>
          </cell>
          <cell r="DK148">
            <v>0</v>
          </cell>
        </row>
        <row r="149">
          <cell r="DI149">
            <v>0</v>
          </cell>
          <cell r="DJ149">
            <v>0</v>
          </cell>
          <cell r="DK149">
            <v>0</v>
          </cell>
        </row>
        <row r="150">
          <cell r="DI150">
            <v>0</v>
          </cell>
          <cell r="DJ150">
            <v>0</v>
          </cell>
          <cell r="DK150">
            <v>0</v>
          </cell>
        </row>
        <row r="151">
          <cell r="DI151">
            <v>0</v>
          </cell>
          <cell r="DJ151">
            <v>0</v>
          </cell>
          <cell r="DK151">
            <v>0</v>
          </cell>
        </row>
        <row r="152">
          <cell r="DI152">
            <v>0</v>
          </cell>
          <cell r="DJ152">
            <v>0</v>
          </cell>
          <cell r="DK152">
            <v>0</v>
          </cell>
        </row>
        <row r="153">
          <cell r="DI153">
            <v>0</v>
          </cell>
          <cell r="DJ153">
            <v>0</v>
          </cell>
          <cell r="DK153">
            <v>0</v>
          </cell>
        </row>
        <row r="154">
          <cell r="DI154">
            <v>0</v>
          </cell>
          <cell r="DJ154">
            <v>0</v>
          </cell>
          <cell r="DK154">
            <v>0</v>
          </cell>
        </row>
        <row r="155">
          <cell r="DI155">
            <v>0</v>
          </cell>
          <cell r="DJ155">
            <v>0</v>
          </cell>
          <cell r="DK155">
            <v>0</v>
          </cell>
        </row>
        <row r="156">
          <cell r="DI156">
            <v>0</v>
          </cell>
          <cell r="DJ156">
            <v>0</v>
          </cell>
          <cell r="DK156">
            <v>0</v>
          </cell>
        </row>
        <row r="157">
          <cell r="DI157">
            <v>0</v>
          </cell>
          <cell r="DJ157">
            <v>0</v>
          </cell>
          <cell r="DK157">
            <v>0</v>
          </cell>
        </row>
        <row r="158">
          <cell r="DI158">
            <v>0</v>
          </cell>
          <cell r="DJ158">
            <v>0</v>
          </cell>
          <cell r="DK158">
            <v>0</v>
          </cell>
        </row>
        <row r="159">
          <cell r="DI159">
            <v>0</v>
          </cell>
          <cell r="DJ159">
            <v>0</v>
          </cell>
          <cell r="DK159">
            <v>0</v>
          </cell>
        </row>
        <row r="160">
          <cell r="DI160">
            <v>0</v>
          </cell>
          <cell r="DJ160">
            <v>0</v>
          </cell>
          <cell r="DK160">
            <v>0</v>
          </cell>
        </row>
        <row r="161">
          <cell r="DI161">
            <v>0</v>
          </cell>
          <cell r="DJ161">
            <v>0</v>
          </cell>
          <cell r="DK161">
            <v>0</v>
          </cell>
        </row>
        <row r="162">
          <cell r="DI162">
            <v>0</v>
          </cell>
          <cell r="DJ162">
            <v>0</v>
          </cell>
          <cell r="DK162">
            <v>0</v>
          </cell>
        </row>
        <row r="163">
          <cell r="DI163">
            <v>0</v>
          </cell>
          <cell r="DJ163">
            <v>0</v>
          </cell>
          <cell r="DK163">
            <v>0</v>
          </cell>
        </row>
        <row r="164">
          <cell r="DI164">
            <v>0</v>
          </cell>
          <cell r="DJ164">
            <v>0</v>
          </cell>
          <cell r="DK164">
            <v>0</v>
          </cell>
        </row>
        <row r="165">
          <cell r="DI165">
            <v>0</v>
          </cell>
          <cell r="DJ165">
            <v>0</v>
          </cell>
          <cell r="DK165">
            <v>0</v>
          </cell>
        </row>
        <row r="166">
          <cell r="DI166">
            <v>0</v>
          </cell>
          <cell r="DJ166">
            <v>0</v>
          </cell>
          <cell r="DK166">
            <v>0</v>
          </cell>
        </row>
        <row r="167">
          <cell r="DI167">
            <v>0</v>
          </cell>
          <cell r="DJ167">
            <v>0</v>
          </cell>
          <cell r="DK167">
            <v>0</v>
          </cell>
        </row>
        <row r="168">
          <cell r="DI168">
            <v>0</v>
          </cell>
          <cell r="DJ168">
            <v>0</v>
          </cell>
          <cell r="DK168">
            <v>0</v>
          </cell>
        </row>
        <row r="169">
          <cell r="DI169">
            <v>0</v>
          </cell>
          <cell r="DJ169">
            <v>0</v>
          </cell>
          <cell r="DK169">
            <v>0</v>
          </cell>
        </row>
        <row r="170">
          <cell r="DI170">
            <v>0</v>
          </cell>
          <cell r="DJ170">
            <v>0</v>
          </cell>
          <cell r="DK170">
            <v>0</v>
          </cell>
        </row>
        <row r="171">
          <cell r="DI171">
            <v>0</v>
          </cell>
          <cell r="DJ171">
            <v>0</v>
          </cell>
          <cell r="DK171">
            <v>0</v>
          </cell>
        </row>
        <row r="172">
          <cell r="DI172">
            <v>0</v>
          </cell>
          <cell r="DJ172">
            <v>0</v>
          </cell>
          <cell r="DK172">
            <v>0</v>
          </cell>
        </row>
        <row r="173">
          <cell r="DI173">
            <v>0</v>
          </cell>
          <cell r="DJ173">
            <v>0</v>
          </cell>
          <cell r="DK173">
            <v>0</v>
          </cell>
        </row>
        <row r="174">
          <cell r="DI174">
            <v>0</v>
          </cell>
          <cell r="DJ174">
            <v>0</v>
          </cell>
          <cell r="DK174">
            <v>0</v>
          </cell>
        </row>
        <row r="175">
          <cell r="DI175">
            <v>0</v>
          </cell>
          <cell r="DJ175">
            <v>0</v>
          </cell>
          <cell r="DK175">
            <v>0</v>
          </cell>
        </row>
        <row r="176">
          <cell r="DI176">
            <v>0</v>
          </cell>
          <cell r="DJ176">
            <v>0</v>
          </cell>
          <cell r="DK176">
            <v>0</v>
          </cell>
        </row>
        <row r="177">
          <cell r="DI177">
            <v>0</v>
          </cell>
          <cell r="DJ177">
            <v>0</v>
          </cell>
          <cell r="DK177">
            <v>0</v>
          </cell>
        </row>
        <row r="178">
          <cell r="DI178">
            <v>0</v>
          </cell>
          <cell r="DJ178">
            <v>0</v>
          </cell>
          <cell r="DK178">
            <v>0</v>
          </cell>
        </row>
        <row r="179">
          <cell r="DI179">
            <v>0</v>
          </cell>
          <cell r="DJ179">
            <v>0</v>
          </cell>
          <cell r="DK179">
            <v>0</v>
          </cell>
        </row>
        <row r="180">
          <cell r="DI180">
            <v>0</v>
          </cell>
          <cell r="DJ180">
            <v>0</v>
          </cell>
          <cell r="DK180">
            <v>0</v>
          </cell>
        </row>
        <row r="181">
          <cell r="DI181">
            <v>0</v>
          </cell>
          <cell r="DJ181">
            <v>0</v>
          </cell>
          <cell r="DK181">
            <v>0</v>
          </cell>
        </row>
        <row r="182">
          <cell r="DI182">
            <v>0</v>
          </cell>
          <cell r="DJ182">
            <v>0</v>
          </cell>
          <cell r="DK182">
            <v>0</v>
          </cell>
        </row>
        <row r="183">
          <cell r="DI183">
            <v>0</v>
          </cell>
          <cell r="DJ183">
            <v>0</v>
          </cell>
          <cell r="DK183">
            <v>0</v>
          </cell>
        </row>
        <row r="184">
          <cell r="DI184">
            <v>0</v>
          </cell>
          <cell r="DJ184">
            <v>0</v>
          </cell>
          <cell r="DK184">
            <v>0</v>
          </cell>
        </row>
        <row r="185">
          <cell r="DI185">
            <v>0</v>
          </cell>
          <cell r="DJ185">
            <v>0</v>
          </cell>
          <cell r="DK185">
            <v>0</v>
          </cell>
        </row>
        <row r="186">
          <cell r="DI186">
            <v>0</v>
          </cell>
          <cell r="DJ186">
            <v>0</v>
          </cell>
          <cell r="DK186">
            <v>0</v>
          </cell>
        </row>
        <row r="187">
          <cell r="DI187">
            <v>0</v>
          </cell>
          <cell r="DJ187">
            <v>0</v>
          </cell>
          <cell r="DK187">
            <v>0</v>
          </cell>
        </row>
        <row r="188">
          <cell r="DI188">
            <v>0</v>
          </cell>
          <cell r="DJ188">
            <v>0</v>
          </cell>
          <cell r="DK188">
            <v>0</v>
          </cell>
        </row>
        <row r="189">
          <cell r="DI189">
            <v>0</v>
          </cell>
          <cell r="DJ189">
            <v>0</v>
          </cell>
          <cell r="DK189">
            <v>0</v>
          </cell>
        </row>
        <row r="190">
          <cell r="DI190">
            <v>0</v>
          </cell>
          <cell r="DJ190">
            <v>0</v>
          </cell>
          <cell r="DK190">
            <v>0</v>
          </cell>
        </row>
        <row r="191">
          <cell r="DI191">
            <v>0</v>
          </cell>
          <cell r="DJ191">
            <v>0</v>
          </cell>
          <cell r="DK191">
            <v>0</v>
          </cell>
        </row>
        <row r="192">
          <cell r="DI192">
            <v>0</v>
          </cell>
          <cell r="DJ192">
            <v>0</v>
          </cell>
          <cell r="DK192">
            <v>0</v>
          </cell>
        </row>
        <row r="193">
          <cell r="DI193">
            <v>0</v>
          </cell>
          <cell r="DJ193">
            <v>0</v>
          </cell>
          <cell r="DK193">
            <v>0</v>
          </cell>
        </row>
        <row r="194">
          <cell r="DI194">
            <v>0</v>
          </cell>
          <cell r="DJ194">
            <v>0</v>
          </cell>
          <cell r="DK194">
            <v>0</v>
          </cell>
        </row>
        <row r="195">
          <cell r="DI195">
            <v>0</v>
          </cell>
          <cell r="DJ195">
            <v>0</v>
          </cell>
          <cell r="DK195">
            <v>0</v>
          </cell>
        </row>
        <row r="196">
          <cell r="DI196">
            <v>0</v>
          </cell>
          <cell r="DJ196">
            <v>0</v>
          </cell>
          <cell r="DK196">
            <v>0</v>
          </cell>
        </row>
        <row r="197">
          <cell r="DI197">
            <v>0</v>
          </cell>
          <cell r="DJ197">
            <v>0</v>
          </cell>
          <cell r="DK197">
            <v>0</v>
          </cell>
        </row>
        <row r="198">
          <cell r="DI198">
            <v>0</v>
          </cell>
          <cell r="DJ198">
            <v>0</v>
          </cell>
          <cell r="DK198">
            <v>0</v>
          </cell>
        </row>
        <row r="199">
          <cell r="DI199">
            <v>0</v>
          </cell>
          <cell r="DJ199">
            <v>0</v>
          </cell>
          <cell r="DK199">
            <v>0</v>
          </cell>
        </row>
        <row r="200">
          <cell r="DI200">
            <v>0</v>
          </cell>
          <cell r="DJ200">
            <v>0</v>
          </cell>
          <cell r="DK200">
            <v>0</v>
          </cell>
        </row>
        <row r="201">
          <cell r="DI201">
            <v>0</v>
          </cell>
          <cell r="DJ201">
            <v>0</v>
          </cell>
          <cell r="DK201">
            <v>0</v>
          </cell>
        </row>
        <row r="202">
          <cell r="DI202">
            <v>0</v>
          </cell>
          <cell r="DJ202">
            <v>0</v>
          </cell>
          <cell r="DK202">
            <v>0</v>
          </cell>
        </row>
        <row r="203">
          <cell r="DI203">
            <v>0</v>
          </cell>
          <cell r="DJ203">
            <v>0</v>
          </cell>
          <cell r="DK203">
            <v>0</v>
          </cell>
        </row>
        <row r="204">
          <cell r="DI204">
            <v>0</v>
          </cell>
          <cell r="DJ204">
            <v>0</v>
          </cell>
          <cell r="DK204">
            <v>0</v>
          </cell>
        </row>
        <row r="205">
          <cell r="DI205">
            <v>0</v>
          </cell>
          <cell r="DJ205">
            <v>0</v>
          </cell>
          <cell r="DK205">
            <v>0</v>
          </cell>
        </row>
        <row r="206">
          <cell r="DI206">
            <v>0</v>
          </cell>
          <cell r="DJ206">
            <v>0</v>
          </cell>
          <cell r="DK206">
            <v>0</v>
          </cell>
        </row>
        <row r="207">
          <cell r="DI207">
            <v>0</v>
          </cell>
          <cell r="DJ207">
            <v>0</v>
          </cell>
          <cell r="DK207">
            <v>0</v>
          </cell>
        </row>
        <row r="208">
          <cell r="DI208">
            <v>0</v>
          </cell>
          <cell r="DJ208">
            <v>0</v>
          </cell>
          <cell r="DK208">
            <v>0</v>
          </cell>
        </row>
        <row r="209">
          <cell r="DI209">
            <v>0</v>
          </cell>
          <cell r="DJ209">
            <v>0</v>
          </cell>
          <cell r="DK209">
            <v>0</v>
          </cell>
        </row>
        <row r="210">
          <cell r="DI210">
            <v>0</v>
          </cell>
          <cell r="DJ210">
            <v>0</v>
          </cell>
          <cell r="DK210">
            <v>0</v>
          </cell>
        </row>
        <row r="211">
          <cell r="DI211">
            <v>0</v>
          </cell>
          <cell r="DJ211">
            <v>0</v>
          </cell>
          <cell r="DK211">
            <v>0</v>
          </cell>
        </row>
        <row r="212">
          <cell r="DI212">
            <v>0</v>
          </cell>
          <cell r="DJ212">
            <v>0</v>
          </cell>
          <cell r="DK212">
            <v>0</v>
          </cell>
        </row>
        <row r="213">
          <cell r="DI213">
            <v>0</v>
          </cell>
          <cell r="DJ213">
            <v>0</v>
          </cell>
          <cell r="DK213">
            <v>0</v>
          </cell>
        </row>
        <row r="214">
          <cell r="DI214">
            <v>0</v>
          </cell>
          <cell r="DJ214">
            <v>0</v>
          </cell>
          <cell r="DK214">
            <v>0</v>
          </cell>
        </row>
        <row r="215">
          <cell r="DI215">
            <v>0</v>
          </cell>
          <cell r="DJ215">
            <v>0</v>
          </cell>
          <cell r="DK215">
            <v>0</v>
          </cell>
        </row>
        <row r="216">
          <cell r="DI216">
            <v>0</v>
          </cell>
          <cell r="DJ216">
            <v>0</v>
          </cell>
          <cell r="DK216">
            <v>0</v>
          </cell>
        </row>
        <row r="217">
          <cell r="DI217">
            <v>0</v>
          </cell>
          <cell r="DJ217">
            <v>0</v>
          </cell>
          <cell r="DK217">
            <v>0</v>
          </cell>
        </row>
        <row r="218">
          <cell r="DI218">
            <v>0</v>
          </cell>
          <cell r="DJ218">
            <v>0</v>
          </cell>
          <cell r="DK218">
            <v>0</v>
          </cell>
        </row>
        <row r="219">
          <cell r="DI219">
            <v>0</v>
          </cell>
          <cell r="DJ219">
            <v>0</v>
          </cell>
          <cell r="DK219">
            <v>0</v>
          </cell>
        </row>
        <row r="220">
          <cell r="DI220">
            <v>0</v>
          </cell>
          <cell r="DJ220">
            <v>0</v>
          </cell>
          <cell r="DK220">
            <v>0</v>
          </cell>
        </row>
        <row r="221">
          <cell r="DI221">
            <v>0</v>
          </cell>
          <cell r="DJ221">
            <v>0</v>
          </cell>
          <cell r="DK221">
            <v>0</v>
          </cell>
        </row>
        <row r="222">
          <cell r="DI222">
            <v>0</v>
          </cell>
          <cell r="DJ222">
            <v>0</v>
          </cell>
          <cell r="DK222">
            <v>0</v>
          </cell>
        </row>
        <row r="223">
          <cell r="DI223">
            <v>0</v>
          </cell>
          <cell r="DJ223">
            <v>0</v>
          </cell>
          <cell r="DK223">
            <v>0</v>
          </cell>
        </row>
        <row r="224">
          <cell r="DI224">
            <v>0</v>
          </cell>
          <cell r="DJ224">
            <v>0</v>
          </cell>
          <cell r="DK224">
            <v>0</v>
          </cell>
        </row>
        <row r="225">
          <cell r="DI225">
            <v>0</v>
          </cell>
          <cell r="DJ225">
            <v>0</v>
          </cell>
          <cell r="DK225">
            <v>0</v>
          </cell>
        </row>
        <row r="226">
          <cell r="DI226">
            <v>0</v>
          </cell>
          <cell r="DJ226">
            <v>0</v>
          </cell>
          <cell r="DK226">
            <v>0</v>
          </cell>
        </row>
        <row r="227">
          <cell r="DI227">
            <v>0</v>
          </cell>
          <cell r="DJ227">
            <v>0</v>
          </cell>
          <cell r="DK227">
            <v>0</v>
          </cell>
        </row>
        <row r="228">
          <cell r="DI228">
            <v>0</v>
          </cell>
          <cell r="DJ228">
            <v>0</v>
          </cell>
          <cell r="DK228">
            <v>0</v>
          </cell>
        </row>
        <row r="229">
          <cell r="DI229">
            <v>0</v>
          </cell>
          <cell r="DJ229">
            <v>0</v>
          </cell>
          <cell r="DK229">
            <v>0</v>
          </cell>
        </row>
        <row r="230">
          <cell r="DI230">
            <v>0</v>
          </cell>
          <cell r="DJ230">
            <v>0</v>
          </cell>
          <cell r="DK230">
            <v>0</v>
          </cell>
        </row>
        <row r="231">
          <cell r="DI231">
            <v>0</v>
          </cell>
          <cell r="DJ231">
            <v>0</v>
          </cell>
          <cell r="DK231">
            <v>0</v>
          </cell>
        </row>
        <row r="232">
          <cell r="DI232">
            <v>0</v>
          </cell>
          <cell r="DJ232">
            <v>0</v>
          </cell>
          <cell r="DK232">
            <v>0</v>
          </cell>
        </row>
        <row r="233">
          <cell r="DI233">
            <v>0</v>
          </cell>
          <cell r="DJ233">
            <v>0</v>
          </cell>
          <cell r="DK233">
            <v>0</v>
          </cell>
        </row>
        <row r="234">
          <cell r="DI234">
            <v>0</v>
          </cell>
          <cell r="DJ234">
            <v>0</v>
          </cell>
          <cell r="DK234">
            <v>0</v>
          </cell>
        </row>
        <row r="235">
          <cell r="DI235">
            <v>0</v>
          </cell>
          <cell r="DJ235">
            <v>0</v>
          </cell>
          <cell r="DK235">
            <v>0</v>
          </cell>
        </row>
        <row r="236">
          <cell r="DI236">
            <v>0</v>
          </cell>
          <cell r="DJ236">
            <v>0</v>
          </cell>
          <cell r="DK236">
            <v>0</v>
          </cell>
        </row>
        <row r="237">
          <cell r="DI237">
            <v>0</v>
          </cell>
          <cell r="DJ237">
            <v>0</v>
          </cell>
          <cell r="DK237">
            <v>0</v>
          </cell>
        </row>
        <row r="238">
          <cell r="DI238">
            <v>0</v>
          </cell>
          <cell r="DJ238">
            <v>0</v>
          </cell>
          <cell r="DK238">
            <v>0</v>
          </cell>
        </row>
        <row r="239">
          <cell r="DI239">
            <v>0</v>
          </cell>
          <cell r="DJ239">
            <v>0</v>
          </cell>
          <cell r="DK239">
            <v>0</v>
          </cell>
        </row>
        <row r="240">
          <cell r="DI240">
            <v>0</v>
          </cell>
          <cell r="DJ240">
            <v>0</v>
          </cell>
          <cell r="DK240">
            <v>0</v>
          </cell>
        </row>
        <row r="241">
          <cell r="DI241">
            <v>0</v>
          </cell>
          <cell r="DJ241">
            <v>0</v>
          </cell>
          <cell r="DK241">
            <v>0</v>
          </cell>
        </row>
        <row r="242">
          <cell r="DI242">
            <v>0</v>
          </cell>
          <cell r="DJ242">
            <v>0</v>
          </cell>
          <cell r="DK242">
            <v>0</v>
          </cell>
        </row>
        <row r="243">
          <cell r="DI243">
            <v>0</v>
          </cell>
          <cell r="DJ243">
            <v>0</v>
          </cell>
          <cell r="DK243">
            <v>0</v>
          </cell>
        </row>
        <row r="244">
          <cell r="DI244">
            <v>0</v>
          </cell>
          <cell r="DJ244">
            <v>0</v>
          </cell>
          <cell r="DK244">
            <v>0</v>
          </cell>
        </row>
        <row r="245">
          <cell r="DI245">
            <v>0</v>
          </cell>
          <cell r="DJ245">
            <v>0</v>
          </cell>
          <cell r="DK245">
            <v>0</v>
          </cell>
        </row>
        <row r="246">
          <cell r="DI246">
            <v>0</v>
          </cell>
          <cell r="DJ246">
            <v>0</v>
          </cell>
          <cell r="DK246">
            <v>0</v>
          </cell>
        </row>
        <row r="247">
          <cell r="DI247">
            <v>0</v>
          </cell>
          <cell r="DJ247">
            <v>0</v>
          </cell>
          <cell r="DK247">
            <v>0</v>
          </cell>
        </row>
        <row r="248">
          <cell r="DI248">
            <v>0</v>
          </cell>
          <cell r="DJ248">
            <v>0</v>
          </cell>
          <cell r="DK248">
            <v>0</v>
          </cell>
        </row>
        <row r="249">
          <cell r="DI249">
            <v>0</v>
          </cell>
          <cell r="DJ249">
            <v>0</v>
          </cell>
          <cell r="DK249">
            <v>0</v>
          </cell>
        </row>
        <row r="250">
          <cell r="DI250">
            <v>0</v>
          </cell>
          <cell r="DJ250">
            <v>0</v>
          </cell>
          <cell r="DK250">
            <v>0</v>
          </cell>
        </row>
        <row r="251">
          <cell r="DI251">
            <v>0</v>
          </cell>
          <cell r="DJ251">
            <v>0</v>
          </cell>
          <cell r="DK251">
            <v>0</v>
          </cell>
        </row>
        <row r="252">
          <cell r="DI252">
            <v>0</v>
          </cell>
          <cell r="DJ252">
            <v>0</v>
          </cell>
          <cell r="DK252">
            <v>0</v>
          </cell>
        </row>
        <row r="253">
          <cell r="DI253">
            <v>0</v>
          </cell>
          <cell r="DJ253">
            <v>0</v>
          </cell>
          <cell r="DK253">
            <v>0</v>
          </cell>
        </row>
        <row r="254">
          <cell r="DI254">
            <v>0</v>
          </cell>
          <cell r="DJ254">
            <v>0</v>
          </cell>
          <cell r="DK254">
            <v>0</v>
          </cell>
        </row>
        <row r="255">
          <cell r="DI255">
            <v>0</v>
          </cell>
          <cell r="DJ255">
            <v>0</v>
          </cell>
          <cell r="DK255">
            <v>0</v>
          </cell>
        </row>
        <row r="256">
          <cell r="DI256">
            <v>0</v>
          </cell>
          <cell r="DJ256">
            <v>0</v>
          </cell>
          <cell r="DK256">
            <v>0</v>
          </cell>
        </row>
        <row r="257">
          <cell r="DI257">
            <v>0</v>
          </cell>
          <cell r="DJ257">
            <v>0</v>
          </cell>
          <cell r="DK257">
            <v>0</v>
          </cell>
        </row>
        <row r="258">
          <cell r="DI258">
            <v>0</v>
          </cell>
          <cell r="DJ258">
            <v>0</v>
          </cell>
          <cell r="DK258">
            <v>0</v>
          </cell>
        </row>
        <row r="259">
          <cell r="DI259">
            <v>0</v>
          </cell>
          <cell r="DJ259">
            <v>0</v>
          </cell>
          <cell r="DK259">
            <v>0</v>
          </cell>
        </row>
        <row r="260">
          <cell r="DI260">
            <v>0</v>
          </cell>
          <cell r="DJ260">
            <v>0</v>
          </cell>
          <cell r="DK260">
            <v>0</v>
          </cell>
        </row>
        <row r="261">
          <cell r="DI261">
            <v>0</v>
          </cell>
          <cell r="DJ261">
            <v>0</v>
          </cell>
          <cell r="DK261">
            <v>0</v>
          </cell>
        </row>
        <row r="262">
          <cell r="DI262">
            <v>0</v>
          </cell>
          <cell r="DJ262">
            <v>0</v>
          </cell>
          <cell r="DK262">
            <v>0</v>
          </cell>
        </row>
        <row r="263">
          <cell r="DI263">
            <v>0</v>
          </cell>
          <cell r="DJ263">
            <v>0</v>
          </cell>
          <cell r="DK263">
            <v>0</v>
          </cell>
        </row>
        <row r="264">
          <cell r="DI264">
            <v>0</v>
          </cell>
          <cell r="DJ264">
            <v>0</v>
          </cell>
          <cell r="DK264">
            <v>0</v>
          </cell>
        </row>
        <row r="265">
          <cell r="DI265">
            <v>0</v>
          </cell>
          <cell r="DJ265">
            <v>0</v>
          </cell>
          <cell r="DK265">
            <v>0</v>
          </cell>
        </row>
        <row r="266">
          <cell r="DI266">
            <v>0</v>
          </cell>
          <cell r="DJ266">
            <v>0</v>
          </cell>
          <cell r="DK266">
            <v>0</v>
          </cell>
        </row>
        <row r="267">
          <cell r="DI267">
            <v>0</v>
          </cell>
          <cell r="DJ267">
            <v>0</v>
          </cell>
          <cell r="DK267">
            <v>0</v>
          </cell>
        </row>
        <row r="268">
          <cell r="DI268">
            <v>0</v>
          </cell>
          <cell r="DJ268">
            <v>0</v>
          </cell>
          <cell r="DK268">
            <v>0</v>
          </cell>
        </row>
        <row r="269">
          <cell r="DI269">
            <v>0</v>
          </cell>
          <cell r="DJ269">
            <v>0</v>
          </cell>
          <cell r="DK269">
            <v>0</v>
          </cell>
        </row>
        <row r="270">
          <cell r="DI270">
            <v>0</v>
          </cell>
          <cell r="DJ270">
            <v>0</v>
          </cell>
          <cell r="DK270">
            <v>0</v>
          </cell>
        </row>
        <row r="271">
          <cell r="DI271">
            <v>0</v>
          </cell>
          <cell r="DJ271">
            <v>0</v>
          </cell>
          <cell r="DK271">
            <v>0</v>
          </cell>
        </row>
        <row r="272">
          <cell r="DI272">
            <v>0</v>
          </cell>
          <cell r="DJ272">
            <v>0</v>
          </cell>
          <cell r="DK272">
            <v>0</v>
          </cell>
        </row>
        <row r="273">
          <cell r="DI273">
            <v>0</v>
          </cell>
          <cell r="DJ273">
            <v>0</v>
          </cell>
          <cell r="DK273">
            <v>0</v>
          </cell>
        </row>
        <row r="274">
          <cell r="DI274">
            <v>0</v>
          </cell>
          <cell r="DJ274">
            <v>0</v>
          </cell>
          <cell r="DK274">
            <v>0</v>
          </cell>
        </row>
        <row r="275">
          <cell r="DI275">
            <v>0</v>
          </cell>
          <cell r="DJ275">
            <v>0</v>
          </cell>
          <cell r="DK275">
            <v>0</v>
          </cell>
        </row>
        <row r="276">
          <cell r="DI276">
            <v>0</v>
          </cell>
          <cell r="DJ276">
            <v>0</v>
          </cell>
          <cell r="DK276">
            <v>0</v>
          </cell>
        </row>
        <row r="277">
          <cell r="DI277">
            <v>0</v>
          </cell>
          <cell r="DJ277">
            <v>0</v>
          </cell>
          <cell r="DK277">
            <v>0</v>
          </cell>
        </row>
        <row r="278">
          <cell r="DI278">
            <v>0</v>
          </cell>
          <cell r="DJ278">
            <v>0</v>
          </cell>
          <cell r="DK278">
            <v>0</v>
          </cell>
        </row>
        <row r="279">
          <cell r="DI279">
            <v>0</v>
          </cell>
          <cell r="DJ279">
            <v>0</v>
          </cell>
          <cell r="DK279">
            <v>0</v>
          </cell>
        </row>
        <row r="280">
          <cell r="DI280">
            <v>0</v>
          </cell>
          <cell r="DJ280">
            <v>0</v>
          </cell>
          <cell r="DK280">
            <v>0</v>
          </cell>
        </row>
        <row r="281">
          <cell r="DI281">
            <v>0</v>
          </cell>
          <cell r="DJ281">
            <v>0</v>
          </cell>
          <cell r="DK281">
            <v>0</v>
          </cell>
        </row>
        <row r="282">
          <cell r="DI282">
            <v>0</v>
          </cell>
          <cell r="DJ282">
            <v>0</v>
          </cell>
          <cell r="DK282">
            <v>0</v>
          </cell>
        </row>
        <row r="283">
          <cell r="DI283">
            <v>0</v>
          </cell>
          <cell r="DJ283">
            <v>0</v>
          </cell>
          <cell r="DK283">
            <v>0</v>
          </cell>
        </row>
        <row r="284">
          <cell r="DI284">
            <v>0</v>
          </cell>
          <cell r="DJ284">
            <v>0</v>
          </cell>
          <cell r="DK284">
            <v>0</v>
          </cell>
        </row>
        <row r="285">
          <cell r="DI285">
            <v>0</v>
          </cell>
          <cell r="DJ285">
            <v>0</v>
          </cell>
          <cell r="DK285">
            <v>0</v>
          </cell>
        </row>
        <row r="286">
          <cell r="DI286">
            <v>0</v>
          </cell>
          <cell r="DJ286">
            <v>0</v>
          </cell>
          <cell r="DK286">
            <v>0</v>
          </cell>
        </row>
        <row r="287">
          <cell r="DI287">
            <v>0</v>
          </cell>
          <cell r="DJ287">
            <v>0</v>
          </cell>
          <cell r="DK287">
            <v>0</v>
          </cell>
        </row>
        <row r="288">
          <cell r="DI288">
            <v>0</v>
          </cell>
          <cell r="DJ288">
            <v>0</v>
          </cell>
          <cell r="DK288">
            <v>0</v>
          </cell>
        </row>
        <row r="289">
          <cell r="DI289">
            <v>0</v>
          </cell>
          <cell r="DJ289">
            <v>0</v>
          </cell>
          <cell r="DK289">
            <v>0</v>
          </cell>
        </row>
        <row r="290">
          <cell r="DI290">
            <v>0</v>
          </cell>
          <cell r="DJ290">
            <v>0</v>
          </cell>
          <cell r="DK290">
            <v>0</v>
          </cell>
        </row>
        <row r="291">
          <cell r="DI291">
            <v>0</v>
          </cell>
          <cell r="DJ291">
            <v>0</v>
          </cell>
          <cell r="DK291">
            <v>0</v>
          </cell>
        </row>
        <row r="292">
          <cell r="DI292">
            <v>0</v>
          </cell>
          <cell r="DJ292">
            <v>0</v>
          </cell>
          <cell r="DK292">
            <v>0</v>
          </cell>
        </row>
        <row r="293">
          <cell r="DI293">
            <v>0</v>
          </cell>
          <cell r="DJ293">
            <v>0</v>
          </cell>
          <cell r="DK293">
            <v>0</v>
          </cell>
        </row>
        <row r="294">
          <cell r="DI294">
            <v>0</v>
          </cell>
          <cell r="DJ294">
            <v>0</v>
          </cell>
          <cell r="DK294">
            <v>0</v>
          </cell>
        </row>
        <row r="295">
          <cell r="DI295">
            <v>0</v>
          </cell>
          <cell r="DJ295">
            <v>0</v>
          </cell>
          <cell r="DK295">
            <v>0</v>
          </cell>
        </row>
        <row r="296">
          <cell r="DI296">
            <v>0</v>
          </cell>
          <cell r="DJ296">
            <v>0</v>
          </cell>
          <cell r="DK296">
            <v>0</v>
          </cell>
        </row>
        <row r="297">
          <cell r="DI297">
            <v>0</v>
          </cell>
          <cell r="DJ297">
            <v>0</v>
          </cell>
          <cell r="DK297">
            <v>0</v>
          </cell>
        </row>
        <row r="298">
          <cell r="DI298">
            <v>0</v>
          </cell>
          <cell r="DJ298">
            <v>0</v>
          </cell>
          <cell r="DK298">
            <v>0</v>
          </cell>
        </row>
        <row r="299">
          <cell r="DI299">
            <v>0</v>
          </cell>
          <cell r="DJ299">
            <v>0</v>
          </cell>
          <cell r="DK299">
            <v>0</v>
          </cell>
        </row>
        <row r="300">
          <cell r="DI300">
            <v>0</v>
          </cell>
          <cell r="DJ300">
            <v>0</v>
          </cell>
          <cell r="DK300">
            <v>0</v>
          </cell>
        </row>
      </sheetData>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NU"/>
      <sheetName val="Conf-Servicios"/>
      <sheetName val="CyE(D)"/>
      <sheetName val="CyE($)"/>
      <sheetName val="RESUMEN (CyE)"/>
      <sheetName val="RESUMEN ($)"/>
    </sheetNames>
    <sheetDataSet>
      <sheetData sheetId="0" refreshError="1"/>
      <sheetData sheetId="1">
        <row r="3">
          <cell r="W3" t="str">
            <v>C</v>
          </cell>
        </row>
        <row r="4">
          <cell r="W4" t="str">
            <v>C</v>
          </cell>
        </row>
        <row r="5">
          <cell r="W5" t="str">
            <v>C</v>
          </cell>
        </row>
        <row r="6">
          <cell r="W6" t="str">
            <v>C</v>
          </cell>
        </row>
        <row r="7">
          <cell r="W7" t="str">
            <v>C</v>
          </cell>
        </row>
        <row r="8">
          <cell r="W8" t="str">
            <v>C</v>
          </cell>
        </row>
        <row r="9">
          <cell r="W9" t="str">
            <v>C</v>
          </cell>
        </row>
        <row r="10">
          <cell r="W10" t="str">
            <v>C</v>
          </cell>
        </row>
        <row r="11">
          <cell r="W11" t="str">
            <v>C</v>
          </cell>
        </row>
        <row r="12">
          <cell r="W12" t="str">
            <v>C</v>
          </cell>
        </row>
        <row r="13">
          <cell r="W13" t="str">
            <v>C</v>
          </cell>
        </row>
        <row r="14">
          <cell r="W14" t="str">
            <v>C</v>
          </cell>
        </row>
        <row r="15">
          <cell r="W15" t="str">
            <v>C</v>
          </cell>
        </row>
        <row r="16">
          <cell r="W16" t="str">
            <v>C</v>
          </cell>
        </row>
        <row r="17">
          <cell r="W17" t="str">
            <v>C</v>
          </cell>
        </row>
        <row r="18">
          <cell r="W18" t="str">
            <v>C</v>
          </cell>
        </row>
        <row r="19">
          <cell r="W19" t="str">
            <v>C</v>
          </cell>
        </row>
        <row r="20">
          <cell r="W20" t="str">
            <v>C</v>
          </cell>
        </row>
        <row r="21">
          <cell r="W21" t="str">
            <v>C</v>
          </cell>
        </row>
        <row r="22">
          <cell r="W22" t="str">
            <v>C</v>
          </cell>
        </row>
        <row r="23">
          <cell r="W23" t="str">
            <v>C</v>
          </cell>
        </row>
        <row r="24">
          <cell r="W24" t="str">
            <v>C</v>
          </cell>
        </row>
        <row r="25">
          <cell r="W25" t="str">
            <v>C</v>
          </cell>
        </row>
        <row r="26">
          <cell r="W26" t="str">
            <v>C</v>
          </cell>
        </row>
        <row r="27">
          <cell r="W27" t="str">
            <v>C</v>
          </cell>
        </row>
        <row r="28">
          <cell r="W28" t="str">
            <v>C</v>
          </cell>
        </row>
        <row r="29">
          <cell r="W29" t="str">
            <v>C</v>
          </cell>
        </row>
        <row r="30">
          <cell r="W30" t="str">
            <v>C</v>
          </cell>
        </row>
        <row r="31">
          <cell r="W31" t="str">
            <v>C</v>
          </cell>
        </row>
        <row r="32">
          <cell r="W32" t="str">
            <v>C</v>
          </cell>
        </row>
        <row r="33">
          <cell r="W33" t="str">
            <v>C</v>
          </cell>
        </row>
        <row r="34">
          <cell r="W34" t="str">
            <v>C</v>
          </cell>
        </row>
        <row r="35">
          <cell r="W35" t="str">
            <v>C</v>
          </cell>
        </row>
        <row r="36">
          <cell r="W36" t="str">
            <v>C</v>
          </cell>
        </row>
        <row r="37">
          <cell r="W37" t="str">
            <v>C</v>
          </cell>
        </row>
        <row r="38">
          <cell r="W38" t="str">
            <v>C</v>
          </cell>
        </row>
        <row r="39">
          <cell r="W39" t="str">
            <v>C</v>
          </cell>
        </row>
        <row r="40">
          <cell r="W40" t="str">
            <v>C</v>
          </cell>
        </row>
        <row r="41">
          <cell r="W41" t="str">
            <v>C</v>
          </cell>
        </row>
        <row r="42">
          <cell r="W42" t="str">
            <v>C</v>
          </cell>
        </row>
        <row r="43">
          <cell r="W43" t="str">
            <v>C</v>
          </cell>
        </row>
        <row r="44">
          <cell r="W44" t="str">
            <v>C</v>
          </cell>
        </row>
        <row r="45">
          <cell r="W45" t="str">
            <v>C</v>
          </cell>
        </row>
        <row r="46">
          <cell r="W46" t="str">
            <v>C</v>
          </cell>
        </row>
        <row r="47">
          <cell r="W47" t="str">
            <v>C</v>
          </cell>
        </row>
        <row r="48">
          <cell r="W48" t="str">
            <v>C</v>
          </cell>
        </row>
        <row r="49">
          <cell r="W49" t="str">
            <v>C</v>
          </cell>
        </row>
        <row r="50">
          <cell r="W50" t="str">
            <v>C</v>
          </cell>
        </row>
        <row r="51">
          <cell r="W51" t="str">
            <v>C</v>
          </cell>
        </row>
        <row r="52">
          <cell r="W52" t="str">
            <v>C</v>
          </cell>
        </row>
        <row r="53">
          <cell r="W53" t="str">
            <v>C</v>
          </cell>
        </row>
        <row r="54">
          <cell r="W54" t="str">
            <v>C</v>
          </cell>
        </row>
        <row r="55">
          <cell r="W55" t="str">
            <v>C</v>
          </cell>
        </row>
        <row r="56">
          <cell r="W56" t="str">
            <v>C</v>
          </cell>
        </row>
        <row r="57">
          <cell r="W57" t="str">
            <v>C</v>
          </cell>
        </row>
        <row r="58">
          <cell r="W58" t="str">
            <v>C</v>
          </cell>
        </row>
        <row r="59">
          <cell r="W59" t="str">
            <v>C</v>
          </cell>
        </row>
        <row r="60">
          <cell r="W60" t="str">
            <v>C</v>
          </cell>
        </row>
        <row r="61">
          <cell r="W61" t="str">
            <v>C</v>
          </cell>
        </row>
        <row r="62">
          <cell r="W62" t="str">
            <v>C</v>
          </cell>
        </row>
        <row r="63">
          <cell r="W63" t="str">
            <v>C</v>
          </cell>
        </row>
        <row r="64">
          <cell r="W64" t="str">
            <v>C</v>
          </cell>
        </row>
        <row r="65">
          <cell r="W65" t="str">
            <v>C</v>
          </cell>
        </row>
        <row r="66">
          <cell r="W66" t="str">
            <v>C</v>
          </cell>
        </row>
        <row r="67">
          <cell r="W67" t="str">
            <v>C</v>
          </cell>
        </row>
        <row r="68">
          <cell r="W68" t="str">
            <v>C</v>
          </cell>
        </row>
        <row r="69">
          <cell r="W69" t="str">
            <v>C</v>
          </cell>
        </row>
        <row r="70">
          <cell r="W70" t="str">
            <v>C</v>
          </cell>
        </row>
        <row r="71">
          <cell r="W71" t="str">
            <v>C</v>
          </cell>
        </row>
        <row r="72">
          <cell r="W72" t="str">
            <v>C</v>
          </cell>
        </row>
        <row r="73">
          <cell r="W73" t="str">
            <v>C</v>
          </cell>
        </row>
        <row r="74">
          <cell r="W74" t="str">
            <v>C</v>
          </cell>
        </row>
        <row r="75">
          <cell r="W75" t="str">
            <v>C</v>
          </cell>
        </row>
        <row r="76">
          <cell r="W76" t="str">
            <v>C</v>
          </cell>
        </row>
        <row r="77">
          <cell r="W77" t="str">
            <v>C</v>
          </cell>
        </row>
        <row r="78">
          <cell r="W78" t="str">
            <v>C</v>
          </cell>
        </row>
        <row r="79">
          <cell r="W79" t="str">
            <v>C</v>
          </cell>
        </row>
        <row r="80">
          <cell r="W80" t="str">
            <v>C</v>
          </cell>
        </row>
        <row r="81">
          <cell r="W81" t="str">
            <v>C</v>
          </cell>
        </row>
        <row r="82">
          <cell r="W82" t="str">
            <v>C</v>
          </cell>
        </row>
        <row r="83">
          <cell r="W83" t="str">
            <v>C</v>
          </cell>
        </row>
        <row r="84">
          <cell r="W84" t="str">
            <v>C</v>
          </cell>
        </row>
        <row r="85">
          <cell r="W85" t="str">
            <v>C</v>
          </cell>
        </row>
        <row r="86">
          <cell r="W86" t="str">
            <v>C</v>
          </cell>
        </row>
        <row r="87">
          <cell r="W87" t="str">
            <v>C</v>
          </cell>
        </row>
        <row r="88">
          <cell r="W88" t="str">
            <v>C</v>
          </cell>
        </row>
        <row r="89">
          <cell r="W89" t="str">
            <v>C</v>
          </cell>
        </row>
        <row r="90">
          <cell r="W90" t="str">
            <v>C</v>
          </cell>
        </row>
        <row r="91">
          <cell r="W91" t="str">
            <v>C</v>
          </cell>
        </row>
        <row r="92">
          <cell r="W92" t="str">
            <v>C</v>
          </cell>
        </row>
        <row r="93">
          <cell r="W93" t="str">
            <v>C</v>
          </cell>
        </row>
        <row r="94">
          <cell r="W94" t="str">
            <v>C</v>
          </cell>
        </row>
        <row r="95">
          <cell r="W95" t="str">
            <v>C</v>
          </cell>
        </row>
        <row r="96">
          <cell r="W96" t="str">
            <v>C</v>
          </cell>
        </row>
        <row r="97">
          <cell r="W97" t="str">
            <v>C</v>
          </cell>
        </row>
        <row r="98">
          <cell r="W98" t="str">
            <v>C</v>
          </cell>
        </row>
        <row r="99">
          <cell r="W99" t="str">
            <v>C</v>
          </cell>
        </row>
        <row r="100">
          <cell r="W100" t="str">
            <v>C</v>
          </cell>
        </row>
        <row r="101">
          <cell r="W101" t="str">
            <v>C</v>
          </cell>
        </row>
        <row r="102">
          <cell r="W102" t="str">
            <v>C</v>
          </cell>
        </row>
        <row r="103">
          <cell r="W103" t="str">
            <v>C</v>
          </cell>
        </row>
        <row r="104">
          <cell r="W104" t="str">
            <v>C</v>
          </cell>
        </row>
        <row r="105">
          <cell r="W105" t="str">
            <v>C</v>
          </cell>
        </row>
        <row r="106">
          <cell r="W106" t="str">
            <v>C</v>
          </cell>
        </row>
        <row r="107">
          <cell r="W107" t="str">
            <v>C</v>
          </cell>
        </row>
        <row r="108">
          <cell r="W108" t="str">
            <v>C</v>
          </cell>
        </row>
        <row r="109">
          <cell r="W109" t="str">
            <v>C</v>
          </cell>
        </row>
        <row r="110">
          <cell r="W110" t="str">
            <v>C</v>
          </cell>
        </row>
        <row r="111">
          <cell r="W111" t="str">
            <v>C</v>
          </cell>
        </row>
        <row r="112">
          <cell r="W112" t="str">
            <v>C</v>
          </cell>
        </row>
        <row r="113">
          <cell r="W113" t="str">
            <v>C</v>
          </cell>
        </row>
        <row r="114">
          <cell r="W114" t="str">
            <v>C</v>
          </cell>
        </row>
        <row r="115">
          <cell r="W115" t="str">
            <v>C</v>
          </cell>
        </row>
        <row r="116">
          <cell r="W116" t="str">
            <v>C</v>
          </cell>
        </row>
        <row r="117">
          <cell r="W117" t="str">
            <v>C</v>
          </cell>
        </row>
        <row r="118">
          <cell r="W118" t="str">
            <v>C</v>
          </cell>
        </row>
        <row r="119">
          <cell r="W119" t="str">
            <v>C</v>
          </cell>
        </row>
        <row r="120">
          <cell r="W120" t="str">
            <v>C</v>
          </cell>
        </row>
        <row r="121">
          <cell r="W121" t="str">
            <v>C</v>
          </cell>
        </row>
        <row r="122">
          <cell r="W122" t="str">
            <v>C</v>
          </cell>
        </row>
        <row r="123">
          <cell r="W123" t="str">
            <v>C</v>
          </cell>
        </row>
        <row r="124">
          <cell r="W124" t="str">
            <v>C</v>
          </cell>
        </row>
        <row r="125">
          <cell r="W125" t="str">
            <v>C</v>
          </cell>
        </row>
        <row r="126">
          <cell r="W126" t="str">
            <v>C</v>
          </cell>
        </row>
        <row r="127">
          <cell r="W127" t="str">
            <v>C</v>
          </cell>
        </row>
        <row r="128">
          <cell r="W128" t="str">
            <v>C</v>
          </cell>
        </row>
        <row r="129">
          <cell r="W129" t="str">
            <v>C</v>
          </cell>
        </row>
        <row r="130">
          <cell r="W130" t="str">
            <v>C</v>
          </cell>
        </row>
        <row r="131">
          <cell r="W131" t="str">
            <v>C</v>
          </cell>
        </row>
        <row r="132">
          <cell r="W132" t="str">
            <v>C</v>
          </cell>
        </row>
        <row r="133">
          <cell r="W133" t="str">
            <v>C</v>
          </cell>
        </row>
        <row r="134">
          <cell r="W134" t="str">
            <v>C</v>
          </cell>
        </row>
        <row r="135">
          <cell r="W135" t="str">
            <v>C</v>
          </cell>
        </row>
        <row r="136">
          <cell r="W136" t="str">
            <v>C</v>
          </cell>
        </row>
        <row r="137">
          <cell r="W137" t="str">
            <v>C</v>
          </cell>
        </row>
        <row r="138">
          <cell r="W138" t="str">
            <v>C</v>
          </cell>
        </row>
        <row r="139">
          <cell r="W139" t="str">
            <v>C</v>
          </cell>
        </row>
        <row r="140">
          <cell r="W140" t="str">
            <v>C</v>
          </cell>
        </row>
        <row r="141">
          <cell r="W141" t="str">
            <v>C</v>
          </cell>
        </row>
        <row r="142">
          <cell r="W142" t="str">
            <v>C</v>
          </cell>
        </row>
        <row r="143">
          <cell r="W143" t="str">
            <v>C</v>
          </cell>
        </row>
        <row r="144">
          <cell r="W144" t="str">
            <v>NC</v>
          </cell>
        </row>
        <row r="145">
          <cell r="W145" t="str">
            <v>C</v>
          </cell>
        </row>
        <row r="146">
          <cell r="W146" t="str">
            <v>NC</v>
          </cell>
        </row>
        <row r="147">
          <cell r="W147" t="str">
            <v>NC</v>
          </cell>
        </row>
        <row r="148">
          <cell r="W148" t="str">
            <v>C</v>
          </cell>
        </row>
        <row r="149">
          <cell r="W149" t="str">
            <v>NC</v>
          </cell>
        </row>
        <row r="150">
          <cell r="W150" t="str">
            <v>NC</v>
          </cell>
        </row>
        <row r="151">
          <cell r="W151" t="str">
            <v>NC</v>
          </cell>
        </row>
        <row r="152">
          <cell r="W152" t="str">
            <v/>
          </cell>
        </row>
        <row r="153">
          <cell r="W153" t="str">
            <v/>
          </cell>
        </row>
        <row r="154">
          <cell r="W154" t="str">
            <v/>
          </cell>
        </row>
        <row r="155">
          <cell r="W155" t="str">
            <v/>
          </cell>
        </row>
        <row r="156">
          <cell r="W156" t="str">
            <v/>
          </cell>
        </row>
        <row r="157">
          <cell r="W157" t="str">
            <v/>
          </cell>
        </row>
        <row r="158">
          <cell r="W158" t="str">
            <v/>
          </cell>
        </row>
        <row r="159">
          <cell r="W159" t="str">
            <v/>
          </cell>
        </row>
        <row r="160">
          <cell r="W160" t="str">
            <v/>
          </cell>
        </row>
        <row r="161">
          <cell r="W161" t="str">
            <v/>
          </cell>
        </row>
        <row r="162">
          <cell r="W162" t="str">
            <v/>
          </cell>
        </row>
        <row r="163">
          <cell r="W163" t="str">
            <v/>
          </cell>
        </row>
        <row r="164">
          <cell r="W164" t="str">
            <v/>
          </cell>
        </row>
        <row r="165">
          <cell r="W165" t="str">
            <v/>
          </cell>
        </row>
        <row r="166">
          <cell r="W166" t="str">
            <v/>
          </cell>
        </row>
        <row r="167">
          <cell r="W167" t="str">
            <v/>
          </cell>
        </row>
        <row r="168">
          <cell r="W168" t="str">
            <v/>
          </cell>
        </row>
        <row r="169">
          <cell r="W169" t="str">
            <v/>
          </cell>
        </row>
        <row r="170">
          <cell r="W170" t="str">
            <v/>
          </cell>
        </row>
        <row r="171">
          <cell r="W171" t="str">
            <v/>
          </cell>
        </row>
        <row r="172">
          <cell r="W172" t="str">
            <v/>
          </cell>
        </row>
        <row r="173">
          <cell r="W173" t="str">
            <v/>
          </cell>
        </row>
        <row r="174">
          <cell r="W174" t="str">
            <v/>
          </cell>
        </row>
        <row r="175">
          <cell r="W175" t="str">
            <v/>
          </cell>
        </row>
        <row r="176">
          <cell r="W176" t="str">
            <v/>
          </cell>
        </row>
        <row r="177">
          <cell r="W177" t="str">
            <v/>
          </cell>
        </row>
        <row r="178">
          <cell r="W178" t="str">
            <v/>
          </cell>
        </row>
        <row r="179">
          <cell r="W179" t="str">
            <v/>
          </cell>
        </row>
        <row r="180">
          <cell r="W180" t="str">
            <v/>
          </cell>
        </row>
        <row r="181">
          <cell r="W181" t="str">
            <v/>
          </cell>
        </row>
        <row r="182">
          <cell r="W182" t="str">
            <v/>
          </cell>
        </row>
        <row r="183">
          <cell r="W183" t="str">
            <v/>
          </cell>
        </row>
        <row r="184">
          <cell r="W184" t="str">
            <v/>
          </cell>
        </row>
        <row r="185">
          <cell r="W185" t="str">
            <v/>
          </cell>
        </row>
        <row r="186">
          <cell r="W186" t="str">
            <v/>
          </cell>
        </row>
        <row r="187">
          <cell r="W187" t="str">
            <v/>
          </cell>
        </row>
        <row r="188">
          <cell r="W188" t="str">
            <v/>
          </cell>
        </row>
        <row r="189">
          <cell r="W189" t="str">
            <v/>
          </cell>
        </row>
        <row r="190">
          <cell r="W190" t="str">
            <v/>
          </cell>
        </row>
        <row r="191">
          <cell r="W191" t="str">
            <v/>
          </cell>
        </row>
        <row r="192">
          <cell r="W192" t="str">
            <v/>
          </cell>
        </row>
        <row r="193">
          <cell r="W193" t="str">
            <v/>
          </cell>
        </row>
        <row r="194">
          <cell r="W194" t="str">
            <v/>
          </cell>
        </row>
        <row r="195">
          <cell r="W195" t="str">
            <v/>
          </cell>
        </row>
        <row r="196">
          <cell r="W196" t="str">
            <v/>
          </cell>
        </row>
        <row r="197">
          <cell r="W197" t="str">
            <v/>
          </cell>
        </row>
        <row r="198">
          <cell r="W198" t="str">
            <v/>
          </cell>
        </row>
        <row r="199">
          <cell r="W199" t="str">
            <v/>
          </cell>
        </row>
        <row r="200">
          <cell r="W200" t="str">
            <v/>
          </cell>
        </row>
        <row r="201">
          <cell r="W201" t="str">
            <v/>
          </cell>
        </row>
        <row r="202">
          <cell r="W202" t="str">
            <v/>
          </cell>
        </row>
        <row r="203">
          <cell r="W203" t="str">
            <v/>
          </cell>
        </row>
        <row r="204">
          <cell r="W204" t="str">
            <v/>
          </cell>
        </row>
        <row r="205">
          <cell r="W205" t="str">
            <v/>
          </cell>
        </row>
        <row r="206">
          <cell r="W206" t="str">
            <v/>
          </cell>
        </row>
        <row r="207">
          <cell r="W207" t="str">
            <v/>
          </cell>
        </row>
        <row r="208">
          <cell r="W208" t="str">
            <v/>
          </cell>
        </row>
        <row r="209">
          <cell r="W209" t="str">
            <v/>
          </cell>
        </row>
        <row r="210">
          <cell r="W210" t="str">
            <v/>
          </cell>
        </row>
        <row r="211">
          <cell r="W211" t="str">
            <v/>
          </cell>
        </row>
        <row r="212">
          <cell r="W212" t="str">
            <v/>
          </cell>
        </row>
        <row r="213">
          <cell r="W213" t="str">
            <v/>
          </cell>
        </row>
        <row r="214">
          <cell r="W214" t="str">
            <v/>
          </cell>
        </row>
        <row r="215">
          <cell r="W215" t="str">
            <v/>
          </cell>
        </row>
        <row r="216">
          <cell r="W216" t="str">
            <v/>
          </cell>
        </row>
        <row r="217">
          <cell r="W217" t="str">
            <v/>
          </cell>
        </row>
        <row r="218">
          <cell r="W218" t="str">
            <v/>
          </cell>
        </row>
        <row r="219">
          <cell r="W219" t="str">
            <v/>
          </cell>
        </row>
        <row r="220">
          <cell r="W220" t="str">
            <v/>
          </cell>
        </row>
        <row r="221">
          <cell r="W221" t="str">
            <v/>
          </cell>
        </row>
        <row r="222">
          <cell r="W222" t="str">
            <v/>
          </cell>
        </row>
        <row r="223">
          <cell r="W223" t="str">
            <v/>
          </cell>
        </row>
        <row r="224">
          <cell r="W224" t="str">
            <v/>
          </cell>
        </row>
        <row r="225">
          <cell r="W225" t="str">
            <v/>
          </cell>
        </row>
        <row r="226">
          <cell r="W226" t="str">
            <v/>
          </cell>
        </row>
        <row r="227">
          <cell r="W227" t="str">
            <v/>
          </cell>
        </row>
        <row r="228">
          <cell r="W228" t="str">
            <v/>
          </cell>
        </row>
        <row r="229">
          <cell r="W229" t="str">
            <v/>
          </cell>
        </row>
        <row r="230">
          <cell r="W230" t="str">
            <v/>
          </cell>
        </row>
        <row r="231">
          <cell r="W231" t="str">
            <v/>
          </cell>
        </row>
        <row r="232">
          <cell r="W232" t="str">
            <v/>
          </cell>
        </row>
        <row r="233">
          <cell r="W233" t="str">
            <v/>
          </cell>
        </row>
        <row r="234">
          <cell r="W234" t="str">
            <v/>
          </cell>
        </row>
        <row r="235">
          <cell r="W235" t="str">
            <v/>
          </cell>
        </row>
        <row r="236">
          <cell r="W236" t="str">
            <v/>
          </cell>
        </row>
        <row r="237">
          <cell r="W237" t="str">
            <v/>
          </cell>
        </row>
        <row r="238">
          <cell r="W238" t="str">
            <v/>
          </cell>
        </row>
        <row r="239">
          <cell r="W239" t="str">
            <v/>
          </cell>
        </row>
        <row r="240">
          <cell r="W240" t="str">
            <v/>
          </cell>
        </row>
        <row r="241">
          <cell r="W241" t="str">
            <v/>
          </cell>
        </row>
        <row r="242">
          <cell r="W242" t="str">
            <v/>
          </cell>
        </row>
        <row r="243">
          <cell r="W243" t="str">
            <v/>
          </cell>
        </row>
        <row r="244">
          <cell r="W244" t="str">
            <v/>
          </cell>
        </row>
        <row r="245">
          <cell r="W245" t="str">
            <v/>
          </cell>
        </row>
        <row r="246">
          <cell r="W246" t="str">
            <v/>
          </cell>
        </row>
        <row r="247">
          <cell r="W247" t="str">
            <v/>
          </cell>
        </row>
        <row r="248">
          <cell r="W248" t="str">
            <v/>
          </cell>
        </row>
        <row r="249">
          <cell r="W249" t="str">
            <v/>
          </cell>
        </row>
        <row r="250">
          <cell r="W250" t="str">
            <v/>
          </cell>
        </row>
        <row r="251">
          <cell r="W251" t="str">
            <v/>
          </cell>
        </row>
        <row r="252">
          <cell r="W252" t="str">
            <v/>
          </cell>
        </row>
        <row r="253">
          <cell r="W253" t="str">
            <v/>
          </cell>
        </row>
        <row r="254">
          <cell r="W254" t="str">
            <v/>
          </cell>
        </row>
        <row r="255">
          <cell r="W255" t="str">
            <v/>
          </cell>
        </row>
        <row r="256">
          <cell r="W256" t="str">
            <v/>
          </cell>
        </row>
        <row r="257">
          <cell r="W257" t="str">
            <v/>
          </cell>
        </row>
        <row r="258">
          <cell r="W258" t="str">
            <v/>
          </cell>
        </row>
        <row r="259">
          <cell r="W259" t="str">
            <v/>
          </cell>
        </row>
        <row r="260">
          <cell r="W260" t="str">
            <v/>
          </cell>
        </row>
        <row r="261">
          <cell r="W261" t="str">
            <v/>
          </cell>
        </row>
        <row r="262">
          <cell r="W262" t="str">
            <v/>
          </cell>
        </row>
        <row r="263">
          <cell r="W263" t="str">
            <v/>
          </cell>
        </row>
        <row r="264">
          <cell r="W264" t="str">
            <v/>
          </cell>
        </row>
        <row r="265">
          <cell r="W265" t="str">
            <v/>
          </cell>
        </row>
        <row r="266">
          <cell r="W266" t="str">
            <v/>
          </cell>
        </row>
        <row r="267">
          <cell r="W267" t="str">
            <v/>
          </cell>
        </row>
        <row r="268">
          <cell r="W268" t="str">
            <v/>
          </cell>
        </row>
        <row r="269">
          <cell r="W269" t="str">
            <v/>
          </cell>
        </row>
        <row r="270">
          <cell r="W270" t="str">
            <v/>
          </cell>
        </row>
        <row r="271">
          <cell r="W271" t="str">
            <v/>
          </cell>
        </row>
        <row r="272">
          <cell r="W272" t="str">
            <v/>
          </cell>
        </row>
        <row r="273">
          <cell r="W273" t="str">
            <v/>
          </cell>
        </row>
        <row r="274">
          <cell r="W274" t="str">
            <v/>
          </cell>
        </row>
        <row r="275">
          <cell r="W275" t="str">
            <v/>
          </cell>
        </row>
        <row r="276">
          <cell r="W276" t="str">
            <v/>
          </cell>
        </row>
        <row r="277">
          <cell r="W277" t="str">
            <v/>
          </cell>
        </row>
        <row r="278">
          <cell r="W278" t="str">
            <v/>
          </cell>
        </row>
        <row r="279">
          <cell r="W279" t="str">
            <v/>
          </cell>
        </row>
        <row r="280">
          <cell r="W280" t="str">
            <v/>
          </cell>
        </row>
        <row r="281">
          <cell r="W281" t="str">
            <v/>
          </cell>
        </row>
        <row r="282">
          <cell r="W282" t="str">
            <v/>
          </cell>
        </row>
        <row r="283">
          <cell r="W283" t="str">
            <v/>
          </cell>
        </row>
        <row r="284">
          <cell r="W284" t="str">
            <v/>
          </cell>
        </row>
        <row r="285">
          <cell r="W285" t="str">
            <v/>
          </cell>
        </row>
        <row r="286">
          <cell r="W286" t="str">
            <v/>
          </cell>
        </row>
        <row r="287">
          <cell r="W287" t="str">
            <v/>
          </cell>
        </row>
        <row r="288">
          <cell r="W288" t="str">
            <v/>
          </cell>
        </row>
        <row r="289">
          <cell r="W289" t="str">
            <v/>
          </cell>
        </row>
        <row r="290">
          <cell r="W290" t="str">
            <v/>
          </cell>
        </row>
        <row r="291">
          <cell r="W291" t="str">
            <v/>
          </cell>
        </row>
        <row r="292">
          <cell r="W292" t="str">
            <v/>
          </cell>
        </row>
        <row r="293">
          <cell r="W293" t="str">
            <v/>
          </cell>
        </row>
        <row r="294">
          <cell r="W294" t="str">
            <v/>
          </cell>
        </row>
        <row r="295">
          <cell r="W295" t="str">
            <v/>
          </cell>
        </row>
        <row r="296">
          <cell r="W296" t="str">
            <v/>
          </cell>
        </row>
        <row r="297">
          <cell r="W297" t="str">
            <v/>
          </cell>
        </row>
        <row r="298">
          <cell r="W298" t="str">
            <v/>
          </cell>
        </row>
        <row r="299">
          <cell r="W299" t="str">
            <v/>
          </cell>
        </row>
        <row r="300">
          <cell r="W300" t="str">
            <v/>
          </cell>
        </row>
      </sheetData>
      <sheetData sheetId="2">
        <row r="3">
          <cell r="AW3">
            <v>458</v>
          </cell>
          <cell r="AX3">
            <v>245</v>
          </cell>
          <cell r="AY3">
            <v>359</v>
          </cell>
        </row>
        <row r="4">
          <cell r="AW4">
            <v>0</v>
          </cell>
          <cell r="AX4">
            <v>0</v>
          </cell>
          <cell r="AY4">
            <v>0</v>
          </cell>
        </row>
        <row r="5">
          <cell r="AW5">
            <v>0</v>
          </cell>
          <cell r="AX5">
            <v>0</v>
          </cell>
          <cell r="AY5">
            <v>0</v>
          </cell>
        </row>
        <row r="6">
          <cell r="AW6">
            <v>0</v>
          </cell>
          <cell r="AX6">
            <v>0</v>
          </cell>
          <cell r="AY6">
            <v>0</v>
          </cell>
        </row>
        <row r="7">
          <cell r="AW7">
            <v>0</v>
          </cell>
          <cell r="AX7">
            <v>0</v>
          </cell>
          <cell r="AY7">
            <v>0</v>
          </cell>
        </row>
        <row r="8">
          <cell r="AW8">
            <v>0</v>
          </cell>
          <cell r="AX8">
            <v>0</v>
          </cell>
          <cell r="AY8">
            <v>0</v>
          </cell>
        </row>
        <row r="9">
          <cell r="AW9">
            <v>0</v>
          </cell>
          <cell r="AX9">
            <v>0</v>
          </cell>
          <cell r="AY9">
            <v>0</v>
          </cell>
        </row>
        <row r="10">
          <cell r="AW10">
            <v>0</v>
          </cell>
          <cell r="AX10">
            <v>0</v>
          </cell>
          <cell r="AY10">
            <v>0</v>
          </cell>
        </row>
        <row r="11">
          <cell r="AW11">
            <v>0</v>
          </cell>
          <cell r="AX11">
            <v>0</v>
          </cell>
          <cell r="AY11">
            <v>0</v>
          </cell>
        </row>
        <row r="12">
          <cell r="AW12">
            <v>0</v>
          </cell>
          <cell r="AX12">
            <v>0</v>
          </cell>
          <cell r="AY12">
            <v>0</v>
          </cell>
        </row>
        <row r="13">
          <cell r="AW13">
            <v>0</v>
          </cell>
          <cell r="AX13">
            <v>0</v>
          </cell>
          <cell r="AY13">
            <v>0</v>
          </cell>
        </row>
        <row r="14">
          <cell r="AW14">
            <v>0</v>
          </cell>
          <cell r="AX14">
            <v>0</v>
          </cell>
          <cell r="AY14">
            <v>0</v>
          </cell>
        </row>
        <row r="15">
          <cell r="AW15">
            <v>0</v>
          </cell>
          <cell r="AX15">
            <v>0</v>
          </cell>
          <cell r="AY15">
            <v>0</v>
          </cell>
        </row>
        <row r="16">
          <cell r="AW16">
            <v>0</v>
          </cell>
          <cell r="AX16">
            <v>0</v>
          </cell>
          <cell r="AY16">
            <v>0</v>
          </cell>
        </row>
        <row r="17">
          <cell r="AW17">
            <v>0</v>
          </cell>
          <cell r="AX17">
            <v>0</v>
          </cell>
          <cell r="AY17">
            <v>0</v>
          </cell>
        </row>
        <row r="18">
          <cell r="AW18">
            <v>0</v>
          </cell>
          <cell r="AX18">
            <v>0</v>
          </cell>
          <cell r="AY18">
            <v>0</v>
          </cell>
        </row>
        <row r="19">
          <cell r="AW19">
            <v>0</v>
          </cell>
          <cell r="AX19">
            <v>0</v>
          </cell>
          <cell r="AY19">
            <v>0</v>
          </cell>
        </row>
        <row r="20">
          <cell r="AW20">
            <v>0</v>
          </cell>
          <cell r="AX20">
            <v>0</v>
          </cell>
          <cell r="AY20">
            <v>0</v>
          </cell>
        </row>
        <row r="21">
          <cell r="AW21">
            <v>0</v>
          </cell>
          <cell r="AX21">
            <v>0</v>
          </cell>
          <cell r="AY21">
            <v>0</v>
          </cell>
        </row>
        <row r="22">
          <cell r="AW22">
            <v>0</v>
          </cell>
          <cell r="AX22">
            <v>0</v>
          </cell>
          <cell r="AY22">
            <v>0</v>
          </cell>
        </row>
        <row r="23">
          <cell r="AW23">
            <v>0</v>
          </cell>
          <cell r="AX23">
            <v>0</v>
          </cell>
          <cell r="AY23">
            <v>0</v>
          </cell>
        </row>
        <row r="24">
          <cell r="AW24">
            <v>0</v>
          </cell>
          <cell r="AX24">
            <v>0</v>
          </cell>
          <cell r="AY24">
            <v>0</v>
          </cell>
        </row>
        <row r="25">
          <cell r="AW25">
            <v>19</v>
          </cell>
          <cell r="AX25">
            <v>0</v>
          </cell>
          <cell r="AY25">
            <v>20</v>
          </cell>
        </row>
        <row r="26">
          <cell r="AW26">
            <v>258</v>
          </cell>
          <cell r="AX26">
            <v>0</v>
          </cell>
          <cell r="AY26">
            <v>65</v>
          </cell>
        </row>
        <row r="27">
          <cell r="AW27">
            <v>37</v>
          </cell>
          <cell r="AX27">
            <v>0</v>
          </cell>
          <cell r="AY27">
            <v>3</v>
          </cell>
        </row>
        <row r="28">
          <cell r="AW28">
            <v>49</v>
          </cell>
          <cell r="AX28">
            <v>0</v>
          </cell>
          <cell r="AY28">
            <v>7</v>
          </cell>
        </row>
        <row r="29">
          <cell r="AW29">
            <v>12</v>
          </cell>
          <cell r="AX29">
            <v>0</v>
          </cell>
          <cell r="AY29">
            <v>9</v>
          </cell>
        </row>
        <row r="30">
          <cell r="AW30">
            <v>15</v>
          </cell>
          <cell r="AX30">
            <v>0</v>
          </cell>
          <cell r="AY30">
            <v>134</v>
          </cell>
        </row>
        <row r="31">
          <cell r="AW31">
            <v>105</v>
          </cell>
          <cell r="AX31">
            <v>28</v>
          </cell>
          <cell r="AY31">
            <v>42</v>
          </cell>
        </row>
        <row r="32">
          <cell r="AW32">
            <v>600</v>
          </cell>
          <cell r="AX32">
            <v>36</v>
          </cell>
          <cell r="AY32">
            <v>279</v>
          </cell>
        </row>
        <row r="33">
          <cell r="AW33">
            <v>225</v>
          </cell>
          <cell r="AX33">
            <v>66</v>
          </cell>
          <cell r="AY33">
            <v>120</v>
          </cell>
        </row>
        <row r="34">
          <cell r="AW34">
            <v>1490</v>
          </cell>
          <cell r="AX34">
            <v>95</v>
          </cell>
          <cell r="AY34">
            <v>335</v>
          </cell>
        </row>
        <row r="35">
          <cell r="AW35">
            <v>171</v>
          </cell>
          <cell r="AX35">
            <v>60</v>
          </cell>
          <cell r="AY35">
            <v>243</v>
          </cell>
        </row>
        <row r="36">
          <cell r="AW36">
            <v>2690</v>
          </cell>
          <cell r="AX36">
            <v>610</v>
          </cell>
          <cell r="AY36">
            <v>2440</v>
          </cell>
        </row>
        <row r="37">
          <cell r="AW37">
            <v>980</v>
          </cell>
          <cell r="AX37">
            <v>385</v>
          </cell>
          <cell r="AY37">
            <v>903</v>
          </cell>
        </row>
        <row r="38">
          <cell r="AW38">
            <v>15</v>
          </cell>
          <cell r="AX38">
            <v>15</v>
          </cell>
          <cell r="AY38">
            <v>35</v>
          </cell>
        </row>
        <row r="39">
          <cell r="AW39">
            <v>0</v>
          </cell>
          <cell r="AX39">
            <v>0</v>
          </cell>
          <cell r="AY39">
            <v>0</v>
          </cell>
        </row>
        <row r="40">
          <cell r="AW40">
            <v>126</v>
          </cell>
          <cell r="AX40">
            <v>77</v>
          </cell>
          <cell r="AY40">
            <v>112</v>
          </cell>
        </row>
        <row r="41">
          <cell r="AW41">
            <v>196</v>
          </cell>
          <cell r="AX41">
            <v>98</v>
          </cell>
          <cell r="AY41">
            <v>91</v>
          </cell>
        </row>
        <row r="42">
          <cell r="AW42">
            <v>266</v>
          </cell>
          <cell r="AX42">
            <v>77</v>
          </cell>
          <cell r="AY42">
            <v>154</v>
          </cell>
        </row>
        <row r="43">
          <cell r="AW43">
            <v>255</v>
          </cell>
          <cell r="AX43">
            <v>125</v>
          </cell>
          <cell r="AY43">
            <v>725</v>
          </cell>
        </row>
        <row r="44">
          <cell r="AW44">
            <v>1176</v>
          </cell>
          <cell r="AX44">
            <v>371</v>
          </cell>
          <cell r="AY44">
            <v>1071</v>
          </cell>
        </row>
        <row r="45">
          <cell r="AW45">
            <v>455</v>
          </cell>
          <cell r="AX45">
            <v>56</v>
          </cell>
          <cell r="AY45">
            <v>126</v>
          </cell>
        </row>
        <row r="46">
          <cell r="AW46">
            <v>110</v>
          </cell>
          <cell r="AX46">
            <v>10</v>
          </cell>
          <cell r="AY46">
            <v>60</v>
          </cell>
        </row>
        <row r="47">
          <cell r="AW47">
            <v>525</v>
          </cell>
          <cell r="AX47">
            <v>126</v>
          </cell>
          <cell r="AY47">
            <v>224</v>
          </cell>
        </row>
        <row r="48">
          <cell r="AW48">
            <v>1260</v>
          </cell>
          <cell r="AX48">
            <v>0</v>
          </cell>
          <cell r="AY48">
            <v>0</v>
          </cell>
        </row>
        <row r="49">
          <cell r="AW49">
            <v>203</v>
          </cell>
          <cell r="AX49">
            <v>56</v>
          </cell>
          <cell r="AY49">
            <v>84</v>
          </cell>
        </row>
        <row r="50">
          <cell r="AW50">
            <v>42</v>
          </cell>
          <cell r="AX50">
            <v>7</v>
          </cell>
          <cell r="AY50">
            <v>49</v>
          </cell>
        </row>
        <row r="51">
          <cell r="AW51">
            <v>0</v>
          </cell>
          <cell r="AX51">
            <v>0</v>
          </cell>
          <cell r="AY51">
            <v>0</v>
          </cell>
        </row>
        <row r="52">
          <cell r="AW52">
            <v>584</v>
          </cell>
          <cell r="AX52">
            <v>0</v>
          </cell>
          <cell r="AY52">
            <v>37</v>
          </cell>
        </row>
        <row r="53">
          <cell r="AW53">
            <v>357</v>
          </cell>
          <cell r="AX53">
            <v>0</v>
          </cell>
          <cell r="AY53">
            <v>20</v>
          </cell>
        </row>
        <row r="54">
          <cell r="AW54">
            <v>307</v>
          </cell>
          <cell r="AX54">
            <v>0</v>
          </cell>
          <cell r="AY54">
            <v>35</v>
          </cell>
        </row>
        <row r="55">
          <cell r="AW55">
            <v>826</v>
          </cell>
          <cell r="AX55">
            <v>0</v>
          </cell>
          <cell r="AY55">
            <v>0</v>
          </cell>
        </row>
        <row r="56">
          <cell r="AW56">
            <v>0</v>
          </cell>
          <cell r="AX56">
            <v>0</v>
          </cell>
          <cell r="AY56">
            <v>0</v>
          </cell>
        </row>
        <row r="57">
          <cell r="AW57">
            <v>5</v>
          </cell>
          <cell r="AX57">
            <v>0</v>
          </cell>
          <cell r="AY57">
            <v>0</v>
          </cell>
        </row>
        <row r="58">
          <cell r="AW58">
            <v>0</v>
          </cell>
          <cell r="AX58">
            <v>0</v>
          </cell>
          <cell r="AY58">
            <v>0</v>
          </cell>
        </row>
        <row r="59">
          <cell r="AW59">
            <v>0</v>
          </cell>
          <cell r="AX59">
            <v>0</v>
          </cell>
          <cell r="AY59">
            <v>0</v>
          </cell>
        </row>
        <row r="60">
          <cell r="AW60">
            <v>0</v>
          </cell>
          <cell r="AX60">
            <v>0</v>
          </cell>
          <cell r="AY60">
            <v>0</v>
          </cell>
        </row>
        <row r="61">
          <cell r="AW61">
            <v>5</v>
          </cell>
          <cell r="AX61">
            <v>2</v>
          </cell>
          <cell r="AY61">
            <v>3</v>
          </cell>
        </row>
        <row r="62">
          <cell r="AW62">
            <v>0</v>
          </cell>
          <cell r="AX62">
            <v>0</v>
          </cell>
          <cell r="AY62">
            <v>0</v>
          </cell>
        </row>
        <row r="63">
          <cell r="AW63">
            <v>0</v>
          </cell>
          <cell r="AX63">
            <v>0</v>
          </cell>
          <cell r="AY63">
            <v>0</v>
          </cell>
        </row>
        <row r="64">
          <cell r="AW64">
            <v>0</v>
          </cell>
          <cell r="AX64">
            <v>0</v>
          </cell>
          <cell r="AY64">
            <v>0</v>
          </cell>
        </row>
        <row r="65">
          <cell r="AW65">
            <v>0</v>
          </cell>
          <cell r="AX65">
            <v>0</v>
          </cell>
          <cell r="AY65">
            <v>0</v>
          </cell>
        </row>
        <row r="66">
          <cell r="AW66">
            <v>0</v>
          </cell>
          <cell r="AX66">
            <v>0</v>
          </cell>
          <cell r="AY66">
            <v>0</v>
          </cell>
        </row>
        <row r="67">
          <cell r="AW67">
            <v>0</v>
          </cell>
          <cell r="AX67">
            <v>0</v>
          </cell>
          <cell r="AY67">
            <v>0</v>
          </cell>
        </row>
        <row r="68">
          <cell r="AW68">
            <v>0</v>
          </cell>
          <cell r="AX68">
            <v>0</v>
          </cell>
          <cell r="AY68">
            <v>0</v>
          </cell>
        </row>
        <row r="69">
          <cell r="AW69">
            <v>11</v>
          </cell>
          <cell r="AX69">
            <v>3</v>
          </cell>
          <cell r="AY69">
            <v>7</v>
          </cell>
        </row>
        <row r="70">
          <cell r="AW70">
            <v>0</v>
          </cell>
          <cell r="AX70">
            <v>0</v>
          </cell>
          <cell r="AY70">
            <v>0</v>
          </cell>
        </row>
        <row r="71">
          <cell r="AW71">
            <v>0</v>
          </cell>
          <cell r="AX71">
            <v>0</v>
          </cell>
          <cell r="AY71">
            <v>0</v>
          </cell>
        </row>
        <row r="72">
          <cell r="AW72">
            <v>0</v>
          </cell>
          <cell r="AX72">
            <v>0</v>
          </cell>
          <cell r="AY72">
            <v>0</v>
          </cell>
        </row>
        <row r="73">
          <cell r="AW73">
            <v>0</v>
          </cell>
          <cell r="AX73">
            <v>0</v>
          </cell>
          <cell r="AY73">
            <v>0</v>
          </cell>
        </row>
        <row r="74">
          <cell r="AW74">
            <v>0</v>
          </cell>
          <cell r="AX74">
            <v>0</v>
          </cell>
          <cell r="AY74">
            <v>0</v>
          </cell>
        </row>
        <row r="75">
          <cell r="AW75">
            <v>0</v>
          </cell>
          <cell r="AX75">
            <v>0</v>
          </cell>
          <cell r="AY75">
            <v>0</v>
          </cell>
        </row>
        <row r="76">
          <cell r="AW76">
            <v>0</v>
          </cell>
          <cell r="AX76">
            <v>0</v>
          </cell>
          <cell r="AY76">
            <v>0</v>
          </cell>
        </row>
        <row r="77">
          <cell r="AW77">
            <v>0</v>
          </cell>
          <cell r="AX77">
            <v>0</v>
          </cell>
          <cell r="AY77">
            <v>0</v>
          </cell>
        </row>
        <row r="78">
          <cell r="AW78">
            <v>15</v>
          </cell>
          <cell r="AX78">
            <v>6</v>
          </cell>
          <cell r="AY78">
            <v>3</v>
          </cell>
        </row>
        <row r="79">
          <cell r="AW79">
            <v>0</v>
          </cell>
          <cell r="AX79">
            <v>0</v>
          </cell>
          <cell r="AY79">
            <v>0</v>
          </cell>
        </row>
        <row r="80">
          <cell r="AW80">
            <v>0</v>
          </cell>
          <cell r="AX80">
            <v>0</v>
          </cell>
          <cell r="AY80">
            <v>0</v>
          </cell>
        </row>
        <row r="81">
          <cell r="AW81">
            <v>0</v>
          </cell>
          <cell r="AX81">
            <v>0</v>
          </cell>
          <cell r="AY81">
            <v>0</v>
          </cell>
        </row>
        <row r="82">
          <cell r="AW82">
            <v>13</v>
          </cell>
          <cell r="AX82">
            <v>9</v>
          </cell>
          <cell r="AY82">
            <v>3</v>
          </cell>
        </row>
        <row r="83">
          <cell r="AW83">
            <v>0</v>
          </cell>
          <cell r="AX83">
            <v>0</v>
          </cell>
          <cell r="AY83">
            <v>0</v>
          </cell>
        </row>
        <row r="84">
          <cell r="AW84">
            <v>0</v>
          </cell>
          <cell r="AX84">
            <v>0</v>
          </cell>
          <cell r="AY84">
            <v>0</v>
          </cell>
        </row>
        <row r="85">
          <cell r="AW85">
            <v>0</v>
          </cell>
          <cell r="AX85">
            <v>0</v>
          </cell>
          <cell r="AY85">
            <v>0</v>
          </cell>
        </row>
        <row r="86">
          <cell r="AW86">
            <v>0</v>
          </cell>
          <cell r="AX86">
            <v>0</v>
          </cell>
          <cell r="AY86">
            <v>0</v>
          </cell>
        </row>
        <row r="87">
          <cell r="AW87">
            <v>0</v>
          </cell>
          <cell r="AX87">
            <v>0</v>
          </cell>
          <cell r="AY87">
            <v>0</v>
          </cell>
        </row>
        <row r="88">
          <cell r="AW88">
            <v>0</v>
          </cell>
          <cell r="AX88">
            <v>0</v>
          </cell>
          <cell r="AY88">
            <v>0</v>
          </cell>
        </row>
        <row r="89">
          <cell r="AW89">
            <v>0</v>
          </cell>
          <cell r="AX89">
            <v>0</v>
          </cell>
          <cell r="AY89">
            <v>0</v>
          </cell>
        </row>
        <row r="90">
          <cell r="AW90">
            <v>0</v>
          </cell>
          <cell r="AX90">
            <v>0</v>
          </cell>
          <cell r="AY90">
            <v>0</v>
          </cell>
        </row>
        <row r="91">
          <cell r="AW91">
            <v>0</v>
          </cell>
          <cell r="AX91">
            <v>0</v>
          </cell>
          <cell r="AY91">
            <v>0</v>
          </cell>
        </row>
        <row r="92">
          <cell r="AW92">
            <v>0</v>
          </cell>
          <cell r="AX92">
            <v>0</v>
          </cell>
          <cell r="AY92">
            <v>0</v>
          </cell>
        </row>
        <row r="93">
          <cell r="AW93">
            <v>0</v>
          </cell>
          <cell r="AX93">
            <v>0</v>
          </cell>
          <cell r="AY93">
            <v>0</v>
          </cell>
        </row>
        <row r="94">
          <cell r="AW94">
            <v>17</v>
          </cell>
          <cell r="AX94">
            <v>8</v>
          </cell>
          <cell r="AY94">
            <v>3</v>
          </cell>
        </row>
        <row r="95">
          <cell r="AW95">
            <v>0</v>
          </cell>
          <cell r="AX95">
            <v>0</v>
          </cell>
          <cell r="AY95">
            <v>0</v>
          </cell>
        </row>
        <row r="96">
          <cell r="AW96">
            <v>0</v>
          </cell>
          <cell r="AX96">
            <v>0</v>
          </cell>
          <cell r="AY96">
            <v>0</v>
          </cell>
        </row>
        <row r="97">
          <cell r="AW97">
            <v>0</v>
          </cell>
          <cell r="AX97">
            <v>0</v>
          </cell>
          <cell r="AY97">
            <v>0</v>
          </cell>
        </row>
        <row r="98">
          <cell r="AW98">
            <v>1</v>
          </cell>
          <cell r="AX98">
            <v>0</v>
          </cell>
          <cell r="AY98">
            <v>0</v>
          </cell>
        </row>
        <row r="99">
          <cell r="AW99">
            <v>0</v>
          </cell>
          <cell r="AX99">
            <v>0</v>
          </cell>
          <cell r="AY99">
            <v>0</v>
          </cell>
        </row>
        <row r="100">
          <cell r="AW100">
            <v>0</v>
          </cell>
          <cell r="AX100">
            <v>0</v>
          </cell>
          <cell r="AY100">
            <v>0</v>
          </cell>
        </row>
        <row r="101">
          <cell r="AW101">
            <v>0</v>
          </cell>
          <cell r="AX101">
            <v>0</v>
          </cell>
          <cell r="AY101">
            <v>0</v>
          </cell>
        </row>
        <row r="102">
          <cell r="AW102">
            <v>0</v>
          </cell>
          <cell r="AX102">
            <v>0</v>
          </cell>
          <cell r="AY102">
            <v>0</v>
          </cell>
        </row>
        <row r="103">
          <cell r="AW103">
            <v>0</v>
          </cell>
          <cell r="AX103">
            <v>0</v>
          </cell>
          <cell r="AY103">
            <v>0</v>
          </cell>
        </row>
        <row r="104">
          <cell r="AW104">
            <v>0</v>
          </cell>
          <cell r="AX104">
            <v>0</v>
          </cell>
          <cell r="AY104">
            <v>0</v>
          </cell>
        </row>
        <row r="105">
          <cell r="AW105">
            <v>0</v>
          </cell>
          <cell r="AX105">
            <v>0</v>
          </cell>
          <cell r="AY105">
            <v>0</v>
          </cell>
        </row>
        <row r="106">
          <cell r="AW106">
            <v>2</v>
          </cell>
          <cell r="AX106">
            <v>0</v>
          </cell>
          <cell r="AY106">
            <v>0</v>
          </cell>
        </row>
        <row r="107">
          <cell r="AW107">
            <v>0</v>
          </cell>
          <cell r="AX107">
            <v>0</v>
          </cell>
          <cell r="AY107">
            <v>0</v>
          </cell>
        </row>
        <row r="108">
          <cell r="AW108">
            <v>0</v>
          </cell>
          <cell r="AX108">
            <v>0</v>
          </cell>
          <cell r="AY108">
            <v>0</v>
          </cell>
        </row>
        <row r="109">
          <cell r="AW109">
            <v>0</v>
          </cell>
          <cell r="AX109">
            <v>0</v>
          </cell>
          <cell r="AY109">
            <v>0</v>
          </cell>
        </row>
        <row r="110">
          <cell r="AW110">
            <v>2</v>
          </cell>
          <cell r="AX110">
            <v>0</v>
          </cell>
          <cell r="AY110">
            <v>1</v>
          </cell>
        </row>
        <row r="111">
          <cell r="AW111">
            <v>32</v>
          </cell>
          <cell r="AX111">
            <v>0</v>
          </cell>
          <cell r="AY111">
            <v>8</v>
          </cell>
        </row>
        <row r="112">
          <cell r="AW112">
            <v>0</v>
          </cell>
          <cell r="AX112">
            <v>0</v>
          </cell>
          <cell r="AY112">
            <v>0</v>
          </cell>
        </row>
        <row r="113">
          <cell r="AW113">
            <v>0</v>
          </cell>
          <cell r="AX113">
            <v>0</v>
          </cell>
          <cell r="AY113">
            <v>0</v>
          </cell>
        </row>
        <row r="114">
          <cell r="AW114">
            <v>0</v>
          </cell>
          <cell r="AX114">
            <v>0</v>
          </cell>
          <cell r="AY114">
            <v>0</v>
          </cell>
        </row>
        <row r="115">
          <cell r="AW115">
            <v>0</v>
          </cell>
          <cell r="AX115">
            <v>0</v>
          </cell>
          <cell r="AY115">
            <v>0</v>
          </cell>
        </row>
        <row r="116">
          <cell r="AW116">
            <v>0</v>
          </cell>
          <cell r="AX116">
            <v>0</v>
          </cell>
          <cell r="AY116">
            <v>0</v>
          </cell>
        </row>
        <row r="117">
          <cell r="AW117">
            <v>0</v>
          </cell>
          <cell r="AX117">
            <v>0</v>
          </cell>
          <cell r="AY117">
            <v>0</v>
          </cell>
        </row>
        <row r="118">
          <cell r="AW118">
            <v>10</v>
          </cell>
          <cell r="AX118">
            <v>3</v>
          </cell>
          <cell r="AY118">
            <v>3</v>
          </cell>
        </row>
        <row r="119">
          <cell r="AW119">
            <v>0</v>
          </cell>
          <cell r="AX119">
            <v>0</v>
          </cell>
          <cell r="AY119">
            <v>0</v>
          </cell>
        </row>
        <row r="120">
          <cell r="AW120">
            <v>0</v>
          </cell>
          <cell r="AX120">
            <v>0</v>
          </cell>
          <cell r="AY120">
            <v>0</v>
          </cell>
        </row>
        <row r="121">
          <cell r="AW121">
            <v>0</v>
          </cell>
          <cell r="AX121">
            <v>0</v>
          </cell>
          <cell r="AY121">
            <v>0</v>
          </cell>
        </row>
        <row r="122">
          <cell r="AW122">
            <v>0</v>
          </cell>
          <cell r="AX122">
            <v>0</v>
          </cell>
          <cell r="AY122">
            <v>0</v>
          </cell>
        </row>
        <row r="123">
          <cell r="AW123">
            <v>0</v>
          </cell>
          <cell r="AX123">
            <v>0</v>
          </cell>
          <cell r="AY123">
            <v>0</v>
          </cell>
        </row>
        <row r="124">
          <cell r="AW124">
            <v>0</v>
          </cell>
          <cell r="AX124">
            <v>0</v>
          </cell>
          <cell r="AY124">
            <v>0</v>
          </cell>
        </row>
        <row r="125">
          <cell r="AW125">
            <v>0</v>
          </cell>
          <cell r="AX125">
            <v>0</v>
          </cell>
          <cell r="AY125">
            <v>0</v>
          </cell>
        </row>
        <row r="126">
          <cell r="AW126">
            <v>2</v>
          </cell>
          <cell r="AX126">
            <v>0</v>
          </cell>
          <cell r="AY126">
            <v>0</v>
          </cell>
        </row>
        <row r="127">
          <cell r="AW127">
            <v>15</v>
          </cell>
          <cell r="AX127">
            <v>0</v>
          </cell>
          <cell r="AY127">
            <v>0</v>
          </cell>
        </row>
        <row r="128">
          <cell r="AW128">
            <v>0</v>
          </cell>
          <cell r="AX128">
            <v>0</v>
          </cell>
          <cell r="AY128">
            <v>0</v>
          </cell>
        </row>
        <row r="129">
          <cell r="AW129">
            <v>0</v>
          </cell>
          <cell r="AX129">
            <v>0</v>
          </cell>
          <cell r="AY129">
            <v>0</v>
          </cell>
        </row>
        <row r="130">
          <cell r="AW130">
            <v>0</v>
          </cell>
          <cell r="AX130">
            <v>0</v>
          </cell>
          <cell r="AY130">
            <v>0</v>
          </cell>
        </row>
        <row r="131">
          <cell r="AW131">
            <v>0</v>
          </cell>
          <cell r="AX131">
            <v>0</v>
          </cell>
          <cell r="AY131">
            <v>0</v>
          </cell>
        </row>
        <row r="132">
          <cell r="AW132">
            <v>0</v>
          </cell>
          <cell r="AX132">
            <v>0</v>
          </cell>
          <cell r="AY132">
            <v>0</v>
          </cell>
        </row>
        <row r="133">
          <cell r="AW133">
            <v>0</v>
          </cell>
          <cell r="AX133">
            <v>0</v>
          </cell>
          <cell r="AY133">
            <v>0</v>
          </cell>
        </row>
        <row r="134">
          <cell r="AW134">
            <v>0</v>
          </cell>
          <cell r="AX134">
            <v>0</v>
          </cell>
          <cell r="AY134">
            <v>0</v>
          </cell>
        </row>
        <row r="135">
          <cell r="AW135">
            <v>0</v>
          </cell>
          <cell r="AX135">
            <v>0</v>
          </cell>
          <cell r="AY135">
            <v>0</v>
          </cell>
        </row>
        <row r="136">
          <cell r="AW136">
            <v>0</v>
          </cell>
          <cell r="AX136">
            <v>0</v>
          </cell>
          <cell r="AY136">
            <v>0</v>
          </cell>
        </row>
        <row r="137">
          <cell r="AW137">
            <v>0</v>
          </cell>
          <cell r="AX137">
            <v>0</v>
          </cell>
          <cell r="AY137">
            <v>0</v>
          </cell>
        </row>
        <row r="138">
          <cell r="AW138">
            <v>1</v>
          </cell>
          <cell r="AX138">
            <v>0</v>
          </cell>
          <cell r="AY138">
            <v>0</v>
          </cell>
        </row>
        <row r="139">
          <cell r="AW139">
            <v>0</v>
          </cell>
          <cell r="AX139">
            <v>0</v>
          </cell>
          <cell r="AY139">
            <v>0</v>
          </cell>
        </row>
        <row r="140">
          <cell r="AW140">
            <v>0</v>
          </cell>
          <cell r="AX140">
            <v>0</v>
          </cell>
          <cell r="AY140">
            <v>0</v>
          </cell>
        </row>
        <row r="141">
          <cell r="AW141">
            <v>0</v>
          </cell>
          <cell r="AX141">
            <v>0</v>
          </cell>
          <cell r="AY141">
            <v>0</v>
          </cell>
        </row>
        <row r="142">
          <cell r="AW142">
            <v>0</v>
          </cell>
          <cell r="AX142">
            <v>0</v>
          </cell>
          <cell r="AY142">
            <v>0</v>
          </cell>
        </row>
        <row r="143">
          <cell r="AW143">
            <v>0</v>
          </cell>
          <cell r="AX143">
            <v>0</v>
          </cell>
          <cell r="AY143">
            <v>0</v>
          </cell>
        </row>
        <row r="144">
          <cell r="AW144">
            <v>69</v>
          </cell>
          <cell r="AX144">
            <v>50</v>
          </cell>
          <cell r="AY144">
            <v>69</v>
          </cell>
        </row>
        <row r="145">
          <cell r="AW145">
            <v>209</v>
          </cell>
          <cell r="AX145">
            <v>0</v>
          </cell>
          <cell r="AY145">
            <v>40</v>
          </cell>
        </row>
        <row r="146">
          <cell r="AW146">
            <v>22</v>
          </cell>
          <cell r="AX146">
            <v>0</v>
          </cell>
          <cell r="AY146">
            <v>4</v>
          </cell>
        </row>
        <row r="147">
          <cell r="AW147">
            <v>9</v>
          </cell>
          <cell r="AX147">
            <v>0</v>
          </cell>
          <cell r="AY147">
            <v>4</v>
          </cell>
        </row>
        <row r="148">
          <cell r="AW148">
            <v>0</v>
          </cell>
          <cell r="AX148">
            <v>0</v>
          </cell>
          <cell r="AY148">
            <v>0</v>
          </cell>
        </row>
        <row r="149">
          <cell r="AW149">
            <v>0</v>
          </cell>
          <cell r="AX149">
            <v>0</v>
          </cell>
          <cell r="AY149">
            <v>0</v>
          </cell>
        </row>
        <row r="150">
          <cell r="AW150">
            <v>0</v>
          </cell>
          <cell r="AX150">
            <v>0</v>
          </cell>
          <cell r="AY150">
            <v>0</v>
          </cell>
        </row>
        <row r="151">
          <cell r="AW151">
            <v>0</v>
          </cell>
          <cell r="AX151">
            <v>0</v>
          </cell>
          <cell r="AY151">
            <v>0</v>
          </cell>
        </row>
        <row r="152">
          <cell r="AW152">
            <v>0</v>
          </cell>
          <cell r="AX152">
            <v>0</v>
          </cell>
          <cell r="AY152">
            <v>0</v>
          </cell>
        </row>
        <row r="153">
          <cell r="AW153">
            <v>0</v>
          </cell>
          <cell r="AX153">
            <v>0</v>
          </cell>
          <cell r="AY153">
            <v>0</v>
          </cell>
        </row>
        <row r="154">
          <cell r="AW154">
            <v>0</v>
          </cell>
          <cell r="AX154">
            <v>0</v>
          </cell>
          <cell r="AY154">
            <v>0</v>
          </cell>
        </row>
        <row r="155">
          <cell r="AW155">
            <v>0</v>
          </cell>
          <cell r="AX155">
            <v>0</v>
          </cell>
          <cell r="AY155">
            <v>0</v>
          </cell>
        </row>
        <row r="156">
          <cell r="AW156">
            <v>0</v>
          </cell>
          <cell r="AX156">
            <v>0</v>
          </cell>
          <cell r="AY156">
            <v>0</v>
          </cell>
        </row>
        <row r="157">
          <cell r="AW157">
            <v>0</v>
          </cell>
          <cell r="AX157">
            <v>0</v>
          </cell>
          <cell r="AY157">
            <v>0</v>
          </cell>
        </row>
        <row r="158">
          <cell r="AW158">
            <v>0</v>
          </cell>
          <cell r="AX158">
            <v>0</v>
          </cell>
          <cell r="AY158">
            <v>0</v>
          </cell>
        </row>
        <row r="159">
          <cell r="AW159">
            <v>0</v>
          </cell>
          <cell r="AX159">
            <v>0</v>
          </cell>
          <cell r="AY159">
            <v>0</v>
          </cell>
        </row>
        <row r="160">
          <cell r="AW160">
            <v>0</v>
          </cell>
          <cell r="AX160">
            <v>0</v>
          </cell>
          <cell r="AY160">
            <v>0</v>
          </cell>
        </row>
        <row r="161">
          <cell r="AW161">
            <v>0</v>
          </cell>
          <cell r="AX161">
            <v>0</v>
          </cell>
          <cell r="AY161">
            <v>0</v>
          </cell>
        </row>
        <row r="162">
          <cell r="AW162">
            <v>0</v>
          </cell>
          <cell r="AX162">
            <v>0</v>
          </cell>
          <cell r="AY162">
            <v>0</v>
          </cell>
        </row>
        <row r="163">
          <cell r="AW163">
            <v>0</v>
          </cell>
          <cell r="AX163">
            <v>0</v>
          </cell>
          <cell r="AY163">
            <v>0</v>
          </cell>
        </row>
        <row r="164">
          <cell r="AW164">
            <v>0</v>
          </cell>
          <cell r="AX164">
            <v>0</v>
          </cell>
          <cell r="AY164">
            <v>0</v>
          </cell>
        </row>
        <row r="165">
          <cell r="AW165">
            <v>0</v>
          </cell>
          <cell r="AX165">
            <v>0</v>
          </cell>
          <cell r="AY165">
            <v>0</v>
          </cell>
        </row>
        <row r="166">
          <cell r="AW166">
            <v>0</v>
          </cell>
          <cell r="AX166">
            <v>0</v>
          </cell>
          <cell r="AY166">
            <v>0</v>
          </cell>
        </row>
        <row r="167">
          <cell r="AW167">
            <v>0</v>
          </cell>
          <cell r="AX167">
            <v>0</v>
          </cell>
          <cell r="AY167">
            <v>0</v>
          </cell>
        </row>
        <row r="168">
          <cell r="AW168">
            <v>0</v>
          </cell>
          <cell r="AX168">
            <v>0</v>
          </cell>
          <cell r="AY168">
            <v>0</v>
          </cell>
        </row>
        <row r="169">
          <cell r="AW169">
            <v>0</v>
          </cell>
          <cell r="AX169">
            <v>0</v>
          </cell>
          <cell r="AY169">
            <v>0</v>
          </cell>
        </row>
        <row r="170">
          <cell r="AW170">
            <v>0</v>
          </cell>
          <cell r="AX170">
            <v>0</v>
          </cell>
          <cell r="AY170">
            <v>0</v>
          </cell>
        </row>
        <row r="171">
          <cell r="AW171">
            <v>0</v>
          </cell>
          <cell r="AX171">
            <v>0</v>
          </cell>
          <cell r="AY171">
            <v>0</v>
          </cell>
        </row>
        <row r="172">
          <cell r="AW172">
            <v>0</v>
          </cell>
          <cell r="AX172">
            <v>0</v>
          </cell>
          <cell r="AY172">
            <v>0</v>
          </cell>
        </row>
        <row r="173">
          <cell r="AW173">
            <v>0</v>
          </cell>
          <cell r="AX173">
            <v>0</v>
          </cell>
          <cell r="AY173">
            <v>0</v>
          </cell>
        </row>
        <row r="174">
          <cell r="AW174">
            <v>0</v>
          </cell>
          <cell r="AX174">
            <v>0</v>
          </cell>
          <cell r="AY174">
            <v>0</v>
          </cell>
        </row>
        <row r="175">
          <cell r="AW175">
            <v>0</v>
          </cell>
          <cell r="AX175">
            <v>0</v>
          </cell>
          <cell r="AY175">
            <v>0</v>
          </cell>
        </row>
        <row r="176">
          <cell r="AW176">
            <v>0</v>
          </cell>
          <cell r="AX176">
            <v>0</v>
          </cell>
          <cell r="AY176">
            <v>0</v>
          </cell>
        </row>
        <row r="177">
          <cell r="AW177">
            <v>0</v>
          </cell>
          <cell r="AX177">
            <v>0</v>
          </cell>
          <cell r="AY177">
            <v>0</v>
          </cell>
        </row>
        <row r="178">
          <cell r="AW178">
            <v>0</v>
          </cell>
          <cell r="AX178">
            <v>0</v>
          </cell>
          <cell r="AY178">
            <v>0</v>
          </cell>
        </row>
        <row r="179">
          <cell r="AW179">
            <v>0</v>
          </cell>
          <cell r="AX179">
            <v>0</v>
          </cell>
          <cell r="AY179">
            <v>0</v>
          </cell>
        </row>
        <row r="180">
          <cell r="AW180">
            <v>0</v>
          </cell>
          <cell r="AX180">
            <v>0</v>
          </cell>
          <cell r="AY180">
            <v>0</v>
          </cell>
        </row>
        <row r="181">
          <cell r="AW181">
            <v>0</v>
          </cell>
          <cell r="AX181">
            <v>0</v>
          </cell>
          <cell r="AY181">
            <v>0</v>
          </cell>
        </row>
        <row r="182">
          <cell r="AW182">
            <v>0</v>
          </cell>
          <cell r="AX182">
            <v>0</v>
          </cell>
          <cell r="AY182">
            <v>0</v>
          </cell>
        </row>
        <row r="183">
          <cell r="AW183">
            <v>0</v>
          </cell>
          <cell r="AX183">
            <v>0</v>
          </cell>
          <cell r="AY183">
            <v>0</v>
          </cell>
        </row>
        <row r="184">
          <cell r="AW184">
            <v>0</v>
          </cell>
          <cell r="AX184">
            <v>0</v>
          </cell>
          <cell r="AY184">
            <v>0</v>
          </cell>
        </row>
        <row r="185">
          <cell r="AW185">
            <v>0</v>
          </cell>
          <cell r="AX185">
            <v>0</v>
          </cell>
          <cell r="AY185">
            <v>0</v>
          </cell>
        </row>
        <row r="186">
          <cell r="AW186">
            <v>0</v>
          </cell>
          <cell r="AX186">
            <v>0</v>
          </cell>
          <cell r="AY186">
            <v>0</v>
          </cell>
        </row>
        <row r="187">
          <cell r="AW187">
            <v>0</v>
          </cell>
          <cell r="AX187">
            <v>0</v>
          </cell>
          <cell r="AY187">
            <v>0</v>
          </cell>
        </row>
        <row r="188">
          <cell r="AW188">
            <v>0</v>
          </cell>
          <cell r="AX188">
            <v>0</v>
          </cell>
          <cell r="AY188">
            <v>0</v>
          </cell>
        </row>
        <row r="189">
          <cell r="AW189">
            <v>0</v>
          </cell>
          <cell r="AX189">
            <v>0</v>
          </cell>
          <cell r="AY189">
            <v>0</v>
          </cell>
        </row>
        <row r="190">
          <cell r="AW190">
            <v>0</v>
          </cell>
          <cell r="AX190">
            <v>0</v>
          </cell>
          <cell r="AY190">
            <v>0</v>
          </cell>
        </row>
        <row r="191">
          <cell r="AW191">
            <v>0</v>
          </cell>
          <cell r="AX191">
            <v>0</v>
          </cell>
          <cell r="AY191">
            <v>0</v>
          </cell>
        </row>
        <row r="192">
          <cell r="AW192">
            <v>0</v>
          </cell>
          <cell r="AX192">
            <v>0</v>
          </cell>
          <cell r="AY192">
            <v>0</v>
          </cell>
        </row>
        <row r="193">
          <cell r="AW193">
            <v>0</v>
          </cell>
          <cell r="AX193">
            <v>0</v>
          </cell>
          <cell r="AY193">
            <v>0</v>
          </cell>
        </row>
        <row r="194">
          <cell r="AW194">
            <v>0</v>
          </cell>
          <cell r="AX194">
            <v>0</v>
          </cell>
          <cell r="AY194">
            <v>0</v>
          </cell>
        </row>
        <row r="195">
          <cell r="AW195">
            <v>0</v>
          </cell>
          <cell r="AX195">
            <v>0</v>
          </cell>
          <cell r="AY195">
            <v>0</v>
          </cell>
        </row>
        <row r="196">
          <cell r="AW196">
            <v>0</v>
          </cell>
          <cell r="AX196">
            <v>0</v>
          </cell>
          <cell r="AY196">
            <v>0</v>
          </cell>
        </row>
        <row r="197">
          <cell r="AW197">
            <v>0</v>
          </cell>
          <cell r="AX197">
            <v>0</v>
          </cell>
          <cell r="AY197">
            <v>0</v>
          </cell>
        </row>
        <row r="198">
          <cell r="AW198">
            <v>0</v>
          </cell>
          <cell r="AX198">
            <v>0</v>
          </cell>
          <cell r="AY198">
            <v>0</v>
          </cell>
        </row>
        <row r="199">
          <cell r="AW199">
            <v>0</v>
          </cell>
          <cell r="AX199">
            <v>0</v>
          </cell>
          <cell r="AY199">
            <v>0</v>
          </cell>
        </row>
        <row r="200">
          <cell r="AW200">
            <v>0</v>
          </cell>
          <cell r="AX200">
            <v>0</v>
          </cell>
          <cell r="AY200">
            <v>0</v>
          </cell>
        </row>
        <row r="201">
          <cell r="AW201">
            <v>0</v>
          </cell>
          <cell r="AX201">
            <v>0</v>
          </cell>
          <cell r="AY201">
            <v>0</v>
          </cell>
        </row>
        <row r="202">
          <cell r="AW202">
            <v>0</v>
          </cell>
          <cell r="AX202">
            <v>0</v>
          </cell>
          <cell r="AY202">
            <v>0</v>
          </cell>
        </row>
        <row r="203">
          <cell r="AW203">
            <v>0</v>
          </cell>
          <cell r="AX203">
            <v>0</v>
          </cell>
          <cell r="AY203">
            <v>0</v>
          </cell>
        </row>
        <row r="204">
          <cell r="AW204">
            <v>0</v>
          </cell>
          <cell r="AX204">
            <v>0</v>
          </cell>
          <cell r="AY204">
            <v>0</v>
          </cell>
        </row>
        <row r="205">
          <cell r="AW205">
            <v>0</v>
          </cell>
          <cell r="AX205">
            <v>0</v>
          </cell>
          <cell r="AY205">
            <v>0</v>
          </cell>
        </row>
        <row r="206">
          <cell r="AW206">
            <v>0</v>
          </cell>
          <cell r="AX206">
            <v>0</v>
          </cell>
          <cell r="AY206">
            <v>0</v>
          </cell>
        </row>
        <row r="207">
          <cell r="AW207">
            <v>0</v>
          </cell>
          <cell r="AX207">
            <v>0</v>
          </cell>
          <cell r="AY207">
            <v>0</v>
          </cell>
        </row>
        <row r="208">
          <cell r="AW208">
            <v>0</v>
          </cell>
          <cell r="AX208">
            <v>0</v>
          </cell>
          <cell r="AY208">
            <v>0</v>
          </cell>
        </row>
        <row r="209">
          <cell r="AW209">
            <v>0</v>
          </cell>
          <cell r="AX209">
            <v>0</v>
          </cell>
          <cell r="AY209">
            <v>0</v>
          </cell>
        </row>
        <row r="210">
          <cell r="AW210">
            <v>0</v>
          </cell>
          <cell r="AX210">
            <v>0</v>
          </cell>
          <cell r="AY210">
            <v>0</v>
          </cell>
        </row>
        <row r="211">
          <cell r="AW211">
            <v>0</v>
          </cell>
          <cell r="AX211">
            <v>0</v>
          </cell>
          <cell r="AY211">
            <v>0</v>
          </cell>
        </row>
        <row r="212">
          <cell r="AW212">
            <v>0</v>
          </cell>
          <cell r="AX212">
            <v>0</v>
          </cell>
          <cell r="AY212">
            <v>0</v>
          </cell>
        </row>
        <row r="213">
          <cell r="AW213">
            <v>0</v>
          </cell>
          <cell r="AX213">
            <v>0</v>
          </cell>
          <cell r="AY213">
            <v>0</v>
          </cell>
        </row>
        <row r="214">
          <cell r="AW214">
            <v>0</v>
          </cell>
          <cell r="AX214">
            <v>0</v>
          </cell>
          <cell r="AY214">
            <v>0</v>
          </cell>
        </row>
        <row r="215">
          <cell r="AW215">
            <v>0</v>
          </cell>
          <cell r="AX215">
            <v>0</v>
          </cell>
          <cell r="AY215">
            <v>0</v>
          </cell>
        </row>
        <row r="216">
          <cell r="AW216">
            <v>0</v>
          </cell>
          <cell r="AX216">
            <v>0</v>
          </cell>
          <cell r="AY216">
            <v>0</v>
          </cell>
        </row>
        <row r="217">
          <cell r="AW217">
            <v>0</v>
          </cell>
          <cell r="AX217">
            <v>0</v>
          </cell>
          <cell r="AY217">
            <v>0</v>
          </cell>
        </row>
        <row r="218">
          <cell r="AW218">
            <v>0</v>
          </cell>
          <cell r="AX218">
            <v>0</v>
          </cell>
          <cell r="AY218">
            <v>0</v>
          </cell>
        </row>
        <row r="219">
          <cell r="AW219">
            <v>0</v>
          </cell>
          <cell r="AX219">
            <v>0</v>
          </cell>
          <cell r="AY219">
            <v>0</v>
          </cell>
        </row>
        <row r="220">
          <cell r="AW220">
            <v>0</v>
          </cell>
          <cell r="AX220">
            <v>0</v>
          </cell>
          <cell r="AY220">
            <v>0</v>
          </cell>
        </row>
        <row r="221">
          <cell r="AW221">
            <v>0</v>
          </cell>
          <cell r="AX221">
            <v>0</v>
          </cell>
          <cell r="AY221">
            <v>0</v>
          </cell>
        </row>
        <row r="222">
          <cell r="AW222">
            <v>0</v>
          </cell>
          <cell r="AX222">
            <v>0</v>
          </cell>
          <cell r="AY222">
            <v>0</v>
          </cell>
        </row>
        <row r="223">
          <cell r="AW223">
            <v>0</v>
          </cell>
          <cell r="AX223">
            <v>0</v>
          </cell>
          <cell r="AY223">
            <v>0</v>
          </cell>
        </row>
        <row r="224">
          <cell r="AW224">
            <v>0</v>
          </cell>
          <cell r="AX224">
            <v>0</v>
          </cell>
          <cell r="AY224">
            <v>0</v>
          </cell>
        </row>
        <row r="225">
          <cell r="AW225">
            <v>0</v>
          </cell>
          <cell r="AX225">
            <v>0</v>
          </cell>
          <cell r="AY225">
            <v>0</v>
          </cell>
        </row>
        <row r="226">
          <cell r="AW226">
            <v>0</v>
          </cell>
          <cell r="AX226">
            <v>0</v>
          </cell>
          <cell r="AY226">
            <v>0</v>
          </cell>
        </row>
        <row r="227">
          <cell r="AW227">
            <v>0</v>
          </cell>
          <cell r="AX227">
            <v>0</v>
          </cell>
          <cell r="AY227">
            <v>0</v>
          </cell>
        </row>
        <row r="228">
          <cell r="AW228">
            <v>0</v>
          </cell>
          <cell r="AX228">
            <v>0</v>
          </cell>
          <cell r="AY228">
            <v>0</v>
          </cell>
        </row>
        <row r="229">
          <cell r="AW229">
            <v>0</v>
          </cell>
          <cell r="AX229">
            <v>0</v>
          </cell>
          <cell r="AY229">
            <v>0</v>
          </cell>
        </row>
        <row r="230">
          <cell r="AW230">
            <v>0</v>
          </cell>
          <cell r="AX230">
            <v>0</v>
          </cell>
          <cell r="AY230">
            <v>0</v>
          </cell>
        </row>
        <row r="231">
          <cell r="AW231">
            <v>0</v>
          </cell>
          <cell r="AX231">
            <v>0</v>
          </cell>
          <cell r="AY231">
            <v>0</v>
          </cell>
        </row>
        <row r="232">
          <cell r="AW232">
            <v>0</v>
          </cell>
          <cell r="AX232">
            <v>0</v>
          </cell>
          <cell r="AY232">
            <v>0</v>
          </cell>
        </row>
        <row r="233">
          <cell r="AW233">
            <v>0</v>
          </cell>
          <cell r="AX233">
            <v>0</v>
          </cell>
          <cell r="AY233">
            <v>0</v>
          </cell>
        </row>
        <row r="234">
          <cell r="AW234">
            <v>0</v>
          </cell>
          <cell r="AX234">
            <v>0</v>
          </cell>
          <cell r="AY234">
            <v>0</v>
          </cell>
        </row>
        <row r="235">
          <cell r="AW235">
            <v>0</v>
          </cell>
          <cell r="AX235">
            <v>0</v>
          </cell>
          <cell r="AY235">
            <v>0</v>
          </cell>
        </row>
        <row r="236">
          <cell r="AW236">
            <v>0</v>
          </cell>
          <cell r="AX236">
            <v>0</v>
          </cell>
          <cell r="AY236">
            <v>0</v>
          </cell>
        </row>
        <row r="237">
          <cell r="AW237">
            <v>0</v>
          </cell>
          <cell r="AX237">
            <v>0</v>
          </cell>
          <cell r="AY237">
            <v>0</v>
          </cell>
        </row>
        <row r="238">
          <cell r="AW238">
            <v>0</v>
          </cell>
          <cell r="AX238">
            <v>0</v>
          </cell>
          <cell r="AY238">
            <v>0</v>
          </cell>
        </row>
        <row r="239">
          <cell r="AW239">
            <v>0</v>
          </cell>
          <cell r="AX239">
            <v>0</v>
          </cell>
          <cell r="AY239">
            <v>0</v>
          </cell>
        </row>
        <row r="240">
          <cell r="AW240">
            <v>0</v>
          </cell>
          <cell r="AX240">
            <v>0</v>
          </cell>
          <cell r="AY240">
            <v>0</v>
          </cell>
        </row>
        <row r="241">
          <cell r="AW241">
            <v>0</v>
          </cell>
          <cell r="AX241">
            <v>0</v>
          </cell>
          <cell r="AY241">
            <v>0</v>
          </cell>
        </row>
        <row r="242">
          <cell r="AW242">
            <v>0</v>
          </cell>
          <cell r="AX242">
            <v>0</v>
          </cell>
          <cell r="AY242">
            <v>0</v>
          </cell>
        </row>
        <row r="243">
          <cell r="AW243">
            <v>0</v>
          </cell>
          <cell r="AX243">
            <v>0</v>
          </cell>
          <cell r="AY243">
            <v>0</v>
          </cell>
        </row>
        <row r="244">
          <cell r="AW244">
            <v>0</v>
          </cell>
          <cell r="AX244">
            <v>0</v>
          </cell>
          <cell r="AY244">
            <v>0</v>
          </cell>
        </row>
        <row r="245">
          <cell r="AW245">
            <v>0</v>
          </cell>
          <cell r="AX245">
            <v>0</v>
          </cell>
          <cell r="AY245">
            <v>0</v>
          </cell>
        </row>
        <row r="246">
          <cell r="AW246">
            <v>0</v>
          </cell>
          <cell r="AX246">
            <v>0</v>
          </cell>
          <cell r="AY246">
            <v>0</v>
          </cell>
        </row>
        <row r="247">
          <cell r="AW247">
            <v>0</v>
          </cell>
          <cell r="AX247">
            <v>0</v>
          </cell>
          <cell r="AY247">
            <v>0</v>
          </cell>
        </row>
        <row r="248">
          <cell r="AW248">
            <v>0</v>
          </cell>
          <cell r="AX248">
            <v>0</v>
          </cell>
          <cell r="AY248">
            <v>0</v>
          </cell>
        </row>
        <row r="249">
          <cell r="AW249">
            <v>0</v>
          </cell>
          <cell r="AX249">
            <v>0</v>
          </cell>
          <cell r="AY249">
            <v>0</v>
          </cell>
        </row>
        <row r="250">
          <cell r="AW250">
            <v>0</v>
          </cell>
          <cell r="AX250">
            <v>0</v>
          </cell>
          <cell r="AY250">
            <v>0</v>
          </cell>
        </row>
        <row r="251">
          <cell r="AW251">
            <v>0</v>
          </cell>
          <cell r="AX251">
            <v>0</v>
          </cell>
          <cell r="AY251">
            <v>0</v>
          </cell>
        </row>
        <row r="252">
          <cell r="AW252">
            <v>0</v>
          </cell>
          <cell r="AX252">
            <v>0</v>
          </cell>
          <cell r="AY252">
            <v>0</v>
          </cell>
        </row>
        <row r="253">
          <cell r="AW253">
            <v>0</v>
          </cell>
          <cell r="AX253">
            <v>0</v>
          </cell>
          <cell r="AY253">
            <v>0</v>
          </cell>
        </row>
        <row r="254">
          <cell r="AW254">
            <v>0</v>
          </cell>
          <cell r="AX254">
            <v>0</v>
          </cell>
          <cell r="AY254">
            <v>0</v>
          </cell>
        </row>
        <row r="255">
          <cell r="AW255">
            <v>0</v>
          </cell>
          <cell r="AX255">
            <v>0</v>
          </cell>
          <cell r="AY255">
            <v>0</v>
          </cell>
        </row>
        <row r="256">
          <cell r="AW256">
            <v>0</v>
          </cell>
          <cell r="AX256">
            <v>0</v>
          </cell>
          <cell r="AY256">
            <v>0</v>
          </cell>
        </row>
        <row r="257">
          <cell r="AW257">
            <v>0</v>
          </cell>
          <cell r="AX257">
            <v>0</v>
          </cell>
          <cell r="AY257">
            <v>0</v>
          </cell>
        </row>
        <row r="258">
          <cell r="AW258">
            <v>0</v>
          </cell>
          <cell r="AX258">
            <v>0</v>
          </cell>
          <cell r="AY258">
            <v>0</v>
          </cell>
        </row>
        <row r="259">
          <cell r="AW259">
            <v>0</v>
          </cell>
          <cell r="AX259">
            <v>0</v>
          </cell>
          <cell r="AY259">
            <v>0</v>
          </cell>
        </row>
        <row r="260">
          <cell r="AW260">
            <v>0</v>
          </cell>
          <cell r="AX260">
            <v>0</v>
          </cell>
          <cell r="AY260">
            <v>0</v>
          </cell>
        </row>
        <row r="261">
          <cell r="AW261">
            <v>0</v>
          </cell>
          <cell r="AX261">
            <v>0</v>
          </cell>
          <cell r="AY261">
            <v>0</v>
          </cell>
        </row>
        <row r="262">
          <cell r="AW262">
            <v>0</v>
          </cell>
          <cell r="AX262">
            <v>0</v>
          </cell>
          <cell r="AY262">
            <v>0</v>
          </cell>
        </row>
        <row r="263">
          <cell r="AW263">
            <v>0</v>
          </cell>
          <cell r="AX263">
            <v>0</v>
          </cell>
          <cell r="AY263">
            <v>0</v>
          </cell>
        </row>
        <row r="264">
          <cell r="AW264">
            <v>0</v>
          </cell>
          <cell r="AX264">
            <v>0</v>
          </cell>
          <cell r="AY264">
            <v>0</v>
          </cell>
        </row>
        <row r="265">
          <cell r="AW265">
            <v>0</v>
          </cell>
          <cell r="AX265">
            <v>0</v>
          </cell>
          <cell r="AY265">
            <v>0</v>
          </cell>
        </row>
        <row r="266">
          <cell r="AW266">
            <v>0</v>
          </cell>
          <cell r="AX266">
            <v>0</v>
          </cell>
          <cell r="AY266">
            <v>0</v>
          </cell>
        </row>
        <row r="267">
          <cell r="AW267">
            <v>0</v>
          </cell>
          <cell r="AX267">
            <v>0</v>
          </cell>
          <cell r="AY267">
            <v>0</v>
          </cell>
        </row>
        <row r="268">
          <cell r="AW268">
            <v>0</v>
          </cell>
          <cell r="AX268">
            <v>0</v>
          </cell>
          <cell r="AY268">
            <v>0</v>
          </cell>
        </row>
        <row r="269">
          <cell r="AW269">
            <v>0</v>
          </cell>
          <cell r="AX269">
            <v>0</v>
          </cell>
          <cell r="AY269">
            <v>0</v>
          </cell>
        </row>
        <row r="270">
          <cell r="AW270">
            <v>0</v>
          </cell>
          <cell r="AX270">
            <v>0</v>
          </cell>
          <cell r="AY270">
            <v>0</v>
          </cell>
        </row>
        <row r="271">
          <cell r="AW271">
            <v>0</v>
          </cell>
          <cell r="AX271">
            <v>0</v>
          </cell>
          <cell r="AY271">
            <v>0</v>
          </cell>
        </row>
        <row r="272">
          <cell r="AW272">
            <v>0</v>
          </cell>
          <cell r="AX272">
            <v>0</v>
          </cell>
          <cell r="AY272">
            <v>0</v>
          </cell>
        </row>
        <row r="273">
          <cell r="AW273">
            <v>0</v>
          </cell>
          <cell r="AX273">
            <v>0</v>
          </cell>
          <cell r="AY273">
            <v>0</v>
          </cell>
        </row>
        <row r="274">
          <cell r="AW274">
            <v>0</v>
          </cell>
          <cell r="AX274">
            <v>0</v>
          </cell>
          <cell r="AY274">
            <v>0</v>
          </cell>
        </row>
        <row r="275">
          <cell r="AW275">
            <v>0</v>
          </cell>
          <cell r="AX275">
            <v>0</v>
          </cell>
          <cell r="AY275">
            <v>0</v>
          </cell>
        </row>
        <row r="276">
          <cell r="AW276">
            <v>0</v>
          </cell>
          <cell r="AX276">
            <v>0</v>
          </cell>
          <cell r="AY276">
            <v>0</v>
          </cell>
        </row>
        <row r="277">
          <cell r="AW277">
            <v>0</v>
          </cell>
          <cell r="AX277">
            <v>0</v>
          </cell>
          <cell r="AY277">
            <v>0</v>
          </cell>
        </row>
        <row r="278">
          <cell r="AW278">
            <v>0</v>
          </cell>
          <cell r="AX278">
            <v>0</v>
          </cell>
          <cell r="AY278">
            <v>0</v>
          </cell>
        </row>
        <row r="279">
          <cell r="AW279">
            <v>0</v>
          </cell>
          <cell r="AX279">
            <v>0</v>
          </cell>
          <cell r="AY279">
            <v>0</v>
          </cell>
        </row>
        <row r="280">
          <cell r="AW280">
            <v>0</v>
          </cell>
          <cell r="AX280">
            <v>0</v>
          </cell>
          <cell r="AY280">
            <v>0</v>
          </cell>
        </row>
        <row r="281">
          <cell r="AW281">
            <v>0</v>
          </cell>
          <cell r="AX281">
            <v>0</v>
          </cell>
          <cell r="AY281">
            <v>0</v>
          </cell>
        </row>
        <row r="282">
          <cell r="AW282">
            <v>0</v>
          </cell>
          <cell r="AX282">
            <v>0</v>
          </cell>
          <cell r="AY282">
            <v>0</v>
          </cell>
        </row>
        <row r="283">
          <cell r="AW283">
            <v>0</v>
          </cell>
          <cell r="AX283">
            <v>0</v>
          </cell>
          <cell r="AY283">
            <v>0</v>
          </cell>
        </row>
        <row r="284">
          <cell r="AW284">
            <v>0</v>
          </cell>
          <cell r="AX284">
            <v>0</v>
          </cell>
          <cell r="AY284">
            <v>0</v>
          </cell>
        </row>
        <row r="285">
          <cell r="AW285">
            <v>0</v>
          </cell>
          <cell r="AX285">
            <v>0</v>
          </cell>
          <cell r="AY285">
            <v>0</v>
          </cell>
        </row>
        <row r="286">
          <cell r="AW286">
            <v>0</v>
          </cell>
          <cell r="AX286">
            <v>0</v>
          </cell>
          <cell r="AY286">
            <v>0</v>
          </cell>
        </row>
        <row r="287">
          <cell r="AW287">
            <v>0</v>
          </cell>
          <cell r="AX287">
            <v>0</v>
          </cell>
          <cell r="AY287">
            <v>0</v>
          </cell>
        </row>
        <row r="288">
          <cell r="AW288">
            <v>0</v>
          </cell>
          <cell r="AX288">
            <v>0</v>
          </cell>
          <cell r="AY288">
            <v>0</v>
          </cell>
        </row>
        <row r="289">
          <cell r="AW289">
            <v>0</v>
          </cell>
          <cell r="AX289">
            <v>0</v>
          </cell>
          <cell r="AY289">
            <v>0</v>
          </cell>
        </row>
        <row r="290">
          <cell r="AW290">
            <v>0</v>
          </cell>
          <cell r="AX290">
            <v>0</v>
          </cell>
          <cell r="AY290">
            <v>0</v>
          </cell>
        </row>
        <row r="291">
          <cell r="AW291">
            <v>0</v>
          </cell>
          <cell r="AX291">
            <v>0</v>
          </cell>
          <cell r="AY291">
            <v>0</v>
          </cell>
        </row>
        <row r="292">
          <cell r="AW292">
            <v>0</v>
          </cell>
          <cell r="AX292">
            <v>0</v>
          </cell>
          <cell r="AY292">
            <v>0</v>
          </cell>
        </row>
        <row r="293">
          <cell r="AW293">
            <v>0</v>
          </cell>
          <cell r="AX293">
            <v>0</v>
          </cell>
          <cell r="AY293">
            <v>0</v>
          </cell>
        </row>
        <row r="294">
          <cell r="AW294">
            <v>0</v>
          </cell>
          <cell r="AX294">
            <v>0</v>
          </cell>
          <cell r="AY294">
            <v>0</v>
          </cell>
        </row>
        <row r="295">
          <cell r="AW295">
            <v>0</v>
          </cell>
          <cell r="AX295">
            <v>0</v>
          </cell>
          <cell r="AY295">
            <v>0</v>
          </cell>
        </row>
        <row r="296">
          <cell r="AW296">
            <v>0</v>
          </cell>
          <cell r="AX296">
            <v>0</v>
          </cell>
          <cell r="AY296">
            <v>0</v>
          </cell>
        </row>
        <row r="297">
          <cell r="AW297">
            <v>0</v>
          </cell>
          <cell r="AX297">
            <v>0</v>
          </cell>
          <cell r="AY297">
            <v>0</v>
          </cell>
        </row>
        <row r="298">
          <cell r="AW298">
            <v>0</v>
          </cell>
          <cell r="AX298">
            <v>0</v>
          </cell>
          <cell r="AY298">
            <v>0</v>
          </cell>
        </row>
        <row r="299">
          <cell r="AW299">
            <v>0</v>
          </cell>
          <cell r="AX299">
            <v>0</v>
          </cell>
          <cell r="AY299">
            <v>0</v>
          </cell>
        </row>
        <row r="300">
          <cell r="AW300">
            <v>0</v>
          </cell>
          <cell r="AX300">
            <v>0</v>
          </cell>
          <cell r="AY300">
            <v>0</v>
          </cell>
        </row>
      </sheetData>
      <sheetData sheetId="3" refreshError="1"/>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TRICION"/>
      <sheetName val="LISTAS"/>
    </sheet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C"/>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SCONTRI"/>
      <sheetName val="Formato DOTACIONES"/>
    </sheetNames>
    <sheetDataSet>
      <sheetData sheetId="0"/>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b (2)"/>
      <sheetName val="Sensib _2_"/>
      <sheetName val="EPSCONTRI"/>
    </sheetNames>
    <sheetDataSet>
      <sheetData sheetId="0"/>
      <sheetData sheetId="1"/>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me Alberto Berrio Alzate" refreshedDate="44624.442495717594" createdVersion="7" refreshedVersion="7" minRefreshableVersion="3" recordCount="70" xr:uid="{0405570B-D812-424F-8157-A553696DA015}">
  <cacheSource type="worksheet">
    <worksheetSource ref="B3:H73" sheet="Maestro de indicadores"/>
  </cacheSource>
  <cacheFields count="6">
    <cacheField name="Elemento de visión" numFmtId="0">
      <sharedItems count="12">
        <s v="Sostenibilidad Financiera"/>
        <s v="Crecimiento"/>
        <s v="Experiencia Cliente"/>
        <s v="Bienestar"/>
        <s v="Innovación"/>
        <s v="Inclusión"/>
        <s v="Impacto en la transformación social"/>
        <s v="Desarrollo humano, sentido y propósito para trabajar"/>
        <s v="Reconocimiento y posicionamiento de marca"/>
        <s v="Participación y desarrollo de ecosistemas"/>
        <s v="Proyectos estrategicos "/>
        <s v="Planes estrategicos (Gestión de lo Humano, Innovación)"/>
      </sharedItems>
    </cacheField>
    <cacheField name="Grupo de indicadores" numFmtId="0">
      <sharedItems/>
    </cacheField>
    <cacheField name="Indicador" numFmtId="0">
      <sharedItems count="63">
        <s v="Margen Ebitda*"/>
        <s v="Mezcla de aportes e ingresos por negocios*"/>
        <s v="Conservación empresas Pareto (97)"/>
        <s v="Nivel de endeudamiento"/>
        <s v="Nivel de Liquidez"/>
        <s v="Cumplimiento Presupuesto Egreso Total Caja "/>
        <s v="% egreso subsidiado Consolidado servicios de la Caja "/>
        <s v="% de margen de utilidad consolidado de servicios de la Caja "/>
        <s v="Cumplimiento de Nuevas empresas afiliadas"/>
        <s v="Crecimiento de Nuevas empresas afiliadas"/>
        <s v="Cumplimiento aportes totales (Millones)"/>
        <s v="Crecimiento aportes totales "/>
        <s v="Cumplimiento afiliados totales "/>
        <s v="Crecimiento afiliados totales "/>
        <s v="Crecimiento neto empresas *"/>
        <s v="Cumplimiento de ingresos por negocio"/>
        <s v="Crecimiento de ingresos por negocio*"/>
        <s v="Crecimiento en la Participación de mercado empresas, aportes y afiliados"/>
        <s v="Participación de mercado empresas"/>
        <s v="Participación de mercado aportes"/>
        <s v="Participación de mercado afiliados"/>
        <s v="Satisfacción de afiliados"/>
        <s v="Satisfacción de empresas"/>
        <s v="Cumplimiento Coberturas Totales"/>
        <s v="Crecimiento Coberturas Totales"/>
        <s v="Medición de la percepción  del bienestar generado por la Caja  a los afiliados*"/>
        <s v="Avance en Renovación y modernización tecnológica (% avance PETI)"/>
        <s v="% de digitalización de servicios "/>
        <s v="% de usuarios digitalizados"/>
        <s v="Indice de frescura"/>
        <s v="Efectividad de proyectos de innovación social"/>
        <s v="Avance en ADN innovador"/>
        <s v="Penetración de uso en población A y B"/>
        <s v="Crecimiento en vidas impactadas"/>
        <s v="Contribución a los ODS"/>
        <s v="Indice de cumplimiento de impacto ambiental"/>
        <s v="Nivel de riesgo Psicosocial"/>
        <s v="Engagement"/>
        <s v="Medición de la experiencia del colaborador"/>
        <s v="Aporte al bienstar del colaborador"/>
        <s v="Mejoramiento en el desarrollo de valores organizacionales "/>
        <s v="Mejoramiento en el nivel de desempeño de los equipos"/>
        <s v="Top of heart"/>
        <s v="Efectividad de las alianzas convenios y trabajos con ecosistemas"/>
        <s v="Cumplimiento de ingresos"/>
        <s v="Crecimiento ingresos por negocio*"/>
        <s v="Cumplimiento presupuesto Egreso"/>
        <s v="% de egreso subsidiado por negocio "/>
        <s v="% de margen de utilidad por negocio "/>
        <s v="Crecimiento Coberturas Negocio"/>
        <s v="Satisfacción de afiliados (empleo)"/>
        <s v="Medición de la percepción  del bienestar generado por la Caja  a los afiliados* (empleo)"/>
        <s v="Crecimiento Coberturas Negocio (empleo)"/>
        <s v="Crecimiento de ingresos (negocios)"/>
        <s v="Cumplimiento de aportes totales región"/>
        <s v="Crecimiento de aportes totales región"/>
        <s v="Cumplimiento de nuevos aportes"/>
        <s v="Cumplimiento afiliados totales región"/>
        <s v="Crecimiento afiliados totales región"/>
        <s v="Cumplimiento de nuevos afiliados región"/>
        <s v="Crecimiento Coberturas Región"/>
        <s v="Penetración de Uso en Población A y B Región "/>
        <s v="Avance ponderado de cronograma"/>
      </sharedItems>
    </cacheField>
    <cacheField name="Cliclo de medición" numFmtId="0">
      <sharedItems containsBlank="1" count="7">
        <s v="Mensual"/>
        <s v="Semestral"/>
        <s v="Anual"/>
        <m/>
        <s v="Cada dos años"/>
        <s v="Esta en formulación"/>
        <s v="Cada 3 años"/>
      </sharedItems>
    </cacheField>
    <cacheField name="Área responsable" numFmtId="0">
      <sharedItems count="15">
        <s v="Financiera"/>
        <s v="Subsidios y Aportes"/>
        <s v="Mercadeo"/>
        <s v="Unidad de información"/>
        <s v="Tecnología"/>
        <s v="Procesos y TD"/>
        <s v="Innovación y nuevos negocios"/>
        <s v="Se ha consolidado por parte de Kelly  en estrategia"/>
        <s v="Esta en formulación"/>
        <s v="Infraestructura"/>
        <s v="Gestión de las personas"/>
        <s v="Coperación y Alianzas"/>
        <s v="Empleo"/>
        <s v="PMO"/>
        <s v="Innovación y nuevos negocios/Gestión de lo humano"/>
      </sharedItems>
    </cacheField>
    <cacheField name="Responsable actual" numFmtId="0">
      <sharedItems count="17">
        <s v="Ana Cadavid"/>
        <s v="Daniel Correa"/>
        <s v="Marcela Villa"/>
        <s v="Alexander Marín"/>
        <s v="Teresa Yadine Moreno"/>
        <s v="Santiago Restrepo/Luisa Gallego"/>
        <s v="Alejandro Guerra"/>
        <s v="Juan Jose Sanchez"/>
        <s v="Responsable por definir"/>
        <s v="Jhon Darío Cardona (Jefe de gobierno)"/>
        <s v="Diana Bustos"/>
        <s v="Diego Chavarría"/>
        <s v="Isabel Cristina Lopez"/>
        <s v="Claudia Marcela Durango"/>
        <s v="Jorge Mario Zuluaga"/>
        <s v="Juan Jose Sanchez/Diego Echavarría"/>
        <s v="Teresa Yadine"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me Alberto Berrio Alzate" refreshedDate="44628.593171643515" createdVersion="7" refreshedVersion="7" minRefreshableVersion="3" recordCount="44" xr:uid="{3A7F9406-E4A7-4375-B904-2753E86776E6}">
  <cacheSource type="worksheet">
    <worksheetSource ref="B3:U47" sheet="Elem_Vis_Anual_Anali"/>
  </cacheSource>
  <cacheFields count="16">
    <cacheField name="Elemento de visión" numFmtId="0">
      <sharedItems count="10">
        <s v="Sostenibilidad Financiera"/>
        <s v="Crecimiento"/>
        <s v="Experiencia Cliente"/>
        <s v="Bienestar"/>
        <s v="Innovación"/>
        <s v="Inclusión"/>
        <s v="Impacto en la transformación social"/>
        <s v="Desarrollo humano, sentido y propósito para trabajar"/>
        <s v="Reconocimiento y posicionamiento de marca"/>
        <s v="Participación y desarrollo de ecosistemas"/>
      </sharedItems>
    </cacheField>
    <cacheField name="Indicador" numFmtId="0">
      <sharedItems count="44">
        <s v="Margen Ebitda*"/>
        <s v="Mezcla de aportes e ingresos por negocios*"/>
        <s v="Conservación empresas Pareto (97)"/>
        <s v="Nivel de endeudamiento"/>
        <s v="Nivel de Liquidez"/>
        <s v="Cumplimiento Presupuesto Egreso Total Caja "/>
        <s v="% egreso subsidiado Consolidado servicios de la Caja "/>
        <s v="% de margen de utilidad consolidado de servicios de la Caja "/>
        <s v="Cumplimiento de Nuevas empresas afiliadas"/>
        <s v="Crecimiento de Nuevas empresas afiliadas"/>
        <s v="Cumplimiento aportes totales (Millones)"/>
        <s v="Crecimiento aportes totales "/>
        <s v="Cumplimiento afiliados totales "/>
        <s v="Crecimiento afiliados totales "/>
        <s v="Crecimiento neto empresas *"/>
        <s v="Cumplimiento de ingresos por negocio"/>
        <s v="Crecimiento de ingresos por negocio*"/>
        <s v="Crecimiento en la Participación de mercado empresas, aportes y afiliados"/>
        <s v="Participación de mercado empresas"/>
        <s v="Participación de mercado aportes"/>
        <s v="Participación de mercado afiliados"/>
        <s v="Satisfacción de afiliados"/>
        <s v="Satisfacción de empresas"/>
        <s v="Cumplimiento Coberturas Totales"/>
        <s v="Crecimiento Coberturas Totales"/>
        <s v="Medición de la percepción  del bienestar generado por la Caja  a los afiliados*"/>
        <s v="Avance en Renovación y modernización tecnológica (% avance PETI)"/>
        <s v="% de digitalización de servicios "/>
        <s v="% de usuarios digitalizados"/>
        <s v="Indice de frescura"/>
        <s v="Efectividad de proyectos de innovación social"/>
        <s v="Avance en ADN innovador"/>
        <s v="Penetración de uso en población A y B"/>
        <s v="Crecimiento en vidas impactadas"/>
        <s v="Contribución a los ODS"/>
        <s v="Indice de cumplimiento de impacto ambiental"/>
        <s v="Nivel de riesgo Psicosocial"/>
        <s v="Engagement"/>
        <s v="Medición de la experiencia del colaborador"/>
        <s v="Aporte al bienstar del colaborador"/>
        <s v="Mejoramiento en el desarrollo de valores organizacionales "/>
        <s v="Mejoramiento en el nivel de desempeño de los equipos"/>
        <s v="Top of heart"/>
        <s v="Efectividad de las alianzas convenios y trabajos con ecosistemas"/>
      </sharedItems>
    </cacheField>
    <cacheField name="Indicador Mega" numFmtId="0">
      <sharedItems/>
    </cacheField>
    <cacheField name="Real 2019" numFmtId="0">
      <sharedItems containsMixedTypes="1" containsNumber="1" minValue="-1.21E-2" maxValue="6207154" count="23">
        <n v="7.0000000000000007E-2"/>
        <n v="0.80300000000000005"/>
        <s v="N/A"/>
        <n v="0.48"/>
        <n v="1.06"/>
        <n v="423412"/>
        <n v="0.51100000000000001"/>
        <n v="0.14199999999999999"/>
        <n v="3684"/>
        <n v="-1.21E-2"/>
        <n v="345184"/>
        <n v="6.1699999999999998E-2"/>
        <n v="407639"/>
        <n v="2.5999999999999999E-2"/>
        <n v="84750"/>
        <n v="0.223"/>
        <n v="0.15740000000000001"/>
        <n v="0.26400000000000001"/>
        <n v="0.2475"/>
        <n v="4.5999999999999996"/>
        <n v="6207154"/>
        <n v="0.189"/>
        <n v="6.3200000000000006E-2"/>
      </sharedItems>
    </cacheField>
    <cacheField name="Resultado 2019" numFmtId="0">
      <sharedItems containsBlank="1" containsMixedTypes="1" containsNumber="1" minValue="0.80287672061293125" maxValue="392494"/>
    </cacheField>
    <cacheField name="Real 2020" numFmtId="0">
      <sharedItems containsMixedTypes="1" containsNumber="1" minValue="-0.46100000000000002" maxValue="3343521" count="29">
        <n v="7.2099999999999997E-2"/>
        <n v="0.86199999999999999"/>
        <n v="98"/>
        <n v="0.47299999999999998"/>
        <n v="1.19"/>
        <n v="402601"/>
        <n v="0.70399999999999996"/>
        <n v="4.5999999999999999E-2"/>
        <n v="3667"/>
        <n v="-4.5999999999999999E-3"/>
        <n v="348843"/>
        <n v="1.0999999999999999E-2"/>
        <n v="390100"/>
        <n v="-4.2999999999999997E-2"/>
        <n v="-0.01"/>
        <n v="56395"/>
        <n v="-0.33500000000000002"/>
        <n v="0.2195"/>
        <n v="0.15809999999999999"/>
        <n v="0.26100000000000001"/>
        <n v="0.2417"/>
        <n v="4.58"/>
        <s v="N/A"/>
        <n v="3343521"/>
        <n v="-0.46100000000000002"/>
        <n v="0.4486"/>
        <n v="4.1999999999999997E-3"/>
        <n v="3.9699999999999999E-2"/>
        <n v="0.75209999999999999"/>
      </sharedItems>
    </cacheField>
    <cacheField name="Resultado 2020" numFmtId="0">
      <sharedItems containsBlank="1" containsMixedTypes="1" containsNumber="1" minValue="0.8608348674112497" maxValue="132687"/>
    </cacheField>
    <cacheField name="Var 20-19" numFmtId="0">
      <sharedItems containsNonDate="0" containsString="0" containsBlank="1"/>
    </cacheField>
    <cacheField name="Meta 2021" numFmtId="0">
      <sharedItems containsMixedTypes="1" containsNumber="1" minValue="1.1599999999999999E-2" maxValue="5178063"/>
    </cacheField>
    <cacheField name="Real 2021" numFmtId="0">
      <sharedItems containsMixedTypes="1" containsNumber="1" minValue="7.7000000000000002E-3" maxValue="4163464" count="37">
        <n v="6.7000000000000004E-2"/>
        <n v="0.81599999999999995"/>
        <n v="95"/>
        <n v="0.46400000000000002"/>
        <n v="1.1200000000000001"/>
        <n v="469231"/>
        <n v="0.61599999999999999"/>
        <n v="0.122"/>
        <n v="3980"/>
        <n v="8.8400000000000006E-2"/>
        <n v="390426"/>
        <n v="0.11899999999999999"/>
        <n v="423385"/>
        <n v="8.5300000000000001E-2"/>
        <n v="1.5299999999999999E-2"/>
        <n v="88261"/>
        <n v="0.56499999999999995"/>
        <n v="0.219"/>
        <n v="0.151"/>
        <n v="0.25900000000000001"/>
        <n v="0.245"/>
        <n v="4.62"/>
        <n v="4.17"/>
        <n v="4163464"/>
        <n v="0.53739999999999999"/>
        <n v="0.90800000000000003"/>
        <n v="0.81"/>
        <n v="0.20100000000000001"/>
        <n v="7.7000000000000002E-3"/>
        <s v="N/A"/>
        <n v="6.0999999999999999E-2"/>
        <n v="0.159"/>
        <n v="0.80500000000000005"/>
        <n v="0.32300000000000001"/>
        <n v="4.7"/>
        <n v="4.67"/>
        <n v="0.91500000000000004"/>
      </sharedItems>
    </cacheField>
    <cacheField name="Resultado 2021" numFmtId="0">
      <sharedItems containsMixedTypes="1" containsNumber="1" minValue="0.81561855659334803" maxValue="518665"/>
    </cacheField>
    <cacheField name="Var 21-20" numFmtId="0">
      <sharedItems containsNonDate="0" containsString="0" containsBlank="1"/>
    </cacheField>
    <cacheField name="Var 21-19" numFmtId="0">
      <sharedItems containsNonDate="0" containsString="0" containsBlank="1"/>
    </cacheField>
    <cacheField name="Cumplimiento 2021" numFmtId="0">
      <sharedItems containsMixedTypes="1" containsNumber="1" minValue="0.44626593806921672" maxValue="6.0965517241379308" count="37">
        <n v="1.1355932203389831"/>
        <n v="1.0122549019607843"/>
        <n v="0.97938144329896903"/>
        <n v="1.0775862068965516"/>
        <n v="0.93333333333333346"/>
        <n v="0.95211740059799965"/>
        <n v="1.0016233766233766"/>
        <n v="1.5844155844155845"/>
        <n v="1.0698924731182795"/>
        <n v="6.0965517241379308"/>
        <n v="1.0008844316949557"/>
        <n v="1.0084745762711864"/>
        <n v="1.0132851802390423"/>
        <n v="1.19971870604782"/>
        <n v="1.3189655172413794"/>
        <n v="1.1260509562266365"/>
        <n v="1.4490895101308026"/>
        <n v="1"/>
        <n v="0.95569620253164556"/>
        <n v="1.000772797527048"/>
        <n v="1.0123966942148761"/>
        <n v="0.99354838709677418"/>
        <n v="0.89677419354838706"/>
        <n v="0.80405819705167747"/>
        <n v="0.44626593806921672"/>
        <n v="1.0748"/>
        <n v="0.95578947368421063"/>
        <n v="1.0125"/>
        <n v="2.0099999999999998"/>
        <n v="0.64166666666666672"/>
        <s v="N/A"/>
        <n v="0.9561128526645768"/>
        <n v="1.06"/>
        <n v="1.0062500000000001"/>
        <n v="0.92879256965944268"/>
        <n v="1.0152173913043478"/>
        <n v="1.0166666666666666"/>
      </sharedItems>
    </cacheField>
    <cacheField name="Resultado indicador" numFmtId="0">
      <sharedItems/>
    </cacheField>
    <cacheField name="Meta  202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s v="Arbol de Visión"/>
    <x v="0"/>
    <x v="0"/>
    <x v="0"/>
    <x v="0"/>
  </r>
  <r>
    <x v="0"/>
    <s v="Arbol de Visión"/>
    <x v="1"/>
    <x v="0"/>
    <x v="0"/>
    <x v="0"/>
  </r>
  <r>
    <x v="0"/>
    <s v="Arbol de Visión"/>
    <x v="2"/>
    <x v="0"/>
    <x v="1"/>
    <x v="1"/>
  </r>
  <r>
    <x v="0"/>
    <s v="Arbol de Visión"/>
    <x v="3"/>
    <x v="0"/>
    <x v="0"/>
    <x v="0"/>
  </r>
  <r>
    <x v="0"/>
    <s v="Arbol de Visión"/>
    <x v="4"/>
    <x v="0"/>
    <x v="0"/>
    <x v="0"/>
  </r>
  <r>
    <x v="0"/>
    <s v="Arbol de Visión"/>
    <x v="5"/>
    <x v="0"/>
    <x v="0"/>
    <x v="0"/>
  </r>
  <r>
    <x v="0"/>
    <s v="Arbol de Visión"/>
    <x v="6"/>
    <x v="0"/>
    <x v="0"/>
    <x v="0"/>
  </r>
  <r>
    <x v="0"/>
    <s v="Arbol de Visión"/>
    <x v="7"/>
    <x v="0"/>
    <x v="0"/>
    <x v="0"/>
  </r>
  <r>
    <x v="1"/>
    <s v="Arbol de Visión"/>
    <x v="8"/>
    <x v="0"/>
    <x v="1"/>
    <x v="1"/>
  </r>
  <r>
    <x v="1"/>
    <s v="Arbol de Visión"/>
    <x v="9"/>
    <x v="0"/>
    <x v="1"/>
    <x v="1"/>
  </r>
  <r>
    <x v="1"/>
    <s v="Arbol de Visión"/>
    <x v="10"/>
    <x v="0"/>
    <x v="1"/>
    <x v="1"/>
  </r>
  <r>
    <x v="1"/>
    <s v="Arbol de Visión"/>
    <x v="11"/>
    <x v="0"/>
    <x v="1"/>
    <x v="1"/>
  </r>
  <r>
    <x v="1"/>
    <s v="Arbol de Visión"/>
    <x v="12"/>
    <x v="0"/>
    <x v="1"/>
    <x v="1"/>
  </r>
  <r>
    <x v="1"/>
    <s v="Arbol de Visión"/>
    <x v="13"/>
    <x v="0"/>
    <x v="1"/>
    <x v="1"/>
  </r>
  <r>
    <x v="1"/>
    <s v="Arbol de Visión"/>
    <x v="14"/>
    <x v="0"/>
    <x v="1"/>
    <x v="1"/>
  </r>
  <r>
    <x v="1"/>
    <s v="Arbol de Visión"/>
    <x v="15"/>
    <x v="0"/>
    <x v="0"/>
    <x v="0"/>
  </r>
  <r>
    <x v="1"/>
    <s v="Arbol de Visión"/>
    <x v="16"/>
    <x v="0"/>
    <x v="0"/>
    <x v="0"/>
  </r>
  <r>
    <x v="1"/>
    <s v="Arbol de Visión"/>
    <x v="17"/>
    <x v="1"/>
    <x v="0"/>
    <x v="2"/>
  </r>
  <r>
    <x v="1"/>
    <s v="Arbol de Visión"/>
    <x v="18"/>
    <x v="1"/>
    <x v="0"/>
    <x v="2"/>
  </r>
  <r>
    <x v="1"/>
    <s v="Arbol de Visión"/>
    <x v="19"/>
    <x v="1"/>
    <x v="0"/>
    <x v="2"/>
  </r>
  <r>
    <x v="1"/>
    <s v="Arbol de Visión"/>
    <x v="20"/>
    <x v="1"/>
    <x v="0"/>
    <x v="2"/>
  </r>
  <r>
    <x v="2"/>
    <s v="Arbol de Visión"/>
    <x v="21"/>
    <x v="0"/>
    <x v="2"/>
    <x v="3"/>
  </r>
  <r>
    <x v="2"/>
    <s v="Arbol de Visión"/>
    <x v="22"/>
    <x v="2"/>
    <x v="2"/>
    <x v="3"/>
  </r>
  <r>
    <x v="3"/>
    <s v="Arbol de Visión"/>
    <x v="23"/>
    <x v="0"/>
    <x v="3"/>
    <x v="4"/>
  </r>
  <r>
    <x v="3"/>
    <s v="Arbol de Visión"/>
    <x v="24"/>
    <x v="0"/>
    <x v="3"/>
    <x v="4"/>
  </r>
  <r>
    <x v="3"/>
    <s v="Arbol de Visión"/>
    <x v="25"/>
    <x v="0"/>
    <x v="2"/>
    <x v="3"/>
  </r>
  <r>
    <x v="4"/>
    <s v="Arbol de Visión"/>
    <x v="26"/>
    <x v="0"/>
    <x v="4"/>
    <x v="5"/>
  </r>
  <r>
    <x v="4"/>
    <s v="Arbol de Visión"/>
    <x v="27"/>
    <x v="0"/>
    <x v="5"/>
    <x v="6"/>
  </r>
  <r>
    <x v="4"/>
    <s v="Arbol de Visión"/>
    <x v="28"/>
    <x v="0"/>
    <x v="5"/>
    <x v="6"/>
  </r>
  <r>
    <x v="4"/>
    <s v="Arbol de Visión"/>
    <x v="29"/>
    <x v="0"/>
    <x v="6"/>
    <x v="7"/>
  </r>
  <r>
    <x v="4"/>
    <s v="Arbol de Visión"/>
    <x v="30"/>
    <x v="0"/>
    <x v="6"/>
    <x v="7"/>
  </r>
  <r>
    <x v="4"/>
    <s v="Arbol de Visión"/>
    <x v="31"/>
    <x v="0"/>
    <x v="6"/>
    <x v="7"/>
  </r>
  <r>
    <x v="5"/>
    <s v="Arbol de Visión"/>
    <x v="32"/>
    <x v="0"/>
    <x v="3"/>
    <x v="4"/>
  </r>
  <r>
    <x v="6"/>
    <s v="Arbol de Visión"/>
    <x v="33"/>
    <x v="2"/>
    <x v="7"/>
    <x v="8"/>
  </r>
  <r>
    <x v="6"/>
    <s v="Arbol de Visión"/>
    <x v="34"/>
    <x v="3"/>
    <x v="8"/>
    <x v="9"/>
  </r>
  <r>
    <x v="6"/>
    <s v="Arbol de Visión"/>
    <x v="35"/>
    <x v="2"/>
    <x v="9"/>
    <x v="10"/>
  </r>
  <r>
    <x v="7"/>
    <s v="Arbol de Visión"/>
    <x v="36"/>
    <x v="4"/>
    <x v="10"/>
    <x v="11"/>
  </r>
  <r>
    <x v="7"/>
    <s v="Arbol de Visión"/>
    <x v="37"/>
    <x v="4"/>
    <x v="10"/>
    <x v="11"/>
  </r>
  <r>
    <x v="7"/>
    <s v="Arbol de Visión"/>
    <x v="38"/>
    <x v="5"/>
    <x v="8"/>
    <x v="11"/>
  </r>
  <r>
    <x v="7"/>
    <s v="Arbol de Visión"/>
    <x v="39"/>
    <x v="5"/>
    <x v="8"/>
    <x v="11"/>
  </r>
  <r>
    <x v="7"/>
    <s v="Arbol de Visión"/>
    <x v="40"/>
    <x v="2"/>
    <x v="10"/>
    <x v="11"/>
  </r>
  <r>
    <x v="7"/>
    <s v="Arbol de Visión"/>
    <x v="41"/>
    <x v="5"/>
    <x v="8"/>
    <x v="11"/>
  </r>
  <r>
    <x v="8"/>
    <s v="Arbol de Visión"/>
    <x v="42"/>
    <x v="6"/>
    <x v="2"/>
    <x v="3"/>
  </r>
  <r>
    <x v="9"/>
    <s v="Arbol de Visión"/>
    <x v="43"/>
    <x v="2"/>
    <x v="11"/>
    <x v="12"/>
  </r>
  <r>
    <x v="0"/>
    <s v="Negocios"/>
    <x v="44"/>
    <x v="0"/>
    <x v="0"/>
    <x v="0"/>
  </r>
  <r>
    <x v="0"/>
    <s v="Negocios"/>
    <x v="45"/>
    <x v="0"/>
    <x v="0"/>
    <x v="0"/>
  </r>
  <r>
    <x v="0"/>
    <s v="Negocios"/>
    <x v="46"/>
    <x v="0"/>
    <x v="0"/>
    <x v="0"/>
  </r>
  <r>
    <x v="0"/>
    <s v="Negocios"/>
    <x v="47"/>
    <x v="0"/>
    <x v="0"/>
    <x v="0"/>
  </r>
  <r>
    <x v="0"/>
    <s v="Negocios"/>
    <x v="48"/>
    <x v="0"/>
    <x v="0"/>
    <x v="0"/>
  </r>
  <r>
    <x v="2"/>
    <s v="Negocios"/>
    <x v="21"/>
    <x v="0"/>
    <x v="2"/>
    <x v="3"/>
  </r>
  <r>
    <x v="3"/>
    <s v="Negocios"/>
    <x v="25"/>
    <x v="0"/>
    <x v="2"/>
    <x v="3"/>
  </r>
  <r>
    <x v="3"/>
    <s v="Negocios"/>
    <x v="49"/>
    <x v="0"/>
    <x v="3"/>
    <x v="4"/>
  </r>
  <r>
    <x v="5"/>
    <s v="Negocios"/>
    <x v="32"/>
    <x v="0"/>
    <x v="3"/>
    <x v="4"/>
  </r>
  <r>
    <x v="2"/>
    <s v="Negocios"/>
    <x v="50"/>
    <x v="0"/>
    <x v="12"/>
    <x v="13"/>
  </r>
  <r>
    <x v="3"/>
    <s v="Negocios"/>
    <x v="51"/>
    <x v="0"/>
    <x v="12"/>
    <x v="13"/>
  </r>
  <r>
    <x v="3"/>
    <s v="Negocios"/>
    <x v="52"/>
    <x v="0"/>
    <x v="12"/>
    <x v="13"/>
  </r>
  <r>
    <x v="0"/>
    <s v="Regiones"/>
    <x v="53"/>
    <x v="0"/>
    <x v="0"/>
    <x v="0"/>
  </r>
  <r>
    <x v="0"/>
    <s v="Regiones"/>
    <x v="2"/>
    <x v="0"/>
    <x v="1"/>
    <x v="1"/>
  </r>
  <r>
    <x v="1"/>
    <s v="Regiones"/>
    <x v="8"/>
    <x v="0"/>
    <x v="1"/>
    <x v="1"/>
  </r>
  <r>
    <x v="1"/>
    <s v="Regiones"/>
    <x v="9"/>
    <x v="0"/>
    <x v="1"/>
    <x v="1"/>
  </r>
  <r>
    <x v="1"/>
    <s v="Regiones"/>
    <x v="54"/>
    <x v="0"/>
    <x v="1"/>
    <x v="1"/>
  </r>
  <r>
    <x v="1"/>
    <s v="Regiones"/>
    <x v="55"/>
    <x v="0"/>
    <x v="1"/>
    <x v="1"/>
  </r>
  <r>
    <x v="1"/>
    <s v="Regiones"/>
    <x v="56"/>
    <x v="0"/>
    <x v="1"/>
    <x v="1"/>
  </r>
  <r>
    <x v="1"/>
    <s v="Regiones"/>
    <x v="57"/>
    <x v="0"/>
    <x v="1"/>
    <x v="1"/>
  </r>
  <r>
    <x v="1"/>
    <s v="Regiones"/>
    <x v="58"/>
    <x v="0"/>
    <x v="1"/>
    <x v="1"/>
  </r>
  <r>
    <x v="1"/>
    <s v="Regiones"/>
    <x v="59"/>
    <x v="0"/>
    <x v="1"/>
    <x v="1"/>
  </r>
  <r>
    <x v="3"/>
    <s v="Regiones"/>
    <x v="60"/>
    <x v="0"/>
    <x v="3"/>
    <x v="4"/>
  </r>
  <r>
    <x v="5"/>
    <s v="Regiones"/>
    <x v="61"/>
    <x v="0"/>
    <x v="3"/>
    <x v="4"/>
  </r>
  <r>
    <x v="10"/>
    <s v="Arbol de Visión"/>
    <x v="62"/>
    <x v="0"/>
    <x v="13"/>
    <x v="14"/>
  </r>
  <r>
    <x v="11"/>
    <s v="Arbol de Visión"/>
    <x v="62"/>
    <x v="0"/>
    <x v="14"/>
    <x v="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s v="SI"/>
    <x v="0"/>
    <n v="29949"/>
    <x v="0"/>
    <n v="29185"/>
    <m/>
    <n v="5.8999999999999997E-2"/>
    <x v="0"/>
    <n v="32126"/>
    <m/>
    <m/>
    <x v="0"/>
    <s v="Sobresaliente"/>
    <m/>
  </r>
  <r>
    <x v="0"/>
    <x v="1"/>
    <s v="SI"/>
    <x v="1"/>
    <n v="0.80287672061293125"/>
    <x v="1"/>
    <n v="0.8608348674112497"/>
    <m/>
    <n v="0.82599999999999996"/>
    <x v="1"/>
    <n v="0.81561855659334803"/>
    <m/>
    <m/>
    <x v="1"/>
    <s v="Sobresaliente"/>
    <m/>
  </r>
  <r>
    <x v="0"/>
    <x v="2"/>
    <s v="NO"/>
    <x v="2"/>
    <s v="N/A"/>
    <x v="2"/>
    <n v="90"/>
    <m/>
    <n v="97"/>
    <x v="2"/>
    <s v="N/A"/>
    <m/>
    <m/>
    <x v="2"/>
    <s v="Satisfactorio"/>
    <m/>
  </r>
  <r>
    <x v="0"/>
    <x v="3"/>
    <s v="NO"/>
    <x v="3"/>
    <s v="N/A"/>
    <x v="3"/>
    <s v="N/A"/>
    <m/>
    <n v="0.5"/>
    <x v="3"/>
    <s v="N/A"/>
    <m/>
    <m/>
    <x v="3"/>
    <s v="Sobresaliente"/>
    <m/>
  </r>
  <r>
    <x v="0"/>
    <x v="4"/>
    <s v="NO"/>
    <x v="4"/>
    <s v="N/A"/>
    <x v="4"/>
    <s v="N/A"/>
    <m/>
    <n v="1.2"/>
    <x v="4"/>
    <s v="N/A"/>
    <m/>
    <m/>
    <x v="4"/>
    <s v="Tolerable"/>
    <m/>
  </r>
  <r>
    <x v="0"/>
    <x v="5"/>
    <s v="NO"/>
    <x v="5"/>
    <n v="0.95499999999999996"/>
    <x v="5"/>
    <n v="0.88100000000000001"/>
    <m/>
    <n v="446763"/>
    <x v="5"/>
    <n v="0.95211740059799965"/>
    <m/>
    <m/>
    <x v="5"/>
    <s v="Satisfactorio"/>
    <m/>
  </r>
  <r>
    <x v="0"/>
    <x v="6"/>
    <s v="NO"/>
    <x v="6"/>
    <s v="N/A"/>
    <x v="6"/>
    <s v="N/A"/>
    <m/>
    <n v="0.61699999999999999"/>
    <x v="6"/>
    <s v="N/A"/>
    <m/>
    <m/>
    <x v="6"/>
    <s v="Sobresaliente"/>
    <m/>
  </r>
  <r>
    <x v="0"/>
    <x v="7"/>
    <s v="NO"/>
    <x v="7"/>
    <s v="N/A"/>
    <x v="7"/>
    <s v="N/A"/>
    <m/>
    <n v="7.6999999999999999E-2"/>
    <x v="7"/>
    <s v="N/A"/>
    <m/>
    <m/>
    <x v="7"/>
    <s v="Sobresaliente"/>
    <m/>
  </r>
  <r>
    <x v="1"/>
    <x v="8"/>
    <s v="NO"/>
    <x v="8"/>
    <s v="N/A"/>
    <x v="8"/>
    <s v="N/A"/>
    <m/>
    <n v="3720"/>
    <x v="8"/>
    <s v="N/A"/>
    <m/>
    <m/>
    <x v="8"/>
    <s v="Sobresaliente"/>
    <m/>
  </r>
  <r>
    <x v="1"/>
    <x v="9"/>
    <s v="NO"/>
    <x v="9"/>
    <s v="N/A"/>
    <x v="9"/>
    <s v="N/A"/>
    <m/>
    <n v="1.4500000000000001E-2"/>
    <x v="9"/>
    <s v="N/A"/>
    <m/>
    <m/>
    <x v="9"/>
    <s v="Sobresaliente"/>
    <m/>
  </r>
  <r>
    <x v="1"/>
    <x v="10"/>
    <s v="NO"/>
    <x v="10"/>
    <s v="N/A"/>
    <x v="10"/>
    <s v="N/A"/>
    <m/>
    <n v="390081"/>
    <x v="10"/>
    <s v="N/A"/>
    <m/>
    <m/>
    <x v="10"/>
    <s v="Sobresaliente"/>
    <m/>
  </r>
  <r>
    <x v="1"/>
    <x v="11"/>
    <s v="NO"/>
    <x v="11"/>
    <s v="N/A"/>
    <x v="11"/>
    <s v="N/A"/>
    <m/>
    <n v="0.11799999999999999"/>
    <x v="11"/>
    <s v="N/A"/>
    <m/>
    <m/>
    <x v="11"/>
    <s v="Sobresaliente"/>
    <m/>
  </r>
  <r>
    <x v="1"/>
    <x v="12"/>
    <s v="NO"/>
    <x v="12"/>
    <s v="N/A"/>
    <x v="12"/>
    <s v="N/A"/>
    <m/>
    <n v="417834"/>
    <x v="12"/>
    <s v="N/A"/>
    <m/>
    <m/>
    <x v="12"/>
    <s v="Sobresaliente"/>
    <m/>
  </r>
  <r>
    <x v="1"/>
    <x v="13"/>
    <s v="NO"/>
    <x v="13"/>
    <s v="N/A"/>
    <x v="13"/>
    <s v="N/A"/>
    <m/>
    <n v="7.1099999999999997E-2"/>
    <x v="13"/>
    <s v="N/A"/>
    <m/>
    <m/>
    <x v="13"/>
    <s v="Sobresaliente"/>
    <m/>
  </r>
  <r>
    <x v="1"/>
    <x v="14"/>
    <s v="SI"/>
    <x v="2"/>
    <s v="N/A"/>
    <x v="14"/>
    <n v="19027"/>
    <m/>
    <n v="1.1599999999999999E-2"/>
    <x v="14"/>
    <n v="19319"/>
    <m/>
    <m/>
    <x v="14"/>
    <s v="Sobresaliente"/>
    <m/>
  </r>
  <r>
    <x v="1"/>
    <x v="15"/>
    <s v="NO"/>
    <x v="14"/>
    <m/>
    <x v="15"/>
    <m/>
    <m/>
    <n v="78381"/>
    <x v="15"/>
    <s v="N/A"/>
    <m/>
    <m/>
    <x v="15"/>
    <s v="Sobresaliente"/>
    <m/>
  </r>
  <r>
    <x v="1"/>
    <x v="16"/>
    <s v="SI"/>
    <x v="2"/>
    <s v="N/A"/>
    <x v="16"/>
    <s v="N/A"/>
    <m/>
    <n v="0.38990000000000002"/>
    <x v="16"/>
    <s v="N/A"/>
    <m/>
    <m/>
    <x v="16"/>
    <s v="Sobresaliente"/>
    <m/>
  </r>
  <r>
    <x v="1"/>
    <x v="17"/>
    <s v="NO"/>
    <x v="15"/>
    <s v="N/A"/>
    <x v="17"/>
    <s v="N/A"/>
    <m/>
    <n v="0.219"/>
    <x v="17"/>
    <s v="N/A"/>
    <m/>
    <m/>
    <x v="17"/>
    <s v="Sobresaliente"/>
    <m/>
  </r>
  <r>
    <x v="1"/>
    <x v="18"/>
    <s v="NO"/>
    <x v="16"/>
    <s v="N/A"/>
    <x v="18"/>
    <s v="N/A"/>
    <m/>
    <n v="0.158"/>
    <x v="18"/>
    <s v="N/A"/>
    <m/>
    <m/>
    <x v="18"/>
    <s v="Satisfactorio"/>
    <m/>
  </r>
  <r>
    <x v="1"/>
    <x v="19"/>
    <s v="NO"/>
    <x v="17"/>
    <s v="N/A"/>
    <x v="19"/>
    <s v="N/A"/>
    <m/>
    <n v="0.25879999999999997"/>
    <x v="19"/>
    <s v="N/A"/>
    <m/>
    <m/>
    <x v="19"/>
    <s v="Sobresaliente"/>
    <m/>
  </r>
  <r>
    <x v="1"/>
    <x v="20"/>
    <s v="NO"/>
    <x v="18"/>
    <s v="N/A"/>
    <x v="20"/>
    <s v="N/A"/>
    <m/>
    <n v="0.24199999999999999"/>
    <x v="20"/>
    <s v="N/A"/>
    <m/>
    <m/>
    <x v="20"/>
    <s v="Sobresaliente"/>
    <m/>
  </r>
  <r>
    <x v="2"/>
    <x v="21"/>
    <s v="NO"/>
    <x v="19"/>
    <s v="N/A"/>
    <x v="21"/>
    <s v="N/A"/>
    <m/>
    <n v="4.6500000000000004"/>
    <x v="21"/>
    <s v="N/A"/>
    <m/>
    <m/>
    <x v="21"/>
    <s v="Satisfactorio"/>
    <m/>
  </r>
  <r>
    <x v="2"/>
    <x v="22"/>
    <s v="NO"/>
    <x v="2"/>
    <s v="N/A"/>
    <x v="22"/>
    <s v="N/A"/>
    <m/>
    <n v="4.6500000000000004"/>
    <x v="22"/>
    <s v="N/A"/>
    <m/>
    <m/>
    <x v="22"/>
    <s v="Tolerable"/>
    <m/>
  </r>
  <r>
    <x v="3"/>
    <x v="23"/>
    <s v="NO"/>
    <x v="20"/>
    <s v="N/A"/>
    <x v="23"/>
    <s v="N/A"/>
    <m/>
    <n v="5178063"/>
    <x v="23"/>
    <s v="N/A"/>
    <m/>
    <m/>
    <x v="23"/>
    <s v="Tolerable"/>
    <m/>
  </r>
  <r>
    <x v="3"/>
    <x v="24"/>
    <s v="NO"/>
    <x v="21"/>
    <s v="N/A"/>
    <x v="24"/>
    <s v="N/A"/>
    <m/>
    <n v="0.54900000000000004"/>
    <x v="20"/>
    <s v="N/A"/>
    <m/>
    <m/>
    <x v="24"/>
    <s v="Incumple"/>
    <m/>
  </r>
  <r>
    <x v="3"/>
    <x v="25"/>
    <s v="SI"/>
    <x v="2"/>
    <s v="N/A"/>
    <x v="25"/>
    <s v="N/A"/>
    <m/>
    <n v="0.5"/>
    <x v="24"/>
    <s v="N/A"/>
    <m/>
    <m/>
    <x v="25"/>
    <s v="Sobresaliente"/>
    <m/>
  </r>
  <r>
    <x v="4"/>
    <x v="26"/>
    <s v="NO"/>
    <x v="2"/>
    <s v="N/A"/>
    <x v="22"/>
    <s v="N/A"/>
    <m/>
    <n v="0.95"/>
    <x v="25"/>
    <s v="N/A"/>
    <m/>
    <m/>
    <x v="26"/>
    <s v="Satisfactorio"/>
    <m/>
  </r>
  <r>
    <x v="4"/>
    <x v="27"/>
    <s v="NO"/>
    <x v="2"/>
    <s v="N/A"/>
    <x v="22"/>
    <s v="N/A"/>
    <m/>
    <n v="0.8"/>
    <x v="26"/>
    <s v="N/A"/>
    <m/>
    <m/>
    <x v="27"/>
    <s v="Sobresaliente"/>
    <m/>
  </r>
  <r>
    <x v="4"/>
    <x v="28"/>
    <s v="NO"/>
    <x v="2"/>
    <s v="N/A"/>
    <x v="22"/>
    <s v="N/A"/>
    <m/>
    <n v="0.1"/>
    <x v="27"/>
    <s v="N/A"/>
    <m/>
    <m/>
    <x v="28"/>
    <s v="Sobresaliente"/>
    <m/>
  </r>
  <r>
    <x v="4"/>
    <x v="29"/>
    <s v="NO"/>
    <x v="2"/>
    <s v="N/A"/>
    <x v="26"/>
    <n v="221"/>
    <m/>
    <n v="1.2E-2"/>
    <x v="28"/>
    <n v="612"/>
    <m/>
    <m/>
    <x v="29"/>
    <s v="Incumple"/>
    <m/>
  </r>
  <r>
    <x v="4"/>
    <x v="30"/>
    <s v="NO"/>
    <x v="2"/>
    <s v="N/A"/>
    <x v="22"/>
    <s v="N/A"/>
    <m/>
    <s v="N/A"/>
    <x v="29"/>
    <s v="N/A"/>
    <m/>
    <m/>
    <x v="30"/>
    <s v="N/A"/>
    <m/>
  </r>
  <r>
    <x v="4"/>
    <x v="31"/>
    <s v="NO"/>
    <x v="2"/>
    <s v="N/A"/>
    <x v="22"/>
    <s v="N/A"/>
    <m/>
    <s v="N/A"/>
    <x v="29"/>
    <s v="N/A"/>
    <m/>
    <m/>
    <x v="30"/>
    <s v="N/A"/>
    <m/>
  </r>
  <r>
    <x v="5"/>
    <x v="32"/>
    <s v="NO"/>
    <x v="22"/>
    <n v="392494"/>
    <x v="27"/>
    <n v="132687"/>
    <m/>
    <n v="6.3799999999999996E-2"/>
    <x v="30"/>
    <n v="253993"/>
    <m/>
    <m/>
    <x v="31"/>
    <s v="Satisfactorio"/>
    <m/>
  </r>
  <r>
    <x v="6"/>
    <x v="33"/>
    <s v="NO"/>
    <x v="2"/>
    <s v="N/A"/>
    <x v="22"/>
    <s v="N/A"/>
    <m/>
    <n v="0.15"/>
    <x v="31"/>
    <n v="518665"/>
    <m/>
    <m/>
    <x v="32"/>
    <s v="Sobresaliente"/>
    <m/>
  </r>
  <r>
    <x v="6"/>
    <x v="34"/>
    <s v="NO"/>
    <x v="2"/>
    <s v="N/A"/>
    <x v="22"/>
    <s v="N/A"/>
    <m/>
    <s v="N/A"/>
    <x v="29"/>
    <s v="N/A"/>
    <m/>
    <m/>
    <x v="30"/>
    <s v="N/A"/>
    <m/>
  </r>
  <r>
    <x v="6"/>
    <x v="35"/>
    <s v="NO"/>
    <x v="2"/>
    <s v="N/A"/>
    <x v="28"/>
    <s v="N/A"/>
    <m/>
    <n v="0.8"/>
    <x v="32"/>
    <s v="N/A"/>
    <m/>
    <m/>
    <x v="33"/>
    <s v="Sobresaliente"/>
    <m/>
  </r>
  <r>
    <x v="7"/>
    <x v="36"/>
    <s v="NO"/>
    <x v="2"/>
    <s v="N/A"/>
    <x v="22"/>
    <s v="N/A"/>
    <m/>
    <n v="0.3"/>
    <x v="33"/>
    <s v="N/A"/>
    <m/>
    <m/>
    <x v="34"/>
    <s v="Tolerable"/>
    <m/>
  </r>
  <r>
    <x v="7"/>
    <x v="37"/>
    <s v="NO"/>
    <x v="2"/>
    <s v="N/A"/>
    <x v="22"/>
    <s v="N/A"/>
    <m/>
    <n v="4.7"/>
    <x v="34"/>
    <s v="N/A"/>
    <m/>
    <m/>
    <x v="17"/>
    <s v="Sobresaliente"/>
    <m/>
  </r>
  <r>
    <x v="7"/>
    <x v="38"/>
    <s v="NO"/>
    <x v="2"/>
    <s v="N/A"/>
    <x v="22"/>
    <s v="N/A"/>
    <m/>
    <s v="N/A"/>
    <x v="29"/>
    <s v="N/A"/>
    <m/>
    <m/>
    <x v="30"/>
    <s v="N/A"/>
    <m/>
  </r>
  <r>
    <x v="7"/>
    <x v="39"/>
    <s v="NO"/>
    <x v="2"/>
    <s v="N/A"/>
    <x v="22"/>
    <s v="N/A"/>
    <m/>
    <s v="N/A"/>
    <x v="29"/>
    <s v="N/A"/>
    <m/>
    <m/>
    <x v="30"/>
    <s v="N/A"/>
    <m/>
  </r>
  <r>
    <x v="7"/>
    <x v="40"/>
    <s v="NO"/>
    <x v="2"/>
    <s v="N/A"/>
    <x v="22"/>
    <s v="N/A"/>
    <m/>
    <n v="4.5999999999999996"/>
    <x v="35"/>
    <s v="N/A"/>
    <m/>
    <m/>
    <x v="35"/>
    <s v="Sobresaliente"/>
    <m/>
  </r>
  <r>
    <x v="7"/>
    <x v="41"/>
    <s v="NO"/>
    <x v="2"/>
    <s v="N/A"/>
    <x v="22"/>
    <s v="N/A"/>
    <m/>
    <s v="N/A"/>
    <x v="29"/>
    <s v="N/A"/>
    <m/>
    <m/>
    <x v="30"/>
    <s v="N/A"/>
    <m/>
  </r>
  <r>
    <x v="8"/>
    <x v="42"/>
    <s v="NO"/>
    <x v="2"/>
    <s v="N/A"/>
    <x v="22"/>
    <s v="N/A"/>
    <m/>
    <s v="N/A"/>
    <x v="29"/>
    <s v="N/A"/>
    <m/>
    <m/>
    <x v="30"/>
    <s v="N/A"/>
    <m/>
  </r>
  <r>
    <x v="9"/>
    <x v="43"/>
    <s v="NO"/>
    <x v="2"/>
    <s v="N/A"/>
    <x v="22"/>
    <s v="N/A"/>
    <m/>
    <n v="0.9"/>
    <x v="36"/>
    <n v="2965"/>
    <m/>
    <m/>
    <x v="36"/>
    <s v="Sobresaliente"/>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3BDC11-8559-4C74-85BE-DB6D94877047}" name="TablaDinámica1" cacheId="5" applyNumberFormats="0" applyBorderFormats="0" applyFontFormats="0" applyPatternFormats="0" applyAlignmentFormats="0" applyWidthHeightFormats="1" dataCaption="Valores" updatedVersion="7" minRefreshableVersion="3" useAutoFormatting="1" itemPrintTitles="1" createdVersion="7" indent="0" compact="0" compactData="0" gridDropZones="1" multipleFieldFilters="0">
  <location ref="M23:R36" firstHeaderRow="1" firstDataRow="3" firstDataCol="2" rowPageCount="2" colPageCount="1"/>
  <pivotFields count="6">
    <pivotField axis="axisPage" compact="0" outline="0" showAll="0">
      <items count="13">
        <item x="3"/>
        <item x="1"/>
        <item x="7"/>
        <item x="2"/>
        <item x="6"/>
        <item x="5"/>
        <item x="4"/>
        <item x="9"/>
        <item x="8"/>
        <item x="0"/>
        <item x="10"/>
        <item x="11"/>
        <item t="default"/>
      </items>
    </pivotField>
    <pivotField compact="0" outline="0" showAll="0"/>
    <pivotField axis="axisRow" dataField="1" compact="0" outline="0" showAll="0">
      <items count="64">
        <item x="27"/>
        <item x="47"/>
        <item x="7"/>
        <item x="48"/>
        <item x="28"/>
        <item x="6"/>
        <item x="39"/>
        <item x="31"/>
        <item x="26"/>
        <item x="62"/>
        <item x="2"/>
        <item x="34"/>
        <item x="13"/>
        <item x="58"/>
        <item x="11"/>
        <item x="49"/>
        <item x="52"/>
        <item x="60"/>
        <item x="24"/>
        <item x="55"/>
        <item x="53"/>
        <item x="16"/>
        <item x="9"/>
        <item x="17"/>
        <item x="33"/>
        <item x="45"/>
        <item x="14"/>
        <item x="12"/>
        <item x="57"/>
        <item x="10"/>
        <item x="23"/>
        <item x="54"/>
        <item x="44"/>
        <item x="15"/>
        <item x="8"/>
        <item x="59"/>
        <item x="56"/>
        <item x="46"/>
        <item x="5"/>
        <item x="43"/>
        <item x="30"/>
        <item x="37"/>
        <item x="35"/>
        <item x="29"/>
        <item x="0"/>
        <item x="38"/>
        <item x="25"/>
        <item x="51"/>
        <item x="40"/>
        <item x="41"/>
        <item x="1"/>
        <item x="3"/>
        <item x="4"/>
        <item x="36"/>
        <item x="20"/>
        <item x="19"/>
        <item x="18"/>
        <item x="32"/>
        <item x="61"/>
        <item x="21"/>
        <item x="50"/>
        <item x="22"/>
        <item x="42"/>
        <item t="default"/>
      </items>
    </pivotField>
    <pivotField axis="axisCol" compact="0" outline="0" showAll="0">
      <items count="8">
        <item h="1" x="2"/>
        <item h="1" x="6"/>
        <item h="1" x="4"/>
        <item h="1" x="5"/>
        <item x="0"/>
        <item h="1" x="1"/>
        <item h="1" x="3"/>
        <item t="default"/>
      </items>
    </pivotField>
    <pivotField axis="axisRow" compact="0" outline="0" showAll="0" defaultSubtotal="0">
      <items count="15">
        <item x="11"/>
        <item sd="0" x="12"/>
        <item x="8"/>
        <item sd="0" x="0"/>
        <item x="10"/>
        <item x="9"/>
        <item sd="0" x="6"/>
        <item sd="0" x="2"/>
        <item sd="0" x="5"/>
        <item x="7"/>
        <item sd="0" x="1"/>
        <item sd="0" x="4"/>
        <item sd="0" x="3"/>
        <item sd="0" x="13"/>
        <item sd="0" x="14"/>
      </items>
    </pivotField>
    <pivotField axis="axisPage" compact="0" outline="0" showAll="0">
      <items count="18">
        <item x="6"/>
        <item x="3"/>
        <item x="0"/>
        <item x="13"/>
        <item x="1"/>
        <item x="10"/>
        <item x="11"/>
        <item x="12"/>
        <item x="9"/>
        <item x="7"/>
        <item x="2"/>
        <item x="8"/>
        <item x="5"/>
        <item m="1" x="16"/>
        <item x="4"/>
        <item x="14"/>
        <item x="15"/>
        <item t="default"/>
      </items>
    </pivotField>
  </pivotFields>
  <rowFields count="2">
    <field x="4"/>
    <field x="2"/>
  </rowFields>
  <rowItems count="11">
    <i>
      <x v="1"/>
    </i>
    <i>
      <x v="3"/>
    </i>
    <i>
      <x v="6"/>
    </i>
    <i>
      <x v="7"/>
    </i>
    <i>
      <x v="8"/>
    </i>
    <i>
      <x v="10"/>
    </i>
    <i>
      <x v="11"/>
    </i>
    <i>
      <x v="12"/>
    </i>
    <i>
      <x v="13"/>
    </i>
    <i>
      <x v="14"/>
    </i>
    <i t="grand">
      <x/>
    </i>
  </rowItems>
  <colFields count="2">
    <field x="3"/>
    <field x="-2"/>
  </colFields>
  <colItems count="4">
    <i>
      <x v="4"/>
      <x/>
    </i>
    <i r="1" i="1">
      <x v="1"/>
    </i>
    <i t="grand">
      <x/>
    </i>
    <i t="grand" i="1">
      <x/>
    </i>
  </colItems>
  <pageFields count="2">
    <pageField fld="0" hier="-1"/>
    <pageField fld="5" hier="-1"/>
  </pageFields>
  <dataFields count="2">
    <dataField name="Cuenta de Indicador" fld="2" subtotal="count" baseField="0" baseItem="0"/>
    <dataField name="Cuenta de Indicador2" fld="2" subtotal="count" showDataAs="percentOfCol" baseField="5" baseItem="5" numFmtId="10"/>
  </dataFields>
  <formats count="11">
    <format dxfId="825">
      <pivotArea dataOnly="0" labelOnly="1" fieldPosition="0">
        <references count="1">
          <reference field="3" count="6">
            <x v="1"/>
            <x v="2"/>
            <x v="3"/>
            <x v="4"/>
            <x v="5"/>
            <x v="6"/>
          </reference>
        </references>
      </pivotArea>
    </format>
    <format dxfId="824">
      <pivotArea dataOnly="0" labelOnly="1" grandCol="1" outline="0" fieldPosition="0"/>
    </format>
    <format dxfId="823">
      <pivotArea dataOnly="0" labelOnly="1" fieldPosition="0">
        <references count="1">
          <reference field="3" count="6">
            <x v="1"/>
            <x v="2"/>
            <x v="3"/>
            <x v="4"/>
            <x v="5"/>
            <x v="6"/>
          </reference>
        </references>
      </pivotArea>
    </format>
    <format dxfId="822">
      <pivotArea dataOnly="0" labelOnly="1" grandCol="1" outline="0" fieldPosition="0"/>
    </format>
    <format dxfId="821">
      <pivotArea dataOnly="0" labelOnly="1" fieldPosition="0">
        <references count="1">
          <reference field="3" count="0"/>
        </references>
      </pivotArea>
    </format>
    <format dxfId="820">
      <pivotArea dataOnly="0" labelOnly="1" grandCol="1" outline="0" fieldPosition="0"/>
    </format>
    <format dxfId="819">
      <pivotArea dataOnly="0" labelOnly="1" fieldPosition="0">
        <references count="1">
          <reference field="3" count="1">
            <x v="0"/>
          </reference>
        </references>
      </pivotArea>
    </format>
    <format dxfId="818">
      <pivotArea outline="0" fieldPosition="0">
        <references count="1">
          <reference field="4294967294" count="1">
            <x v="1"/>
          </reference>
        </references>
      </pivotArea>
    </format>
    <format dxfId="817">
      <pivotArea dataOnly="0" labelOnly="1" outline="0" fieldPosition="0">
        <references count="1">
          <reference field="4" count="1">
            <x v="14"/>
          </reference>
        </references>
      </pivotArea>
    </format>
    <format dxfId="816">
      <pivotArea field="4" type="button" dataOnly="0" labelOnly="1" outline="0" axis="axisRow" fieldPosition="0"/>
    </format>
    <format dxfId="815">
      <pivotArea dataOnly="0" labelOnly="1" outline="0" fieldPosition="0">
        <references count="1">
          <reference field="4" count="10">
            <x v="1"/>
            <x v="3"/>
            <x v="6"/>
            <x v="7"/>
            <x v="8"/>
            <x v="10"/>
            <x v="11"/>
            <x v="12"/>
            <x v="13"/>
            <x v="14"/>
          </reference>
        </references>
      </pivotArea>
    </format>
  </formats>
  <conditionalFormats count="1">
    <conditionalFormat priority="1">
      <pivotAreas count="1">
        <pivotArea type="data" grandCol="1" outline="0" collapsedLevelsAreSubtotals="1" fieldPosition="0">
          <references count="1">
            <reference field="4294967294" count="1" selected="0">
              <x v="1"/>
            </reference>
          </references>
        </pivotArea>
      </pivotAreas>
    </conditionalFormat>
  </conditional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7A17B6-821F-4744-961B-4F0B82227D0C}" name="TablaDinámica1" cacheId="6" applyNumberFormats="0" applyBorderFormats="0" applyFontFormats="0" applyPatternFormats="0" applyAlignmentFormats="0" applyWidthHeightFormats="1" dataCaption="Valores" updatedVersion="7" minRefreshableVersion="3" useAutoFormatting="1" itemPrintTitles="1" createdVersion="7" indent="0" compact="0" compactData="0" gridDropZones="1" multipleFieldFilters="0">
  <location ref="AB23:AM69" firstHeaderRow="2" firstDataRow="2" firstDataCol="6"/>
  <pivotFields count="16">
    <pivotField axis="axisRow" compact="0" outline="0" showAll="0" defaultSubtotal="0">
      <items count="10">
        <item x="3"/>
        <item x="1"/>
        <item x="7"/>
        <item x="2"/>
        <item x="6"/>
        <item x="5"/>
        <item x="4"/>
        <item x="9"/>
        <item x="8"/>
        <item x="0"/>
      </items>
    </pivotField>
    <pivotField axis="axisRow" compact="0" outline="0" showAll="0" defaultSubtotal="0">
      <items count="44">
        <item x="27"/>
        <item x="7"/>
        <item x="28"/>
        <item x="6"/>
        <item x="39"/>
        <item x="31"/>
        <item x="26"/>
        <item x="2"/>
        <item x="34"/>
        <item x="13"/>
        <item x="11"/>
        <item x="24"/>
        <item x="16"/>
        <item x="9"/>
        <item x="17"/>
        <item x="33"/>
        <item x="14"/>
        <item x="12"/>
        <item x="10"/>
        <item x="23"/>
        <item x="15"/>
        <item x="8"/>
        <item x="5"/>
        <item x="43"/>
        <item x="30"/>
        <item x="37"/>
        <item x="35"/>
        <item x="29"/>
        <item x="0"/>
        <item x="38"/>
        <item x="25"/>
        <item x="40"/>
        <item x="41"/>
        <item x="1"/>
        <item x="3"/>
        <item x="4"/>
        <item x="36"/>
        <item x="20"/>
        <item x="19"/>
        <item x="18"/>
        <item x="32"/>
        <item x="21"/>
        <item x="22"/>
        <item x="42"/>
      </items>
    </pivotField>
    <pivotField compact="0" outline="0" showAll="0"/>
    <pivotField axis="axisRow" compact="0" outline="0" showAll="0" defaultSubtotal="0">
      <items count="23">
        <item x="9"/>
        <item x="13"/>
        <item x="11"/>
        <item x="22"/>
        <item x="0"/>
        <item x="7"/>
        <item x="16"/>
        <item x="21"/>
        <item x="15"/>
        <item x="18"/>
        <item x="17"/>
        <item x="3"/>
        <item x="6"/>
        <item x="1"/>
        <item x="4"/>
        <item x="19"/>
        <item x="8"/>
        <item x="14"/>
        <item x="10"/>
        <item x="12"/>
        <item x="5"/>
        <item x="20"/>
        <item x="2"/>
      </items>
    </pivotField>
    <pivotField compact="0" outline="0" showAll="0"/>
    <pivotField axis="axisRow" compact="0" outline="0" showAll="0" defaultSubtotal="0">
      <items count="29">
        <item x="24"/>
        <item x="16"/>
        <item x="13"/>
        <item x="14"/>
        <item x="9"/>
        <item x="26"/>
        <item x="11"/>
        <item x="27"/>
        <item x="7"/>
        <item x="0"/>
        <item x="18"/>
        <item x="17"/>
        <item x="20"/>
        <item x="19"/>
        <item x="25"/>
        <item x="3"/>
        <item x="6"/>
        <item x="28"/>
        <item x="1"/>
        <item x="4"/>
        <item x="21"/>
        <item x="8"/>
        <item x="15"/>
        <item x="10"/>
        <item x="12"/>
        <item x="5"/>
        <item x="23"/>
        <item x="22"/>
        <item x="2"/>
      </items>
    </pivotField>
    <pivotField compact="0" outline="0" showAll="0"/>
    <pivotField compact="0" outline="0" showAll="0"/>
    <pivotField compact="0" outline="0" showAll="0"/>
    <pivotField axis="axisRow" compact="0" outline="0" showAll="0" defaultSubtotal="0">
      <items count="37">
        <item x="28"/>
        <item x="14"/>
        <item x="30"/>
        <item x="0"/>
        <item x="13"/>
        <item x="9"/>
        <item x="11"/>
        <item x="7"/>
        <item x="18"/>
        <item x="31"/>
        <item x="27"/>
        <item x="17"/>
        <item x="20"/>
        <item x="19"/>
        <item x="33"/>
        <item x="3"/>
        <item x="24"/>
        <item x="16"/>
        <item x="6"/>
        <item x="32"/>
        <item x="26"/>
        <item x="1"/>
        <item x="25"/>
        <item x="36"/>
        <item x="4"/>
        <item x="22"/>
        <item x="21"/>
        <item x="35"/>
        <item x="34"/>
        <item x="2"/>
        <item x="8"/>
        <item x="15"/>
        <item x="10"/>
        <item x="12"/>
        <item x="5"/>
        <item x="23"/>
        <item x="29"/>
      </items>
    </pivotField>
    <pivotField compact="0" outline="0" showAll="0"/>
    <pivotField compact="0" outline="0" showAll="0"/>
    <pivotField compact="0" outline="0" showAll="0"/>
    <pivotField axis="axisRow" compact="0" outline="0" showAll="0">
      <items count="38">
        <item x="24"/>
        <item x="29"/>
        <item x="23"/>
        <item x="22"/>
        <item x="34"/>
        <item x="4"/>
        <item x="5"/>
        <item x="18"/>
        <item x="26"/>
        <item x="31"/>
        <item x="2"/>
        <item x="21"/>
        <item x="17"/>
        <item x="19"/>
        <item x="10"/>
        <item x="6"/>
        <item x="33"/>
        <item x="11"/>
        <item x="1"/>
        <item x="20"/>
        <item x="27"/>
        <item x="12"/>
        <item x="35"/>
        <item x="36"/>
        <item x="32"/>
        <item x="8"/>
        <item x="25"/>
        <item x="3"/>
        <item x="15"/>
        <item x="0"/>
        <item x="13"/>
        <item x="14"/>
        <item x="16"/>
        <item x="7"/>
        <item x="28"/>
        <item x="9"/>
        <item x="30"/>
        <item t="default"/>
      </items>
    </pivotField>
    <pivotField compact="0" outline="0" showAll="0"/>
    <pivotField compact="0" outline="0" showAll="0"/>
  </pivotFields>
  <rowFields count="6">
    <field x="0"/>
    <field x="1"/>
    <field x="3"/>
    <field x="5"/>
    <field x="9"/>
    <field x="13"/>
  </rowFields>
  <rowItems count="45">
    <i>
      <x/>
      <x v="11"/>
      <x v="7"/>
      <x/>
      <x v="12"/>
      <x/>
    </i>
    <i r="1">
      <x v="19"/>
      <x v="21"/>
      <x v="26"/>
      <x v="35"/>
      <x v="2"/>
    </i>
    <i r="1">
      <x v="30"/>
      <x v="22"/>
      <x v="14"/>
      <x v="16"/>
      <x v="26"/>
    </i>
    <i>
      <x v="1"/>
      <x v="9"/>
      <x v="1"/>
      <x v="2"/>
      <x v="4"/>
      <x v="30"/>
    </i>
    <i r="1">
      <x v="10"/>
      <x v="2"/>
      <x v="6"/>
      <x v="6"/>
      <x v="17"/>
    </i>
    <i r="1">
      <x v="12"/>
      <x v="22"/>
      <x v="1"/>
      <x v="17"/>
      <x v="32"/>
    </i>
    <i r="1">
      <x v="13"/>
      <x/>
      <x v="4"/>
      <x v="5"/>
      <x v="35"/>
    </i>
    <i r="1">
      <x v="14"/>
      <x v="8"/>
      <x v="11"/>
      <x v="11"/>
      <x v="12"/>
    </i>
    <i r="1">
      <x v="16"/>
      <x v="22"/>
      <x v="3"/>
      <x v="1"/>
      <x v="31"/>
    </i>
    <i r="1">
      <x v="17"/>
      <x v="19"/>
      <x v="24"/>
      <x v="33"/>
      <x v="21"/>
    </i>
    <i r="1">
      <x v="18"/>
      <x v="18"/>
      <x v="23"/>
      <x v="32"/>
      <x v="14"/>
    </i>
    <i r="1">
      <x v="20"/>
      <x v="17"/>
      <x v="22"/>
      <x v="31"/>
      <x v="28"/>
    </i>
    <i r="1">
      <x v="21"/>
      <x v="16"/>
      <x v="21"/>
      <x v="30"/>
      <x v="25"/>
    </i>
    <i r="1">
      <x v="37"/>
      <x v="9"/>
      <x v="12"/>
      <x v="12"/>
      <x v="19"/>
    </i>
    <i r="1">
      <x v="38"/>
      <x v="10"/>
      <x v="13"/>
      <x v="13"/>
      <x v="13"/>
    </i>
    <i r="1">
      <x v="39"/>
      <x v="6"/>
      <x v="10"/>
      <x v="8"/>
      <x v="7"/>
    </i>
    <i>
      <x v="2"/>
      <x v="4"/>
      <x v="22"/>
      <x v="27"/>
      <x v="36"/>
      <x v="36"/>
    </i>
    <i r="1">
      <x v="25"/>
      <x v="22"/>
      <x v="27"/>
      <x v="28"/>
      <x v="12"/>
    </i>
    <i r="1">
      <x v="29"/>
      <x v="22"/>
      <x v="27"/>
      <x v="36"/>
      <x v="36"/>
    </i>
    <i r="1">
      <x v="31"/>
      <x v="22"/>
      <x v="27"/>
      <x v="27"/>
      <x v="22"/>
    </i>
    <i r="1">
      <x v="32"/>
      <x v="22"/>
      <x v="27"/>
      <x v="36"/>
      <x v="36"/>
    </i>
    <i r="1">
      <x v="36"/>
      <x v="22"/>
      <x v="27"/>
      <x v="14"/>
      <x v="4"/>
    </i>
    <i>
      <x v="3"/>
      <x v="41"/>
      <x v="15"/>
      <x v="20"/>
      <x v="26"/>
      <x v="11"/>
    </i>
    <i r="1">
      <x v="42"/>
      <x v="22"/>
      <x v="27"/>
      <x v="25"/>
      <x v="3"/>
    </i>
    <i>
      <x v="4"/>
      <x v="8"/>
      <x v="22"/>
      <x v="27"/>
      <x v="36"/>
      <x v="36"/>
    </i>
    <i r="1">
      <x v="15"/>
      <x v="22"/>
      <x v="27"/>
      <x v="9"/>
      <x v="24"/>
    </i>
    <i r="1">
      <x v="26"/>
      <x v="22"/>
      <x v="17"/>
      <x v="19"/>
      <x v="16"/>
    </i>
    <i>
      <x v="5"/>
      <x v="40"/>
      <x v="3"/>
      <x v="7"/>
      <x v="2"/>
      <x v="9"/>
    </i>
    <i>
      <x v="6"/>
      <x/>
      <x v="22"/>
      <x v="27"/>
      <x v="20"/>
      <x v="20"/>
    </i>
    <i r="1">
      <x v="2"/>
      <x v="22"/>
      <x v="27"/>
      <x v="10"/>
      <x v="34"/>
    </i>
    <i r="1">
      <x v="5"/>
      <x v="22"/>
      <x v="27"/>
      <x v="36"/>
      <x v="36"/>
    </i>
    <i r="1">
      <x v="6"/>
      <x v="22"/>
      <x v="27"/>
      <x v="22"/>
      <x v="8"/>
    </i>
    <i r="1">
      <x v="24"/>
      <x v="22"/>
      <x v="27"/>
      <x v="36"/>
      <x v="36"/>
    </i>
    <i r="1">
      <x v="27"/>
      <x v="22"/>
      <x v="5"/>
      <x/>
      <x v="1"/>
    </i>
    <i>
      <x v="7"/>
      <x v="23"/>
      <x v="22"/>
      <x v="27"/>
      <x v="23"/>
      <x v="23"/>
    </i>
    <i>
      <x v="8"/>
      <x v="43"/>
      <x v="22"/>
      <x v="27"/>
      <x v="36"/>
      <x v="36"/>
    </i>
    <i>
      <x v="9"/>
      <x v="1"/>
      <x v="5"/>
      <x v="8"/>
      <x v="7"/>
      <x v="33"/>
    </i>
    <i r="1">
      <x v="3"/>
      <x v="12"/>
      <x v="16"/>
      <x v="18"/>
      <x v="15"/>
    </i>
    <i r="1">
      <x v="7"/>
      <x v="22"/>
      <x v="28"/>
      <x v="29"/>
      <x v="10"/>
    </i>
    <i r="1">
      <x v="22"/>
      <x v="20"/>
      <x v="25"/>
      <x v="34"/>
      <x v="6"/>
    </i>
    <i r="1">
      <x v="28"/>
      <x v="4"/>
      <x v="9"/>
      <x v="3"/>
      <x v="29"/>
    </i>
    <i r="1">
      <x v="33"/>
      <x v="13"/>
      <x v="18"/>
      <x v="21"/>
      <x v="18"/>
    </i>
    <i r="1">
      <x v="34"/>
      <x v="11"/>
      <x v="15"/>
      <x v="15"/>
      <x v="27"/>
    </i>
    <i r="1">
      <x v="35"/>
      <x v="14"/>
      <x v="19"/>
      <x v="24"/>
      <x v="5"/>
    </i>
    <i t="grand">
      <x/>
    </i>
  </rowItems>
  <colItems count="1">
    <i/>
  </colItems>
  <formats count="389">
    <format dxfId="694">
      <pivotArea dataOnly="0" labelOnly="1" outline="0" fieldPosition="0">
        <references count="3">
          <reference field="0" count="1" selected="0">
            <x v="0"/>
          </reference>
          <reference field="1" count="1" selected="0">
            <x v="11"/>
          </reference>
          <reference field="3" count="1">
            <x v="7"/>
          </reference>
        </references>
      </pivotArea>
    </format>
    <format dxfId="693">
      <pivotArea dataOnly="0" labelOnly="1" outline="0" fieldPosition="0">
        <references count="4">
          <reference field="0" count="1" selected="0">
            <x v="0"/>
          </reference>
          <reference field="1" count="1" selected="0">
            <x v="11"/>
          </reference>
          <reference field="3" count="1" selected="0">
            <x v="7"/>
          </reference>
          <reference field="5" count="1">
            <x v="0"/>
          </reference>
        </references>
      </pivotArea>
    </format>
    <format dxfId="692">
      <pivotArea dataOnly="0" labelOnly="1" outline="0" fieldPosition="0">
        <references count="5">
          <reference field="0" count="1" selected="0">
            <x v="0"/>
          </reference>
          <reference field="1" count="1" selected="0">
            <x v="11"/>
          </reference>
          <reference field="3" count="1" selected="0">
            <x v="7"/>
          </reference>
          <reference field="5" count="1" selected="0">
            <x v="0"/>
          </reference>
          <reference field="9" count="1">
            <x v="12"/>
          </reference>
        </references>
      </pivotArea>
    </format>
    <format dxfId="691">
      <pivotArea dataOnly="0" labelOnly="1" outline="0" fieldPosition="0">
        <references count="3">
          <reference field="0" count="1" selected="0">
            <x v="0"/>
          </reference>
          <reference field="1" count="1" selected="0">
            <x v="19"/>
          </reference>
          <reference field="3" count="1">
            <x v="21"/>
          </reference>
        </references>
      </pivotArea>
    </format>
    <format dxfId="690">
      <pivotArea dataOnly="0" labelOnly="1" outline="0" fieldPosition="0">
        <references count="4">
          <reference field="0" count="1" selected="0">
            <x v="0"/>
          </reference>
          <reference field="1" count="1" selected="0">
            <x v="19"/>
          </reference>
          <reference field="3" count="1" selected="0">
            <x v="21"/>
          </reference>
          <reference field="5" count="1">
            <x v="26"/>
          </reference>
        </references>
      </pivotArea>
    </format>
    <format dxfId="689">
      <pivotArea dataOnly="0" labelOnly="1" outline="0" fieldPosition="0">
        <references count="5">
          <reference field="0" count="1" selected="0">
            <x v="0"/>
          </reference>
          <reference field="1" count="1" selected="0">
            <x v="19"/>
          </reference>
          <reference field="3" count="1" selected="0">
            <x v="21"/>
          </reference>
          <reference field="5" count="1" selected="0">
            <x v="26"/>
          </reference>
          <reference field="9" count="1">
            <x v="35"/>
          </reference>
        </references>
      </pivotArea>
    </format>
    <format dxfId="688">
      <pivotArea dataOnly="0" labelOnly="1" outline="0" fieldPosition="0">
        <references count="1">
          <reference field="5" count="0"/>
        </references>
      </pivotArea>
    </format>
    <format dxfId="687">
      <pivotArea dataOnly="0" labelOnly="1" outline="0" fieldPosition="0">
        <references count="3">
          <reference field="0" count="1" selected="0">
            <x v="0"/>
          </reference>
          <reference field="1" count="1" selected="0">
            <x v="11"/>
          </reference>
          <reference field="3" count="1">
            <x v="7"/>
          </reference>
        </references>
      </pivotArea>
    </format>
    <format dxfId="686">
      <pivotArea dataOnly="0" labelOnly="1" outline="0" fieldPosition="0">
        <references count="3">
          <reference field="0" count="1" selected="0">
            <x v="0"/>
          </reference>
          <reference field="1" count="1" selected="0">
            <x v="19"/>
          </reference>
          <reference field="3" count="1">
            <x v="21"/>
          </reference>
        </references>
      </pivotArea>
    </format>
    <format dxfId="685">
      <pivotArea dataOnly="0" labelOnly="1" outline="0" fieldPosition="0">
        <references count="3">
          <reference field="0" count="1" selected="0">
            <x v="0"/>
          </reference>
          <reference field="1" count="1" selected="0">
            <x v="30"/>
          </reference>
          <reference field="3" count="1">
            <x v="22"/>
          </reference>
        </references>
      </pivotArea>
    </format>
    <format dxfId="684">
      <pivotArea dataOnly="0" labelOnly="1" outline="0" fieldPosition="0">
        <references count="3">
          <reference field="0" count="1" selected="0">
            <x v="1"/>
          </reference>
          <reference field="1" count="1" selected="0">
            <x v="9"/>
          </reference>
          <reference field="3" count="1">
            <x v="1"/>
          </reference>
        </references>
      </pivotArea>
    </format>
    <format dxfId="683">
      <pivotArea dataOnly="0" labelOnly="1" outline="0" fieldPosition="0">
        <references count="3">
          <reference field="0" count="1" selected="0">
            <x v="1"/>
          </reference>
          <reference field="1" count="1" selected="0">
            <x v="10"/>
          </reference>
          <reference field="3" count="1">
            <x v="2"/>
          </reference>
        </references>
      </pivotArea>
    </format>
    <format dxfId="682">
      <pivotArea dataOnly="0" labelOnly="1" outline="0" fieldPosition="0">
        <references count="3">
          <reference field="0" count="1" selected="0">
            <x v="1"/>
          </reference>
          <reference field="1" count="1" selected="0">
            <x v="12"/>
          </reference>
          <reference field="3" count="1">
            <x v="22"/>
          </reference>
        </references>
      </pivotArea>
    </format>
    <format dxfId="681">
      <pivotArea dataOnly="0" labelOnly="1" outline="0" fieldPosition="0">
        <references count="3">
          <reference field="0" count="1" selected="0">
            <x v="1"/>
          </reference>
          <reference field="1" count="1" selected="0">
            <x v="13"/>
          </reference>
          <reference field="3" count="1">
            <x v="0"/>
          </reference>
        </references>
      </pivotArea>
    </format>
    <format dxfId="680">
      <pivotArea dataOnly="0" labelOnly="1" outline="0" fieldPosition="0">
        <references count="3">
          <reference field="0" count="1" selected="0">
            <x v="1"/>
          </reference>
          <reference field="1" count="1" selected="0">
            <x v="14"/>
          </reference>
          <reference field="3" count="1">
            <x v="8"/>
          </reference>
        </references>
      </pivotArea>
    </format>
    <format dxfId="679">
      <pivotArea dataOnly="0" labelOnly="1" outline="0" fieldPosition="0">
        <references count="3">
          <reference field="0" count="1" selected="0">
            <x v="1"/>
          </reference>
          <reference field="1" count="1" selected="0">
            <x v="16"/>
          </reference>
          <reference field="3" count="1">
            <x v="22"/>
          </reference>
        </references>
      </pivotArea>
    </format>
    <format dxfId="678">
      <pivotArea dataOnly="0" labelOnly="1" outline="0" fieldPosition="0">
        <references count="3">
          <reference field="0" count="1" selected="0">
            <x v="1"/>
          </reference>
          <reference field="1" count="1" selected="0">
            <x v="17"/>
          </reference>
          <reference field="3" count="1">
            <x v="19"/>
          </reference>
        </references>
      </pivotArea>
    </format>
    <format dxfId="677">
      <pivotArea dataOnly="0" labelOnly="1" outline="0" fieldPosition="0">
        <references count="3">
          <reference field="0" count="1" selected="0">
            <x v="1"/>
          </reference>
          <reference field="1" count="1" selected="0">
            <x v="18"/>
          </reference>
          <reference field="3" count="1">
            <x v="18"/>
          </reference>
        </references>
      </pivotArea>
    </format>
    <format dxfId="676">
      <pivotArea dataOnly="0" labelOnly="1" outline="0" fieldPosition="0">
        <references count="3">
          <reference field="0" count="1" selected="0">
            <x v="1"/>
          </reference>
          <reference field="1" count="1" selected="0">
            <x v="20"/>
          </reference>
          <reference field="3" count="1">
            <x v="17"/>
          </reference>
        </references>
      </pivotArea>
    </format>
    <format dxfId="675">
      <pivotArea dataOnly="0" labelOnly="1" outline="0" fieldPosition="0">
        <references count="3">
          <reference field="0" count="1" selected="0">
            <x v="1"/>
          </reference>
          <reference field="1" count="1" selected="0">
            <x v="21"/>
          </reference>
          <reference field="3" count="1">
            <x v="16"/>
          </reference>
        </references>
      </pivotArea>
    </format>
    <format dxfId="674">
      <pivotArea dataOnly="0" labelOnly="1" outline="0" fieldPosition="0">
        <references count="3">
          <reference field="0" count="1" selected="0">
            <x v="1"/>
          </reference>
          <reference field="1" count="1" selected="0">
            <x v="37"/>
          </reference>
          <reference field="3" count="1">
            <x v="9"/>
          </reference>
        </references>
      </pivotArea>
    </format>
    <format dxfId="673">
      <pivotArea dataOnly="0" labelOnly="1" outline="0" fieldPosition="0">
        <references count="3">
          <reference field="0" count="1" selected="0">
            <x v="1"/>
          </reference>
          <reference field="1" count="1" selected="0">
            <x v="38"/>
          </reference>
          <reference field="3" count="1">
            <x v="10"/>
          </reference>
        </references>
      </pivotArea>
    </format>
    <format dxfId="672">
      <pivotArea dataOnly="0" labelOnly="1" outline="0" fieldPosition="0">
        <references count="3">
          <reference field="0" count="1" selected="0">
            <x v="1"/>
          </reference>
          <reference field="1" count="1" selected="0">
            <x v="39"/>
          </reference>
          <reference field="3" count="1">
            <x v="6"/>
          </reference>
        </references>
      </pivotArea>
    </format>
    <format dxfId="671">
      <pivotArea dataOnly="0" labelOnly="1" outline="0" fieldPosition="0">
        <references count="3">
          <reference field="0" count="1" selected="0">
            <x v="2"/>
          </reference>
          <reference field="1" count="1" selected="0">
            <x v="4"/>
          </reference>
          <reference field="3" count="1">
            <x v="22"/>
          </reference>
        </references>
      </pivotArea>
    </format>
    <format dxfId="670">
      <pivotArea dataOnly="0" labelOnly="1" outline="0" fieldPosition="0">
        <references count="3">
          <reference field="0" count="1" selected="0">
            <x v="3"/>
          </reference>
          <reference field="1" count="1" selected="0">
            <x v="41"/>
          </reference>
          <reference field="3" count="1">
            <x v="15"/>
          </reference>
        </references>
      </pivotArea>
    </format>
    <format dxfId="669">
      <pivotArea dataOnly="0" labelOnly="1" outline="0" fieldPosition="0">
        <references count="3">
          <reference field="0" count="1" selected="0">
            <x v="3"/>
          </reference>
          <reference field="1" count="1" selected="0">
            <x v="42"/>
          </reference>
          <reference field="3" count="1">
            <x v="22"/>
          </reference>
        </references>
      </pivotArea>
    </format>
    <format dxfId="668">
      <pivotArea dataOnly="0" labelOnly="1" outline="0" fieldPosition="0">
        <references count="3">
          <reference field="0" count="1" selected="0">
            <x v="5"/>
          </reference>
          <reference field="1" count="1" selected="0">
            <x v="40"/>
          </reference>
          <reference field="3" count="1">
            <x v="3"/>
          </reference>
        </references>
      </pivotArea>
    </format>
    <format dxfId="667">
      <pivotArea dataOnly="0" labelOnly="1" outline="0" fieldPosition="0">
        <references count="3">
          <reference field="0" count="1" selected="0">
            <x v="6"/>
          </reference>
          <reference field="1" count="1" selected="0">
            <x v="0"/>
          </reference>
          <reference field="3" count="1">
            <x v="22"/>
          </reference>
        </references>
      </pivotArea>
    </format>
    <format dxfId="666">
      <pivotArea dataOnly="0" labelOnly="1" outline="0" fieldPosition="0">
        <references count="3">
          <reference field="0" count="1" selected="0">
            <x v="9"/>
          </reference>
          <reference field="1" count="1" selected="0">
            <x v="1"/>
          </reference>
          <reference field="3" count="1">
            <x v="5"/>
          </reference>
        </references>
      </pivotArea>
    </format>
    <format dxfId="665">
      <pivotArea dataOnly="0" labelOnly="1" outline="0" fieldPosition="0">
        <references count="3">
          <reference field="0" count="1" selected="0">
            <x v="9"/>
          </reference>
          <reference field="1" count="1" selected="0">
            <x v="3"/>
          </reference>
          <reference field="3" count="1">
            <x v="12"/>
          </reference>
        </references>
      </pivotArea>
    </format>
    <format dxfId="664">
      <pivotArea dataOnly="0" labelOnly="1" outline="0" fieldPosition="0">
        <references count="3">
          <reference field="0" count="1" selected="0">
            <x v="9"/>
          </reference>
          <reference field="1" count="1" selected="0">
            <x v="7"/>
          </reference>
          <reference field="3" count="1">
            <x v="22"/>
          </reference>
        </references>
      </pivotArea>
    </format>
    <format dxfId="663">
      <pivotArea dataOnly="0" labelOnly="1" outline="0" fieldPosition="0">
        <references count="3">
          <reference field="0" count="1" selected="0">
            <x v="9"/>
          </reference>
          <reference field="1" count="1" selected="0">
            <x v="22"/>
          </reference>
          <reference field="3" count="1">
            <x v="20"/>
          </reference>
        </references>
      </pivotArea>
    </format>
    <format dxfId="662">
      <pivotArea dataOnly="0" labelOnly="1" outline="0" fieldPosition="0">
        <references count="3">
          <reference field="0" count="1" selected="0">
            <x v="9"/>
          </reference>
          <reference field="1" count="1" selected="0">
            <x v="28"/>
          </reference>
          <reference field="3" count="1">
            <x v="4"/>
          </reference>
        </references>
      </pivotArea>
    </format>
    <format dxfId="661">
      <pivotArea dataOnly="0" labelOnly="1" outline="0" fieldPosition="0">
        <references count="3">
          <reference field="0" count="1" selected="0">
            <x v="9"/>
          </reference>
          <reference field="1" count="1" selected="0">
            <x v="33"/>
          </reference>
          <reference field="3" count="1">
            <x v="13"/>
          </reference>
        </references>
      </pivotArea>
    </format>
    <format dxfId="660">
      <pivotArea dataOnly="0" labelOnly="1" outline="0" fieldPosition="0">
        <references count="3">
          <reference field="0" count="1" selected="0">
            <x v="9"/>
          </reference>
          <reference field="1" count="1" selected="0">
            <x v="34"/>
          </reference>
          <reference field="3" count="1">
            <x v="11"/>
          </reference>
        </references>
      </pivotArea>
    </format>
    <format dxfId="659">
      <pivotArea dataOnly="0" labelOnly="1" outline="0" fieldPosition="0">
        <references count="3">
          <reference field="0" count="1" selected="0">
            <x v="9"/>
          </reference>
          <reference field="1" count="1" selected="0">
            <x v="35"/>
          </reference>
          <reference field="3" count="1">
            <x v="14"/>
          </reference>
        </references>
      </pivotArea>
    </format>
    <format dxfId="658">
      <pivotArea dataOnly="0" labelOnly="1" outline="0" fieldPosition="0">
        <references count="4">
          <reference field="0" count="1" selected="0">
            <x v="0"/>
          </reference>
          <reference field="1" count="1" selected="0">
            <x v="11"/>
          </reference>
          <reference field="3" count="1" selected="0">
            <x v="7"/>
          </reference>
          <reference field="5" count="1">
            <x v="0"/>
          </reference>
        </references>
      </pivotArea>
    </format>
    <format dxfId="657">
      <pivotArea dataOnly="0" labelOnly="1" outline="0" fieldPosition="0">
        <references count="4">
          <reference field="0" count="1" selected="0">
            <x v="0"/>
          </reference>
          <reference field="1" count="1" selected="0">
            <x v="19"/>
          </reference>
          <reference field="3" count="1" selected="0">
            <x v="21"/>
          </reference>
          <reference field="5" count="1">
            <x v="26"/>
          </reference>
        </references>
      </pivotArea>
    </format>
    <format dxfId="656">
      <pivotArea dataOnly="0" labelOnly="1" outline="0" fieldPosition="0">
        <references count="4">
          <reference field="0" count="1" selected="0">
            <x v="0"/>
          </reference>
          <reference field="1" count="1" selected="0">
            <x v="30"/>
          </reference>
          <reference field="3" count="1" selected="0">
            <x v="22"/>
          </reference>
          <reference field="5" count="1">
            <x v="14"/>
          </reference>
        </references>
      </pivotArea>
    </format>
    <format dxfId="655">
      <pivotArea dataOnly="0" labelOnly="1" outline="0" fieldPosition="0">
        <references count="4">
          <reference field="0" count="1" selected="0">
            <x v="1"/>
          </reference>
          <reference field="1" count="1" selected="0">
            <x v="9"/>
          </reference>
          <reference field="3" count="1" selected="0">
            <x v="1"/>
          </reference>
          <reference field="5" count="1">
            <x v="2"/>
          </reference>
        </references>
      </pivotArea>
    </format>
    <format dxfId="654">
      <pivotArea dataOnly="0" labelOnly="1" outline="0" fieldPosition="0">
        <references count="4">
          <reference field="0" count="1" selected="0">
            <x v="1"/>
          </reference>
          <reference field="1" count="1" selected="0">
            <x v="10"/>
          </reference>
          <reference field="3" count="1" selected="0">
            <x v="2"/>
          </reference>
          <reference field="5" count="1">
            <x v="6"/>
          </reference>
        </references>
      </pivotArea>
    </format>
    <format dxfId="653">
      <pivotArea dataOnly="0" labelOnly="1" outline="0" fieldPosition="0">
        <references count="4">
          <reference field="0" count="1" selected="0">
            <x v="1"/>
          </reference>
          <reference field="1" count="1" selected="0">
            <x v="12"/>
          </reference>
          <reference field="3" count="1" selected="0">
            <x v="22"/>
          </reference>
          <reference field="5" count="1">
            <x v="1"/>
          </reference>
        </references>
      </pivotArea>
    </format>
    <format dxfId="652">
      <pivotArea dataOnly="0" labelOnly="1" outline="0" fieldPosition="0">
        <references count="4">
          <reference field="0" count="1" selected="0">
            <x v="1"/>
          </reference>
          <reference field="1" count="1" selected="0">
            <x v="13"/>
          </reference>
          <reference field="3" count="1" selected="0">
            <x v="0"/>
          </reference>
          <reference field="5" count="1">
            <x v="4"/>
          </reference>
        </references>
      </pivotArea>
    </format>
    <format dxfId="651">
      <pivotArea dataOnly="0" labelOnly="1" outline="0" fieldPosition="0">
        <references count="4">
          <reference field="0" count="1" selected="0">
            <x v="1"/>
          </reference>
          <reference field="1" count="1" selected="0">
            <x v="14"/>
          </reference>
          <reference field="3" count="1" selected="0">
            <x v="8"/>
          </reference>
          <reference field="5" count="1">
            <x v="11"/>
          </reference>
        </references>
      </pivotArea>
    </format>
    <format dxfId="650">
      <pivotArea dataOnly="0" labelOnly="1" outline="0" fieldPosition="0">
        <references count="4">
          <reference field="0" count="1" selected="0">
            <x v="1"/>
          </reference>
          <reference field="1" count="1" selected="0">
            <x v="16"/>
          </reference>
          <reference field="3" count="1" selected="0">
            <x v="22"/>
          </reference>
          <reference field="5" count="1">
            <x v="3"/>
          </reference>
        </references>
      </pivotArea>
    </format>
    <format dxfId="649">
      <pivotArea dataOnly="0" labelOnly="1" outline="0" fieldPosition="0">
        <references count="4">
          <reference field="0" count="1" selected="0">
            <x v="1"/>
          </reference>
          <reference field="1" count="1" selected="0">
            <x v="17"/>
          </reference>
          <reference field="3" count="1" selected="0">
            <x v="19"/>
          </reference>
          <reference field="5" count="1">
            <x v="24"/>
          </reference>
        </references>
      </pivotArea>
    </format>
    <format dxfId="648">
      <pivotArea dataOnly="0" labelOnly="1" outline="0" fieldPosition="0">
        <references count="4">
          <reference field="0" count="1" selected="0">
            <x v="1"/>
          </reference>
          <reference field="1" count="1" selected="0">
            <x v="18"/>
          </reference>
          <reference field="3" count="1" selected="0">
            <x v="18"/>
          </reference>
          <reference field="5" count="1">
            <x v="23"/>
          </reference>
        </references>
      </pivotArea>
    </format>
    <format dxfId="647">
      <pivotArea dataOnly="0" labelOnly="1" outline="0" fieldPosition="0">
        <references count="4">
          <reference field="0" count="1" selected="0">
            <x v="1"/>
          </reference>
          <reference field="1" count="1" selected="0">
            <x v="20"/>
          </reference>
          <reference field="3" count="1" selected="0">
            <x v="17"/>
          </reference>
          <reference field="5" count="1">
            <x v="22"/>
          </reference>
        </references>
      </pivotArea>
    </format>
    <format dxfId="646">
      <pivotArea dataOnly="0" labelOnly="1" outline="0" fieldPosition="0">
        <references count="4">
          <reference field="0" count="1" selected="0">
            <x v="1"/>
          </reference>
          <reference field="1" count="1" selected="0">
            <x v="21"/>
          </reference>
          <reference field="3" count="1" selected="0">
            <x v="16"/>
          </reference>
          <reference field="5" count="1">
            <x v="21"/>
          </reference>
        </references>
      </pivotArea>
    </format>
    <format dxfId="645">
      <pivotArea dataOnly="0" labelOnly="1" outline="0" fieldPosition="0">
        <references count="4">
          <reference field="0" count="1" selected="0">
            <x v="1"/>
          </reference>
          <reference field="1" count="1" selected="0">
            <x v="37"/>
          </reference>
          <reference field="3" count="1" selected="0">
            <x v="9"/>
          </reference>
          <reference field="5" count="1">
            <x v="12"/>
          </reference>
        </references>
      </pivotArea>
    </format>
    <format dxfId="644">
      <pivotArea dataOnly="0" labelOnly="1" outline="0" fieldPosition="0">
        <references count="4">
          <reference field="0" count="1" selected="0">
            <x v="1"/>
          </reference>
          <reference field="1" count="1" selected="0">
            <x v="38"/>
          </reference>
          <reference field="3" count="1" selected="0">
            <x v="10"/>
          </reference>
          <reference field="5" count="1">
            <x v="13"/>
          </reference>
        </references>
      </pivotArea>
    </format>
    <format dxfId="643">
      <pivotArea dataOnly="0" labelOnly="1" outline="0" fieldPosition="0">
        <references count="4">
          <reference field="0" count="1" selected="0">
            <x v="1"/>
          </reference>
          <reference field="1" count="1" selected="0">
            <x v="39"/>
          </reference>
          <reference field="3" count="1" selected="0">
            <x v="6"/>
          </reference>
          <reference field="5" count="1">
            <x v="10"/>
          </reference>
        </references>
      </pivotArea>
    </format>
    <format dxfId="642">
      <pivotArea dataOnly="0" labelOnly="1" outline="0" fieldPosition="0">
        <references count="4">
          <reference field="0" count="1" selected="0">
            <x v="2"/>
          </reference>
          <reference field="1" count="1" selected="0">
            <x v="4"/>
          </reference>
          <reference field="3" count="1" selected="0">
            <x v="22"/>
          </reference>
          <reference field="5" count="1">
            <x v="27"/>
          </reference>
        </references>
      </pivotArea>
    </format>
    <format dxfId="641">
      <pivotArea dataOnly="0" labelOnly="1" outline="0" fieldPosition="0">
        <references count="4">
          <reference field="0" count="1" selected="0">
            <x v="3"/>
          </reference>
          <reference field="1" count="1" selected="0">
            <x v="41"/>
          </reference>
          <reference field="3" count="1" selected="0">
            <x v="15"/>
          </reference>
          <reference field="5" count="1">
            <x v="20"/>
          </reference>
        </references>
      </pivotArea>
    </format>
    <format dxfId="640">
      <pivotArea dataOnly="0" labelOnly="1" outline="0" fieldPosition="0">
        <references count="4">
          <reference field="0" count="1" selected="0">
            <x v="3"/>
          </reference>
          <reference field="1" count="1" selected="0">
            <x v="42"/>
          </reference>
          <reference field="3" count="1" selected="0">
            <x v="22"/>
          </reference>
          <reference field="5" count="1">
            <x v="27"/>
          </reference>
        </references>
      </pivotArea>
    </format>
    <format dxfId="639">
      <pivotArea dataOnly="0" labelOnly="1" outline="0" fieldPosition="0">
        <references count="4">
          <reference field="0" count="1" selected="0">
            <x v="4"/>
          </reference>
          <reference field="1" count="1" selected="0">
            <x v="26"/>
          </reference>
          <reference field="3" count="1" selected="0">
            <x v="22"/>
          </reference>
          <reference field="5" count="1">
            <x v="17"/>
          </reference>
        </references>
      </pivotArea>
    </format>
    <format dxfId="638">
      <pivotArea dataOnly="0" labelOnly="1" outline="0" fieldPosition="0">
        <references count="4">
          <reference field="0" count="1" selected="0">
            <x v="5"/>
          </reference>
          <reference field="1" count="1" selected="0">
            <x v="40"/>
          </reference>
          <reference field="3" count="1" selected="0">
            <x v="3"/>
          </reference>
          <reference field="5" count="1">
            <x v="7"/>
          </reference>
        </references>
      </pivotArea>
    </format>
    <format dxfId="637">
      <pivotArea dataOnly="0" labelOnly="1" outline="0" fieldPosition="0">
        <references count="4">
          <reference field="0" count="1" selected="0">
            <x v="6"/>
          </reference>
          <reference field="1" count="1" selected="0">
            <x v="0"/>
          </reference>
          <reference field="3" count="1" selected="0">
            <x v="22"/>
          </reference>
          <reference field="5" count="1">
            <x v="27"/>
          </reference>
        </references>
      </pivotArea>
    </format>
    <format dxfId="636">
      <pivotArea dataOnly="0" labelOnly="1" outline="0" fieldPosition="0">
        <references count="4">
          <reference field="0" count="1" selected="0">
            <x v="6"/>
          </reference>
          <reference field="1" count="1" selected="0">
            <x v="27"/>
          </reference>
          <reference field="3" count="1" selected="0">
            <x v="22"/>
          </reference>
          <reference field="5" count="1">
            <x v="5"/>
          </reference>
        </references>
      </pivotArea>
    </format>
    <format dxfId="635">
      <pivotArea dataOnly="0" labelOnly="1" outline="0" fieldPosition="0">
        <references count="4">
          <reference field="0" count="1" selected="0">
            <x v="7"/>
          </reference>
          <reference field="1" count="1" selected="0">
            <x v="23"/>
          </reference>
          <reference field="3" count="1" selected="0">
            <x v="22"/>
          </reference>
          <reference field="5" count="1">
            <x v="27"/>
          </reference>
        </references>
      </pivotArea>
    </format>
    <format dxfId="634">
      <pivotArea dataOnly="0" labelOnly="1" outline="0" fieldPosition="0">
        <references count="4">
          <reference field="0" count="1" selected="0">
            <x v="9"/>
          </reference>
          <reference field="1" count="1" selected="0">
            <x v="1"/>
          </reference>
          <reference field="3" count="1" selected="0">
            <x v="5"/>
          </reference>
          <reference field="5" count="1">
            <x v="8"/>
          </reference>
        </references>
      </pivotArea>
    </format>
    <format dxfId="633">
      <pivotArea dataOnly="0" labelOnly="1" outline="0" fieldPosition="0">
        <references count="4">
          <reference field="0" count="1" selected="0">
            <x v="9"/>
          </reference>
          <reference field="1" count="1" selected="0">
            <x v="3"/>
          </reference>
          <reference field="3" count="1" selected="0">
            <x v="12"/>
          </reference>
          <reference field="5" count="1">
            <x v="16"/>
          </reference>
        </references>
      </pivotArea>
    </format>
    <format dxfId="632">
      <pivotArea dataOnly="0" labelOnly="1" outline="0" fieldPosition="0">
        <references count="4">
          <reference field="0" count="1" selected="0">
            <x v="9"/>
          </reference>
          <reference field="1" count="1" selected="0">
            <x v="22"/>
          </reference>
          <reference field="3" count="1" selected="0">
            <x v="20"/>
          </reference>
          <reference field="5" count="1">
            <x v="25"/>
          </reference>
        </references>
      </pivotArea>
    </format>
    <format dxfId="631">
      <pivotArea dataOnly="0" labelOnly="1" outline="0" fieldPosition="0">
        <references count="4">
          <reference field="0" count="1" selected="0">
            <x v="9"/>
          </reference>
          <reference field="1" count="1" selected="0">
            <x v="28"/>
          </reference>
          <reference field="3" count="1" selected="0">
            <x v="4"/>
          </reference>
          <reference field="5" count="1">
            <x v="9"/>
          </reference>
        </references>
      </pivotArea>
    </format>
    <format dxfId="630">
      <pivotArea dataOnly="0" labelOnly="1" outline="0" fieldPosition="0">
        <references count="4">
          <reference field="0" count="1" selected="0">
            <x v="9"/>
          </reference>
          <reference field="1" count="1" selected="0">
            <x v="33"/>
          </reference>
          <reference field="3" count="1" selected="0">
            <x v="13"/>
          </reference>
          <reference field="5" count="1">
            <x v="18"/>
          </reference>
        </references>
      </pivotArea>
    </format>
    <format dxfId="629">
      <pivotArea dataOnly="0" labelOnly="1" outline="0" fieldPosition="0">
        <references count="4">
          <reference field="0" count="1" selected="0">
            <x v="9"/>
          </reference>
          <reference field="1" count="1" selected="0">
            <x v="34"/>
          </reference>
          <reference field="3" count="1" selected="0">
            <x v="11"/>
          </reference>
          <reference field="5" count="1">
            <x v="15"/>
          </reference>
        </references>
      </pivotArea>
    </format>
    <format dxfId="628">
      <pivotArea dataOnly="0" labelOnly="1" outline="0" fieldPosition="0">
        <references count="4">
          <reference field="0" count="1" selected="0">
            <x v="9"/>
          </reference>
          <reference field="1" count="1" selected="0">
            <x v="35"/>
          </reference>
          <reference field="3" count="1" selected="0">
            <x v="14"/>
          </reference>
          <reference field="5" count="1">
            <x v="19"/>
          </reference>
        </references>
      </pivotArea>
    </format>
    <format dxfId="627">
      <pivotArea dataOnly="0" labelOnly="1" outline="0" fieldPosition="0">
        <references count="5">
          <reference field="0" count="1" selected="0">
            <x v="0"/>
          </reference>
          <reference field="1" count="1" selected="0">
            <x v="11"/>
          </reference>
          <reference field="3" count="1" selected="0">
            <x v="7"/>
          </reference>
          <reference field="5" count="1" selected="0">
            <x v="0"/>
          </reference>
          <reference field="9" count="1">
            <x v="12"/>
          </reference>
        </references>
      </pivotArea>
    </format>
    <format dxfId="626">
      <pivotArea dataOnly="0" labelOnly="1" outline="0" fieldPosition="0">
        <references count="5">
          <reference field="0" count="1" selected="0">
            <x v="0"/>
          </reference>
          <reference field="1" count="1" selected="0">
            <x v="19"/>
          </reference>
          <reference field="3" count="1" selected="0">
            <x v="21"/>
          </reference>
          <reference field="5" count="1" selected="0">
            <x v="26"/>
          </reference>
          <reference field="9" count="1">
            <x v="35"/>
          </reference>
        </references>
      </pivotArea>
    </format>
    <format dxfId="625">
      <pivotArea dataOnly="0" labelOnly="1" outline="0" fieldPosition="0">
        <references count="5">
          <reference field="0" count="1" selected="0">
            <x v="0"/>
          </reference>
          <reference field="1" count="1" selected="0">
            <x v="30"/>
          </reference>
          <reference field="3" count="1" selected="0">
            <x v="22"/>
          </reference>
          <reference field="5" count="1" selected="0">
            <x v="14"/>
          </reference>
          <reference field="9" count="1">
            <x v="16"/>
          </reference>
        </references>
      </pivotArea>
    </format>
    <format dxfId="624">
      <pivotArea dataOnly="0" labelOnly="1" outline="0" fieldPosition="0">
        <references count="5">
          <reference field="0" count="1" selected="0">
            <x v="1"/>
          </reference>
          <reference field="1" count="1" selected="0">
            <x v="9"/>
          </reference>
          <reference field="3" count="1" selected="0">
            <x v="1"/>
          </reference>
          <reference field="5" count="1" selected="0">
            <x v="2"/>
          </reference>
          <reference field="9" count="1">
            <x v="4"/>
          </reference>
        </references>
      </pivotArea>
    </format>
    <format dxfId="623">
      <pivotArea dataOnly="0" labelOnly="1" outline="0" fieldPosition="0">
        <references count="5">
          <reference field="0" count="1" selected="0">
            <x v="1"/>
          </reference>
          <reference field="1" count="1" selected="0">
            <x v="10"/>
          </reference>
          <reference field="3" count="1" selected="0">
            <x v="2"/>
          </reference>
          <reference field="5" count="1" selected="0">
            <x v="6"/>
          </reference>
          <reference field="9" count="1">
            <x v="6"/>
          </reference>
        </references>
      </pivotArea>
    </format>
    <format dxfId="622">
      <pivotArea dataOnly="0" labelOnly="1" outline="0" fieldPosition="0">
        <references count="5">
          <reference field="0" count="1" selected="0">
            <x v="1"/>
          </reference>
          <reference field="1" count="1" selected="0">
            <x v="12"/>
          </reference>
          <reference field="3" count="1" selected="0">
            <x v="22"/>
          </reference>
          <reference field="5" count="1" selected="0">
            <x v="1"/>
          </reference>
          <reference field="9" count="1">
            <x v="17"/>
          </reference>
        </references>
      </pivotArea>
    </format>
    <format dxfId="621">
      <pivotArea dataOnly="0" labelOnly="1" outline="0" fieldPosition="0">
        <references count="5">
          <reference field="0" count="1" selected="0">
            <x v="1"/>
          </reference>
          <reference field="1" count="1" selected="0">
            <x v="13"/>
          </reference>
          <reference field="3" count="1" selected="0">
            <x v="0"/>
          </reference>
          <reference field="5" count="1" selected="0">
            <x v="4"/>
          </reference>
          <reference field="9" count="1">
            <x v="5"/>
          </reference>
        </references>
      </pivotArea>
    </format>
    <format dxfId="620">
      <pivotArea dataOnly="0" labelOnly="1" outline="0" fieldPosition="0">
        <references count="5">
          <reference field="0" count="1" selected="0">
            <x v="1"/>
          </reference>
          <reference field="1" count="1" selected="0">
            <x v="14"/>
          </reference>
          <reference field="3" count="1" selected="0">
            <x v="8"/>
          </reference>
          <reference field="5" count="1" selected="0">
            <x v="11"/>
          </reference>
          <reference field="9" count="1">
            <x v="11"/>
          </reference>
        </references>
      </pivotArea>
    </format>
    <format dxfId="619">
      <pivotArea dataOnly="0" labelOnly="1" outline="0" fieldPosition="0">
        <references count="5">
          <reference field="0" count="1" selected="0">
            <x v="1"/>
          </reference>
          <reference field="1" count="1" selected="0">
            <x v="16"/>
          </reference>
          <reference field="3" count="1" selected="0">
            <x v="22"/>
          </reference>
          <reference field="5" count="1" selected="0">
            <x v="3"/>
          </reference>
          <reference field="9" count="1">
            <x v="1"/>
          </reference>
        </references>
      </pivotArea>
    </format>
    <format dxfId="618">
      <pivotArea dataOnly="0" labelOnly="1" outline="0" fieldPosition="0">
        <references count="5">
          <reference field="0" count="1" selected="0">
            <x v="1"/>
          </reference>
          <reference field="1" count="1" selected="0">
            <x v="17"/>
          </reference>
          <reference field="3" count="1" selected="0">
            <x v="19"/>
          </reference>
          <reference field="5" count="1" selected="0">
            <x v="24"/>
          </reference>
          <reference field="9" count="1">
            <x v="33"/>
          </reference>
        </references>
      </pivotArea>
    </format>
    <format dxfId="617">
      <pivotArea dataOnly="0" labelOnly="1" outline="0" fieldPosition="0">
        <references count="5">
          <reference field="0" count="1" selected="0">
            <x v="1"/>
          </reference>
          <reference field="1" count="1" selected="0">
            <x v="18"/>
          </reference>
          <reference field="3" count="1" selected="0">
            <x v="18"/>
          </reference>
          <reference field="5" count="1" selected="0">
            <x v="23"/>
          </reference>
          <reference field="9" count="1">
            <x v="32"/>
          </reference>
        </references>
      </pivotArea>
    </format>
    <format dxfId="616">
      <pivotArea dataOnly="0" labelOnly="1" outline="0" fieldPosition="0">
        <references count="5">
          <reference field="0" count="1" selected="0">
            <x v="1"/>
          </reference>
          <reference field="1" count="1" selected="0">
            <x v="20"/>
          </reference>
          <reference field="3" count="1" selected="0">
            <x v="17"/>
          </reference>
          <reference field="5" count="1" selected="0">
            <x v="22"/>
          </reference>
          <reference field="9" count="1">
            <x v="31"/>
          </reference>
        </references>
      </pivotArea>
    </format>
    <format dxfId="615">
      <pivotArea dataOnly="0" labelOnly="1" outline="0" fieldPosition="0">
        <references count="5">
          <reference field="0" count="1" selected="0">
            <x v="1"/>
          </reference>
          <reference field="1" count="1" selected="0">
            <x v="21"/>
          </reference>
          <reference field="3" count="1" selected="0">
            <x v="16"/>
          </reference>
          <reference field="5" count="1" selected="0">
            <x v="21"/>
          </reference>
          <reference field="9" count="1">
            <x v="30"/>
          </reference>
        </references>
      </pivotArea>
    </format>
    <format dxfId="614">
      <pivotArea dataOnly="0" labelOnly="1" outline="0" fieldPosition="0">
        <references count="5">
          <reference field="0" count="1" selected="0">
            <x v="1"/>
          </reference>
          <reference field="1" count="1" selected="0">
            <x v="37"/>
          </reference>
          <reference field="3" count="1" selected="0">
            <x v="9"/>
          </reference>
          <reference field="5" count="1" selected="0">
            <x v="12"/>
          </reference>
          <reference field="9" count="1">
            <x v="12"/>
          </reference>
        </references>
      </pivotArea>
    </format>
    <format dxfId="613">
      <pivotArea dataOnly="0" labelOnly="1" outline="0" fieldPosition="0">
        <references count="5">
          <reference field="0" count="1" selected="0">
            <x v="1"/>
          </reference>
          <reference field="1" count="1" selected="0">
            <x v="38"/>
          </reference>
          <reference field="3" count="1" selected="0">
            <x v="10"/>
          </reference>
          <reference field="5" count="1" selected="0">
            <x v="13"/>
          </reference>
          <reference field="9" count="1">
            <x v="13"/>
          </reference>
        </references>
      </pivotArea>
    </format>
    <format dxfId="612">
      <pivotArea dataOnly="0" labelOnly="1" outline="0" fieldPosition="0">
        <references count="5">
          <reference field="0" count="1" selected="0">
            <x v="1"/>
          </reference>
          <reference field="1" count="1" selected="0">
            <x v="39"/>
          </reference>
          <reference field="3" count="1" selected="0">
            <x v="6"/>
          </reference>
          <reference field="5" count="1" selected="0">
            <x v="10"/>
          </reference>
          <reference field="9" count="1">
            <x v="8"/>
          </reference>
        </references>
      </pivotArea>
    </format>
    <format dxfId="611">
      <pivotArea dataOnly="0" labelOnly="1" outline="0" fieldPosition="0">
        <references count="5">
          <reference field="0" count="1" selected="0">
            <x v="2"/>
          </reference>
          <reference field="1" count="1" selected="0">
            <x v="4"/>
          </reference>
          <reference field="3" count="1" selected="0">
            <x v="22"/>
          </reference>
          <reference field="5" count="1" selected="0">
            <x v="27"/>
          </reference>
          <reference field="9" count="1">
            <x v="36"/>
          </reference>
        </references>
      </pivotArea>
    </format>
    <format dxfId="610">
      <pivotArea dataOnly="0" labelOnly="1" outline="0" fieldPosition="0">
        <references count="5">
          <reference field="0" count="1" selected="0">
            <x v="2"/>
          </reference>
          <reference field="1" count="1" selected="0">
            <x v="25"/>
          </reference>
          <reference field="3" count="1" selected="0">
            <x v="22"/>
          </reference>
          <reference field="5" count="1" selected="0">
            <x v="27"/>
          </reference>
          <reference field="9" count="1">
            <x v="28"/>
          </reference>
        </references>
      </pivotArea>
    </format>
    <format dxfId="609">
      <pivotArea dataOnly="0" labelOnly="1" outline="0" fieldPosition="0">
        <references count="5">
          <reference field="0" count="1" selected="0">
            <x v="2"/>
          </reference>
          <reference field="1" count="1" selected="0">
            <x v="29"/>
          </reference>
          <reference field="3" count="1" selected="0">
            <x v="22"/>
          </reference>
          <reference field="5" count="1" selected="0">
            <x v="27"/>
          </reference>
          <reference field="9" count="1">
            <x v="36"/>
          </reference>
        </references>
      </pivotArea>
    </format>
    <format dxfId="608">
      <pivotArea dataOnly="0" labelOnly="1" outline="0" fieldPosition="0">
        <references count="5">
          <reference field="0" count="1" selected="0">
            <x v="2"/>
          </reference>
          <reference field="1" count="1" selected="0">
            <x v="31"/>
          </reference>
          <reference field="3" count="1" selected="0">
            <x v="22"/>
          </reference>
          <reference field="5" count="1" selected="0">
            <x v="27"/>
          </reference>
          <reference field="9" count="1">
            <x v="27"/>
          </reference>
        </references>
      </pivotArea>
    </format>
    <format dxfId="607">
      <pivotArea dataOnly="0" labelOnly="1" outline="0" fieldPosition="0">
        <references count="5">
          <reference field="0" count="1" selected="0">
            <x v="2"/>
          </reference>
          <reference field="1" count="1" selected="0">
            <x v="32"/>
          </reference>
          <reference field="3" count="1" selected="0">
            <x v="22"/>
          </reference>
          <reference field="5" count="1" selected="0">
            <x v="27"/>
          </reference>
          <reference field="9" count="1">
            <x v="36"/>
          </reference>
        </references>
      </pivotArea>
    </format>
    <format dxfId="606">
      <pivotArea dataOnly="0" labelOnly="1" outline="0" fieldPosition="0">
        <references count="5">
          <reference field="0" count="1" selected="0">
            <x v="2"/>
          </reference>
          <reference field="1" count="1" selected="0">
            <x v="36"/>
          </reference>
          <reference field="3" count="1" selected="0">
            <x v="22"/>
          </reference>
          <reference field="5" count="1" selected="0">
            <x v="27"/>
          </reference>
          <reference field="9" count="1">
            <x v="14"/>
          </reference>
        </references>
      </pivotArea>
    </format>
    <format dxfId="605">
      <pivotArea dataOnly="0" labelOnly="1" outline="0" fieldPosition="0">
        <references count="5">
          <reference field="0" count="1" selected="0">
            <x v="3"/>
          </reference>
          <reference field="1" count="1" selected="0">
            <x v="41"/>
          </reference>
          <reference field="3" count="1" selected="0">
            <x v="15"/>
          </reference>
          <reference field="5" count="1" selected="0">
            <x v="20"/>
          </reference>
          <reference field="9" count="1">
            <x v="26"/>
          </reference>
        </references>
      </pivotArea>
    </format>
    <format dxfId="604">
      <pivotArea dataOnly="0" labelOnly="1" outline="0" fieldPosition="0">
        <references count="5">
          <reference field="0" count="1" selected="0">
            <x v="3"/>
          </reference>
          <reference field="1" count="1" selected="0">
            <x v="42"/>
          </reference>
          <reference field="3" count="1" selected="0">
            <x v="22"/>
          </reference>
          <reference field="5" count="1" selected="0">
            <x v="27"/>
          </reference>
          <reference field="9" count="1">
            <x v="25"/>
          </reference>
        </references>
      </pivotArea>
    </format>
    <format dxfId="603">
      <pivotArea dataOnly="0" labelOnly="1" outline="0" fieldPosition="0">
        <references count="5">
          <reference field="0" count="1" selected="0">
            <x v="4"/>
          </reference>
          <reference field="1" count="1" selected="0">
            <x v="8"/>
          </reference>
          <reference field="3" count="1" selected="0">
            <x v="22"/>
          </reference>
          <reference field="5" count="1" selected="0">
            <x v="27"/>
          </reference>
          <reference field="9" count="1">
            <x v="36"/>
          </reference>
        </references>
      </pivotArea>
    </format>
    <format dxfId="602">
      <pivotArea dataOnly="0" labelOnly="1" outline="0" fieldPosition="0">
        <references count="5">
          <reference field="0" count="1" selected="0">
            <x v="4"/>
          </reference>
          <reference field="1" count="1" selected="0">
            <x v="26"/>
          </reference>
          <reference field="3" count="1" selected="0">
            <x v="22"/>
          </reference>
          <reference field="5" count="1" selected="0">
            <x v="17"/>
          </reference>
          <reference field="9" count="1">
            <x v="19"/>
          </reference>
        </references>
      </pivotArea>
    </format>
    <format dxfId="601">
      <pivotArea dataOnly="0" labelOnly="1" outline="0" fieldPosition="0">
        <references count="5">
          <reference field="0" count="1" selected="0">
            <x v="5"/>
          </reference>
          <reference field="1" count="1" selected="0">
            <x v="40"/>
          </reference>
          <reference field="3" count="1" selected="0">
            <x v="3"/>
          </reference>
          <reference field="5" count="1" selected="0">
            <x v="7"/>
          </reference>
          <reference field="9" count="1">
            <x v="2"/>
          </reference>
        </references>
      </pivotArea>
    </format>
    <format dxfId="600">
      <pivotArea dataOnly="0" labelOnly="1" outline="0" fieldPosition="0">
        <references count="5">
          <reference field="0" count="1" selected="0">
            <x v="6"/>
          </reference>
          <reference field="1" count="1" selected="0">
            <x v="0"/>
          </reference>
          <reference field="3" count="1" selected="0">
            <x v="22"/>
          </reference>
          <reference field="5" count="1" selected="0">
            <x v="27"/>
          </reference>
          <reference field="9" count="1">
            <x v="20"/>
          </reference>
        </references>
      </pivotArea>
    </format>
    <format dxfId="599">
      <pivotArea dataOnly="0" labelOnly="1" outline="0" fieldPosition="0">
        <references count="5">
          <reference field="0" count="1" selected="0">
            <x v="6"/>
          </reference>
          <reference field="1" count="1" selected="0">
            <x v="2"/>
          </reference>
          <reference field="3" count="1" selected="0">
            <x v="22"/>
          </reference>
          <reference field="5" count="1" selected="0">
            <x v="27"/>
          </reference>
          <reference field="9" count="1">
            <x v="10"/>
          </reference>
        </references>
      </pivotArea>
    </format>
    <format dxfId="598">
      <pivotArea dataOnly="0" labelOnly="1" outline="0" fieldPosition="0">
        <references count="5">
          <reference field="0" count="1" selected="0">
            <x v="6"/>
          </reference>
          <reference field="1" count="1" selected="0">
            <x v="5"/>
          </reference>
          <reference field="3" count="1" selected="0">
            <x v="22"/>
          </reference>
          <reference field="5" count="1" selected="0">
            <x v="27"/>
          </reference>
          <reference field="9" count="1">
            <x v="36"/>
          </reference>
        </references>
      </pivotArea>
    </format>
    <format dxfId="597">
      <pivotArea dataOnly="0" labelOnly="1" outline="0" fieldPosition="0">
        <references count="5">
          <reference field="0" count="1" selected="0">
            <x v="6"/>
          </reference>
          <reference field="1" count="1" selected="0">
            <x v="6"/>
          </reference>
          <reference field="3" count="1" selected="0">
            <x v="22"/>
          </reference>
          <reference field="5" count="1" selected="0">
            <x v="27"/>
          </reference>
          <reference field="9" count="1">
            <x v="22"/>
          </reference>
        </references>
      </pivotArea>
    </format>
    <format dxfId="596">
      <pivotArea dataOnly="0" labelOnly="1" outline="0" fieldPosition="0">
        <references count="5">
          <reference field="0" count="1" selected="0">
            <x v="6"/>
          </reference>
          <reference field="1" count="1" selected="0">
            <x v="24"/>
          </reference>
          <reference field="3" count="1" selected="0">
            <x v="22"/>
          </reference>
          <reference field="5" count="1" selected="0">
            <x v="27"/>
          </reference>
          <reference field="9" count="1">
            <x v="36"/>
          </reference>
        </references>
      </pivotArea>
    </format>
    <format dxfId="595">
      <pivotArea dataOnly="0" labelOnly="1" outline="0" fieldPosition="0">
        <references count="5">
          <reference field="0" count="1" selected="0">
            <x v="6"/>
          </reference>
          <reference field="1" count="1" selected="0">
            <x v="27"/>
          </reference>
          <reference field="3" count="1" selected="0">
            <x v="22"/>
          </reference>
          <reference field="5" count="1" selected="0">
            <x v="5"/>
          </reference>
          <reference field="9" count="1">
            <x v="0"/>
          </reference>
        </references>
      </pivotArea>
    </format>
    <format dxfId="594">
      <pivotArea dataOnly="0" labelOnly="1" outline="0" fieldPosition="0">
        <references count="5">
          <reference field="0" count="1" selected="0">
            <x v="7"/>
          </reference>
          <reference field="1" count="1" selected="0">
            <x v="23"/>
          </reference>
          <reference field="3" count="1" selected="0">
            <x v="22"/>
          </reference>
          <reference field="5" count="1" selected="0">
            <x v="27"/>
          </reference>
          <reference field="9" count="1">
            <x v="23"/>
          </reference>
        </references>
      </pivotArea>
    </format>
    <format dxfId="593">
      <pivotArea dataOnly="0" labelOnly="1" outline="0" fieldPosition="0">
        <references count="5">
          <reference field="0" count="1" selected="0">
            <x v="8"/>
          </reference>
          <reference field="1" count="1" selected="0">
            <x v="43"/>
          </reference>
          <reference field="3" count="1" selected="0">
            <x v="22"/>
          </reference>
          <reference field="5" count="1" selected="0">
            <x v="27"/>
          </reference>
          <reference field="9" count="1">
            <x v="36"/>
          </reference>
        </references>
      </pivotArea>
    </format>
    <format dxfId="592">
      <pivotArea dataOnly="0" labelOnly="1" outline="0" fieldPosition="0">
        <references count="5">
          <reference field="0" count="1" selected="0">
            <x v="9"/>
          </reference>
          <reference field="1" count="1" selected="0">
            <x v="1"/>
          </reference>
          <reference field="3" count="1" selected="0">
            <x v="5"/>
          </reference>
          <reference field="5" count="1" selected="0">
            <x v="8"/>
          </reference>
          <reference field="9" count="1">
            <x v="7"/>
          </reference>
        </references>
      </pivotArea>
    </format>
    <format dxfId="591">
      <pivotArea dataOnly="0" labelOnly="1" outline="0" fieldPosition="0">
        <references count="5">
          <reference field="0" count="1" selected="0">
            <x v="9"/>
          </reference>
          <reference field="1" count="1" selected="0">
            <x v="3"/>
          </reference>
          <reference field="3" count="1" selected="0">
            <x v="12"/>
          </reference>
          <reference field="5" count="1" selected="0">
            <x v="16"/>
          </reference>
          <reference field="9" count="1">
            <x v="18"/>
          </reference>
        </references>
      </pivotArea>
    </format>
    <format dxfId="590">
      <pivotArea dataOnly="0" labelOnly="1" outline="0" fieldPosition="0">
        <references count="5">
          <reference field="0" count="1" selected="0">
            <x v="9"/>
          </reference>
          <reference field="1" count="1" selected="0">
            <x v="22"/>
          </reference>
          <reference field="3" count="1" selected="0">
            <x v="20"/>
          </reference>
          <reference field="5" count="1" selected="0">
            <x v="25"/>
          </reference>
          <reference field="9" count="1">
            <x v="34"/>
          </reference>
        </references>
      </pivotArea>
    </format>
    <format dxfId="589">
      <pivotArea dataOnly="0" labelOnly="1" outline="0" fieldPosition="0">
        <references count="5">
          <reference field="0" count="1" selected="0">
            <x v="9"/>
          </reference>
          <reference field="1" count="1" selected="0">
            <x v="28"/>
          </reference>
          <reference field="3" count="1" selected="0">
            <x v="4"/>
          </reference>
          <reference field="5" count="1" selected="0">
            <x v="9"/>
          </reference>
          <reference field="9" count="1">
            <x v="3"/>
          </reference>
        </references>
      </pivotArea>
    </format>
    <format dxfId="588">
      <pivotArea dataOnly="0" labelOnly="1" outline="0" fieldPosition="0">
        <references count="5">
          <reference field="0" count="1" selected="0">
            <x v="9"/>
          </reference>
          <reference field="1" count="1" selected="0">
            <x v="33"/>
          </reference>
          <reference field="3" count="1" selected="0">
            <x v="13"/>
          </reference>
          <reference field="5" count="1" selected="0">
            <x v="18"/>
          </reference>
          <reference field="9" count="1">
            <x v="21"/>
          </reference>
        </references>
      </pivotArea>
    </format>
    <format dxfId="587">
      <pivotArea dataOnly="0" labelOnly="1" outline="0" fieldPosition="0">
        <references count="5">
          <reference field="0" count="1" selected="0">
            <x v="9"/>
          </reference>
          <reference field="1" count="1" selected="0">
            <x v="34"/>
          </reference>
          <reference field="3" count="1" selected="0">
            <x v="11"/>
          </reference>
          <reference field="5" count="1" selected="0">
            <x v="15"/>
          </reference>
          <reference field="9" count="1">
            <x v="15"/>
          </reference>
        </references>
      </pivotArea>
    </format>
    <format dxfId="586">
      <pivotArea dataOnly="0" labelOnly="1" outline="0" fieldPosition="0">
        <references count="5">
          <reference field="0" count="1" selected="0">
            <x v="9"/>
          </reference>
          <reference field="1" count="1" selected="0">
            <x v="35"/>
          </reference>
          <reference field="3" count="1" selected="0">
            <x v="14"/>
          </reference>
          <reference field="5" count="1" selected="0">
            <x v="19"/>
          </reference>
          <reference field="9" count="1">
            <x v="24"/>
          </reference>
        </references>
      </pivotArea>
    </format>
    <format dxfId="585">
      <pivotArea dataOnly="0" labelOnly="1" outline="0" fieldPosition="0">
        <references count="4">
          <reference field="0" count="1" selected="0">
            <x v="1"/>
          </reference>
          <reference field="1" count="1" selected="0">
            <x v="12"/>
          </reference>
          <reference field="3" count="1" selected="0">
            <x v="22"/>
          </reference>
          <reference field="5" count="1">
            <x v="1"/>
          </reference>
        </references>
      </pivotArea>
    </format>
    <format dxfId="584">
      <pivotArea dataOnly="0" labelOnly="1" outline="0" fieldPosition="0">
        <references count="5">
          <reference field="0" count="1" selected="0">
            <x v="1"/>
          </reference>
          <reference field="1" count="1" selected="0">
            <x v="12"/>
          </reference>
          <reference field="3" count="1" selected="0">
            <x v="22"/>
          </reference>
          <reference field="5" count="1" selected="0">
            <x v="1"/>
          </reference>
          <reference field="9" count="1">
            <x v="17"/>
          </reference>
        </references>
      </pivotArea>
    </format>
    <format dxfId="583">
      <pivotArea dataOnly="0" labelOnly="1" outline="0" fieldPosition="0">
        <references count="4">
          <reference field="0" count="1" selected="0">
            <x v="1"/>
          </reference>
          <reference field="1" count="1" selected="0">
            <x v="16"/>
          </reference>
          <reference field="3" count="1" selected="0">
            <x v="22"/>
          </reference>
          <reference field="5" count="1">
            <x v="3"/>
          </reference>
        </references>
      </pivotArea>
    </format>
    <format dxfId="582">
      <pivotArea dataOnly="0" labelOnly="1" outline="0" fieldPosition="0">
        <references count="5">
          <reference field="0" count="1" selected="0">
            <x v="1"/>
          </reference>
          <reference field="1" count="1" selected="0">
            <x v="16"/>
          </reference>
          <reference field="3" count="1" selected="0">
            <x v="22"/>
          </reference>
          <reference field="5" count="1" selected="0">
            <x v="3"/>
          </reference>
          <reference field="9" count="1">
            <x v="1"/>
          </reference>
        </references>
      </pivotArea>
    </format>
    <format dxfId="581">
      <pivotArea dataOnly="0" labelOnly="1" outline="0" fieldPosition="0">
        <references count="3">
          <reference field="0" count="1" selected="0">
            <x v="1"/>
          </reference>
          <reference field="1" count="1" selected="0">
            <x v="17"/>
          </reference>
          <reference field="3" count="1">
            <x v="19"/>
          </reference>
        </references>
      </pivotArea>
    </format>
    <format dxfId="580">
      <pivotArea dataOnly="0" labelOnly="1" outline="0" fieldPosition="0">
        <references count="3">
          <reference field="0" count="1" selected="0">
            <x v="1"/>
          </reference>
          <reference field="1" count="1" selected="0">
            <x v="18"/>
          </reference>
          <reference field="3" count="1">
            <x v="18"/>
          </reference>
        </references>
      </pivotArea>
    </format>
    <format dxfId="579">
      <pivotArea dataOnly="0" labelOnly="1" outline="0" fieldPosition="0">
        <references count="3">
          <reference field="0" count="1" selected="0">
            <x v="1"/>
          </reference>
          <reference field="1" count="1" selected="0">
            <x v="20"/>
          </reference>
          <reference field="3" count="1">
            <x v="17"/>
          </reference>
        </references>
      </pivotArea>
    </format>
    <format dxfId="578">
      <pivotArea dataOnly="0" labelOnly="1" outline="0" fieldPosition="0">
        <references count="3">
          <reference field="0" count="1" selected="0">
            <x v="1"/>
          </reference>
          <reference field="1" count="1" selected="0">
            <x v="21"/>
          </reference>
          <reference field="3" count="1">
            <x v="16"/>
          </reference>
        </references>
      </pivotArea>
    </format>
    <format dxfId="577">
      <pivotArea dataOnly="0" labelOnly="1" outline="0" fieldPosition="0">
        <references count="4">
          <reference field="0" count="1" selected="0">
            <x v="1"/>
          </reference>
          <reference field="1" count="1" selected="0">
            <x v="17"/>
          </reference>
          <reference field="3" count="1" selected="0">
            <x v="19"/>
          </reference>
          <reference field="5" count="1">
            <x v="24"/>
          </reference>
        </references>
      </pivotArea>
    </format>
    <format dxfId="576">
      <pivotArea dataOnly="0" labelOnly="1" outline="0" fieldPosition="0">
        <references count="4">
          <reference field="0" count="1" selected="0">
            <x v="1"/>
          </reference>
          <reference field="1" count="1" selected="0">
            <x v="18"/>
          </reference>
          <reference field="3" count="1" selected="0">
            <x v="18"/>
          </reference>
          <reference field="5" count="1">
            <x v="23"/>
          </reference>
        </references>
      </pivotArea>
    </format>
    <format dxfId="575">
      <pivotArea dataOnly="0" labelOnly="1" outline="0" fieldPosition="0">
        <references count="4">
          <reference field="0" count="1" selected="0">
            <x v="1"/>
          </reference>
          <reference field="1" count="1" selected="0">
            <x v="20"/>
          </reference>
          <reference field="3" count="1" selected="0">
            <x v="17"/>
          </reference>
          <reference field="5" count="1">
            <x v="22"/>
          </reference>
        </references>
      </pivotArea>
    </format>
    <format dxfId="574">
      <pivotArea dataOnly="0" labelOnly="1" outline="0" fieldPosition="0">
        <references count="4">
          <reference field="0" count="1" selected="0">
            <x v="1"/>
          </reference>
          <reference field="1" count="1" selected="0">
            <x v="21"/>
          </reference>
          <reference field="3" count="1" selected="0">
            <x v="16"/>
          </reference>
          <reference field="5" count="1">
            <x v="21"/>
          </reference>
        </references>
      </pivotArea>
    </format>
    <format dxfId="573">
      <pivotArea dataOnly="0" labelOnly="1" outline="0" fieldPosition="0">
        <references count="5">
          <reference field="0" count="1" selected="0">
            <x v="1"/>
          </reference>
          <reference field="1" count="1" selected="0">
            <x v="17"/>
          </reference>
          <reference field="3" count="1" selected="0">
            <x v="19"/>
          </reference>
          <reference field="5" count="1" selected="0">
            <x v="24"/>
          </reference>
          <reference field="9" count="1">
            <x v="33"/>
          </reference>
        </references>
      </pivotArea>
    </format>
    <format dxfId="572">
      <pivotArea dataOnly="0" labelOnly="1" outline="0" fieldPosition="0">
        <references count="5">
          <reference field="0" count="1" selected="0">
            <x v="1"/>
          </reference>
          <reference field="1" count="1" selected="0">
            <x v="18"/>
          </reference>
          <reference field="3" count="1" selected="0">
            <x v="18"/>
          </reference>
          <reference field="5" count="1" selected="0">
            <x v="23"/>
          </reference>
          <reference field="9" count="1">
            <x v="32"/>
          </reference>
        </references>
      </pivotArea>
    </format>
    <format dxfId="571">
      <pivotArea dataOnly="0" labelOnly="1" outline="0" fieldPosition="0">
        <references count="5">
          <reference field="0" count="1" selected="0">
            <x v="1"/>
          </reference>
          <reference field="1" count="1" selected="0">
            <x v="20"/>
          </reference>
          <reference field="3" count="1" selected="0">
            <x v="17"/>
          </reference>
          <reference field="5" count="1" selected="0">
            <x v="22"/>
          </reference>
          <reference field="9" count="1">
            <x v="31"/>
          </reference>
        </references>
      </pivotArea>
    </format>
    <format dxfId="570">
      <pivotArea dataOnly="0" labelOnly="1" outline="0" fieldPosition="0">
        <references count="5">
          <reference field="0" count="1" selected="0">
            <x v="1"/>
          </reference>
          <reference field="1" count="1" selected="0">
            <x v="21"/>
          </reference>
          <reference field="3" count="1" selected="0">
            <x v="16"/>
          </reference>
          <reference field="5" count="1" selected="0">
            <x v="21"/>
          </reference>
          <reference field="9" count="1">
            <x v="30"/>
          </reference>
        </references>
      </pivotArea>
    </format>
    <format dxfId="569">
      <pivotArea dataOnly="0" labelOnly="1" outline="0" fieldPosition="0">
        <references count="3">
          <reference field="0" count="1" selected="0">
            <x v="1"/>
          </reference>
          <reference field="1" count="1" selected="0">
            <x v="37"/>
          </reference>
          <reference field="3" count="1">
            <x v="9"/>
          </reference>
        </references>
      </pivotArea>
    </format>
    <format dxfId="568">
      <pivotArea dataOnly="0" labelOnly="1" outline="0" fieldPosition="0">
        <references count="3">
          <reference field="0" count="1" selected="0">
            <x v="1"/>
          </reference>
          <reference field="1" count="1" selected="0">
            <x v="38"/>
          </reference>
          <reference field="3" count="1">
            <x v="10"/>
          </reference>
        </references>
      </pivotArea>
    </format>
    <format dxfId="567">
      <pivotArea dataOnly="0" labelOnly="1" outline="0" fieldPosition="0">
        <references count="3">
          <reference field="0" count="1" selected="0">
            <x v="1"/>
          </reference>
          <reference field="1" count="1" selected="0">
            <x v="39"/>
          </reference>
          <reference field="3" count="1">
            <x v="6"/>
          </reference>
        </references>
      </pivotArea>
    </format>
    <format dxfId="566">
      <pivotArea dataOnly="0" labelOnly="1" outline="0" fieldPosition="0">
        <references count="4">
          <reference field="0" count="1" selected="0">
            <x v="1"/>
          </reference>
          <reference field="1" count="1" selected="0">
            <x v="37"/>
          </reference>
          <reference field="3" count="1" selected="0">
            <x v="9"/>
          </reference>
          <reference field="5" count="1">
            <x v="12"/>
          </reference>
        </references>
      </pivotArea>
    </format>
    <format dxfId="565">
      <pivotArea dataOnly="0" labelOnly="1" outline="0" fieldPosition="0">
        <references count="4">
          <reference field="0" count="1" selected="0">
            <x v="1"/>
          </reference>
          <reference field="1" count="1" selected="0">
            <x v="38"/>
          </reference>
          <reference field="3" count="1" selected="0">
            <x v="10"/>
          </reference>
          <reference field="5" count="1">
            <x v="13"/>
          </reference>
        </references>
      </pivotArea>
    </format>
    <format dxfId="564">
      <pivotArea dataOnly="0" labelOnly="1" outline="0" fieldPosition="0">
        <references count="4">
          <reference field="0" count="1" selected="0">
            <x v="1"/>
          </reference>
          <reference field="1" count="1" selected="0">
            <x v="39"/>
          </reference>
          <reference field="3" count="1" selected="0">
            <x v="6"/>
          </reference>
          <reference field="5" count="1">
            <x v="10"/>
          </reference>
        </references>
      </pivotArea>
    </format>
    <format dxfId="563">
      <pivotArea dataOnly="0" labelOnly="1" outline="0" fieldPosition="0">
        <references count="5">
          <reference field="0" count="1" selected="0">
            <x v="1"/>
          </reference>
          <reference field="1" count="1" selected="0">
            <x v="37"/>
          </reference>
          <reference field="3" count="1" selected="0">
            <x v="9"/>
          </reference>
          <reference field="5" count="1" selected="0">
            <x v="12"/>
          </reference>
          <reference field="9" count="1">
            <x v="12"/>
          </reference>
        </references>
      </pivotArea>
    </format>
    <format dxfId="562">
      <pivotArea dataOnly="0" labelOnly="1" outline="0" fieldPosition="0">
        <references count="5">
          <reference field="0" count="1" selected="0">
            <x v="1"/>
          </reference>
          <reference field="1" count="1" selected="0">
            <x v="38"/>
          </reference>
          <reference field="3" count="1" selected="0">
            <x v="10"/>
          </reference>
          <reference field="5" count="1" selected="0">
            <x v="13"/>
          </reference>
          <reference field="9" count="1">
            <x v="13"/>
          </reference>
        </references>
      </pivotArea>
    </format>
    <format dxfId="561">
      <pivotArea dataOnly="0" labelOnly="1" outline="0" fieldPosition="0">
        <references count="5">
          <reference field="0" count="1" selected="0">
            <x v="1"/>
          </reference>
          <reference field="1" count="1" selected="0">
            <x v="39"/>
          </reference>
          <reference field="3" count="1" selected="0">
            <x v="6"/>
          </reference>
          <reference field="5" count="1" selected="0">
            <x v="10"/>
          </reference>
          <reference field="9" count="1">
            <x v="8"/>
          </reference>
        </references>
      </pivotArea>
    </format>
    <format dxfId="560">
      <pivotArea dataOnly="0" labelOnly="1" outline="0" fieldPosition="0">
        <references count="3">
          <reference field="0" count="1" selected="0">
            <x v="1"/>
          </reference>
          <reference field="1" count="1" selected="0">
            <x v="13"/>
          </reference>
          <reference field="3" count="1">
            <x v="0"/>
          </reference>
        </references>
      </pivotArea>
    </format>
    <format dxfId="559">
      <pivotArea dataOnly="0" labelOnly="1" outline="0" fieldPosition="0">
        <references count="3">
          <reference field="0" count="1" selected="0">
            <x v="1"/>
          </reference>
          <reference field="1" count="1" selected="0">
            <x v="14"/>
          </reference>
          <reference field="3" count="1">
            <x v="8"/>
          </reference>
        </references>
      </pivotArea>
    </format>
    <format dxfId="558">
      <pivotArea dataOnly="0" labelOnly="1" outline="0" fieldPosition="0">
        <references count="4">
          <reference field="0" count="1" selected="0">
            <x v="1"/>
          </reference>
          <reference field="1" count="1" selected="0">
            <x v="13"/>
          </reference>
          <reference field="3" count="1" selected="0">
            <x v="0"/>
          </reference>
          <reference field="5" count="1">
            <x v="4"/>
          </reference>
        </references>
      </pivotArea>
    </format>
    <format dxfId="557">
      <pivotArea dataOnly="0" labelOnly="1" outline="0" fieldPosition="0">
        <references count="4">
          <reference field="0" count="1" selected="0">
            <x v="1"/>
          </reference>
          <reference field="1" count="1" selected="0">
            <x v="14"/>
          </reference>
          <reference field="3" count="1" selected="0">
            <x v="8"/>
          </reference>
          <reference field="5" count="1">
            <x v="11"/>
          </reference>
        </references>
      </pivotArea>
    </format>
    <format dxfId="556">
      <pivotArea dataOnly="0" labelOnly="1" outline="0" fieldPosition="0">
        <references count="5">
          <reference field="0" count="1" selected="0">
            <x v="1"/>
          </reference>
          <reference field="1" count="1" selected="0">
            <x v="13"/>
          </reference>
          <reference field="3" count="1" selected="0">
            <x v="0"/>
          </reference>
          <reference field="5" count="1" selected="0">
            <x v="4"/>
          </reference>
          <reference field="9" count="1">
            <x v="5"/>
          </reference>
        </references>
      </pivotArea>
    </format>
    <format dxfId="555">
      <pivotArea dataOnly="0" labelOnly="1" outline="0" fieldPosition="0">
        <references count="5">
          <reference field="0" count="1" selected="0">
            <x v="1"/>
          </reference>
          <reference field="1" count="1" selected="0">
            <x v="14"/>
          </reference>
          <reference field="3" count="1" selected="0">
            <x v="8"/>
          </reference>
          <reference field="5" count="1" selected="0">
            <x v="11"/>
          </reference>
          <reference field="9" count="1">
            <x v="11"/>
          </reference>
        </references>
      </pivotArea>
    </format>
    <format dxfId="554">
      <pivotArea dataOnly="0" labelOnly="1" outline="0" fieldPosition="0">
        <references count="3">
          <reference field="0" count="1" selected="0">
            <x v="1"/>
          </reference>
          <reference field="1" count="1" selected="0">
            <x v="9"/>
          </reference>
          <reference field="3" count="1">
            <x v="1"/>
          </reference>
        </references>
      </pivotArea>
    </format>
    <format dxfId="553">
      <pivotArea dataOnly="0" labelOnly="1" outline="0" fieldPosition="0">
        <references count="3">
          <reference field="0" count="1" selected="0">
            <x v="1"/>
          </reference>
          <reference field="1" count="1" selected="0">
            <x v="10"/>
          </reference>
          <reference field="3" count="1">
            <x v="2"/>
          </reference>
        </references>
      </pivotArea>
    </format>
    <format dxfId="552">
      <pivotArea dataOnly="0" labelOnly="1" outline="0" fieldPosition="0">
        <references count="4">
          <reference field="0" count="1" selected="0">
            <x v="1"/>
          </reference>
          <reference field="1" count="1" selected="0">
            <x v="9"/>
          </reference>
          <reference field="3" count="1" selected="0">
            <x v="1"/>
          </reference>
          <reference field="5" count="1">
            <x v="2"/>
          </reference>
        </references>
      </pivotArea>
    </format>
    <format dxfId="551">
      <pivotArea dataOnly="0" labelOnly="1" outline="0" fieldPosition="0">
        <references count="4">
          <reference field="0" count="1" selected="0">
            <x v="1"/>
          </reference>
          <reference field="1" count="1" selected="0">
            <x v="10"/>
          </reference>
          <reference field="3" count="1" selected="0">
            <x v="2"/>
          </reference>
          <reference field="5" count="1">
            <x v="6"/>
          </reference>
        </references>
      </pivotArea>
    </format>
    <format dxfId="550">
      <pivotArea dataOnly="0" labelOnly="1" outline="0" fieldPosition="0">
        <references count="5">
          <reference field="0" count="1" selected="0">
            <x v="1"/>
          </reference>
          <reference field="1" count="1" selected="0">
            <x v="9"/>
          </reference>
          <reference field="3" count="1" selected="0">
            <x v="1"/>
          </reference>
          <reference field="5" count="1" selected="0">
            <x v="2"/>
          </reference>
          <reference field="9" count="1">
            <x v="4"/>
          </reference>
        </references>
      </pivotArea>
    </format>
    <format dxfId="549">
      <pivotArea dataOnly="0" labelOnly="1" outline="0" fieldPosition="0">
        <references count="5">
          <reference field="0" count="1" selected="0">
            <x v="1"/>
          </reference>
          <reference field="1" count="1" selected="0">
            <x v="10"/>
          </reference>
          <reference field="3" count="1" selected="0">
            <x v="2"/>
          </reference>
          <reference field="5" count="1" selected="0">
            <x v="6"/>
          </reference>
          <reference field="9" count="1">
            <x v="6"/>
          </reference>
        </references>
      </pivotArea>
    </format>
    <format dxfId="548">
      <pivotArea dataOnly="0" labelOnly="1" outline="0" fieldPosition="0">
        <references count="5">
          <reference field="0" count="1" selected="0">
            <x v="2"/>
          </reference>
          <reference field="1" count="1" selected="0">
            <x v="31"/>
          </reference>
          <reference field="3" count="1" selected="0">
            <x v="22"/>
          </reference>
          <reference field="5" count="1" selected="0">
            <x v="27"/>
          </reference>
          <reference field="9" count="1">
            <x v="27"/>
          </reference>
        </references>
      </pivotArea>
    </format>
    <format dxfId="547">
      <pivotArea dataOnly="0" labelOnly="1" outline="0" fieldPosition="0">
        <references count="5">
          <reference field="0" count="1" selected="0">
            <x v="2"/>
          </reference>
          <reference field="1" count="1" selected="0">
            <x v="36"/>
          </reference>
          <reference field="3" count="1" selected="0">
            <x v="22"/>
          </reference>
          <reference field="5" count="1" selected="0">
            <x v="27"/>
          </reference>
          <reference field="9" count="1">
            <x v="14"/>
          </reference>
        </references>
      </pivotArea>
    </format>
    <format dxfId="546">
      <pivotArea dataOnly="0" labelOnly="1" outline="0" fieldPosition="0">
        <references count="4">
          <reference field="0" count="1" selected="0">
            <x v="3"/>
          </reference>
          <reference field="1" count="1" selected="0">
            <x v="41"/>
          </reference>
          <reference field="3" count="1" selected="0">
            <x v="15"/>
          </reference>
          <reference field="5" count="1">
            <x v="20"/>
          </reference>
        </references>
      </pivotArea>
    </format>
    <format dxfId="545">
      <pivotArea dataOnly="0" labelOnly="1" outline="0" fieldPosition="0">
        <references count="5">
          <reference field="0" count="1" selected="0">
            <x v="3"/>
          </reference>
          <reference field="1" count="1" selected="0">
            <x v="41"/>
          </reference>
          <reference field="3" count="1" selected="0">
            <x v="15"/>
          </reference>
          <reference field="5" count="1" selected="0">
            <x v="20"/>
          </reference>
          <reference field="9" count="1">
            <x v="26"/>
          </reference>
        </references>
      </pivotArea>
    </format>
    <format dxfId="544">
      <pivotArea dataOnly="0" labelOnly="1" outline="0" fieldPosition="0">
        <references count="5">
          <reference field="0" count="1" selected="0">
            <x v="3"/>
          </reference>
          <reference field="1" count="1" selected="0">
            <x v="42"/>
          </reference>
          <reference field="3" count="1" selected="0">
            <x v="22"/>
          </reference>
          <reference field="5" count="1" selected="0">
            <x v="27"/>
          </reference>
          <reference field="9" count="1">
            <x v="25"/>
          </reference>
        </references>
      </pivotArea>
    </format>
    <format dxfId="543">
      <pivotArea dataOnly="0" labelOnly="1" outline="0" fieldPosition="0">
        <references count="4">
          <reference field="0" count="1" selected="0">
            <x v="4"/>
          </reference>
          <reference field="1" count="1" selected="0">
            <x v="26"/>
          </reference>
          <reference field="3" count="1" selected="0">
            <x v="22"/>
          </reference>
          <reference field="5" count="1">
            <x v="17"/>
          </reference>
        </references>
      </pivotArea>
    </format>
    <format dxfId="542">
      <pivotArea dataOnly="0" labelOnly="1" outline="0" fieldPosition="0">
        <references count="4">
          <reference field="0" count="1" selected="0">
            <x v="5"/>
          </reference>
          <reference field="1" count="1" selected="0">
            <x v="40"/>
          </reference>
          <reference field="3" count="1" selected="0">
            <x v="3"/>
          </reference>
          <reference field="5" count="1">
            <x v="7"/>
          </reference>
        </references>
      </pivotArea>
    </format>
    <format dxfId="541">
      <pivotArea dataOnly="0" labelOnly="1" outline="0" fieldPosition="0">
        <references count="5">
          <reference field="0" count="1" selected="0">
            <x v="4"/>
          </reference>
          <reference field="1" count="1" selected="0">
            <x v="26"/>
          </reference>
          <reference field="3" count="1" selected="0">
            <x v="22"/>
          </reference>
          <reference field="5" count="1" selected="0">
            <x v="17"/>
          </reference>
          <reference field="9" count="1">
            <x v="19"/>
          </reference>
        </references>
      </pivotArea>
    </format>
    <format dxfId="540">
      <pivotArea dataOnly="0" labelOnly="1" outline="0" fieldPosition="0">
        <references count="5">
          <reference field="0" count="1" selected="0">
            <x v="5"/>
          </reference>
          <reference field="1" count="1" selected="0">
            <x v="40"/>
          </reference>
          <reference field="3" count="1" selected="0">
            <x v="3"/>
          </reference>
          <reference field="5" count="1" selected="0">
            <x v="7"/>
          </reference>
          <reference field="9" count="1">
            <x v="2"/>
          </reference>
        </references>
      </pivotArea>
    </format>
    <format dxfId="539">
      <pivotArea dataOnly="0" labelOnly="1" outline="0" fieldPosition="0">
        <references count="5">
          <reference field="0" count="1" selected="0">
            <x v="6"/>
          </reference>
          <reference field="1" count="1" selected="0">
            <x v="0"/>
          </reference>
          <reference field="3" count="1" selected="0">
            <x v="22"/>
          </reference>
          <reference field="5" count="1" selected="0">
            <x v="27"/>
          </reference>
          <reference field="9" count="1">
            <x v="20"/>
          </reference>
        </references>
      </pivotArea>
    </format>
    <format dxfId="538">
      <pivotArea dataOnly="0" labelOnly="1" outline="0" fieldPosition="0">
        <references count="5">
          <reference field="0" count="1" selected="0">
            <x v="6"/>
          </reference>
          <reference field="1" count="1" selected="0">
            <x v="2"/>
          </reference>
          <reference field="3" count="1" selected="0">
            <x v="22"/>
          </reference>
          <reference field="5" count="1" selected="0">
            <x v="27"/>
          </reference>
          <reference field="9" count="1">
            <x v="10"/>
          </reference>
        </references>
      </pivotArea>
    </format>
    <format dxfId="537">
      <pivotArea dataOnly="0" labelOnly="1" outline="0" fieldPosition="0">
        <references count="5">
          <reference field="0" count="1" selected="0">
            <x v="6"/>
          </reference>
          <reference field="1" count="1" selected="0">
            <x v="6"/>
          </reference>
          <reference field="3" count="1" selected="0">
            <x v="22"/>
          </reference>
          <reference field="5" count="1" selected="0">
            <x v="27"/>
          </reference>
          <reference field="9" count="1">
            <x v="22"/>
          </reference>
        </references>
      </pivotArea>
    </format>
    <format dxfId="536">
      <pivotArea dataOnly="0" labelOnly="1" outline="0" fieldPosition="0">
        <references count="4">
          <reference field="0" count="1" selected="0">
            <x v="6"/>
          </reference>
          <reference field="1" count="1" selected="0">
            <x v="27"/>
          </reference>
          <reference field="3" count="1" selected="0">
            <x v="22"/>
          </reference>
          <reference field="5" count="1">
            <x v="5"/>
          </reference>
        </references>
      </pivotArea>
    </format>
    <format dxfId="535">
      <pivotArea dataOnly="0" labelOnly="1" outline="0" fieldPosition="0">
        <references count="5">
          <reference field="0" count="1" selected="0">
            <x v="6"/>
          </reference>
          <reference field="1" count="1" selected="0">
            <x v="27"/>
          </reference>
          <reference field="3" count="1" selected="0">
            <x v="22"/>
          </reference>
          <reference field="5" count="1" selected="0">
            <x v="5"/>
          </reference>
          <reference field="9" count="1">
            <x v="0"/>
          </reference>
        </references>
      </pivotArea>
    </format>
    <format dxfId="534">
      <pivotArea dataOnly="0" labelOnly="1" outline="0" fieldPosition="0">
        <references count="5">
          <reference field="0" count="1" selected="0">
            <x v="7"/>
          </reference>
          <reference field="1" count="1" selected="0">
            <x v="23"/>
          </reference>
          <reference field="3" count="1" selected="0">
            <x v="22"/>
          </reference>
          <reference field="5" count="1" selected="0">
            <x v="27"/>
          </reference>
          <reference field="9" count="1">
            <x v="23"/>
          </reference>
        </references>
      </pivotArea>
    </format>
    <format dxfId="533">
      <pivotArea dataOnly="0" labelOnly="1" outline="0" fieldPosition="0">
        <references count="3">
          <reference field="0" count="1" selected="0">
            <x v="9"/>
          </reference>
          <reference field="1" count="1" selected="0">
            <x v="1"/>
          </reference>
          <reference field="3" count="1">
            <x v="5"/>
          </reference>
        </references>
      </pivotArea>
    </format>
    <format dxfId="532">
      <pivotArea dataOnly="0" labelOnly="1" outline="0" fieldPosition="0">
        <references count="3">
          <reference field="0" count="1" selected="0">
            <x v="9"/>
          </reference>
          <reference field="1" count="1" selected="0">
            <x v="3"/>
          </reference>
          <reference field="3" count="1">
            <x v="12"/>
          </reference>
        </references>
      </pivotArea>
    </format>
    <format dxfId="531">
      <pivotArea dataOnly="0" labelOnly="1" outline="0" fieldPosition="0">
        <references count="4">
          <reference field="0" count="1" selected="0">
            <x v="9"/>
          </reference>
          <reference field="1" count="1" selected="0">
            <x v="1"/>
          </reference>
          <reference field="3" count="1" selected="0">
            <x v="5"/>
          </reference>
          <reference field="5" count="1">
            <x v="8"/>
          </reference>
        </references>
      </pivotArea>
    </format>
    <format dxfId="530">
      <pivotArea dataOnly="0" labelOnly="1" outline="0" fieldPosition="0">
        <references count="4">
          <reference field="0" count="1" selected="0">
            <x v="9"/>
          </reference>
          <reference field="1" count="1" selected="0">
            <x v="3"/>
          </reference>
          <reference field="3" count="1" selected="0">
            <x v="12"/>
          </reference>
          <reference field="5" count="1">
            <x v="16"/>
          </reference>
        </references>
      </pivotArea>
    </format>
    <format dxfId="529">
      <pivotArea dataOnly="0" labelOnly="1" outline="0" fieldPosition="0">
        <references count="5">
          <reference field="0" count="1" selected="0">
            <x v="9"/>
          </reference>
          <reference field="1" count="1" selected="0">
            <x v="1"/>
          </reference>
          <reference field="3" count="1" selected="0">
            <x v="5"/>
          </reference>
          <reference field="5" count="1" selected="0">
            <x v="8"/>
          </reference>
          <reference field="9" count="1">
            <x v="7"/>
          </reference>
        </references>
      </pivotArea>
    </format>
    <format dxfId="528">
      <pivotArea dataOnly="0" labelOnly="1" outline="0" fieldPosition="0">
        <references count="5">
          <reference field="0" count="1" selected="0">
            <x v="9"/>
          </reference>
          <reference field="1" count="1" selected="0">
            <x v="3"/>
          </reference>
          <reference field="3" count="1" selected="0">
            <x v="12"/>
          </reference>
          <reference field="5" count="1" selected="0">
            <x v="16"/>
          </reference>
          <reference field="9" count="1">
            <x v="18"/>
          </reference>
        </references>
      </pivotArea>
    </format>
    <format dxfId="527">
      <pivotArea dataOnly="0" labelOnly="1" outline="0" fieldPosition="0">
        <references count="5">
          <reference field="0" count="1" selected="0">
            <x v="9"/>
          </reference>
          <reference field="1" count="1" selected="0">
            <x v="7"/>
          </reference>
          <reference field="3" count="1" selected="0">
            <x v="22"/>
          </reference>
          <reference field="5" count="1" selected="0">
            <x v="28"/>
          </reference>
          <reference field="9" count="1">
            <x v="29"/>
          </reference>
        </references>
      </pivotArea>
    </format>
    <format dxfId="526">
      <pivotArea dataOnly="0" labelOnly="1" outline="0" fieldPosition="0">
        <references count="3">
          <reference field="0" count="1" selected="0">
            <x v="9"/>
          </reference>
          <reference field="1" count="1" selected="0">
            <x v="22"/>
          </reference>
          <reference field="3" count="1">
            <x v="20"/>
          </reference>
        </references>
      </pivotArea>
    </format>
    <format dxfId="525">
      <pivotArea dataOnly="0" labelOnly="1" outline="0" fieldPosition="0">
        <references count="4">
          <reference field="0" count="1" selected="0">
            <x v="9"/>
          </reference>
          <reference field="1" count="1" selected="0">
            <x v="22"/>
          </reference>
          <reference field="3" count="1" selected="0">
            <x v="20"/>
          </reference>
          <reference field="5" count="1">
            <x v="25"/>
          </reference>
        </references>
      </pivotArea>
    </format>
    <format dxfId="524">
      <pivotArea dataOnly="0" labelOnly="1" outline="0" fieldPosition="0">
        <references count="5">
          <reference field="0" count="1" selected="0">
            <x v="9"/>
          </reference>
          <reference field="1" count="1" selected="0">
            <x v="22"/>
          </reference>
          <reference field="3" count="1" selected="0">
            <x v="20"/>
          </reference>
          <reference field="5" count="1" selected="0">
            <x v="25"/>
          </reference>
          <reference field="9" count="1">
            <x v="34"/>
          </reference>
        </references>
      </pivotArea>
    </format>
    <format dxfId="523">
      <pivotArea dataOnly="0" labelOnly="1" outline="0" fieldPosition="0">
        <references count="3">
          <reference field="0" count="1" selected="0">
            <x v="9"/>
          </reference>
          <reference field="1" count="1" selected="0">
            <x v="28"/>
          </reference>
          <reference field="3" count="1">
            <x v="4"/>
          </reference>
        </references>
      </pivotArea>
    </format>
    <format dxfId="522">
      <pivotArea dataOnly="0" labelOnly="1" outline="0" fieldPosition="0">
        <references count="4">
          <reference field="0" count="1" selected="0">
            <x v="9"/>
          </reference>
          <reference field="1" count="1" selected="0">
            <x v="28"/>
          </reference>
          <reference field="3" count="1" selected="0">
            <x v="4"/>
          </reference>
          <reference field="5" count="1">
            <x v="9"/>
          </reference>
        </references>
      </pivotArea>
    </format>
    <format dxfId="521">
      <pivotArea dataOnly="0" labelOnly="1" outline="0" fieldPosition="0">
        <references count="5">
          <reference field="0" count="1" selected="0">
            <x v="9"/>
          </reference>
          <reference field="1" count="1" selected="0">
            <x v="28"/>
          </reference>
          <reference field="3" count="1" selected="0">
            <x v="4"/>
          </reference>
          <reference field="5" count="1" selected="0">
            <x v="9"/>
          </reference>
          <reference field="9" count="1">
            <x v="3"/>
          </reference>
        </references>
      </pivotArea>
    </format>
    <format dxfId="520">
      <pivotArea dataOnly="0" labelOnly="1" outline="0" fieldPosition="0">
        <references count="3">
          <reference field="0" count="1" selected="0">
            <x v="9"/>
          </reference>
          <reference field="1" count="1" selected="0">
            <x v="33"/>
          </reference>
          <reference field="3" count="1">
            <x v="13"/>
          </reference>
        </references>
      </pivotArea>
    </format>
    <format dxfId="519">
      <pivotArea dataOnly="0" labelOnly="1" outline="0" fieldPosition="0">
        <references count="4">
          <reference field="0" count="1" selected="0">
            <x v="9"/>
          </reference>
          <reference field="1" count="1" selected="0">
            <x v="33"/>
          </reference>
          <reference field="3" count="1" selected="0">
            <x v="13"/>
          </reference>
          <reference field="5" count="1">
            <x v="18"/>
          </reference>
        </references>
      </pivotArea>
    </format>
    <format dxfId="518">
      <pivotArea dataOnly="0" labelOnly="1" outline="0" fieldPosition="0">
        <references count="5">
          <reference field="0" count="1" selected="0">
            <x v="9"/>
          </reference>
          <reference field="1" count="1" selected="0">
            <x v="33"/>
          </reference>
          <reference field="3" count="1" selected="0">
            <x v="13"/>
          </reference>
          <reference field="5" count="1" selected="0">
            <x v="18"/>
          </reference>
          <reference field="9" count="1">
            <x v="21"/>
          </reference>
        </references>
      </pivotArea>
    </format>
    <format dxfId="517">
      <pivotArea dataOnly="0" labelOnly="1" outline="0" fieldPosition="0">
        <references count="3">
          <reference field="0" count="1" selected="0">
            <x v="9"/>
          </reference>
          <reference field="1" count="1" selected="0">
            <x v="34"/>
          </reference>
          <reference field="3" count="1">
            <x v="11"/>
          </reference>
        </references>
      </pivotArea>
    </format>
    <format dxfId="516">
      <pivotArea dataOnly="0" labelOnly="1" outline="0" fieldPosition="0">
        <references count="3">
          <reference field="0" count="1" selected="0">
            <x v="9"/>
          </reference>
          <reference field="1" count="1" selected="0">
            <x v="35"/>
          </reference>
          <reference field="3" count="1">
            <x v="14"/>
          </reference>
        </references>
      </pivotArea>
    </format>
    <format dxfId="515">
      <pivotArea dataOnly="0" labelOnly="1" outline="0" fieldPosition="0">
        <references count="4">
          <reference field="0" count="1" selected="0">
            <x v="9"/>
          </reference>
          <reference field="1" count="1" selected="0">
            <x v="34"/>
          </reference>
          <reference field="3" count="1" selected="0">
            <x v="11"/>
          </reference>
          <reference field="5" count="1">
            <x v="15"/>
          </reference>
        </references>
      </pivotArea>
    </format>
    <format dxfId="514">
      <pivotArea dataOnly="0" labelOnly="1" outline="0" fieldPosition="0">
        <references count="4">
          <reference field="0" count="1" selected="0">
            <x v="9"/>
          </reference>
          <reference field="1" count="1" selected="0">
            <x v="35"/>
          </reference>
          <reference field="3" count="1" selected="0">
            <x v="14"/>
          </reference>
          <reference field="5" count="1">
            <x v="19"/>
          </reference>
        </references>
      </pivotArea>
    </format>
    <format dxfId="513">
      <pivotArea dataOnly="0" labelOnly="1" outline="0" fieldPosition="0">
        <references count="5">
          <reference field="0" count="1" selected="0">
            <x v="9"/>
          </reference>
          <reference field="1" count="1" selected="0">
            <x v="34"/>
          </reference>
          <reference field="3" count="1" selected="0">
            <x v="11"/>
          </reference>
          <reference field="5" count="1" selected="0">
            <x v="15"/>
          </reference>
          <reference field="9" count="1">
            <x v="15"/>
          </reference>
        </references>
      </pivotArea>
    </format>
    <format dxfId="512">
      <pivotArea dataOnly="0" labelOnly="1" outline="0" fieldPosition="0">
        <references count="5">
          <reference field="0" count="1" selected="0">
            <x v="9"/>
          </reference>
          <reference field="1" count="1" selected="0">
            <x v="35"/>
          </reference>
          <reference field="3" count="1" selected="0">
            <x v="14"/>
          </reference>
          <reference field="5" count="1" selected="0">
            <x v="19"/>
          </reference>
          <reference field="9" count="1">
            <x v="24"/>
          </reference>
        </references>
      </pivotArea>
    </format>
    <format dxfId="511">
      <pivotArea dataOnly="0" labelOnly="1" grandCol="1" outline="0" fieldPosition="0"/>
    </format>
    <format dxfId="510">
      <pivotArea outline="0" fieldPosition="0">
        <references count="5">
          <reference field="0" count="0" selected="0"/>
          <reference field="1" count="0" selected="0"/>
          <reference field="3" count="0" selected="0"/>
          <reference field="5" count="0" selected="0"/>
          <reference field="9" count="0" selected="0"/>
        </references>
      </pivotArea>
    </format>
    <format dxfId="509">
      <pivotArea outline="0" fieldPosition="0">
        <references count="5">
          <reference field="0" count="0" selected="0"/>
          <reference field="1" count="0" selected="0"/>
          <reference field="3" count="0" selected="0"/>
          <reference field="5" count="0" selected="0"/>
          <reference field="9" count="0" selected="0"/>
        </references>
      </pivotArea>
    </format>
    <format dxfId="508">
      <pivotArea dataOnly="0" labelOnly="1" outline="0" fieldPosition="0">
        <references count="6">
          <reference field="0" count="1" selected="0">
            <x v="0"/>
          </reference>
          <reference field="1" count="1" selected="0">
            <x v="11"/>
          </reference>
          <reference field="3" count="1" selected="0">
            <x v="7"/>
          </reference>
          <reference field="5" count="1" selected="0">
            <x v="0"/>
          </reference>
          <reference field="9" count="1" selected="0">
            <x v="12"/>
          </reference>
          <reference field="13" count="1">
            <x v="0"/>
          </reference>
        </references>
      </pivotArea>
    </format>
    <format dxfId="507">
      <pivotArea dataOnly="0" labelOnly="1" outline="0" fieldPosition="0">
        <references count="6">
          <reference field="0" count="1" selected="0">
            <x v="0"/>
          </reference>
          <reference field="1" count="1" selected="0">
            <x v="19"/>
          </reference>
          <reference field="3" count="1" selected="0">
            <x v="21"/>
          </reference>
          <reference field="5" count="1" selected="0">
            <x v="26"/>
          </reference>
          <reference field="9" count="1" selected="0">
            <x v="35"/>
          </reference>
          <reference field="13" count="1">
            <x v="2"/>
          </reference>
        </references>
      </pivotArea>
    </format>
    <format dxfId="506">
      <pivotArea dataOnly="0" labelOnly="1" outline="0" fieldPosition="0">
        <references count="6">
          <reference field="0" count="1" selected="0">
            <x v="0"/>
          </reference>
          <reference field="1" count="1" selected="0">
            <x v="30"/>
          </reference>
          <reference field="3" count="1" selected="0">
            <x v="22"/>
          </reference>
          <reference field="5" count="1" selected="0">
            <x v="14"/>
          </reference>
          <reference field="9" count="1" selected="0">
            <x v="16"/>
          </reference>
          <reference field="13" count="1">
            <x v="26"/>
          </reference>
        </references>
      </pivotArea>
    </format>
    <format dxfId="505">
      <pivotArea dataOnly="0" labelOnly="1" outline="0" fieldPosition="0">
        <references count="6">
          <reference field="0" count="1" selected="0">
            <x v="1"/>
          </reference>
          <reference field="1" count="1" selected="0">
            <x v="9"/>
          </reference>
          <reference field="3" count="1" selected="0">
            <x v="1"/>
          </reference>
          <reference field="5" count="1" selected="0">
            <x v="2"/>
          </reference>
          <reference field="9" count="1" selected="0">
            <x v="4"/>
          </reference>
          <reference field="13" count="1">
            <x v="30"/>
          </reference>
        </references>
      </pivotArea>
    </format>
    <format dxfId="504">
      <pivotArea dataOnly="0" labelOnly="1" outline="0" fieldPosition="0">
        <references count="6">
          <reference field="0" count="1" selected="0">
            <x v="1"/>
          </reference>
          <reference field="1" count="1" selected="0">
            <x v="10"/>
          </reference>
          <reference field="3" count="1" selected="0">
            <x v="2"/>
          </reference>
          <reference field="5" count="1" selected="0">
            <x v="6"/>
          </reference>
          <reference field="9" count="1" selected="0">
            <x v="6"/>
          </reference>
          <reference field="13" count="1">
            <x v="17"/>
          </reference>
        </references>
      </pivotArea>
    </format>
    <format dxfId="503">
      <pivotArea dataOnly="0" labelOnly="1" outline="0" fieldPosition="0">
        <references count="6">
          <reference field="0" count="1" selected="0">
            <x v="1"/>
          </reference>
          <reference field="1" count="1" selected="0">
            <x v="12"/>
          </reference>
          <reference field="3" count="1" selected="0">
            <x v="22"/>
          </reference>
          <reference field="5" count="1" selected="0">
            <x v="1"/>
          </reference>
          <reference field="9" count="1" selected="0">
            <x v="17"/>
          </reference>
          <reference field="13" count="1">
            <x v="32"/>
          </reference>
        </references>
      </pivotArea>
    </format>
    <format dxfId="502">
      <pivotArea dataOnly="0" labelOnly="1" outline="0" fieldPosition="0">
        <references count="6">
          <reference field="0" count="1" selected="0">
            <x v="1"/>
          </reference>
          <reference field="1" count="1" selected="0">
            <x v="13"/>
          </reference>
          <reference field="3" count="1" selected="0">
            <x v="0"/>
          </reference>
          <reference field="5" count="1" selected="0">
            <x v="4"/>
          </reference>
          <reference field="9" count="1" selected="0">
            <x v="5"/>
          </reference>
          <reference field="13" count="1">
            <x v="35"/>
          </reference>
        </references>
      </pivotArea>
    </format>
    <format dxfId="501">
      <pivotArea dataOnly="0" labelOnly="1" outline="0" fieldPosition="0">
        <references count="6">
          <reference field="0" count="1" selected="0">
            <x v="1"/>
          </reference>
          <reference field="1" count="1" selected="0">
            <x v="14"/>
          </reference>
          <reference field="3" count="1" selected="0">
            <x v="8"/>
          </reference>
          <reference field="5" count="1" selected="0">
            <x v="11"/>
          </reference>
          <reference field="9" count="1" selected="0">
            <x v="11"/>
          </reference>
          <reference field="13" count="1">
            <x v="12"/>
          </reference>
        </references>
      </pivotArea>
    </format>
    <format dxfId="500">
      <pivotArea dataOnly="0" labelOnly="1" outline="0" fieldPosition="0">
        <references count="6">
          <reference field="0" count="1" selected="0">
            <x v="1"/>
          </reference>
          <reference field="1" count="1" selected="0">
            <x v="16"/>
          </reference>
          <reference field="3" count="1" selected="0">
            <x v="22"/>
          </reference>
          <reference field="5" count="1" selected="0">
            <x v="3"/>
          </reference>
          <reference field="9" count="1" selected="0">
            <x v="1"/>
          </reference>
          <reference field="13" count="1">
            <x v="31"/>
          </reference>
        </references>
      </pivotArea>
    </format>
    <format dxfId="499">
      <pivotArea dataOnly="0" labelOnly="1" outline="0" fieldPosition="0">
        <references count="6">
          <reference field="0" count="1" selected="0">
            <x v="1"/>
          </reference>
          <reference field="1" count="1" selected="0">
            <x v="17"/>
          </reference>
          <reference field="3" count="1" selected="0">
            <x v="19"/>
          </reference>
          <reference field="5" count="1" selected="0">
            <x v="24"/>
          </reference>
          <reference field="9" count="1" selected="0">
            <x v="33"/>
          </reference>
          <reference field="13" count="1">
            <x v="21"/>
          </reference>
        </references>
      </pivotArea>
    </format>
    <format dxfId="498">
      <pivotArea dataOnly="0" labelOnly="1" outline="0" fieldPosition="0">
        <references count="6">
          <reference field="0" count="1" selected="0">
            <x v="1"/>
          </reference>
          <reference field="1" count="1" selected="0">
            <x v="18"/>
          </reference>
          <reference field="3" count="1" selected="0">
            <x v="18"/>
          </reference>
          <reference field="5" count="1" selected="0">
            <x v="23"/>
          </reference>
          <reference field="9" count="1" selected="0">
            <x v="32"/>
          </reference>
          <reference field="13" count="1">
            <x v="14"/>
          </reference>
        </references>
      </pivotArea>
    </format>
    <format dxfId="497">
      <pivotArea dataOnly="0" labelOnly="1" outline="0" fieldPosition="0">
        <references count="6">
          <reference field="0" count="1" selected="0">
            <x v="1"/>
          </reference>
          <reference field="1" count="1" selected="0">
            <x v="20"/>
          </reference>
          <reference field="3" count="1" selected="0">
            <x v="17"/>
          </reference>
          <reference field="5" count="1" selected="0">
            <x v="22"/>
          </reference>
          <reference field="9" count="1" selected="0">
            <x v="31"/>
          </reference>
          <reference field="13" count="1">
            <x v="28"/>
          </reference>
        </references>
      </pivotArea>
    </format>
    <format dxfId="496">
      <pivotArea dataOnly="0" labelOnly="1" outline="0" fieldPosition="0">
        <references count="6">
          <reference field="0" count="1" selected="0">
            <x v="1"/>
          </reference>
          <reference field="1" count="1" selected="0">
            <x v="21"/>
          </reference>
          <reference field="3" count="1" selected="0">
            <x v="16"/>
          </reference>
          <reference field="5" count="1" selected="0">
            <x v="21"/>
          </reference>
          <reference field="9" count="1" selected="0">
            <x v="30"/>
          </reference>
          <reference field="13" count="1">
            <x v="25"/>
          </reference>
        </references>
      </pivotArea>
    </format>
    <format dxfId="495">
      <pivotArea dataOnly="0" labelOnly="1" outline="0" fieldPosition="0">
        <references count="6">
          <reference field="0" count="1" selected="0">
            <x v="1"/>
          </reference>
          <reference field="1" count="1" selected="0">
            <x v="37"/>
          </reference>
          <reference field="3" count="1" selected="0">
            <x v="9"/>
          </reference>
          <reference field="5" count="1" selected="0">
            <x v="12"/>
          </reference>
          <reference field="9" count="1" selected="0">
            <x v="12"/>
          </reference>
          <reference field="13" count="1">
            <x v="19"/>
          </reference>
        </references>
      </pivotArea>
    </format>
    <format dxfId="494">
      <pivotArea dataOnly="0" labelOnly="1" outline="0" fieldPosition="0">
        <references count="6">
          <reference field="0" count="1" selected="0">
            <x v="1"/>
          </reference>
          <reference field="1" count="1" selected="0">
            <x v="38"/>
          </reference>
          <reference field="3" count="1" selected="0">
            <x v="10"/>
          </reference>
          <reference field="5" count="1" selected="0">
            <x v="13"/>
          </reference>
          <reference field="9" count="1" selected="0">
            <x v="13"/>
          </reference>
          <reference field="13" count="1">
            <x v="13"/>
          </reference>
        </references>
      </pivotArea>
    </format>
    <format dxfId="493">
      <pivotArea dataOnly="0" labelOnly="1" outline="0" fieldPosition="0">
        <references count="6">
          <reference field="0" count="1" selected="0">
            <x v="1"/>
          </reference>
          <reference field="1" count="1" selected="0">
            <x v="39"/>
          </reference>
          <reference field="3" count="1" selected="0">
            <x v="6"/>
          </reference>
          <reference field="5" count="1" selected="0">
            <x v="10"/>
          </reference>
          <reference field="9" count="1" selected="0">
            <x v="8"/>
          </reference>
          <reference field="13" count="1">
            <x v="7"/>
          </reference>
        </references>
      </pivotArea>
    </format>
    <format dxfId="492">
      <pivotArea dataOnly="0" labelOnly="1" outline="0" fieldPosition="0">
        <references count="6">
          <reference field="0" count="1" selected="0">
            <x v="2"/>
          </reference>
          <reference field="1" count="1" selected="0">
            <x v="4"/>
          </reference>
          <reference field="3" count="1" selected="0">
            <x v="22"/>
          </reference>
          <reference field="5" count="1" selected="0">
            <x v="27"/>
          </reference>
          <reference field="9" count="1" selected="0">
            <x v="36"/>
          </reference>
          <reference field="13" count="1">
            <x v="36"/>
          </reference>
        </references>
      </pivotArea>
    </format>
    <format dxfId="491">
      <pivotArea dataOnly="0" labelOnly="1" outline="0" fieldPosition="0">
        <references count="6">
          <reference field="0" count="1" selected="0">
            <x v="2"/>
          </reference>
          <reference field="1" count="1" selected="0">
            <x v="25"/>
          </reference>
          <reference field="3" count="1" selected="0">
            <x v="22"/>
          </reference>
          <reference field="5" count="1" selected="0">
            <x v="27"/>
          </reference>
          <reference field="9" count="1" selected="0">
            <x v="28"/>
          </reference>
          <reference field="13" count="1">
            <x v="12"/>
          </reference>
        </references>
      </pivotArea>
    </format>
    <format dxfId="490">
      <pivotArea dataOnly="0" labelOnly="1" outline="0" fieldPosition="0">
        <references count="6">
          <reference field="0" count="1" selected="0">
            <x v="2"/>
          </reference>
          <reference field="1" count="1" selected="0">
            <x v="29"/>
          </reference>
          <reference field="3" count="1" selected="0">
            <x v="22"/>
          </reference>
          <reference field="5" count="1" selected="0">
            <x v="27"/>
          </reference>
          <reference field="9" count="1" selected="0">
            <x v="36"/>
          </reference>
          <reference field="13" count="1">
            <x v="36"/>
          </reference>
        </references>
      </pivotArea>
    </format>
    <format dxfId="489">
      <pivotArea dataOnly="0" labelOnly="1" outline="0" fieldPosition="0">
        <references count="6">
          <reference field="0" count="1" selected="0">
            <x v="2"/>
          </reference>
          <reference field="1" count="1" selected="0">
            <x v="31"/>
          </reference>
          <reference field="3" count="1" selected="0">
            <x v="22"/>
          </reference>
          <reference field="5" count="1" selected="0">
            <x v="27"/>
          </reference>
          <reference field="9" count="1" selected="0">
            <x v="27"/>
          </reference>
          <reference field="13" count="1">
            <x v="22"/>
          </reference>
        </references>
      </pivotArea>
    </format>
    <format dxfId="488">
      <pivotArea dataOnly="0" labelOnly="1" outline="0" fieldPosition="0">
        <references count="6">
          <reference field="0" count="1" selected="0">
            <x v="2"/>
          </reference>
          <reference field="1" count="1" selected="0">
            <x v="32"/>
          </reference>
          <reference field="3" count="1" selected="0">
            <x v="22"/>
          </reference>
          <reference field="5" count="1" selected="0">
            <x v="27"/>
          </reference>
          <reference field="9" count="1" selected="0">
            <x v="36"/>
          </reference>
          <reference field="13" count="1">
            <x v="36"/>
          </reference>
        </references>
      </pivotArea>
    </format>
    <format dxfId="487">
      <pivotArea dataOnly="0" labelOnly="1" outline="0" fieldPosition="0">
        <references count="6">
          <reference field="0" count="1" selected="0">
            <x v="2"/>
          </reference>
          <reference field="1" count="1" selected="0">
            <x v="36"/>
          </reference>
          <reference field="3" count="1" selected="0">
            <x v="22"/>
          </reference>
          <reference field="5" count="1" selected="0">
            <x v="27"/>
          </reference>
          <reference field="9" count="1" selected="0">
            <x v="14"/>
          </reference>
          <reference field="13" count="1">
            <x v="4"/>
          </reference>
        </references>
      </pivotArea>
    </format>
    <format dxfId="486">
      <pivotArea dataOnly="0" labelOnly="1" outline="0" fieldPosition="0">
        <references count="6">
          <reference field="0" count="1" selected="0">
            <x v="3"/>
          </reference>
          <reference field="1" count="1" selected="0">
            <x v="41"/>
          </reference>
          <reference field="3" count="1" selected="0">
            <x v="15"/>
          </reference>
          <reference field="5" count="1" selected="0">
            <x v="20"/>
          </reference>
          <reference field="9" count="1" selected="0">
            <x v="26"/>
          </reference>
          <reference field="13" count="1">
            <x v="11"/>
          </reference>
        </references>
      </pivotArea>
    </format>
    <format dxfId="485">
      <pivotArea dataOnly="0" labelOnly="1" outline="0" fieldPosition="0">
        <references count="6">
          <reference field="0" count="1" selected="0">
            <x v="3"/>
          </reference>
          <reference field="1" count="1" selected="0">
            <x v="42"/>
          </reference>
          <reference field="3" count="1" selected="0">
            <x v="22"/>
          </reference>
          <reference field="5" count="1" selected="0">
            <x v="27"/>
          </reference>
          <reference field="9" count="1" selected="0">
            <x v="25"/>
          </reference>
          <reference field="13" count="1">
            <x v="3"/>
          </reference>
        </references>
      </pivotArea>
    </format>
    <format dxfId="484">
      <pivotArea dataOnly="0" labelOnly="1" outline="0" fieldPosition="0">
        <references count="6">
          <reference field="0" count="1" selected="0">
            <x v="4"/>
          </reference>
          <reference field="1" count="1" selected="0">
            <x v="8"/>
          </reference>
          <reference field="3" count="1" selected="0">
            <x v="22"/>
          </reference>
          <reference field="5" count="1" selected="0">
            <x v="27"/>
          </reference>
          <reference field="9" count="1" selected="0">
            <x v="36"/>
          </reference>
          <reference field="13" count="1">
            <x v="36"/>
          </reference>
        </references>
      </pivotArea>
    </format>
    <format dxfId="483">
      <pivotArea dataOnly="0" labelOnly="1" outline="0" fieldPosition="0">
        <references count="6">
          <reference field="0" count="1" selected="0">
            <x v="4"/>
          </reference>
          <reference field="1" count="1" selected="0">
            <x v="26"/>
          </reference>
          <reference field="3" count="1" selected="0">
            <x v="22"/>
          </reference>
          <reference field="5" count="1" selected="0">
            <x v="17"/>
          </reference>
          <reference field="9" count="1" selected="0">
            <x v="19"/>
          </reference>
          <reference field="13" count="1">
            <x v="16"/>
          </reference>
        </references>
      </pivotArea>
    </format>
    <format dxfId="482">
      <pivotArea dataOnly="0" labelOnly="1" outline="0" fieldPosition="0">
        <references count="6">
          <reference field="0" count="1" selected="0">
            <x v="5"/>
          </reference>
          <reference field="1" count="1" selected="0">
            <x v="40"/>
          </reference>
          <reference field="3" count="1" selected="0">
            <x v="3"/>
          </reference>
          <reference field="5" count="1" selected="0">
            <x v="7"/>
          </reference>
          <reference field="9" count="1" selected="0">
            <x v="2"/>
          </reference>
          <reference field="13" count="1">
            <x v="9"/>
          </reference>
        </references>
      </pivotArea>
    </format>
    <format dxfId="481">
      <pivotArea dataOnly="0" labelOnly="1" outline="0" fieldPosition="0">
        <references count="6">
          <reference field="0" count="1" selected="0">
            <x v="6"/>
          </reference>
          <reference field="1" count="1" selected="0">
            <x v="0"/>
          </reference>
          <reference field="3" count="1" selected="0">
            <x v="22"/>
          </reference>
          <reference field="5" count="1" selected="0">
            <x v="27"/>
          </reference>
          <reference field="9" count="1" selected="0">
            <x v="20"/>
          </reference>
          <reference field="13" count="1">
            <x v="20"/>
          </reference>
        </references>
      </pivotArea>
    </format>
    <format dxfId="480">
      <pivotArea dataOnly="0" labelOnly="1" outline="0" fieldPosition="0">
        <references count="6">
          <reference field="0" count="1" selected="0">
            <x v="6"/>
          </reference>
          <reference field="1" count="1" selected="0">
            <x v="2"/>
          </reference>
          <reference field="3" count="1" selected="0">
            <x v="22"/>
          </reference>
          <reference field="5" count="1" selected="0">
            <x v="27"/>
          </reference>
          <reference field="9" count="1" selected="0">
            <x v="10"/>
          </reference>
          <reference field="13" count="1">
            <x v="34"/>
          </reference>
        </references>
      </pivotArea>
    </format>
    <format dxfId="479">
      <pivotArea dataOnly="0" labelOnly="1" outline="0" fieldPosition="0">
        <references count="6">
          <reference field="0" count="1" selected="0">
            <x v="6"/>
          </reference>
          <reference field="1" count="1" selected="0">
            <x v="5"/>
          </reference>
          <reference field="3" count="1" selected="0">
            <x v="22"/>
          </reference>
          <reference field="5" count="1" selected="0">
            <x v="27"/>
          </reference>
          <reference field="9" count="1" selected="0">
            <x v="36"/>
          </reference>
          <reference field="13" count="1">
            <x v="36"/>
          </reference>
        </references>
      </pivotArea>
    </format>
    <format dxfId="478">
      <pivotArea dataOnly="0" labelOnly="1" outline="0" fieldPosition="0">
        <references count="6">
          <reference field="0" count="1" selected="0">
            <x v="6"/>
          </reference>
          <reference field="1" count="1" selected="0">
            <x v="6"/>
          </reference>
          <reference field="3" count="1" selected="0">
            <x v="22"/>
          </reference>
          <reference field="5" count="1" selected="0">
            <x v="27"/>
          </reference>
          <reference field="9" count="1" selected="0">
            <x v="22"/>
          </reference>
          <reference field="13" count="1">
            <x v="8"/>
          </reference>
        </references>
      </pivotArea>
    </format>
    <format dxfId="477">
      <pivotArea dataOnly="0" labelOnly="1" outline="0" fieldPosition="0">
        <references count="6">
          <reference field="0" count="1" selected="0">
            <x v="6"/>
          </reference>
          <reference field="1" count="1" selected="0">
            <x v="24"/>
          </reference>
          <reference field="3" count="1" selected="0">
            <x v="22"/>
          </reference>
          <reference field="5" count="1" selected="0">
            <x v="27"/>
          </reference>
          <reference field="9" count="1" selected="0">
            <x v="36"/>
          </reference>
          <reference field="13" count="1">
            <x v="36"/>
          </reference>
        </references>
      </pivotArea>
    </format>
    <format dxfId="476">
      <pivotArea dataOnly="0" labelOnly="1" outline="0" fieldPosition="0">
        <references count="6">
          <reference field="0" count="1" selected="0">
            <x v="6"/>
          </reference>
          <reference field="1" count="1" selected="0">
            <x v="27"/>
          </reference>
          <reference field="3" count="1" selected="0">
            <x v="22"/>
          </reference>
          <reference field="5" count="1" selected="0">
            <x v="5"/>
          </reference>
          <reference field="9" count="1" selected="0">
            <x v="0"/>
          </reference>
          <reference field="13" count="1">
            <x v="1"/>
          </reference>
        </references>
      </pivotArea>
    </format>
    <format dxfId="475">
      <pivotArea dataOnly="0" labelOnly="1" outline="0" fieldPosition="0">
        <references count="6">
          <reference field="0" count="1" selected="0">
            <x v="7"/>
          </reference>
          <reference field="1" count="1" selected="0">
            <x v="23"/>
          </reference>
          <reference field="3" count="1" selected="0">
            <x v="22"/>
          </reference>
          <reference field="5" count="1" selected="0">
            <x v="27"/>
          </reference>
          <reference field="9" count="1" selected="0">
            <x v="23"/>
          </reference>
          <reference field="13" count="1">
            <x v="23"/>
          </reference>
        </references>
      </pivotArea>
    </format>
    <format dxfId="474">
      <pivotArea dataOnly="0" labelOnly="1" outline="0" fieldPosition="0">
        <references count="6">
          <reference field="0" count="1" selected="0">
            <x v="8"/>
          </reference>
          <reference field="1" count="1" selected="0">
            <x v="43"/>
          </reference>
          <reference field="3" count="1" selected="0">
            <x v="22"/>
          </reference>
          <reference field="5" count="1" selected="0">
            <x v="27"/>
          </reference>
          <reference field="9" count="1" selected="0">
            <x v="36"/>
          </reference>
          <reference field="13" count="1">
            <x v="36"/>
          </reference>
        </references>
      </pivotArea>
    </format>
    <format dxfId="473">
      <pivotArea dataOnly="0" labelOnly="1" outline="0" fieldPosition="0">
        <references count="6">
          <reference field="0" count="1" selected="0">
            <x v="9"/>
          </reference>
          <reference field="1" count="1" selected="0">
            <x v="1"/>
          </reference>
          <reference field="3" count="1" selected="0">
            <x v="5"/>
          </reference>
          <reference field="5" count="1" selected="0">
            <x v="8"/>
          </reference>
          <reference field="9" count="1" selected="0">
            <x v="7"/>
          </reference>
          <reference field="13" count="1">
            <x v="33"/>
          </reference>
        </references>
      </pivotArea>
    </format>
    <format dxfId="472">
      <pivotArea dataOnly="0" labelOnly="1" outline="0" fieldPosition="0">
        <references count="6">
          <reference field="0" count="1" selected="0">
            <x v="9"/>
          </reference>
          <reference field="1" count="1" selected="0">
            <x v="3"/>
          </reference>
          <reference field="3" count="1" selected="0">
            <x v="12"/>
          </reference>
          <reference field="5" count="1" selected="0">
            <x v="16"/>
          </reference>
          <reference field="9" count="1" selected="0">
            <x v="18"/>
          </reference>
          <reference field="13" count="1">
            <x v="15"/>
          </reference>
        </references>
      </pivotArea>
    </format>
    <format dxfId="471">
      <pivotArea dataOnly="0" labelOnly="1" outline="0" fieldPosition="0">
        <references count="6">
          <reference field="0" count="1" selected="0">
            <x v="9"/>
          </reference>
          <reference field="1" count="1" selected="0">
            <x v="7"/>
          </reference>
          <reference field="3" count="1" selected="0">
            <x v="22"/>
          </reference>
          <reference field="5" count="1" selected="0">
            <x v="28"/>
          </reference>
          <reference field="9" count="1" selected="0">
            <x v="29"/>
          </reference>
          <reference field="13" count="1">
            <x v="10"/>
          </reference>
        </references>
      </pivotArea>
    </format>
    <format dxfId="470">
      <pivotArea dataOnly="0" labelOnly="1" outline="0" fieldPosition="0">
        <references count="6">
          <reference field="0" count="1" selected="0">
            <x v="9"/>
          </reference>
          <reference field="1" count="1" selected="0">
            <x v="22"/>
          </reference>
          <reference field="3" count="1" selected="0">
            <x v="20"/>
          </reference>
          <reference field="5" count="1" selected="0">
            <x v="25"/>
          </reference>
          <reference field="9" count="1" selected="0">
            <x v="34"/>
          </reference>
          <reference field="13" count="1">
            <x v="6"/>
          </reference>
        </references>
      </pivotArea>
    </format>
    <format dxfId="469">
      <pivotArea dataOnly="0" labelOnly="1" outline="0" fieldPosition="0">
        <references count="6">
          <reference field="0" count="1" selected="0">
            <x v="9"/>
          </reference>
          <reference field="1" count="1" selected="0">
            <x v="28"/>
          </reference>
          <reference field="3" count="1" selected="0">
            <x v="4"/>
          </reference>
          <reference field="5" count="1" selected="0">
            <x v="9"/>
          </reference>
          <reference field="9" count="1" selected="0">
            <x v="3"/>
          </reference>
          <reference field="13" count="1">
            <x v="29"/>
          </reference>
        </references>
      </pivotArea>
    </format>
    <format dxfId="468">
      <pivotArea dataOnly="0" labelOnly="1" outline="0" fieldPosition="0">
        <references count="6">
          <reference field="0" count="1" selected="0">
            <x v="9"/>
          </reference>
          <reference field="1" count="1" selected="0">
            <x v="33"/>
          </reference>
          <reference field="3" count="1" selected="0">
            <x v="13"/>
          </reference>
          <reference field="5" count="1" selected="0">
            <x v="18"/>
          </reference>
          <reference field="9" count="1" selected="0">
            <x v="21"/>
          </reference>
          <reference field="13" count="1">
            <x v="18"/>
          </reference>
        </references>
      </pivotArea>
    </format>
    <format dxfId="467">
      <pivotArea dataOnly="0" labelOnly="1" outline="0" fieldPosition="0">
        <references count="6">
          <reference field="0" count="1" selected="0">
            <x v="9"/>
          </reference>
          <reference field="1" count="1" selected="0">
            <x v="34"/>
          </reference>
          <reference field="3" count="1" selected="0">
            <x v="11"/>
          </reference>
          <reference field="5" count="1" selected="0">
            <x v="15"/>
          </reference>
          <reference field="9" count="1" selected="0">
            <x v="15"/>
          </reference>
          <reference field="13" count="1">
            <x v="27"/>
          </reference>
        </references>
      </pivotArea>
    </format>
    <format dxfId="466">
      <pivotArea dataOnly="0" labelOnly="1" outline="0" fieldPosition="0">
        <references count="6">
          <reference field="0" count="1" selected="0">
            <x v="9"/>
          </reference>
          <reference field="1" count="1" selected="0">
            <x v="35"/>
          </reference>
          <reference field="3" count="1" selected="0">
            <x v="14"/>
          </reference>
          <reference field="5" count="1" selected="0">
            <x v="19"/>
          </reference>
          <reference field="9" count="1" selected="0">
            <x v="24"/>
          </reference>
          <reference field="13" count="1">
            <x v="5"/>
          </reference>
        </references>
      </pivotArea>
    </format>
    <format dxfId="465">
      <pivotArea dataOnly="0" labelOnly="1" outline="0" fieldPosition="0">
        <references count="6">
          <reference field="0" count="1" selected="0">
            <x v="0"/>
          </reference>
          <reference field="1" count="1" selected="0">
            <x v="11"/>
          </reference>
          <reference field="3" count="1" selected="0">
            <x v="7"/>
          </reference>
          <reference field="5" count="1" selected="0">
            <x v="0"/>
          </reference>
          <reference field="9" count="1" selected="0">
            <x v="12"/>
          </reference>
          <reference field="13" count="1">
            <x v="0"/>
          </reference>
        </references>
      </pivotArea>
    </format>
    <format dxfId="464">
      <pivotArea dataOnly="0" labelOnly="1" outline="0" fieldPosition="0">
        <references count="6">
          <reference field="0" count="1" selected="0">
            <x v="0"/>
          </reference>
          <reference field="1" count="1" selected="0">
            <x v="19"/>
          </reference>
          <reference field="3" count="1" selected="0">
            <x v="21"/>
          </reference>
          <reference field="5" count="1" selected="0">
            <x v="26"/>
          </reference>
          <reference field="9" count="1" selected="0">
            <x v="35"/>
          </reference>
          <reference field="13" count="1">
            <x v="2"/>
          </reference>
        </references>
      </pivotArea>
    </format>
    <format dxfId="463">
      <pivotArea dataOnly="0" labelOnly="1" outline="0" fieldPosition="0">
        <references count="6">
          <reference field="0" count="1" selected="0">
            <x v="0"/>
          </reference>
          <reference field="1" count="1" selected="0">
            <x v="30"/>
          </reference>
          <reference field="3" count="1" selected="0">
            <x v="22"/>
          </reference>
          <reference field="5" count="1" selected="0">
            <x v="14"/>
          </reference>
          <reference field="9" count="1" selected="0">
            <x v="16"/>
          </reference>
          <reference field="13" count="1">
            <x v="26"/>
          </reference>
        </references>
      </pivotArea>
    </format>
    <format dxfId="462">
      <pivotArea dataOnly="0" labelOnly="1" outline="0" fieldPosition="0">
        <references count="6">
          <reference field="0" count="1" selected="0">
            <x v="1"/>
          </reference>
          <reference field="1" count="1" selected="0">
            <x v="9"/>
          </reference>
          <reference field="3" count="1" selected="0">
            <x v="1"/>
          </reference>
          <reference field="5" count="1" selected="0">
            <x v="2"/>
          </reference>
          <reference field="9" count="1" selected="0">
            <x v="4"/>
          </reference>
          <reference field="13" count="1">
            <x v="30"/>
          </reference>
        </references>
      </pivotArea>
    </format>
    <format dxfId="461">
      <pivotArea dataOnly="0" labelOnly="1" outline="0" fieldPosition="0">
        <references count="6">
          <reference field="0" count="1" selected="0">
            <x v="1"/>
          </reference>
          <reference field="1" count="1" selected="0">
            <x v="10"/>
          </reference>
          <reference field="3" count="1" selected="0">
            <x v="2"/>
          </reference>
          <reference field="5" count="1" selected="0">
            <x v="6"/>
          </reference>
          <reference field="9" count="1" selected="0">
            <x v="6"/>
          </reference>
          <reference field="13" count="1">
            <x v="17"/>
          </reference>
        </references>
      </pivotArea>
    </format>
    <format dxfId="460">
      <pivotArea dataOnly="0" labelOnly="1" outline="0" fieldPosition="0">
        <references count="6">
          <reference field="0" count="1" selected="0">
            <x v="1"/>
          </reference>
          <reference field="1" count="1" selected="0">
            <x v="12"/>
          </reference>
          <reference field="3" count="1" selected="0">
            <x v="22"/>
          </reference>
          <reference field="5" count="1" selected="0">
            <x v="1"/>
          </reference>
          <reference field="9" count="1" selected="0">
            <x v="17"/>
          </reference>
          <reference field="13" count="1">
            <x v="32"/>
          </reference>
        </references>
      </pivotArea>
    </format>
    <format dxfId="459">
      <pivotArea dataOnly="0" labelOnly="1" outline="0" fieldPosition="0">
        <references count="6">
          <reference field="0" count="1" selected="0">
            <x v="1"/>
          </reference>
          <reference field="1" count="1" selected="0">
            <x v="13"/>
          </reference>
          <reference field="3" count="1" selected="0">
            <x v="0"/>
          </reference>
          <reference field="5" count="1" selected="0">
            <x v="4"/>
          </reference>
          <reference field="9" count="1" selected="0">
            <x v="5"/>
          </reference>
          <reference field="13" count="1">
            <x v="35"/>
          </reference>
        </references>
      </pivotArea>
    </format>
    <format dxfId="458">
      <pivotArea dataOnly="0" labelOnly="1" outline="0" fieldPosition="0">
        <references count="6">
          <reference field="0" count="1" selected="0">
            <x v="1"/>
          </reference>
          <reference field="1" count="1" selected="0">
            <x v="14"/>
          </reference>
          <reference field="3" count="1" selected="0">
            <x v="8"/>
          </reference>
          <reference field="5" count="1" selected="0">
            <x v="11"/>
          </reference>
          <reference field="9" count="1" selected="0">
            <x v="11"/>
          </reference>
          <reference field="13" count="1">
            <x v="12"/>
          </reference>
        </references>
      </pivotArea>
    </format>
    <format dxfId="457">
      <pivotArea dataOnly="0" labelOnly="1" outline="0" fieldPosition="0">
        <references count="6">
          <reference field="0" count="1" selected="0">
            <x v="1"/>
          </reference>
          <reference field="1" count="1" selected="0">
            <x v="16"/>
          </reference>
          <reference field="3" count="1" selected="0">
            <x v="22"/>
          </reference>
          <reference field="5" count="1" selected="0">
            <x v="3"/>
          </reference>
          <reference field="9" count="1" selected="0">
            <x v="1"/>
          </reference>
          <reference field="13" count="1">
            <x v="31"/>
          </reference>
        </references>
      </pivotArea>
    </format>
    <format dxfId="456">
      <pivotArea dataOnly="0" labelOnly="1" outline="0" fieldPosition="0">
        <references count="6">
          <reference field="0" count="1" selected="0">
            <x v="1"/>
          </reference>
          <reference field="1" count="1" selected="0">
            <x v="17"/>
          </reference>
          <reference field="3" count="1" selected="0">
            <x v="19"/>
          </reference>
          <reference field="5" count="1" selected="0">
            <x v="24"/>
          </reference>
          <reference field="9" count="1" selected="0">
            <x v="33"/>
          </reference>
          <reference field="13" count="1">
            <x v="21"/>
          </reference>
        </references>
      </pivotArea>
    </format>
    <format dxfId="455">
      <pivotArea dataOnly="0" labelOnly="1" outline="0" fieldPosition="0">
        <references count="6">
          <reference field="0" count="1" selected="0">
            <x v="1"/>
          </reference>
          <reference field="1" count="1" selected="0">
            <x v="18"/>
          </reference>
          <reference field="3" count="1" selected="0">
            <x v="18"/>
          </reference>
          <reference field="5" count="1" selected="0">
            <x v="23"/>
          </reference>
          <reference field="9" count="1" selected="0">
            <x v="32"/>
          </reference>
          <reference field="13" count="1">
            <x v="14"/>
          </reference>
        </references>
      </pivotArea>
    </format>
    <format dxfId="454">
      <pivotArea dataOnly="0" labelOnly="1" outline="0" fieldPosition="0">
        <references count="6">
          <reference field="0" count="1" selected="0">
            <x v="1"/>
          </reference>
          <reference field="1" count="1" selected="0">
            <x v="20"/>
          </reference>
          <reference field="3" count="1" selected="0">
            <x v="17"/>
          </reference>
          <reference field="5" count="1" selected="0">
            <x v="22"/>
          </reference>
          <reference field="9" count="1" selected="0">
            <x v="31"/>
          </reference>
          <reference field="13" count="1">
            <x v="28"/>
          </reference>
        </references>
      </pivotArea>
    </format>
    <format dxfId="453">
      <pivotArea dataOnly="0" labelOnly="1" outline="0" fieldPosition="0">
        <references count="6">
          <reference field="0" count="1" selected="0">
            <x v="1"/>
          </reference>
          <reference field="1" count="1" selected="0">
            <x v="21"/>
          </reference>
          <reference field="3" count="1" selected="0">
            <x v="16"/>
          </reference>
          <reference field="5" count="1" selected="0">
            <x v="21"/>
          </reference>
          <reference field="9" count="1" selected="0">
            <x v="30"/>
          </reference>
          <reference field="13" count="1">
            <x v="25"/>
          </reference>
        </references>
      </pivotArea>
    </format>
    <format dxfId="452">
      <pivotArea dataOnly="0" labelOnly="1" outline="0" fieldPosition="0">
        <references count="6">
          <reference field="0" count="1" selected="0">
            <x v="1"/>
          </reference>
          <reference field="1" count="1" selected="0">
            <x v="37"/>
          </reference>
          <reference field="3" count="1" selected="0">
            <x v="9"/>
          </reference>
          <reference field="5" count="1" selected="0">
            <x v="12"/>
          </reference>
          <reference field="9" count="1" selected="0">
            <x v="12"/>
          </reference>
          <reference field="13" count="1">
            <x v="19"/>
          </reference>
        </references>
      </pivotArea>
    </format>
    <format dxfId="451">
      <pivotArea dataOnly="0" labelOnly="1" outline="0" fieldPosition="0">
        <references count="6">
          <reference field="0" count="1" selected="0">
            <x v="1"/>
          </reference>
          <reference field="1" count="1" selected="0">
            <x v="38"/>
          </reference>
          <reference field="3" count="1" selected="0">
            <x v="10"/>
          </reference>
          <reference field="5" count="1" selected="0">
            <x v="13"/>
          </reference>
          <reference field="9" count="1" selected="0">
            <x v="13"/>
          </reference>
          <reference field="13" count="1">
            <x v="13"/>
          </reference>
        </references>
      </pivotArea>
    </format>
    <format dxfId="450">
      <pivotArea dataOnly="0" labelOnly="1" outline="0" fieldPosition="0">
        <references count="6">
          <reference field="0" count="1" selected="0">
            <x v="1"/>
          </reference>
          <reference field="1" count="1" selected="0">
            <x v="39"/>
          </reference>
          <reference field="3" count="1" selected="0">
            <x v="6"/>
          </reference>
          <reference field="5" count="1" selected="0">
            <x v="10"/>
          </reference>
          <reference field="9" count="1" selected="0">
            <x v="8"/>
          </reference>
          <reference field="13" count="1">
            <x v="7"/>
          </reference>
        </references>
      </pivotArea>
    </format>
    <format dxfId="449">
      <pivotArea dataOnly="0" labelOnly="1" outline="0" fieldPosition="0">
        <references count="6">
          <reference field="0" count="1" selected="0">
            <x v="2"/>
          </reference>
          <reference field="1" count="1" selected="0">
            <x v="4"/>
          </reference>
          <reference field="3" count="1" selected="0">
            <x v="22"/>
          </reference>
          <reference field="5" count="1" selected="0">
            <x v="27"/>
          </reference>
          <reference field="9" count="1" selected="0">
            <x v="36"/>
          </reference>
          <reference field="13" count="1">
            <x v="36"/>
          </reference>
        </references>
      </pivotArea>
    </format>
    <format dxfId="448">
      <pivotArea dataOnly="0" labelOnly="1" outline="0" fieldPosition="0">
        <references count="6">
          <reference field="0" count="1" selected="0">
            <x v="2"/>
          </reference>
          <reference field="1" count="1" selected="0">
            <x v="25"/>
          </reference>
          <reference field="3" count="1" selected="0">
            <x v="22"/>
          </reference>
          <reference field="5" count="1" selected="0">
            <x v="27"/>
          </reference>
          <reference field="9" count="1" selected="0">
            <x v="28"/>
          </reference>
          <reference field="13" count="1">
            <x v="12"/>
          </reference>
        </references>
      </pivotArea>
    </format>
    <format dxfId="447">
      <pivotArea dataOnly="0" labelOnly="1" outline="0" fieldPosition="0">
        <references count="6">
          <reference field="0" count="1" selected="0">
            <x v="2"/>
          </reference>
          <reference field="1" count="1" selected="0">
            <x v="29"/>
          </reference>
          <reference field="3" count="1" selected="0">
            <x v="22"/>
          </reference>
          <reference field="5" count="1" selected="0">
            <x v="27"/>
          </reference>
          <reference field="9" count="1" selected="0">
            <x v="36"/>
          </reference>
          <reference field="13" count="1">
            <x v="36"/>
          </reference>
        </references>
      </pivotArea>
    </format>
    <format dxfId="446">
      <pivotArea dataOnly="0" labelOnly="1" outline="0" fieldPosition="0">
        <references count="6">
          <reference field="0" count="1" selected="0">
            <x v="2"/>
          </reference>
          <reference field="1" count="1" selected="0">
            <x v="31"/>
          </reference>
          <reference field="3" count="1" selected="0">
            <x v="22"/>
          </reference>
          <reference field="5" count="1" selected="0">
            <x v="27"/>
          </reference>
          <reference field="9" count="1" selected="0">
            <x v="27"/>
          </reference>
          <reference field="13" count="1">
            <x v="22"/>
          </reference>
        </references>
      </pivotArea>
    </format>
    <format dxfId="445">
      <pivotArea dataOnly="0" labelOnly="1" outline="0" fieldPosition="0">
        <references count="6">
          <reference field="0" count="1" selected="0">
            <x v="2"/>
          </reference>
          <reference field="1" count="1" selected="0">
            <x v="32"/>
          </reference>
          <reference field="3" count="1" selected="0">
            <x v="22"/>
          </reference>
          <reference field="5" count="1" selected="0">
            <x v="27"/>
          </reference>
          <reference field="9" count="1" selected="0">
            <x v="36"/>
          </reference>
          <reference field="13" count="1">
            <x v="36"/>
          </reference>
        </references>
      </pivotArea>
    </format>
    <format dxfId="444">
      <pivotArea dataOnly="0" labelOnly="1" outline="0" fieldPosition="0">
        <references count="6">
          <reference field="0" count="1" selected="0">
            <x v="2"/>
          </reference>
          <reference field="1" count="1" selected="0">
            <x v="36"/>
          </reference>
          <reference field="3" count="1" selected="0">
            <x v="22"/>
          </reference>
          <reference field="5" count="1" selected="0">
            <x v="27"/>
          </reference>
          <reference field="9" count="1" selected="0">
            <x v="14"/>
          </reference>
          <reference field="13" count="1">
            <x v="4"/>
          </reference>
        </references>
      </pivotArea>
    </format>
    <format dxfId="443">
      <pivotArea dataOnly="0" labelOnly="1" outline="0" fieldPosition="0">
        <references count="6">
          <reference field="0" count="1" selected="0">
            <x v="3"/>
          </reference>
          <reference field="1" count="1" selected="0">
            <x v="41"/>
          </reference>
          <reference field="3" count="1" selected="0">
            <x v="15"/>
          </reference>
          <reference field="5" count="1" selected="0">
            <x v="20"/>
          </reference>
          <reference field="9" count="1" selected="0">
            <x v="26"/>
          </reference>
          <reference field="13" count="1">
            <x v="11"/>
          </reference>
        </references>
      </pivotArea>
    </format>
    <format dxfId="442">
      <pivotArea dataOnly="0" labelOnly="1" outline="0" fieldPosition="0">
        <references count="6">
          <reference field="0" count="1" selected="0">
            <x v="3"/>
          </reference>
          <reference field="1" count="1" selected="0">
            <x v="42"/>
          </reference>
          <reference field="3" count="1" selected="0">
            <x v="22"/>
          </reference>
          <reference field="5" count="1" selected="0">
            <x v="27"/>
          </reference>
          <reference field="9" count="1" selected="0">
            <x v="25"/>
          </reference>
          <reference field="13" count="1">
            <x v="3"/>
          </reference>
        </references>
      </pivotArea>
    </format>
    <format dxfId="441">
      <pivotArea dataOnly="0" labelOnly="1" outline="0" fieldPosition="0">
        <references count="6">
          <reference field="0" count="1" selected="0">
            <x v="4"/>
          </reference>
          <reference field="1" count="1" selected="0">
            <x v="8"/>
          </reference>
          <reference field="3" count="1" selected="0">
            <x v="22"/>
          </reference>
          <reference field="5" count="1" selected="0">
            <x v="27"/>
          </reference>
          <reference field="9" count="1" selected="0">
            <x v="36"/>
          </reference>
          <reference field="13" count="1">
            <x v="36"/>
          </reference>
        </references>
      </pivotArea>
    </format>
    <format dxfId="440">
      <pivotArea dataOnly="0" labelOnly="1" outline="0" fieldPosition="0">
        <references count="6">
          <reference field="0" count="1" selected="0">
            <x v="4"/>
          </reference>
          <reference field="1" count="1" selected="0">
            <x v="26"/>
          </reference>
          <reference field="3" count="1" selected="0">
            <x v="22"/>
          </reference>
          <reference field="5" count="1" selected="0">
            <x v="17"/>
          </reference>
          <reference field="9" count="1" selected="0">
            <x v="19"/>
          </reference>
          <reference field="13" count="1">
            <x v="16"/>
          </reference>
        </references>
      </pivotArea>
    </format>
    <format dxfId="439">
      <pivotArea dataOnly="0" labelOnly="1" outline="0" fieldPosition="0">
        <references count="6">
          <reference field="0" count="1" selected="0">
            <x v="5"/>
          </reference>
          <reference field="1" count="1" selected="0">
            <x v="40"/>
          </reference>
          <reference field="3" count="1" selected="0">
            <x v="3"/>
          </reference>
          <reference field="5" count="1" selected="0">
            <x v="7"/>
          </reference>
          <reference field="9" count="1" selected="0">
            <x v="2"/>
          </reference>
          <reference field="13" count="1">
            <x v="9"/>
          </reference>
        </references>
      </pivotArea>
    </format>
    <format dxfId="438">
      <pivotArea dataOnly="0" labelOnly="1" outline="0" fieldPosition="0">
        <references count="6">
          <reference field="0" count="1" selected="0">
            <x v="6"/>
          </reference>
          <reference field="1" count="1" selected="0">
            <x v="0"/>
          </reference>
          <reference field="3" count="1" selected="0">
            <x v="22"/>
          </reference>
          <reference field="5" count="1" selected="0">
            <x v="27"/>
          </reference>
          <reference field="9" count="1" selected="0">
            <x v="20"/>
          </reference>
          <reference field="13" count="1">
            <x v="20"/>
          </reference>
        </references>
      </pivotArea>
    </format>
    <format dxfId="437">
      <pivotArea dataOnly="0" labelOnly="1" outline="0" fieldPosition="0">
        <references count="6">
          <reference field="0" count="1" selected="0">
            <x v="6"/>
          </reference>
          <reference field="1" count="1" selected="0">
            <x v="2"/>
          </reference>
          <reference field="3" count="1" selected="0">
            <x v="22"/>
          </reference>
          <reference field="5" count="1" selected="0">
            <x v="27"/>
          </reference>
          <reference field="9" count="1" selected="0">
            <x v="10"/>
          </reference>
          <reference field="13" count="1">
            <x v="34"/>
          </reference>
        </references>
      </pivotArea>
    </format>
    <format dxfId="436">
      <pivotArea dataOnly="0" labelOnly="1" outline="0" fieldPosition="0">
        <references count="6">
          <reference field="0" count="1" selected="0">
            <x v="6"/>
          </reference>
          <reference field="1" count="1" selected="0">
            <x v="5"/>
          </reference>
          <reference field="3" count="1" selected="0">
            <x v="22"/>
          </reference>
          <reference field="5" count="1" selected="0">
            <x v="27"/>
          </reference>
          <reference field="9" count="1" selected="0">
            <x v="36"/>
          </reference>
          <reference field="13" count="1">
            <x v="36"/>
          </reference>
        </references>
      </pivotArea>
    </format>
    <format dxfId="435">
      <pivotArea dataOnly="0" labelOnly="1" outline="0" fieldPosition="0">
        <references count="6">
          <reference field="0" count="1" selected="0">
            <x v="6"/>
          </reference>
          <reference field="1" count="1" selected="0">
            <x v="6"/>
          </reference>
          <reference field="3" count="1" selected="0">
            <x v="22"/>
          </reference>
          <reference field="5" count="1" selected="0">
            <x v="27"/>
          </reference>
          <reference field="9" count="1" selected="0">
            <x v="22"/>
          </reference>
          <reference field="13" count="1">
            <x v="8"/>
          </reference>
        </references>
      </pivotArea>
    </format>
    <format dxfId="434">
      <pivotArea dataOnly="0" labelOnly="1" outline="0" fieldPosition="0">
        <references count="6">
          <reference field="0" count="1" selected="0">
            <x v="6"/>
          </reference>
          <reference field="1" count="1" selected="0">
            <x v="24"/>
          </reference>
          <reference field="3" count="1" selected="0">
            <x v="22"/>
          </reference>
          <reference field="5" count="1" selected="0">
            <x v="27"/>
          </reference>
          <reference field="9" count="1" selected="0">
            <x v="36"/>
          </reference>
          <reference field="13" count="1">
            <x v="36"/>
          </reference>
        </references>
      </pivotArea>
    </format>
    <format dxfId="433">
      <pivotArea dataOnly="0" labelOnly="1" outline="0" fieldPosition="0">
        <references count="6">
          <reference field="0" count="1" selected="0">
            <x v="6"/>
          </reference>
          <reference field="1" count="1" selected="0">
            <x v="27"/>
          </reference>
          <reference field="3" count="1" selected="0">
            <x v="22"/>
          </reference>
          <reference field="5" count="1" selected="0">
            <x v="5"/>
          </reference>
          <reference field="9" count="1" selected="0">
            <x v="0"/>
          </reference>
          <reference field="13" count="1">
            <x v="1"/>
          </reference>
        </references>
      </pivotArea>
    </format>
    <format dxfId="432">
      <pivotArea dataOnly="0" labelOnly="1" outline="0" fieldPosition="0">
        <references count="6">
          <reference field="0" count="1" selected="0">
            <x v="7"/>
          </reference>
          <reference field="1" count="1" selected="0">
            <x v="23"/>
          </reference>
          <reference field="3" count="1" selected="0">
            <x v="22"/>
          </reference>
          <reference field="5" count="1" selected="0">
            <x v="27"/>
          </reference>
          <reference field="9" count="1" selected="0">
            <x v="23"/>
          </reference>
          <reference field="13" count="1">
            <x v="23"/>
          </reference>
        </references>
      </pivotArea>
    </format>
    <format dxfId="431">
      <pivotArea dataOnly="0" labelOnly="1" outline="0" fieldPosition="0">
        <references count="6">
          <reference field="0" count="1" selected="0">
            <x v="8"/>
          </reference>
          <reference field="1" count="1" selected="0">
            <x v="43"/>
          </reference>
          <reference field="3" count="1" selected="0">
            <x v="22"/>
          </reference>
          <reference field="5" count="1" selected="0">
            <x v="27"/>
          </reference>
          <reference field="9" count="1" selected="0">
            <x v="36"/>
          </reference>
          <reference field="13" count="1">
            <x v="36"/>
          </reference>
        </references>
      </pivotArea>
    </format>
    <format dxfId="430">
      <pivotArea dataOnly="0" labelOnly="1" outline="0" fieldPosition="0">
        <references count="6">
          <reference field="0" count="1" selected="0">
            <x v="9"/>
          </reference>
          <reference field="1" count="1" selected="0">
            <x v="1"/>
          </reference>
          <reference field="3" count="1" selected="0">
            <x v="5"/>
          </reference>
          <reference field="5" count="1" selected="0">
            <x v="8"/>
          </reference>
          <reference field="9" count="1" selected="0">
            <x v="7"/>
          </reference>
          <reference field="13" count="1">
            <x v="33"/>
          </reference>
        </references>
      </pivotArea>
    </format>
    <format dxfId="429">
      <pivotArea dataOnly="0" labelOnly="1" outline="0" fieldPosition="0">
        <references count="6">
          <reference field="0" count="1" selected="0">
            <x v="9"/>
          </reference>
          <reference field="1" count="1" selected="0">
            <x v="3"/>
          </reference>
          <reference field="3" count="1" selected="0">
            <x v="12"/>
          </reference>
          <reference field="5" count="1" selected="0">
            <x v="16"/>
          </reference>
          <reference field="9" count="1" selected="0">
            <x v="18"/>
          </reference>
          <reference field="13" count="1">
            <x v="15"/>
          </reference>
        </references>
      </pivotArea>
    </format>
    <format dxfId="428">
      <pivotArea dataOnly="0" labelOnly="1" outline="0" fieldPosition="0">
        <references count="6">
          <reference field="0" count="1" selected="0">
            <x v="9"/>
          </reference>
          <reference field="1" count="1" selected="0">
            <x v="7"/>
          </reference>
          <reference field="3" count="1" selected="0">
            <x v="22"/>
          </reference>
          <reference field="5" count="1" selected="0">
            <x v="28"/>
          </reference>
          <reference field="9" count="1" selected="0">
            <x v="29"/>
          </reference>
          <reference field="13" count="1">
            <x v="10"/>
          </reference>
        </references>
      </pivotArea>
    </format>
    <format dxfId="427">
      <pivotArea dataOnly="0" labelOnly="1" outline="0" fieldPosition="0">
        <references count="6">
          <reference field="0" count="1" selected="0">
            <x v="9"/>
          </reference>
          <reference field="1" count="1" selected="0">
            <x v="22"/>
          </reference>
          <reference field="3" count="1" selected="0">
            <x v="20"/>
          </reference>
          <reference field="5" count="1" selected="0">
            <x v="25"/>
          </reference>
          <reference field="9" count="1" selected="0">
            <x v="34"/>
          </reference>
          <reference field="13" count="1">
            <x v="6"/>
          </reference>
        </references>
      </pivotArea>
    </format>
    <format dxfId="426">
      <pivotArea dataOnly="0" labelOnly="1" outline="0" fieldPosition="0">
        <references count="6">
          <reference field="0" count="1" selected="0">
            <x v="9"/>
          </reference>
          <reference field="1" count="1" selected="0">
            <x v="28"/>
          </reference>
          <reference field="3" count="1" selected="0">
            <x v="4"/>
          </reference>
          <reference field="5" count="1" selected="0">
            <x v="9"/>
          </reference>
          <reference field="9" count="1" selected="0">
            <x v="3"/>
          </reference>
          <reference field="13" count="1">
            <x v="29"/>
          </reference>
        </references>
      </pivotArea>
    </format>
    <format dxfId="425">
      <pivotArea dataOnly="0" labelOnly="1" outline="0" fieldPosition="0">
        <references count="6">
          <reference field="0" count="1" selected="0">
            <x v="9"/>
          </reference>
          <reference field="1" count="1" selected="0">
            <x v="33"/>
          </reference>
          <reference field="3" count="1" selected="0">
            <x v="13"/>
          </reference>
          <reference field="5" count="1" selected="0">
            <x v="18"/>
          </reference>
          <reference field="9" count="1" selected="0">
            <x v="21"/>
          </reference>
          <reference field="13" count="1">
            <x v="18"/>
          </reference>
        </references>
      </pivotArea>
    </format>
    <format dxfId="424">
      <pivotArea dataOnly="0" labelOnly="1" outline="0" fieldPosition="0">
        <references count="6">
          <reference field="0" count="1" selected="0">
            <x v="9"/>
          </reference>
          <reference field="1" count="1" selected="0">
            <x v="34"/>
          </reference>
          <reference field="3" count="1" selected="0">
            <x v="11"/>
          </reference>
          <reference field="5" count="1" selected="0">
            <x v="15"/>
          </reference>
          <reference field="9" count="1" selected="0">
            <x v="15"/>
          </reference>
          <reference field="13" count="1">
            <x v="27"/>
          </reference>
        </references>
      </pivotArea>
    </format>
    <format dxfId="423">
      <pivotArea dataOnly="0" labelOnly="1" outline="0" fieldPosition="0">
        <references count="6">
          <reference field="0" count="1" selected="0">
            <x v="9"/>
          </reference>
          <reference field="1" count="1" selected="0">
            <x v="35"/>
          </reference>
          <reference field="3" count="1" selected="0">
            <x v="14"/>
          </reference>
          <reference field="5" count="1" selected="0">
            <x v="19"/>
          </reference>
          <reference field="9" count="1" selected="0">
            <x v="24"/>
          </reference>
          <reference field="13" count="1">
            <x v="5"/>
          </reference>
        </references>
      </pivotArea>
    </format>
    <format dxfId="422">
      <pivotArea dataOnly="0" labelOnly="1" outline="0" fieldPosition="0">
        <references count="5">
          <reference field="0" count="1" selected="0">
            <x v="4"/>
          </reference>
          <reference field="1" count="1" selected="0">
            <x v="15"/>
          </reference>
          <reference field="3" count="1" selected="0">
            <x v="22"/>
          </reference>
          <reference field="5" count="1" selected="0">
            <x v="27"/>
          </reference>
          <reference field="9" count="1">
            <x v="9"/>
          </reference>
        </references>
      </pivotArea>
    </format>
    <format dxfId="421">
      <pivotArea dataOnly="0" labelOnly="1" outline="0" fieldPosition="0">
        <references count="5">
          <reference field="0" count="1" selected="0">
            <x v="4"/>
          </reference>
          <reference field="1" count="1" selected="0">
            <x v="15"/>
          </reference>
          <reference field="3" count="1" selected="0">
            <x v="22"/>
          </reference>
          <reference field="5" count="1" selected="0">
            <x v="27"/>
          </reference>
          <reference field="9" count="1">
            <x v="9"/>
          </reference>
        </references>
      </pivotArea>
    </format>
    <format dxfId="420">
      <pivotArea dataOnly="0" labelOnly="1" outline="0" fieldPosition="0">
        <references count="5">
          <reference field="0" count="1" selected="0">
            <x v="4"/>
          </reference>
          <reference field="1" count="1" selected="0">
            <x v="15"/>
          </reference>
          <reference field="3" count="1" selected="0">
            <x v="22"/>
          </reference>
          <reference field="5" count="1" selected="0">
            <x v="27"/>
          </reference>
          <reference field="9" count="1">
            <x v="9"/>
          </reference>
        </references>
      </pivotArea>
    </format>
    <format dxfId="419">
      <pivotArea dataOnly="0" labelOnly="1" outline="0" fieldPosition="0">
        <references count="6">
          <reference field="0" count="1" selected="0">
            <x v="4"/>
          </reference>
          <reference field="1" count="1" selected="0">
            <x v="15"/>
          </reference>
          <reference field="3" count="1" selected="0">
            <x v="22"/>
          </reference>
          <reference field="5" count="1" selected="0">
            <x v="27"/>
          </reference>
          <reference field="9" count="1" selected="0">
            <x v="9"/>
          </reference>
          <reference field="13" count="1">
            <x v="24"/>
          </reference>
        </references>
      </pivotArea>
    </format>
    <format dxfId="418">
      <pivotArea dataOnly="0" labelOnly="1" outline="0" fieldPosition="0">
        <references count="6">
          <reference field="0" count="1" selected="0">
            <x v="4"/>
          </reference>
          <reference field="1" count="1" selected="0">
            <x v="15"/>
          </reference>
          <reference field="3" count="1" selected="0">
            <x v="22"/>
          </reference>
          <reference field="5" count="1" selected="0">
            <x v="27"/>
          </reference>
          <reference field="9" count="1" selected="0">
            <x v="9"/>
          </reference>
          <reference field="13" count="1">
            <x v="24"/>
          </reference>
        </references>
      </pivotArea>
    </format>
    <format dxfId="417">
      <pivotArea dataOnly="0" labelOnly="1" outline="0" fieldPosition="0">
        <references count="6">
          <reference field="0" count="1" selected="0">
            <x v="4"/>
          </reference>
          <reference field="1" count="1" selected="0">
            <x v="15"/>
          </reference>
          <reference field="3" count="1" selected="0">
            <x v="22"/>
          </reference>
          <reference field="5" count="1" selected="0">
            <x v="27"/>
          </reference>
          <reference field="9" count="1" selected="0">
            <x v="9"/>
          </reference>
          <reference field="13" count="1">
            <x v="24"/>
          </reference>
        </references>
      </pivotArea>
    </format>
    <format dxfId="416">
      <pivotArea dataOnly="0" labelOnly="1" outline="0" fieldPosition="0">
        <references count="3">
          <reference field="0" count="1" selected="0">
            <x v="5"/>
          </reference>
          <reference field="1" count="1" selected="0">
            <x v="40"/>
          </reference>
          <reference field="3" count="1">
            <x v="3"/>
          </reference>
        </references>
      </pivotArea>
    </format>
    <format dxfId="415">
      <pivotArea dataOnly="0" labelOnly="1" outline="0" fieldPosition="0">
        <references count="6">
          <reference field="0" count="1" selected="0">
            <x v="0"/>
          </reference>
          <reference field="1" count="1" selected="0">
            <x v="11"/>
          </reference>
          <reference field="3" count="1" selected="0">
            <x v="7"/>
          </reference>
          <reference field="5" count="1" selected="0">
            <x v="0"/>
          </reference>
          <reference field="9" count="1" selected="0">
            <x v="12"/>
          </reference>
          <reference field="13" count="1">
            <x v="0"/>
          </reference>
        </references>
      </pivotArea>
    </format>
    <format dxfId="414">
      <pivotArea dataOnly="0" labelOnly="1" outline="0" fieldPosition="0">
        <references count="6">
          <reference field="0" count="1" selected="0">
            <x v="0"/>
          </reference>
          <reference field="1" count="1" selected="0">
            <x v="11"/>
          </reference>
          <reference field="3" count="1" selected="0">
            <x v="7"/>
          </reference>
          <reference field="5" count="1" selected="0">
            <x v="0"/>
          </reference>
          <reference field="9" count="1" selected="0">
            <x v="12"/>
          </reference>
          <reference field="13" count="1">
            <x v="0"/>
          </reference>
        </references>
      </pivotArea>
    </format>
    <format dxfId="413">
      <pivotArea dataOnly="0" labelOnly="1" outline="0" fieldPosition="0">
        <references count="4">
          <reference field="0" count="1" selected="0">
            <x v="0"/>
          </reference>
          <reference field="1" count="1" selected="0">
            <x v="30"/>
          </reference>
          <reference field="3" count="1" selected="0">
            <x v="22"/>
          </reference>
          <reference field="5" count="1">
            <x v="14"/>
          </reference>
        </references>
      </pivotArea>
    </format>
    <format dxfId="412">
      <pivotArea dataOnly="0" labelOnly="1" outline="0" fieldPosition="0">
        <references count="5">
          <reference field="0" count="1" selected="0">
            <x v="0"/>
          </reference>
          <reference field="1" count="1" selected="0">
            <x v="30"/>
          </reference>
          <reference field="3" count="1" selected="0">
            <x v="22"/>
          </reference>
          <reference field="5" count="1" selected="0">
            <x v="14"/>
          </reference>
          <reference field="9" count="1">
            <x v="16"/>
          </reference>
        </references>
      </pivotArea>
    </format>
    <format dxfId="411">
      <pivotArea dataOnly="0" labelOnly="1" outline="0" fieldPosition="0">
        <references count="3">
          <reference field="0" count="1" selected="0">
            <x v="0"/>
          </reference>
          <reference field="1" count="1" selected="0">
            <x v="11"/>
          </reference>
          <reference field="3" count="1">
            <x v="7"/>
          </reference>
        </references>
      </pivotArea>
    </format>
    <format dxfId="410">
      <pivotArea dataOnly="0" labelOnly="1" outline="0" fieldPosition="0">
        <references count="3">
          <reference field="0" count="1" selected="0">
            <x v="0"/>
          </reference>
          <reference field="1" count="1" selected="0">
            <x v="19"/>
          </reference>
          <reference field="3" count="1">
            <x v="21"/>
          </reference>
        </references>
      </pivotArea>
    </format>
    <format dxfId="409">
      <pivotArea dataOnly="0" labelOnly="1" outline="0" fieldPosition="0">
        <references count="3">
          <reference field="0" count="1" selected="0">
            <x v="0"/>
          </reference>
          <reference field="1" count="1" selected="0">
            <x v="30"/>
          </reference>
          <reference field="3" count="1">
            <x v="22"/>
          </reference>
        </references>
      </pivotArea>
    </format>
    <format dxfId="408">
      <pivotArea dataOnly="0" labelOnly="1" outline="0" fieldPosition="0">
        <references count="3">
          <reference field="0" count="1" selected="0">
            <x v="1"/>
          </reference>
          <reference field="1" count="1" selected="0">
            <x v="9"/>
          </reference>
          <reference field="3" count="1">
            <x v="1"/>
          </reference>
        </references>
      </pivotArea>
    </format>
    <format dxfId="407">
      <pivotArea dataOnly="0" labelOnly="1" outline="0" fieldPosition="0">
        <references count="3">
          <reference field="0" count="1" selected="0">
            <x v="1"/>
          </reference>
          <reference field="1" count="1" selected="0">
            <x v="10"/>
          </reference>
          <reference field="3" count="1">
            <x v="2"/>
          </reference>
        </references>
      </pivotArea>
    </format>
    <format dxfId="406">
      <pivotArea dataOnly="0" labelOnly="1" outline="0" fieldPosition="0">
        <references count="3">
          <reference field="0" count="1" selected="0">
            <x v="1"/>
          </reference>
          <reference field="1" count="1" selected="0">
            <x v="12"/>
          </reference>
          <reference field="3" count="1">
            <x v="22"/>
          </reference>
        </references>
      </pivotArea>
    </format>
    <format dxfId="405">
      <pivotArea dataOnly="0" labelOnly="1" outline="0" fieldPosition="0">
        <references count="3">
          <reference field="0" count="1" selected="0">
            <x v="1"/>
          </reference>
          <reference field="1" count="1" selected="0">
            <x v="13"/>
          </reference>
          <reference field="3" count="1">
            <x v="0"/>
          </reference>
        </references>
      </pivotArea>
    </format>
    <format dxfId="404">
      <pivotArea dataOnly="0" labelOnly="1" outline="0" fieldPosition="0">
        <references count="3">
          <reference field="0" count="1" selected="0">
            <x v="1"/>
          </reference>
          <reference field="1" count="1" selected="0">
            <x v="14"/>
          </reference>
          <reference field="3" count="1">
            <x v="8"/>
          </reference>
        </references>
      </pivotArea>
    </format>
    <format dxfId="403">
      <pivotArea dataOnly="0" labelOnly="1" outline="0" fieldPosition="0">
        <references count="3">
          <reference field="0" count="1" selected="0">
            <x v="1"/>
          </reference>
          <reference field="1" count="1" selected="0">
            <x v="16"/>
          </reference>
          <reference field="3" count="1">
            <x v="22"/>
          </reference>
        </references>
      </pivotArea>
    </format>
    <format dxfId="402">
      <pivotArea dataOnly="0" labelOnly="1" outline="0" fieldPosition="0">
        <references count="3">
          <reference field="0" count="1" selected="0">
            <x v="1"/>
          </reference>
          <reference field="1" count="1" selected="0">
            <x v="17"/>
          </reference>
          <reference field="3" count="1">
            <x v="19"/>
          </reference>
        </references>
      </pivotArea>
    </format>
    <format dxfId="401">
      <pivotArea dataOnly="0" labelOnly="1" outline="0" fieldPosition="0">
        <references count="3">
          <reference field="0" count="1" selected="0">
            <x v="1"/>
          </reference>
          <reference field="1" count="1" selected="0">
            <x v="18"/>
          </reference>
          <reference field="3" count="1">
            <x v="18"/>
          </reference>
        </references>
      </pivotArea>
    </format>
    <format dxfId="400">
      <pivotArea dataOnly="0" labelOnly="1" outline="0" fieldPosition="0">
        <references count="3">
          <reference field="0" count="1" selected="0">
            <x v="1"/>
          </reference>
          <reference field="1" count="1" selected="0">
            <x v="20"/>
          </reference>
          <reference field="3" count="1">
            <x v="17"/>
          </reference>
        </references>
      </pivotArea>
    </format>
    <format dxfId="399">
      <pivotArea dataOnly="0" labelOnly="1" outline="0" fieldPosition="0">
        <references count="3">
          <reference field="0" count="1" selected="0">
            <x v="1"/>
          </reference>
          <reference field="1" count="1" selected="0">
            <x v="21"/>
          </reference>
          <reference field="3" count="1">
            <x v="16"/>
          </reference>
        </references>
      </pivotArea>
    </format>
    <format dxfId="398">
      <pivotArea dataOnly="0" labelOnly="1" outline="0" fieldPosition="0">
        <references count="3">
          <reference field="0" count="1" selected="0">
            <x v="1"/>
          </reference>
          <reference field="1" count="1" selected="0">
            <x v="37"/>
          </reference>
          <reference field="3" count="1">
            <x v="9"/>
          </reference>
        </references>
      </pivotArea>
    </format>
    <format dxfId="397">
      <pivotArea dataOnly="0" labelOnly="1" outline="0" fieldPosition="0">
        <references count="3">
          <reference field="0" count="1" selected="0">
            <x v="1"/>
          </reference>
          <reference field="1" count="1" selected="0">
            <x v="38"/>
          </reference>
          <reference field="3" count="1">
            <x v="10"/>
          </reference>
        </references>
      </pivotArea>
    </format>
    <format dxfId="396">
      <pivotArea dataOnly="0" labelOnly="1" outline="0" fieldPosition="0">
        <references count="3">
          <reference field="0" count="1" selected="0">
            <x v="1"/>
          </reference>
          <reference field="1" count="1" selected="0">
            <x v="39"/>
          </reference>
          <reference field="3" count="1">
            <x v="6"/>
          </reference>
        </references>
      </pivotArea>
    </format>
    <format dxfId="395">
      <pivotArea dataOnly="0" labelOnly="1" outline="0" fieldPosition="0">
        <references count="3">
          <reference field="0" count="1" selected="0">
            <x v="2"/>
          </reference>
          <reference field="1" count="1" selected="0">
            <x v="4"/>
          </reference>
          <reference field="3" count="1">
            <x v="22"/>
          </reference>
        </references>
      </pivotArea>
    </format>
    <format dxfId="394">
      <pivotArea dataOnly="0" labelOnly="1" outline="0" fieldPosition="0">
        <references count="3">
          <reference field="0" count="1" selected="0">
            <x v="3"/>
          </reference>
          <reference field="1" count="1" selected="0">
            <x v="41"/>
          </reference>
          <reference field="3" count="1">
            <x v="15"/>
          </reference>
        </references>
      </pivotArea>
    </format>
    <format dxfId="393">
      <pivotArea dataOnly="0" labelOnly="1" outline="0" fieldPosition="0">
        <references count="3">
          <reference field="0" count="1" selected="0">
            <x v="3"/>
          </reference>
          <reference field="1" count="1" selected="0">
            <x v="42"/>
          </reference>
          <reference field="3" count="1">
            <x v="22"/>
          </reference>
        </references>
      </pivotArea>
    </format>
    <format dxfId="392">
      <pivotArea dataOnly="0" labelOnly="1" outline="0" fieldPosition="0">
        <references count="3">
          <reference field="0" count="1" selected="0">
            <x v="5"/>
          </reference>
          <reference field="1" count="1" selected="0">
            <x v="40"/>
          </reference>
          <reference field="3" count="1">
            <x v="3"/>
          </reference>
        </references>
      </pivotArea>
    </format>
    <format dxfId="391">
      <pivotArea dataOnly="0" labelOnly="1" outline="0" fieldPosition="0">
        <references count="3">
          <reference field="0" count="1" selected="0">
            <x v="6"/>
          </reference>
          <reference field="1" count="1" selected="0">
            <x v="0"/>
          </reference>
          <reference field="3" count="1">
            <x v="22"/>
          </reference>
        </references>
      </pivotArea>
    </format>
    <format dxfId="390">
      <pivotArea dataOnly="0" labelOnly="1" outline="0" fieldPosition="0">
        <references count="3">
          <reference field="0" count="1" selected="0">
            <x v="9"/>
          </reference>
          <reference field="1" count="1" selected="0">
            <x v="1"/>
          </reference>
          <reference field="3" count="1">
            <x v="5"/>
          </reference>
        </references>
      </pivotArea>
    </format>
    <format dxfId="389">
      <pivotArea dataOnly="0" labelOnly="1" outline="0" fieldPosition="0">
        <references count="3">
          <reference field="0" count="1" selected="0">
            <x v="9"/>
          </reference>
          <reference field="1" count="1" selected="0">
            <x v="3"/>
          </reference>
          <reference field="3" count="1">
            <x v="12"/>
          </reference>
        </references>
      </pivotArea>
    </format>
    <format dxfId="388">
      <pivotArea dataOnly="0" labelOnly="1" outline="0" fieldPosition="0">
        <references count="3">
          <reference field="0" count="1" selected="0">
            <x v="9"/>
          </reference>
          <reference field="1" count="1" selected="0">
            <x v="7"/>
          </reference>
          <reference field="3" count="1">
            <x v="22"/>
          </reference>
        </references>
      </pivotArea>
    </format>
    <format dxfId="387">
      <pivotArea dataOnly="0" labelOnly="1" outline="0" fieldPosition="0">
        <references count="3">
          <reference field="0" count="1" selected="0">
            <x v="9"/>
          </reference>
          <reference field="1" count="1" selected="0">
            <x v="22"/>
          </reference>
          <reference field="3" count="1">
            <x v="20"/>
          </reference>
        </references>
      </pivotArea>
    </format>
    <format dxfId="386">
      <pivotArea dataOnly="0" labelOnly="1" outline="0" fieldPosition="0">
        <references count="3">
          <reference field="0" count="1" selected="0">
            <x v="9"/>
          </reference>
          <reference field="1" count="1" selected="0">
            <x v="28"/>
          </reference>
          <reference field="3" count="1">
            <x v="4"/>
          </reference>
        </references>
      </pivotArea>
    </format>
    <format dxfId="385">
      <pivotArea dataOnly="0" labelOnly="1" outline="0" fieldPosition="0">
        <references count="3">
          <reference field="0" count="1" selected="0">
            <x v="9"/>
          </reference>
          <reference field="1" count="1" selected="0">
            <x v="33"/>
          </reference>
          <reference field="3" count="1">
            <x v="13"/>
          </reference>
        </references>
      </pivotArea>
    </format>
    <format dxfId="384">
      <pivotArea dataOnly="0" labelOnly="1" outline="0" fieldPosition="0">
        <references count="3">
          <reference field="0" count="1" selected="0">
            <x v="9"/>
          </reference>
          <reference field="1" count="1" selected="0">
            <x v="34"/>
          </reference>
          <reference field="3" count="1">
            <x v="11"/>
          </reference>
        </references>
      </pivotArea>
    </format>
    <format dxfId="383">
      <pivotArea dataOnly="0" labelOnly="1" outline="0" fieldPosition="0">
        <references count="3">
          <reference field="0" count="1" selected="0">
            <x v="9"/>
          </reference>
          <reference field="1" count="1" selected="0">
            <x v="35"/>
          </reference>
          <reference field="3" count="1">
            <x v="14"/>
          </reference>
        </references>
      </pivotArea>
    </format>
    <format dxfId="382">
      <pivotArea dataOnly="0" labelOnly="1" outline="0" fieldPosition="0">
        <references count="4">
          <reference field="0" count="1" selected="0">
            <x v="0"/>
          </reference>
          <reference field="1" count="1" selected="0">
            <x v="11"/>
          </reference>
          <reference field="3" count="1" selected="0">
            <x v="7"/>
          </reference>
          <reference field="5" count="1">
            <x v="0"/>
          </reference>
        </references>
      </pivotArea>
    </format>
    <format dxfId="381">
      <pivotArea dataOnly="0" labelOnly="1" outline="0" fieldPosition="0">
        <references count="4">
          <reference field="0" count="1" selected="0">
            <x v="0"/>
          </reference>
          <reference field="1" count="1" selected="0">
            <x v="19"/>
          </reference>
          <reference field="3" count="1" selected="0">
            <x v="21"/>
          </reference>
          <reference field="5" count="1">
            <x v="26"/>
          </reference>
        </references>
      </pivotArea>
    </format>
    <format dxfId="380">
      <pivotArea dataOnly="0" labelOnly="1" outline="0" fieldPosition="0">
        <references count="4">
          <reference field="0" count="1" selected="0">
            <x v="0"/>
          </reference>
          <reference field="1" count="1" selected="0">
            <x v="30"/>
          </reference>
          <reference field="3" count="1" selected="0">
            <x v="22"/>
          </reference>
          <reference field="5" count="1">
            <x v="14"/>
          </reference>
        </references>
      </pivotArea>
    </format>
    <format dxfId="379">
      <pivotArea dataOnly="0" labelOnly="1" outline="0" fieldPosition="0">
        <references count="4">
          <reference field="0" count="1" selected="0">
            <x v="1"/>
          </reference>
          <reference field="1" count="1" selected="0">
            <x v="9"/>
          </reference>
          <reference field="3" count="1" selected="0">
            <x v="1"/>
          </reference>
          <reference field="5" count="1">
            <x v="2"/>
          </reference>
        </references>
      </pivotArea>
    </format>
    <format dxfId="378">
      <pivotArea dataOnly="0" labelOnly="1" outline="0" fieldPosition="0">
        <references count="4">
          <reference field="0" count="1" selected="0">
            <x v="1"/>
          </reference>
          <reference field="1" count="1" selected="0">
            <x v="10"/>
          </reference>
          <reference field="3" count="1" selected="0">
            <x v="2"/>
          </reference>
          <reference field="5" count="1">
            <x v="6"/>
          </reference>
        </references>
      </pivotArea>
    </format>
    <format dxfId="377">
      <pivotArea dataOnly="0" labelOnly="1" outline="0" fieldPosition="0">
        <references count="4">
          <reference field="0" count="1" selected="0">
            <x v="1"/>
          </reference>
          <reference field="1" count="1" selected="0">
            <x v="12"/>
          </reference>
          <reference field="3" count="1" selected="0">
            <x v="22"/>
          </reference>
          <reference field="5" count="1">
            <x v="1"/>
          </reference>
        </references>
      </pivotArea>
    </format>
    <format dxfId="376">
      <pivotArea dataOnly="0" labelOnly="1" outline="0" fieldPosition="0">
        <references count="4">
          <reference field="0" count="1" selected="0">
            <x v="1"/>
          </reference>
          <reference field="1" count="1" selected="0">
            <x v="13"/>
          </reference>
          <reference field="3" count="1" selected="0">
            <x v="0"/>
          </reference>
          <reference field="5" count="1">
            <x v="4"/>
          </reference>
        </references>
      </pivotArea>
    </format>
    <format dxfId="375">
      <pivotArea dataOnly="0" labelOnly="1" outline="0" fieldPosition="0">
        <references count="4">
          <reference field="0" count="1" selected="0">
            <x v="1"/>
          </reference>
          <reference field="1" count="1" selected="0">
            <x v="14"/>
          </reference>
          <reference field="3" count="1" selected="0">
            <x v="8"/>
          </reference>
          <reference field="5" count="1">
            <x v="11"/>
          </reference>
        </references>
      </pivotArea>
    </format>
    <format dxfId="374">
      <pivotArea dataOnly="0" labelOnly="1" outline="0" fieldPosition="0">
        <references count="4">
          <reference field="0" count="1" selected="0">
            <x v="1"/>
          </reference>
          <reference field="1" count="1" selected="0">
            <x v="16"/>
          </reference>
          <reference field="3" count="1" selected="0">
            <x v="22"/>
          </reference>
          <reference field="5" count="1">
            <x v="3"/>
          </reference>
        </references>
      </pivotArea>
    </format>
    <format dxfId="373">
      <pivotArea dataOnly="0" labelOnly="1" outline="0" fieldPosition="0">
        <references count="4">
          <reference field="0" count="1" selected="0">
            <x v="1"/>
          </reference>
          <reference field="1" count="1" selected="0">
            <x v="17"/>
          </reference>
          <reference field="3" count="1" selected="0">
            <x v="19"/>
          </reference>
          <reference field="5" count="1">
            <x v="24"/>
          </reference>
        </references>
      </pivotArea>
    </format>
    <format dxfId="372">
      <pivotArea dataOnly="0" labelOnly="1" outline="0" fieldPosition="0">
        <references count="4">
          <reference field="0" count="1" selected="0">
            <x v="1"/>
          </reference>
          <reference field="1" count="1" selected="0">
            <x v="18"/>
          </reference>
          <reference field="3" count="1" selected="0">
            <x v="18"/>
          </reference>
          <reference field="5" count="1">
            <x v="23"/>
          </reference>
        </references>
      </pivotArea>
    </format>
    <format dxfId="371">
      <pivotArea dataOnly="0" labelOnly="1" outline="0" fieldPosition="0">
        <references count="4">
          <reference field="0" count="1" selected="0">
            <x v="1"/>
          </reference>
          <reference field="1" count="1" selected="0">
            <x v="20"/>
          </reference>
          <reference field="3" count="1" selected="0">
            <x v="17"/>
          </reference>
          <reference field="5" count="1">
            <x v="22"/>
          </reference>
        </references>
      </pivotArea>
    </format>
    <format dxfId="370">
      <pivotArea dataOnly="0" labelOnly="1" outline="0" fieldPosition="0">
        <references count="4">
          <reference field="0" count="1" selected="0">
            <x v="1"/>
          </reference>
          <reference field="1" count="1" selected="0">
            <x v="21"/>
          </reference>
          <reference field="3" count="1" selected="0">
            <x v="16"/>
          </reference>
          <reference field="5" count="1">
            <x v="21"/>
          </reference>
        </references>
      </pivotArea>
    </format>
    <format dxfId="369">
      <pivotArea dataOnly="0" labelOnly="1" outline="0" fieldPosition="0">
        <references count="4">
          <reference field="0" count="1" selected="0">
            <x v="1"/>
          </reference>
          <reference field="1" count="1" selected="0">
            <x v="37"/>
          </reference>
          <reference field="3" count="1" selected="0">
            <x v="9"/>
          </reference>
          <reference field="5" count="1">
            <x v="12"/>
          </reference>
        </references>
      </pivotArea>
    </format>
    <format dxfId="368">
      <pivotArea dataOnly="0" labelOnly="1" outline="0" fieldPosition="0">
        <references count="4">
          <reference field="0" count="1" selected="0">
            <x v="1"/>
          </reference>
          <reference field="1" count="1" selected="0">
            <x v="38"/>
          </reference>
          <reference field="3" count="1" selected="0">
            <x v="10"/>
          </reference>
          <reference field="5" count="1">
            <x v="13"/>
          </reference>
        </references>
      </pivotArea>
    </format>
    <format dxfId="367">
      <pivotArea dataOnly="0" labelOnly="1" outline="0" fieldPosition="0">
        <references count="4">
          <reference field="0" count="1" selected="0">
            <x v="1"/>
          </reference>
          <reference field="1" count="1" selected="0">
            <x v="39"/>
          </reference>
          <reference field="3" count="1" selected="0">
            <x v="6"/>
          </reference>
          <reference field="5" count="1">
            <x v="10"/>
          </reference>
        </references>
      </pivotArea>
    </format>
    <format dxfId="366">
      <pivotArea dataOnly="0" labelOnly="1" outline="0" fieldPosition="0">
        <references count="4">
          <reference field="0" count="1" selected="0">
            <x v="2"/>
          </reference>
          <reference field="1" count="1" selected="0">
            <x v="4"/>
          </reference>
          <reference field="3" count="1" selected="0">
            <x v="22"/>
          </reference>
          <reference field="5" count="1">
            <x v="27"/>
          </reference>
        </references>
      </pivotArea>
    </format>
    <format dxfId="365">
      <pivotArea dataOnly="0" labelOnly="1" outline="0" fieldPosition="0">
        <references count="4">
          <reference field="0" count="1" selected="0">
            <x v="3"/>
          </reference>
          <reference field="1" count="1" selected="0">
            <x v="41"/>
          </reference>
          <reference field="3" count="1" selected="0">
            <x v="15"/>
          </reference>
          <reference field="5" count="1">
            <x v="20"/>
          </reference>
        </references>
      </pivotArea>
    </format>
    <format dxfId="364">
      <pivotArea dataOnly="0" labelOnly="1" outline="0" fieldPosition="0">
        <references count="4">
          <reference field="0" count="1" selected="0">
            <x v="3"/>
          </reference>
          <reference field="1" count="1" selected="0">
            <x v="42"/>
          </reference>
          <reference field="3" count="1" selected="0">
            <x v="22"/>
          </reference>
          <reference field="5" count="1">
            <x v="27"/>
          </reference>
        </references>
      </pivotArea>
    </format>
    <format dxfId="363">
      <pivotArea dataOnly="0" labelOnly="1" outline="0" fieldPosition="0">
        <references count="4">
          <reference field="0" count="1" selected="0">
            <x v="4"/>
          </reference>
          <reference field="1" count="1" selected="0">
            <x v="26"/>
          </reference>
          <reference field="3" count="1" selected="0">
            <x v="22"/>
          </reference>
          <reference field="5" count="1">
            <x v="17"/>
          </reference>
        </references>
      </pivotArea>
    </format>
    <format dxfId="362">
      <pivotArea dataOnly="0" labelOnly="1" outline="0" fieldPosition="0">
        <references count="4">
          <reference field="0" count="1" selected="0">
            <x v="5"/>
          </reference>
          <reference field="1" count="1" selected="0">
            <x v="40"/>
          </reference>
          <reference field="3" count="1" selected="0">
            <x v="3"/>
          </reference>
          <reference field="5" count="1">
            <x v="7"/>
          </reference>
        </references>
      </pivotArea>
    </format>
    <format dxfId="361">
      <pivotArea dataOnly="0" labelOnly="1" outline="0" fieldPosition="0">
        <references count="4">
          <reference field="0" count="1" selected="0">
            <x v="6"/>
          </reference>
          <reference field="1" count="1" selected="0">
            <x v="0"/>
          </reference>
          <reference field="3" count="1" selected="0">
            <x v="22"/>
          </reference>
          <reference field="5" count="1">
            <x v="27"/>
          </reference>
        </references>
      </pivotArea>
    </format>
    <format dxfId="360">
      <pivotArea dataOnly="0" labelOnly="1" outline="0" fieldPosition="0">
        <references count="4">
          <reference field="0" count="1" selected="0">
            <x v="6"/>
          </reference>
          <reference field="1" count="1" selected="0">
            <x v="27"/>
          </reference>
          <reference field="3" count="1" selected="0">
            <x v="22"/>
          </reference>
          <reference field="5" count="1">
            <x v="5"/>
          </reference>
        </references>
      </pivotArea>
    </format>
    <format dxfId="359">
      <pivotArea dataOnly="0" labelOnly="1" outline="0" fieldPosition="0">
        <references count="4">
          <reference field="0" count="1" selected="0">
            <x v="7"/>
          </reference>
          <reference field="1" count="1" selected="0">
            <x v="23"/>
          </reference>
          <reference field="3" count="1" selected="0">
            <x v="22"/>
          </reference>
          <reference field="5" count="1">
            <x v="27"/>
          </reference>
        </references>
      </pivotArea>
    </format>
    <format dxfId="358">
      <pivotArea dataOnly="0" labelOnly="1" outline="0" fieldPosition="0">
        <references count="4">
          <reference field="0" count="1" selected="0">
            <x v="9"/>
          </reference>
          <reference field="1" count="1" selected="0">
            <x v="1"/>
          </reference>
          <reference field="3" count="1" selected="0">
            <x v="5"/>
          </reference>
          <reference field="5" count="1">
            <x v="8"/>
          </reference>
        </references>
      </pivotArea>
    </format>
    <format dxfId="357">
      <pivotArea dataOnly="0" labelOnly="1" outline="0" fieldPosition="0">
        <references count="4">
          <reference field="0" count="1" selected="0">
            <x v="9"/>
          </reference>
          <reference field="1" count="1" selected="0">
            <x v="3"/>
          </reference>
          <reference field="3" count="1" selected="0">
            <x v="12"/>
          </reference>
          <reference field="5" count="1">
            <x v="16"/>
          </reference>
        </references>
      </pivotArea>
    </format>
    <format dxfId="356">
      <pivotArea dataOnly="0" labelOnly="1" outline="0" fieldPosition="0">
        <references count="4">
          <reference field="0" count="1" selected="0">
            <x v="9"/>
          </reference>
          <reference field="1" count="1" selected="0">
            <x v="7"/>
          </reference>
          <reference field="3" count="1" selected="0">
            <x v="22"/>
          </reference>
          <reference field="5" count="1">
            <x v="28"/>
          </reference>
        </references>
      </pivotArea>
    </format>
    <format dxfId="355">
      <pivotArea dataOnly="0" labelOnly="1" outline="0" fieldPosition="0">
        <references count="4">
          <reference field="0" count="1" selected="0">
            <x v="9"/>
          </reference>
          <reference field="1" count="1" selected="0">
            <x v="22"/>
          </reference>
          <reference field="3" count="1" selected="0">
            <x v="20"/>
          </reference>
          <reference field="5" count="1">
            <x v="25"/>
          </reference>
        </references>
      </pivotArea>
    </format>
    <format dxfId="354">
      <pivotArea dataOnly="0" labelOnly="1" outline="0" fieldPosition="0">
        <references count="4">
          <reference field="0" count="1" selected="0">
            <x v="9"/>
          </reference>
          <reference field="1" count="1" selected="0">
            <x v="28"/>
          </reference>
          <reference field="3" count="1" selected="0">
            <x v="4"/>
          </reference>
          <reference field="5" count="1">
            <x v="9"/>
          </reference>
        </references>
      </pivotArea>
    </format>
    <format dxfId="353">
      <pivotArea dataOnly="0" labelOnly="1" outline="0" fieldPosition="0">
        <references count="4">
          <reference field="0" count="1" selected="0">
            <x v="9"/>
          </reference>
          <reference field="1" count="1" selected="0">
            <x v="33"/>
          </reference>
          <reference field="3" count="1" selected="0">
            <x v="13"/>
          </reference>
          <reference field="5" count="1">
            <x v="18"/>
          </reference>
        </references>
      </pivotArea>
    </format>
    <format dxfId="352">
      <pivotArea dataOnly="0" labelOnly="1" outline="0" fieldPosition="0">
        <references count="4">
          <reference field="0" count="1" selected="0">
            <x v="9"/>
          </reference>
          <reference field="1" count="1" selected="0">
            <x v="34"/>
          </reference>
          <reference field="3" count="1" selected="0">
            <x v="11"/>
          </reference>
          <reference field="5" count="1">
            <x v="15"/>
          </reference>
        </references>
      </pivotArea>
    </format>
    <format dxfId="351">
      <pivotArea dataOnly="0" labelOnly="1" outline="0" fieldPosition="0">
        <references count="4">
          <reference field="0" count="1" selected="0">
            <x v="9"/>
          </reference>
          <reference field="1" count="1" selected="0">
            <x v="35"/>
          </reference>
          <reference field="3" count="1" selected="0">
            <x v="14"/>
          </reference>
          <reference field="5" count="1">
            <x v="19"/>
          </reference>
        </references>
      </pivotArea>
    </format>
    <format dxfId="350">
      <pivotArea dataOnly="0" labelOnly="1" outline="0" fieldPosition="0">
        <references count="5">
          <reference field="0" count="1" selected="0">
            <x v="0"/>
          </reference>
          <reference field="1" count="1" selected="0">
            <x v="11"/>
          </reference>
          <reference field="3" count="1" selected="0">
            <x v="7"/>
          </reference>
          <reference field="5" count="1" selected="0">
            <x v="0"/>
          </reference>
          <reference field="9" count="1">
            <x v="12"/>
          </reference>
        </references>
      </pivotArea>
    </format>
    <format dxfId="349">
      <pivotArea dataOnly="0" labelOnly="1" outline="0" fieldPosition="0">
        <references count="5">
          <reference field="0" count="1" selected="0">
            <x v="0"/>
          </reference>
          <reference field="1" count="1" selected="0">
            <x v="19"/>
          </reference>
          <reference field="3" count="1" selected="0">
            <x v="21"/>
          </reference>
          <reference field="5" count="1" selected="0">
            <x v="26"/>
          </reference>
          <reference field="9" count="1">
            <x v="35"/>
          </reference>
        </references>
      </pivotArea>
    </format>
    <format dxfId="348">
      <pivotArea dataOnly="0" labelOnly="1" outline="0" fieldPosition="0">
        <references count="5">
          <reference field="0" count="1" selected="0">
            <x v="0"/>
          </reference>
          <reference field="1" count="1" selected="0">
            <x v="30"/>
          </reference>
          <reference field="3" count="1" selected="0">
            <x v="22"/>
          </reference>
          <reference field="5" count="1" selected="0">
            <x v="14"/>
          </reference>
          <reference field="9" count="1">
            <x v="16"/>
          </reference>
        </references>
      </pivotArea>
    </format>
    <format dxfId="347">
      <pivotArea dataOnly="0" labelOnly="1" outline="0" fieldPosition="0">
        <references count="5">
          <reference field="0" count="1" selected="0">
            <x v="1"/>
          </reference>
          <reference field="1" count="1" selected="0">
            <x v="9"/>
          </reference>
          <reference field="3" count="1" selected="0">
            <x v="1"/>
          </reference>
          <reference field="5" count="1" selected="0">
            <x v="2"/>
          </reference>
          <reference field="9" count="1">
            <x v="4"/>
          </reference>
        </references>
      </pivotArea>
    </format>
    <format dxfId="346">
      <pivotArea dataOnly="0" labelOnly="1" outline="0" fieldPosition="0">
        <references count="5">
          <reference field="0" count="1" selected="0">
            <x v="1"/>
          </reference>
          <reference field="1" count="1" selected="0">
            <x v="10"/>
          </reference>
          <reference field="3" count="1" selected="0">
            <x v="2"/>
          </reference>
          <reference field="5" count="1" selected="0">
            <x v="6"/>
          </reference>
          <reference field="9" count="1">
            <x v="6"/>
          </reference>
        </references>
      </pivotArea>
    </format>
    <format dxfId="345">
      <pivotArea dataOnly="0" labelOnly="1" outline="0" fieldPosition="0">
        <references count="5">
          <reference field="0" count="1" selected="0">
            <x v="1"/>
          </reference>
          <reference field="1" count="1" selected="0">
            <x v="12"/>
          </reference>
          <reference field="3" count="1" selected="0">
            <x v="22"/>
          </reference>
          <reference field="5" count="1" selected="0">
            <x v="1"/>
          </reference>
          <reference field="9" count="1">
            <x v="17"/>
          </reference>
        </references>
      </pivotArea>
    </format>
    <format dxfId="344">
      <pivotArea dataOnly="0" labelOnly="1" outline="0" fieldPosition="0">
        <references count="5">
          <reference field="0" count="1" selected="0">
            <x v="1"/>
          </reference>
          <reference field="1" count="1" selected="0">
            <x v="13"/>
          </reference>
          <reference field="3" count="1" selected="0">
            <x v="0"/>
          </reference>
          <reference field="5" count="1" selected="0">
            <x v="4"/>
          </reference>
          <reference field="9" count="1">
            <x v="5"/>
          </reference>
        </references>
      </pivotArea>
    </format>
    <format dxfId="343">
      <pivotArea dataOnly="0" labelOnly="1" outline="0" fieldPosition="0">
        <references count="5">
          <reference field="0" count="1" selected="0">
            <x v="1"/>
          </reference>
          <reference field="1" count="1" selected="0">
            <x v="14"/>
          </reference>
          <reference field="3" count="1" selected="0">
            <x v="8"/>
          </reference>
          <reference field="5" count="1" selected="0">
            <x v="11"/>
          </reference>
          <reference field="9" count="1">
            <x v="11"/>
          </reference>
        </references>
      </pivotArea>
    </format>
    <format dxfId="342">
      <pivotArea dataOnly="0" labelOnly="1" outline="0" fieldPosition="0">
        <references count="5">
          <reference field="0" count="1" selected="0">
            <x v="1"/>
          </reference>
          <reference field="1" count="1" selected="0">
            <x v="16"/>
          </reference>
          <reference field="3" count="1" selected="0">
            <x v="22"/>
          </reference>
          <reference field="5" count="1" selected="0">
            <x v="3"/>
          </reference>
          <reference field="9" count="1">
            <x v="1"/>
          </reference>
        </references>
      </pivotArea>
    </format>
    <format dxfId="341">
      <pivotArea dataOnly="0" labelOnly="1" outline="0" fieldPosition="0">
        <references count="5">
          <reference field="0" count="1" selected="0">
            <x v="1"/>
          </reference>
          <reference field="1" count="1" selected="0">
            <x v="17"/>
          </reference>
          <reference field="3" count="1" selected="0">
            <x v="19"/>
          </reference>
          <reference field="5" count="1" selected="0">
            <x v="24"/>
          </reference>
          <reference field="9" count="1">
            <x v="33"/>
          </reference>
        </references>
      </pivotArea>
    </format>
    <format dxfId="340">
      <pivotArea dataOnly="0" labelOnly="1" outline="0" fieldPosition="0">
        <references count="5">
          <reference field="0" count="1" selected="0">
            <x v="1"/>
          </reference>
          <reference field="1" count="1" selected="0">
            <x v="18"/>
          </reference>
          <reference field="3" count="1" selected="0">
            <x v="18"/>
          </reference>
          <reference field="5" count="1" selected="0">
            <x v="23"/>
          </reference>
          <reference field="9" count="1">
            <x v="32"/>
          </reference>
        </references>
      </pivotArea>
    </format>
    <format dxfId="339">
      <pivotArea dataOnly="0" labelOnly="1" outline="0" fieldPosition="0">
        <references count="5">
          <reference field="0" count="1" selected="0">
            <x v="1"/>
          </reference>
          <reference field="1" count="1" selected="0">
            <x v="20"/>
          </reference>
          <reference field="3" count="1" selected="0">
            <x v="17"/>
          </reference>
          <reference field="5" count="1" selected="0">
            <x v="22"/>
          </reference>
          <reference field="9" count="1">
            <x v="31"/>
          </reference>
        </references>
      </pivotArea>
    </format>
    <format dxfId="338">
      <pivotArea dataOnly="0" labelOnly="1" outline="0" fieldPosition="0">
        <references count="5">
          <reference field="0" count="1" selected="0">
            <x v="1"/>
          </reference>
          <reference field="1" count="1" selected="0">
            <x v="21"/>
          </reference>
          <reference field="3" count="1" selected="0">
            <x v="16"/>
          </reference>
          <reference field="5" count="1" selected="0">
            <x v="21"/>
          </reference>
          <reference field="9" count="1">
            <x v="30"/>
          </reference>
        </references>
      </pivotArea>
    </format>
    <format dxfId="337">
      <pivotArea dataOnly="0" labelOnly="1" outline="0" fieldPosition="0">
        <references count="5">
          <reference field="0" count="1" selected="0">
            <x v="1"/>
          </reference>
          <reference field="1" count="1" selected="0">
            <x v="37"/>
          </reference>
          <reference field="3" count="1" selected="0">
            <x v="9"/>
          </reference>
          <reference field="5" count="1" selected="0">
            <x v="12"/>
          </reference>
          <reference field="9" count="1">
            <x v="12"/>
          </reference>
        </references>
      </pivotArea>
    </format>
    <format dxfId="336">
      <pivotArea dataOnly="0" labelOnly="1" outline="0" fieldPosition="0">
        <references count="5">
          <reference field="0" count="1" selected="0">
            <x v="1"/>
          </reference>
          <reference field="1" count="1" selected="0">
            <x v="38"/>
          </reference>
          <reference field="3" count="1" selected="0">
            <x v="10"/>
          </reference>
          <reference field="5" count="1" selected="0">
            <x v="13"/>
          </reference>
          <reference field="9" count="1">
            <x v="13"/>
          </reference>
        </references>
      </pivotArea>
    </format>
    <format dxfId="335">
      <pivotArea dataOnly="0" labelOnly="1" outline="0" fieldPosition="0">
        <references count="5">
          <reference field="0" count="1" selected="0">
            <x v="1"/>
          </reference>
          <reference field="1" count="1" selected="0">
            <x v="39"/>
          </reference>
          <reference field="3" count="1" selected="0">
            <x v="6"/>
          </reference>
          <reference field="5" count="1" selected="0">
            <x v="10"/>
          </reference>
          <reference field="9" count="1">
            <x v="8"/>
          </reference>
        </references>
      </pivotArea>
    </format>
    <format dxfId="334">
      <pivotArea dataOnly="0" labelOnly="1" outline="0" fieldPosition="0">
        <references count="5">
          <reference field="0" count="1" selected="0">
            <x v="2"/>
          </reference>
          <reference field="1" count="1" selected="0">
            <x v="4"/>
          </reference>
          <reference field="3" count="1" selected="0">
            <x v="22"/>
          </reference>
          <reference field="5" count="1" selected="0">
            <x v="27"/>
          </reference>
          <reference field="9" count="1">
            <x v="36"/>
          </reference>
        </references>
      </pivotArea>
    </format>
    <format dxfId="333">
      <pivotArea dataOnly="0" labelOnly="1" outline="0" fieldPosition="0">
        <references count="5">
          <reference field="0" count="1" selected="0">
            <x v="2"/>
          </reference>
          <reference field="1" count="1" selected="0">
            <x v="25"/>
          </reference>
          <reference field="3" count="1" selected="0">
            <x v="22"/>
          </reference>
          <reference field="5" count="1" selected="0">
            <x v="27"/>
          </reference>
          <reference field="9" count="1">
            <x v="28"/>
          </reference>
        </references>
      </pivotArea>
    </format>
    <format dxfId="332">
      <pivotArea dataOnly="0" labelOnly="1" outline="0" fieldPosition="0">
        <references count="5">
          <reference field="0" count="1" selected="0">
            <x v="2"/>
          </reference>
          <reference field="1" count="1" selected="0">
            <x v="29"/>
          </reference>
          <reference field="3" count="1" selected="0">
            <x v="22"/>
          </reference>
          <reference field="5" count="1" selected="0">
            <x v="27"/>
          </reference>
          <reference field="9" count="1">
            <x v="36"/>
          </reference>
        </references>
      </pivotArea>
    </format>
    <format dxfId="331">
      <pivotArea dataOnly="0" labelOnly="1" outline="0" fieldPosition="0">
        <references count="5">
          <reference field="0" count="1" selected="0">
            <x v="2"/>
          </reference>
          <reference field="1" count="1" selected="0">
            <x v="31"/>
          </reference>
          <reference field="3" count="1" selected="0">
            <x v="22"/>
          </reference>
          <reference field="5" count="1" selected="0">
            <x v="27"/>
          </reference>
          <reference field="9" count="1">
            <x v="27"/>
          </reference>
        </references>
      </pivotArea>
    </format>
    <format dxfId="330">
      <pivotArea dataOnly="0" labelOnly="1" outline="0" fieldPosition="0">
        <references count="5">
          <reference field="0" count="1" selected="0">
            <x v="2"/>
          </reference>
          <reference field="1" count="1" selected="0">
            <x v="32"/>
          </reference>
          <reference field="3" count="1" selected="0">
            <x v="22"/>
          </reference>
          <reference field="5" count="1" selected="0">
            <x v="27"/>
          </reference>
          <reference field="9" count="1">
            <x v="36"/>
          </reference>
        </references>
      </pivotArea>
    </format>
    <format dxfId="329">
      <pivotArea dataOnly="0" labelOnly="1" outline="0" fieldPosition="0">
        <references count="5">
          <reference field="0" count="1" selected="0">
            <x v="2"/>
          </reference>
          <reference field="1" count="1" selected="0">
            <x v="36"/>
          </reference>
          <reference field="3" count="1" selected="0">
            <x v="22"/>
          </reference>
          <reference field="5" count="1" selected="0">
            <x v="27"/>
          </reference>
          <reference field="9" count="1">
            <x v="14"/>
          </reference>
        </references>
      </pivotArea>
    </format>
    <format dxfId="328">
      <pivotArea dataOnly="0" labelOnly="1" outline="0" fieldPosition="0">
        <references count="5">
          <reference field="0" count="1" selected="0">
            <x v="3"/>
          </reference>
          <reference field="1" count="1" selected="0">
            <x v="41"/>
          </reference>
          <reference field="3" count="1" selected="0">
            <x v="15"/>
          </reference>
          <reference field="5" count="1" selected="0">
            <x v="20"/>
          </reference>
          <reference field="9" count="1">
            <x v="26"/>
          </reference>
        </references>
      </pivotArea>
    </format>
    <format dxfId="327">
      <pivotArea dataOnly="0" labelOnly="1" outline="0" fieldPosition="0">
        <references count="5">
          <reference field="0" count="1" selected="0">
            <x v="3"/>
          </reference>
          <reference field="1" count="1" selected="0">
            <x v="42"/>
          </reference>
          <reference field="3" count="1" selected="0">
            <x v="22"/>
          </reference>
          <reference field="5" count="1" selected="0">
            <x v="27"/>
          </reference>
          <reference field="9" count="1">
            <x v="25"/>
          </reference>
        </references>
      </pivotArea>
    </format>
    <format dxfId="326">
      <pivotArea dataOnly="0" labelOnly="1" outline="0" fieldPosition="0">
        <references count="5">
          <reference field="0" count="1" selected="0">
            <x v="4"/>
          </reference>
          <reference field="1" count="1" selected="0">
            <x v="8"/>
          </reference>
          <reference field="3" count="1" selected="0">
            <x v="22"/>
          </reference>
          <reference field="5" count="1" selected="0">
            <x v="27"/>
          </reference>
          <reference field="9" count="1">
            <x v="36"/>
          </reference>
        </references>
      </pivotArea>
    </format>
    <format dxfId="325">
      <pivotArea dataOnly="0" labelOnly="1" outline="0" fieldPosition="0">
        <references count="5">
          <reference field="0" count="1" selected="0">
            <x v="4"/>
          </reference>
          <reference field="1" count="1" selected="0">
            <x v="15"/>
          </reference>
          <reference field="3" count="1" selected="0">
            <x v="22"/>
          </reference>
          <reference field="5" count="1" selected="0">
            <x v="27"/>
          </reference>
          <reference field="9" count="1">
            <x v="9"/>
          </reference>
        </references>
      </pivotArea>
    </format>
    <format dxfId="324">
      <pivotArea dataOnly="0" labelOnly="1" outline="0" fieldPosition="0">
        <references count="5">
          <reference field="0" count="1" selected="0">
            <x v="4"/>
          </reference>
          <reference field="1" count="1" selected="0">
            <x v="26"/>
          </reference>
          <reference field="3" count="1" selected="0">
            <x v="22"/>
          </reference>
          <reference field="5" count="1" selected="0">
            <x v="17"/>
          </reference>
          <reference field="9" count="1">
            <x v="19"/>
          </reference>
        </references>
      </pivotArea>
    </format>
    <format dxfId="323">
      <pivotArea dataOnly="0" labelOnly="1" outline="0" fieldPosition="0">
        <references count="5">
          <reference field="0" count="1" selected="0">
            <x v="5"/>
          </reference>
          <reference field="1" count="1" selected="0">
            <x v="40"/>
          </reference>
          <reference field="3" count="1" selected="0">
            <x v="3"/>
          </reference>
          <reference field="5" count="1" selected="0">
            <x v="7"/>
          </reference>
          <reference field="9" count="1">
            <x v="2"/>
          </reference>
        </references>
      </pivotArea>
    </format>
    <format dxfId="322">
      <pivotArea dataOnly="0" labelOnly="1" outline="0" fieldPosition="0">
        <references count="5">
          <reference field="0" count="1" selected="0">
            <x v="6"/>
          </reference>
          <reference field="1" count="1" selected="0">
            <x v="0"/>
          </reference>
          <reference field="3" count="1" selected="0">
            <x v="22"/>
          </reference>
          <reference field="5" count="1" selected="0">
            <x v="27"/>
          </reference>
          <reference field="9" count="1">
            <x v="20"/>
          </reference>
        </references>
      </pivotArea>
    </format>
    <format dxfId="321">
      <pivotArea dataOnly="0" labelOnly="1" outline="0" fieldPosition="0">
        <references count="5">
          <reference field="0" count="1" selected="0">
            <x v="6"/>
          </reference>
          <reference field="1" count="1" selected="0">
            <x v="2"/>
          </reference>
          <reference field="3" count="1" selected="0">
            <x v="22"/>
          </reference>
          <reference field="5" count="1" selected="0">
            <x v="27"/>
          </reference>
          <reference field="9" count="1">
            <x v="10"/>
          </reference>
        </references>
      </pivotArea>
    </format>
    <format dxfId="320">
      <pivotArea dataOnly="0" labelOnly="1" outline="0" fieldPosition="0">
        <references count="5">
          <reference field="0" count="1" selected="0">
            <x v="6"/>
          </reference>
          <reference field="1" count="1" selected="0">
            <x v="5"/>
          </reference>
          <reference field="3" count="1" selected="0">
            <x v="22"/>
          </reference>
          <reference field="5" count="1" selected="0">
            <x v="27"/>
          </reference>
          <reference field="9" count="1">
            <x v="36"/>
          </reference>
        </references>
      </pivotArea>
    </format>
    <format dxfId="319">
      <pivotArea dataOnly="0" labelOnly="1" outline="0" fieldPosition="0">
        <references count="5">
          <reference field="0" count="1" selected="0">
            <x v="6"/>
          </reference>
          <reference field="1" count="1" selected="0">
            <x v="6"/>
          </reference>
          <reference field="3" count="1" selected="0">
            <x v="22"/>
          </reference>
          <reference field="5" count="1" selected="0">
            <x v="27"/>
          </reference>
          <reference field="9" count="1">
            <x v="22"/>
          </reference>
        </references>
      </pivotArea>
    </format>
    <format dxfId="318">
      <pivotArea dataOnly="0" labelOnly="1" outline="0" fieldPosition="0">
        <references count="5">
          <reference field="0" count="1" selected="0">
            <x v="6"/>
          </reference>
          <reference field="1" count="1" selected="0">
            <x v="24"/>
          </reference>
          <reference field="3" count="1" selected="0">
            <x v="22"/>
          </reference>
          <reference field="5" count="1" selected="0">
            <x v="27"/>
          </reference>
          <reference field="9" count="1">
            <x v="36"/>
          </reference>
        </references>
      </pivotArea>
    </format>
    <format dxfId="317">
      <pivotArea dataOnly="0" labelOnly="1" outline="0" fieldPosition="0">
        <references count="5">
          <reference field="0" count="1" selected="0">
            <x v="6"/>
          </reference>
          <reference field="1" count="1" selected="0">
            <x v="27"/>
          </reference>
          <reference field="3" count="1" selected="0">
            <x v="22"/>
          </reference>
          <reference field="5" count="1" selected="0">
            <x v="5"/>
          </reference>
          <reference field="9" count="1">
            <x v="0"/>
          </reference>
        </references>
      </pivotArea>
    </format>
    <format dxfId="316">
      <pivotArea dataOnly="0" labelOnly="1" outline="0" fieldPosition="0">
        <references count="5">
          <reference field="0" count="1" selected="0">
            <x v="7"/>
          </reference>
          <reference field="1" count="1" selected="0">
            <x v="23"/>
          </reference>
          <reference field="3" count="1" selected="0">
            <x v="22"/>
          </reference>
          <reference field="5" count="1" selected="0">
            <x v="27"/>
          </reference>
          <reference field="9" count="1">
            <x v="23"/>
          </reference>
        </references>
      </pivotArea>
    </format>
    <format dxfId="315">
      <pivotArea dataOnly="0" labelOnly="1" outline="0" fieldPosition="0">
        <references count="5">
          <reference field="0" count="1" selected="0">
            <x v="8"/>
          </reference>
          <reference field="1" count="1" selected="0">
            <x v="43"/>
          </reference>
          <reference field="3" count="1" selected="0">
            <x v="22"/>
          </reference>
          <reference field="5" count="1" selected="0">
            <x v="27"/>
          </reference>
          <reference field="9" count="1">
            <x v="36"/>
          </reference>
        </references>
      </pivotArea>
    </format>
    <format dxfId="314">
      <pivotArea dataOnly="0" labelOnly="1" outline="0" fieldPosition="0">
        <references count="5">
          <reference field="0" count="1" selected="0">
            <x v="9"/>
          </reference>
          <reference field="1" count="1" selected="0">
            <x v="1"/>
          </reference>
          <reference field="3" count="1" selected="0">
            <x v="5"/>
          </reference>
          <reference field="5" count="1" selected="0">
            <x v="8"/>
          </reference>
          <reference field="9" count="1">
            <x v="7"/>
          </reference>
        </references>
      </pivotArea>
    </format>
    <format dxfId="313">
      <pivotArea dataOnly="0" labelOnly="1" outline="0" fieldPosition="0">
        <references count="5">
          <reference field="0" count="1" selected="0">
            <x v="9"/>
          </reference>
          <reference field="1" count="1" selected="0">
            <x v="3"/>
          </reference>
          <reference field="3" count="1" selected="0">
            <x v="12"/>
          </reference>
          <reference field="5" count="1" selected="0">
            <x v="16"/>
          </reference>
          <reference field="9" count="1">
            <x v="18"/>
          </reference>
        </references>
      </pivotArea>
    </format>
    <format dxfId="312">
      <pivotArea dataOnly="0" labelOnly="1" outline="0" fieldPosition="0">
        <references count="5">
          <reference field="0" count="1" selected="0">
            <x v="9"/>
          </reference>
          <reference field="1" count="1" selected="0">
            <x v="7"/>
          </reference>
          <reference field="3" count="1" selected="0">
            <x v="22"/>
          </reference>
          <reference field="5" count="1" selected="0">
            <x v="28"/>
          </reference>
          <reference field="9" count="1">
            <x v="29"/>
          </reference>
        </references>
      </pivotArea>
    </format>
    <format dxfId="311">
      <pivotArea dataOnly="0" labelOnly="1" outline="0" fieldPosition="0">
        <references count="5">
          <reference field="0" count="1" selected="0">
            <x v="9"/>
          </reference>
          <reference field="1" count="1" selected="0">
            <x v="22"/>
          </reference>
          <reference field="3" count="1" selected="0">
            <x v="20"/>
          </reference>
          <reference field="5" count="1" selected="0">
            <x v="25"/>
          </reference>
          <reference field="9" count="1">
            <x v="34"/>
          </reference>
        </references>
      </pivotArea>
    </format>
    <format dxfId="310">
      <pivotArea dataOnly="0" labelOnly="1" outline="0" fieldPosition="0">
        <references count="5">
          <reference field="0" count="1" selected="0">
            <x v="9"/>
          </reference>
          <reference field="1" count="1" selected="0">
            <x v="28"/>
          </reference>
          <reference field="3" count="1" selected="0">
            <x v="4"/>
          </reference>
          <reference field="5" count="1" selected="0">
            <x v="9"/>
          </reference>
          <reference field="9" count="1">
            <x v="3"/>
          </reference>
        </references>
      </pivotArea>
    </format>
    <format dxfId="309">
      <pivotArea dataOnly="0" labelOnly="1" outline="0" fieldPosition="0">
        <references count="5">
          <reference field="0" count="1" selected="0">
            <x v="9"/>
          </reference>
          <reference field="1" count="1" selected="0">
            <x v="33"/>
          </reference>
          <reference field="3" count="1" selected="0">
            <x v="13"/>
          </reference>
          <reference field="5" count="1" selected="0">
            <x v="18"/>
          </reference>
          <reference field="9" count="1">
            <x v="21"/>
          </reference>
        </references>
      </pivotArea>
    </format>
    <format dxfId="308">
      <pivotArea dataOnly="0" labelOnly="1" outline="0" fieldPosition="0">
        <references count="5">
          <reference field="0" count="1" selected="0">
            <x v="9"/>
          </reference>
          <reference field="1" count="1" selected="0">
            <x v="34"/>
          </reference>
          <reference field="3" count="1" selected="0">
            <x v="11"/>
          </reference>
          <reference field="5" count="1" selected="0">
            <x v="15"/>
          </reference>
          <reference field="9" count="1">
            <x v="15"/>
          </reference>
        </references>
      </pivotArea>
    </format>
    <format dxfId="307">
      <pivotArea dataOnly="0" labelOnly="1" outline="0" fieldPosition="0">
        <references count="5">
          <reference field="0" count="1" selected="0">
            <x v="9"/>
          </reference>
          <reference field="1" count="1" selected="0">
            <x v="35"/>
          </reference>
          <reference field="3" count="1" selected="0">
            <x v="14"/>
          </reference>
          <reference field="5" count="1" selected="0">
            <x v="19"/>
          </reference>
          <reference field="9" count="1">
            <x v="24"/>
          </reference>
        </references>
      </pivotArea>
    </format>
    <format dxfId="306">
      <pivotArea dataOnly="0" labelOnly="1" outline="0" fieldPosition="0">
        <references count="2">
          <reference field="0" count="1" selected="0">
            <x v="1"/>
          </reference>
          <reference field="1" count="1">
            <x v="14"/>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F1EBDD-CE56-4963-9F7F-11753407F0D8}" name="Arbol_de_Visión" displayName="Arbol_de_Visión" ref="A1:R225" totalsRowShown="0" headerRowDxfId="101" tableBorderDxfId="100">
  <autoFilter ref="A1:R225" xr:uid="{82F1EBDD-CE56-4963-9F7F-11753407F0D8}"/>
  <tableColumns count="18">
    <tableColumn id="1" xr3:uid="{EA5E8DD3-14A6-4742-B321-1AD44434148E}" name="Elemento de visión" dataDxfId="99"/>
    <tableColumn id="2" xr3:uid="{8351C327-AB83-4BBC-B7CA-C244EF1046E4}" name="Indicador" dataDxfId="98"/>
    <tableColumn id="3" xr3:uid="{715FB9C1-E1E8-4786-9A5D-E4355C1058C9}" name="Indicador Mega" dataDxfId="97"/>
    <tableColumn id="4" xr3:uid="{C6AD9337-2885-4CE9-95FE-55208E50E792}" name="Meta 2021" dataDxfId="96"/>
    <tableColumn id="5" xr3:uid="{18F3B7AE-6940-4EAE-B9FD-B88F5BCBD445}" name="Real 2021" dataDxfId="95"/>
    <tableColumn id="6" xr3:uid="{0E6E686E-D4F4-4F04-91E4-6F67A1E4F5C5}" name="Dato 2021" dataDxfId="94" dataCellStyle="Millares"/>
    <tableColumn id="7" xr3:uid="{CE740B46-8CDD-431B-9671-3806AB00925D}" name="Cumplimiento 2021" dataDxfId="93"/>
    <tableColumn id="8" xr3:uid="{CFF3FD52-5289-4178-BAB5-4E926E1AB5DE}" name="Resultado indicador" dataDxfId="92"/>
    <tableColumn id="10" xr3:uid="{E2ECE4CF-2DA3-4CCB-AD28-0B1E1FF15F5F}" name="Fecha" dataDxfId="91" dataCellStyle="Porcentaje"/>
    <tableColumn id="11" xr3:uid="{0CB3DD82-9C33-4491-B624-0B077A27105C}" name="Ciclo de medición" dataDxfId="90" dataCellStyle="Porcentaje"/>
    <tableColumn id="12" xr3:uid="{78D642F3-5F1A-4955-94E5-E679CFAF6DDC}" name="Meta"/>
    <tableColumn id="9" xr3:uid="{B4B24D53-D737-4354-9F82-2ED0E8ED2335}" name="Meta_" dataDxfId="89">
      <calculatedColumnFormula>+K2*100</calculatedColumnFormula>
    </tableColumn>
    <tableColumn id="13" xr3:uid="{9810C6B6-3E53-4ADD-9157-AF8C340F48CC}" name="Real"/>
    <tableColumn id="18" xr3:uid="{86DFA432-9C44-4EA9-834D-0AC872635A7E}" name="Real_" dataDxfId="88">
      <calculatedColumnFormula>+M2*100</calculatedColumnFormula>
    </tableColumn>
    <tableColumn id="14" xr3:uid="{E1913EBF-AD2B-4928-89F8-FDBD4DECAE99}" name="Tipo indicador"/>
    <tableColumn id="15" xr3:uid="{1B5046BC-9FC7-4A9D-A73C-823B1EE5923E}" name="Resultado 1" dataDxfId="87" dataCellStyle="Porcentaje">
      <calculatedColumnFormula>+IFERROR(IF(O2="Creciente",IF(AND(M2&lt;0,K2&lt;0),1-(M2-K2)/K2,IF(M2&lt;0,M2/K2,IF(K2&lt;0,1+((M2-K2)/M2),M2/K2))),IF(AND(M2&lt;0,K2&lt;0),(K2*-1)/(M2*-1),IF(M2&lt;0,(M2-K2)/M2,IF(K2&lt;0,-1+(M2-K2)/K2,IF(O2="Decreciente",1+(K2-M2)/K2,M2/K2))))),"N/A")</calculatedColumnFormula>
    </tableColumn>
    <tableColumn id="16" xr3:uid="{516388C6-0CE5-404F-BB0C-2A0FEF6A2B0F}" name="Resultado 2" dataDxfId="86" dataCellStyle="Porcentaje">
      <calculatedColumnFormula>+IF(P2&lt;0,0%,IF(P2&gt;120%,120%,P2))</calculatedColumnFormula>
    </tableColumn>
    <tableColumn id="17" xr3:uid="{7454A6BB-C1AB-431C-85B3-BD64B881DF2F}" name="Resultado indicador2" dataDxfId="85" dataCellStyle="Porcentaje">
      <calculatedColumnFormula>+IF(Q2&lt;79.99999%,"Incumple",IF(AND(Q2&gt;=80%,Q2&lt;94.999999%),"Tolerable",IF(AND(Q2&gt;=95%,Q2&lt;100%),"Satisfactorio","Sobresaliente")))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51253C-5EBF-49B4-A714-A7A55E14FEE4}" name="Negocios" displayName="Negocios" ref="A1:L539" totalsRowShown="0" headerRowDxfId="60" headerRowBorderDxfId="59" tableBorderDxfId="58" totalsRowBorderDxfId="57">
  <autoFilter ref="A1:L539" xr:uid="{9B51253C-5EBF-49B4-A714-A7A55E14FEE4}"/>
  <tableColumns count="12">
    <tableColumn id="1" xr3:uid="{E2CFE0E8-7764-405C-9033-E22D42334429}" name="Indicador" dataDxfId="56"/>
    <tableColumn id="2" xr3:uid="{B3D4ACB5-C729-440E-9065-914F710CD871}" name="Mes" dataDxfId="55"/>
    <tableColumn id="3" xr3:uid="{1C600167-6AA3-4577-BCFD-A20539395627}" name="Negocio" dataDxfId="54"/>
    <tableColumn id="4" xr3:uid="{AE573710-12DF-4A95-91D2-27093BCFDC9E}" name="Nodo" dataDxfId="53"/>
    <tableColumn id="5" xr3:uid="{ED1003CB-EA41-4C29-9CEC-677F3B08821D}" name="Meta" dataDxfId="52" dataCellStyle="Porcentaje"/>
    <tableColumn id="11" xr3:uid="{6C2A3519-8168-40F5-BA16-42637B9C7A7B}" name="Meta_" dataDxfId="51" dataCellStyle="Porcentaje">
      <calculatedColumnFormula>+E2*100</calculatedColumnFormula>
    </tableColumn>
    <tableColumn id="6" xr3:uid="{16501336-C484-47B2-90CE-69A2696D1F5B}" name="Real" dataDxfId="50" dataCellStyle="Porcentaje"/>
    <tableColumn id="12" xr3:uid="{CE08A96E-31E8-4166-8E3E-4BE3DD47EEE2}" name="Real_" dataDxfId="49" dataCellStyle="Porcentaje">
      <calculatedColumnFormula>+G2*100</calculatedColumnFormula>
    </tableColumn>
    <tableColumn id="7" xr3:uid="{2ABB3441-5629-4637-82EE-5EB8C4198A35}" name="Tipo de indicador" dataDxfId="48"/>
    <tableColumn id="8" xr3:uid="{7EA6611B-27AC-44B9-90E9-00A3E0E3D02E}" name="Resultado 1" dataDxfId="47" dataCellStyle="Porcentaje">
      <calculatedColumnFormula>+IFERROR(IF(I2="Creciente",IF(AND(G2&lt;0,E2&lt;0),1-(G2-E2)/E2,IF(G2&lt;0,G2/E2,IF(E2&lt;0,1+((G2-E2)/G2),G2/E2))),IF(AND(G2&lt;0,E2&lt;0),(E2*-1)/(G2*-1),IF(G2&lt;0,(G2-E2)/G2,IF(E2&lt;0,-1+(G2-E2)/E2,IF(I2="Decreciente",1+(E2-G2)/E2,G2/E2))))),"N/A")</calculatedColumnFormula>
    </tableColumn>
    <tableColumn id="10" xr3:uid="{A50640C3-8CB4-43C5-AE8F-3B6779BE1E9A}" name="Resultado 2" dataDxfId="46" dataCellStyle="Porcentaje">
      <calculatedColumnFormula>+IF(J2&lt;0,0%,IF(J2&gt;120%,120%,J2))</calculatedColumnFormula>
    </tableColumn>
    <tableColumn id="9" xr3:uid="{E50B3270-9B1D-4FB6-A43D-D8D988149A60}" name="Resulatado indicador" dataDxfId="45" dataCellStyle="Porcentaje">
      <calculatedColumnFormula>+IF(J2&lt;79.99999%,"Incumple",IF(AND(J2&gt;=80%,J2&lt;94.999999%),"Tolerable",IF(AND(J2&gt;=95%,J2&lt;100%),"Satisfactorio","Sobresaliente")))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2BE1CF-5705-49F0-AA6A-7A53C1794E32}" name="Regiones" displayName="Regiones" ref="A1:K456" totalsRowShown="0" headerRowDxfId="12" headerRowBorderDxfId="11" tableBorderDxfId="10" totalsRowBorderDxfId="9">
  <autoFilter ref="A1:K456" xr:uid="{182BE1CF-5705-49F0-AA6A-7A53C1794E32}"/>
  <tableColumns count="11">
    <tableColumn id="1" xr3:uid="{42C4EA0A-0C8F-448C-9822-2D4CA4643B09}" name="Indicador" dataDxfId="8">
      <calculatedColumnFormula>+'Detalle Regiones'!BD27</calculatedColumnFormula>
    </tableColumn>
    <tableColumn id="2" xr3:uid="{ADD8FDE8-287C-4BF7-B5AB-21BF39E45E15}" name="Mes" dataDxfId="7"/>
    <tableColumn id="3" xr3:uid="{3244A9AF-37E3-4EB2-A829-0279CA3FD9F3}" name="Regional" dataDxfId="6">
      <calculatedColumnFormula>+'Detalle Regiones'!BF27</calculatedColumnFormula>
    </tableColumn>
    <tableColumn id="4" xr3:uid="{26E0B96D-7D37-4193-9222-ACBEE12AA684}" name="Meta">
      <calculatedColumnFormula>+'Detalle Regiones'!AX27</calculatedColumnFormula>
    </tableColumn>
    <tableColumn id="10" xr3:uid="{8F424A0B-87EB-4C27-9377-061DF1834FFA}" name="Meta_" dataDxfId="5" dataCellStyle="Millares">
      <calculatedColumnFormula>+D2*100</calculatedColumnFormula>
    </tableColumn>
    <tableColumn id="5" xr3:uid="{D4A79866-F623-4419-9ACF-B316C1BDE6FF}" name="Real">
      <calculatedColumnFormula>+'Detalle Regiones'!AY27</calculatedColumnFormula>
    </tableColumn>
    <tableColumn id="11" xr3:uid="{A47B6179-D719-4081-B9E1-B250BAAAC1CF}" name="Real_" dataDxfId="4">
      <calculatedColumnFormula>+F2*100</calculatedColumnFormula>
    </tableColumn>
    <tableColumn id="6" xr3:uid="{603F08F8-256E-4BF0-9569-261D48D4C144}" name="Tipo de indicador" dataDxfId="3"/>
    <tableColumn id="7" xr3:uid="{EE478F92-F566-479F-B8DA-7B21549F1874}" name="Resultado 1" dataDxfId="2" dataCellStyle="Porcentaje">
      <calculatedColumnFormula>+IFERROR(IF(H2="Creciente",IF(AND(F2&lt;0,D2&lt;0),1-(F2-D2)/D2,IF(F2&lt;0,F2/D2,IF(D2&lt;0,1+((F2-D2)/F2),F2/D2))),IF(AND(F2&lt;0,D2&lt;0),(D2*-1)/(F2*-1),IF(F2&lt;0,(F2-D2)/F2,IF(D2&lt;0,-1+(F2-D2)/D2,IF(H2="Decreciente",1+(D2-F2)/D2,F2/D2))))),"N/A")</calculatedColumnFormula>
    </tableColumn>
    <tableColumn id="9" xr3:uid="{53095FC0-98F7-480C-A709-2417AA48A409}" name="Resultado 2" dataDxfId="1" dataCellStyle="Porcentaje">
      <calculatedColumnFormula>+IF(I2&lt;0,0%,IF(I2&gt;120%,120%,I2))</calculatedColumnFormula>
    </tableColumn>
    <tableColumn id="8" xr3:uid="{0C17912A-3864-40FE-AF14-A92E4192A037}" name="Resultado indicador" dataDxfId="0" dataCellStyle="Porcentaje">
      <calculatedColumnFormula>+IF(I2&lt;79.99999%,"Incumple",IF(AND(I2&gt;=80%,I2&lt;94.999999%),"Tolerable",IF(AND(I2&gt;=95%,I2&lt;100%),"Satisfactorio","Sobresaliente")))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78C1-1154-4478-986A-212F2D96ED01}">
  <dimension ref="A1:AF48"/>
  <sheetViews>
    <sheetView showGridLines="0" topLeftCell="C1" workbookViewId="0">
      <pane xSplit="2" ySplit="2" topLeftCell="E3" activePane="bottomRight" state="frozen"/>
      <selection activeCell="C1" sqref="C1"/>
      <selection pane="topRight" activeCell="E1" sqref="E1"/>
      <selection pane="bottomLeft" activeCell="C3" sqref="C3"/>
      <selection pane="bottomRight" activeCell="M6" sqref="M6"/>
    </sheetView>
  </sheetViews>
  <sheetFormatPr baseColWidth="10" defaultColWidth="11.42578125" defaultRowHeight="15" x14ac:dyDescent="0.25"/>
  <cols>
    <col min="1" max="1" width="5.85546875" hidden="1" customWidth="1"/>
    <col min="2" max="2" width="7" hidden="1" customWidth="1"/>
    <col min="3" max="3" width="32.140625" customWidth="1"/>
    <col min="4" max="4" width="2.28515625" customWidth="1"/>
    <col min="5" max="7" width="10.7109375" customWidth="1"/>
    <col min="8" max="8" width="2.7109375" customWidth="1"/>
    <col min="9" max="11" width="10.7109375" customWidth="1"/>
    <col min="12" max="12" width="2.7109375" customWidth="1"/>
    <col min="13" max="14" width="9.7109375" customWidth="1"/>
    <col min="15" max="15" width="12.85546875" customWidth="1"/>
    <col min="16" max="16" width="2.7109375" customWidth="1"/>
    <col min="17" max="19" width="9.7109375" customWidth="1"/>
    <col min="20" max="20" width="2.7109375" customWidth="1"/>
    <col min="21" max="23" width="9.7109375" customWidth="1"/>
    <col min="24" max="24" width="2.7109375" customWidth="1"/>
    <col min="25" max="27" width="9.7109375" customWidth="1"/>
    <col min="28" max="28" width="2.7109375" customWidth="1"/>
    <col min="29" max="31" width="9.7109375" customWidth="1"/>
    <col min="32" max="32" width="2.7109375" customWidth="1"/>
  </cols>
  <sheetData>
    <row r="1" spans="1:32" s="1" customFormat="1" ht="21" customHeight="1" x14ac:dyDescent="0.2">
      <c r="E1" s="608" t="s">
        <v>100</v>
      </c>
      <c r="F1" s="609"/>
      <c r="G1" s="610"/>
      <c r="H1" s="2"/>
      <c r="I1" s="608" t="s">
        <v>100</v>
      </c>
      <c r="J1" s="609"/>
      <c r="K1" s="610"/>
      <c r="L1" s="2"/>
      <c r="M1" s="608" t="s">
        <v>100</v>
      </c>
      <c r="N1" s="609"/>
      <c r="O1" s="610"/>
      <c r="P1" s="2"/>
      <c r="Q1" s="608" t="s">
        <v>100</v>
      </c>
      <c r="R1" s="609"/>
      <c r="S1" s="610"/>
      <c r="T1" s="2"/>
      <c r="U1" s="608" t="s">
        <v>100</v>
      </c>
      <c r="V1" s="609"/>
      <c r="W1" s="610"/>
      <c r="X1" s="2"/>
      <c r="Y1" s="608" t="s">
        <v>100</v>
      </c>
      <c r="Z1" s="609"/>
      <c r="AA1" s="610"/>
      <c r="AB1" s="2"/>
      <c r="AC1" s="608" t="s">
        <v>100</v>
      </c>
      <c r="AD1" s="609"/>
      <c r="AE1" s="610"/>
      <c r="AF1" s="2"/>
    </row>
    <row r="2" spans="1:32" s="3" customFormat="1" ht="19.5" customHeight="1" thickBot="1" x14ac:dyDescent="0.25">
      <c r="E2" s="4" t="s">
        <v>0</v>
      </c>
      <c r="F2" s="5" t="s">
        <v>1</v>
      </c>
      <c r="G2" s="232" t="s">
        <v>2</v>
      </c>
      <c r="H2" s="231"/>
      <c r="I2" s="4" t="s">
        <v>0</v>
      </c>
      <c r="J2" s="5" t="s">
        <v>1</v>
      </c>
      <c r="K2" s="232" t="s">
        <v>2</v>
      </c>
      <c r="L2" s="231"/>
      <c r="M2" s="4" t="s">
        <v>0</v>
      </c>
      <c r="N2" s="5" t="s">
        <v>1</v>
      </c>
      <c r="O2" s="232" t="s">
        <v>2</v>
      </c>
      <c r="P2" s="231"/>
      <c r="Q2" s="4" t="s">
        <v>0</v>
      </c>
      <c r="R2" s="5" t="s">
        <v>1</v>
      </c>
      <c r="S2" s="232" t="s">
        <v>2</v>
      </c>
      <c r="T2" s="231"/>
      <c r="U2" s="4" t="s">
        <v>0</v>
      </c>
      <c r="V2" s="5" t="s">
        <v>1</v>
      </c>
      <c r="W2" s="232" t="s">
        <v>2</v>
      </c>
      <c r="X2" s="231"/>
      <c r="Y2" s="4" t="s">
        <v>0</v>
      </c>
      <c r="Z2" s="5" t="s">
        <v>1</v>
      </c>
      <c r="AA2" s="232" t="s">
        <v>2</v>
      </c>
      <c r="AC2" s="4" t="s">
        <v>0</v>
      </c>
      <c r="AD2" s="5" t="s">
        <v>1</v>
      </c>
      <c r="AE2" s="5" t="s">
        <v>2</v>
      </c>
    </row>
    <row r="3" spans="1:32" ht="19.5" customHeight="1" thickBot="1" x14ac:dyDescent="0.3">
      <c r="D3">
        <v>2</v>
      </c>
      <c r="E3">
        <v>3</v>
      </c>
      <c r="F3">
        <v>4</v>
      </c>
      <c r="G3">
        <v>5</v>
      </c>
      <c r="H3">
        <v>6</v>
      </c>
      <c r="I3">
        <v>7</v>
      </c>
      <c r="J3">
        <v>8</v>
      </c>
      <c r="K3">
        <v>9</v>
      </c>
      <c r="L3">
        <v>10</v>
      </c>
      <c r="M3">
        <v>11</v>
      </c>
      <c r="N3">
        <v>12</v>
      </c>
      <c r="O3">
        <v>13</v>
      </c>
      <c r="P3">
        <v>14</v>
      </c>
      <c r="Q3">
        <v>15</v>
      </c>
      <c r="R3">
        <v>16</v>
      </c>
      <c r="S3">
        <v>17</v>
      </c>
      <c r="T3">
        <v>18</v>
      </c>
      <c r="U3">
        <v>19</v>
      </c>
      <c r="V3">
        <v>20</v>
      </c>
      <c r="W3">
        <v>21</v>
      </c>
      <c r="X3">
        <v>22</v>
      </c>
      <c r="Y3">
        <v>23</v>
      </c>
      <c r="Z3">
        <v>24</v>
      </c>
      <c r="AA3">
        <v>25</v>
      </c>
      <c r="AB3">
        <v>26</v>
      </c>
      <c r="AC3">
        <v>27</v>
      </c>
      <c r="AD3">
        <v>28</v>
      </c>
      <c r="AE3">
        <v>29</v>
      </c>
    </row>
    <row r="4" spans="1:32" ht="18" customHeight="1" thickBot="1" x14ac:dyDescent="0.3">
      <c r="A4" s="8" t="s">
        <v>3</v>
      </c>
      <c r="B4" s="8" t="s">
        <v>4</v>
      </c>
      <c r="E4" s="611" t="s">
        <v>5</v>
      </c>
      <c r="F4" s="612"/>
      <c r="G4" s="613"/>
      <c r="H4" s="9"/>
      <c r="I4" s="614" t="s">
        <v>6</v>
      </c>
      <c r="J4" s="615"/>
      <c r="K4" s="616"/>
      <c r="L4" s="9"/>
      <c r="M4" s="614" t="s">
        <v>7</v>
      </c>
      <c r="N4" s="615"/>
      <c r="O4" s="616"/>
      <c r="P4" s="9"/>
      <c r="Q4" s="614" t="s">
        <v>8</v>
      </c>
      <c r="R4" s="615"/>
      <c r="S4" s="616"/>
      <c r="T4" s="9"/>
      <c r="U4" s="614" t="s">
        <v>9</v>
      </c>
      <c r="V4" s="615"/>
      <c r="W4" s="616"/>
      <c r="X4" s="9"/>
      <c r="Y4" s="614" t="s">
        <v>10</v>
      </c>
      <c r="Z4" s="615"/>
      <c r="AA4" s="616"/>
      <c r="AB4" s="9"/>
      <c r="AC4" s="614" t="s">
        <v>11</v>
      </c>
      <c r="AD4" s="615"/>
      <c r="AE4" s="616"/>
    </row>
    <row r="5" spans="1:32" s="274" customFormat="1" ht="14.25" customHeight="1" x14ac:dyDescent="0.25">
      <c r="A5" s="271"/>
      <c r="B5" s="272"/>
      <c r="C5" s="273" t="s">
        <v>106</v>
      </c>
      <c r="E5" s="275">
        <v>9699.6405496825391</v>
      </c>
      <c r="F5" s="275">
        <v>11322.807396</v>
      </c>
      <c r="G5" s="13">
        <f>+IF(AND(F5&lt;0,E5&lt;0),(E5-F5)/E5+1,IF(F5&lt;0,(F5-E5)/E5,IF(E5&lt;0,(F5-E5)/-E5,F5/E5)))</f>
        <v>1.1673429894647576</v>
      </c>
      <c r="H5" s="256"/>
      <c r="I5" s="275">
        <v>6530.3164853174612</v>
      </c>
      <c r="J5" s="275">
        <v>5692.3954380000005</v>
      </c>
      <c r="K5" s="13">
        <f t="shared" ref="K5:K6" si="0">+IF(AND(J5&lt;0,I5&lt;0),(I5-J5)/I5+1,IF(J5&lt;0,(J5-I5)/I5,IF(I5&lt;0,(J5-I5)/-I5,J5/I5)))</f>
        <v>0.87168752859047283</v>
      </c>
      <c r="L5" s="256"/>
      <c r="M5" s="275">
        <v>9458.0015599999988</v>
      </c>
      <c r="N5" s="275">
        <v>13408.160760999999</v>
      </c>
      <c r="O5" s="13">
        <f t="shared" ref="O5:O6" si="1">+IF(AND(N5&lt;0,M5&lt;0),(M5-N5)/M5+1,IF(N5&lt;0,(N5-M5)/M5,IF(M5&lt;0,(N5-M5)/-M5,N5/M5)))</f>
        <v>1.4176526273484777</v>
      </c>
      <c r="P5" s="256"/>
      <c r="Q5" s="275">
        <v>1420.869017</v>
      </c>
      <c r="R5" s="275">
        <v>2780.0648339999998</v>
      </c>
      <c r="S5" s="13">
        <f t="shared" ref="S5:S6" si="2">+IF(AND(R5&lt;0,Q5&lt;0),(Q5-R5)/Q5+1,IF(R5&lt;0,(R5-Q5)/Q5,IF(Q5&lt;0,(R5-Q5)/-Q5,R5/Q5)))</f>
        <v>1.9565947323348525</v>
      </c>
      <c r="T5" s="256"/>
      <c r="U5" s="275">
        <v>12603.185035</v>
      </c>
      <c r="V5" s="276">
        <v>15963.209201000001</v>
      </c>
      <c r="W5" s="13">
        <f t="shared" ref="W5:W6" si="3">+IF(AND(V5&lt;0,U5&lt;0),(U5-V5)/U5+1,IF(V5&lt;0,(V5-U5)/U5,IF(U5&lt;0,(V5-U5)/-U5,V5/U5)))</f>
        <v>1.266601193005495</v>
      </c>
      <c r="X5" s="256"/>
      <c r="Y5" s="275">
        <v>5202.0778980000005</v>
      </c>
      <c r="Z5" s="276">
        <v>8065.1759220000004</v>
      </c>
      <c r="AA5" s="13">
        <f t="shared" ref="AA5:AA6" si="4">+IF(AND(Z5&lt;0,Y5&lt;0),(Y5-Z5)/Y5+1,IF(Z5&lt;0,(Z5-Y5)/Y5,IF(Y5&lt;0,(Z5-Y5)/-Y5,Z5/Y5)))</f>
        <v>1.5503758459866108</v>
      </c>
      <c r="AB5" s="256"/>
      <c r="AC5" s="275">
        <v>7401.107137</v>
      </c>
      <c r="AD5" s="276">
        <v>7898.0332790000002</v>
      </c>
      <c r="AE5" s="13">
        <f t="shared" ref="AE5:AE6" si="5">+IF(AND(AD5&lt;0,AC5&lt;0),(AC5-AD5)/AC5+1,IF(AD5&lt;0,(AD5-AC5)/AC5,IF(AC5&lt;0,(AD5-AC5)/-AC5,AD5/AC5)))</f>
        <v>1.0671421360076982</v>
      </c>
    </row>
    <row r="6" spans="1:32" x14ac:dyDescent="0.25">
      <c r="A6" s="10" t="s">
        <v>12</v>
      </c>
      <c r="B6" s="10" t="s">
        <v>12</v>
      </c>
      <c r="C6" s="262" t="s">
        <v>13</v>
      </c>
      <c r="D6" s="3"/>
      <c r="E6" s="12">
        <v>1.8977812913686418</v>
      </c>
      <c r="F6" s="12">
        <v>2.3827046754813161</v>
      </c>
      <c r="G6" s="13">
        <f>+IF(AND(F6&lt;0,E6&lt;0),(E6-F6)/E6+1,IF(F6&lt;0,(F6-E6)/E6,IF(E6&lt;0,(F6-E6)/-E6,F6/E6)))</f>
        <v>1.2555212164426794</v>
      </c>
      <c r="H6" s="15"/>
      <c r="I6" s="237">
        <v>1.2464036666594911</v>
      </c>
      <c r="J6" s="237">
        <v>0.95816206040698804</v>
      </c>
      <c r="K6" s="13">
        <f t="shared" si="0"/>
        <v>0.76874136849659258</v>
      </c>
      <c r="L6" s="16"/>
      <c r="M6" s="237">
        <v>0.74503715458861208</v>
      </c>
      <c r="N6" s="238">
        <v>1.4738565070232577</v>
      </c>
      <c r="O6" s="13">
        <f t="shared" si="1"/>
        <v>1.9782322236494079</v>
      </c>
      <c r="P6" s="16"/>
      <c r="Q6" s="237">
        <v>8.7881718926857699E-2</v>
      </c>
      <c r="R6" s="237">
        <v>1.1285436406556744</v>
      </c>
      <c r="S6" s="13">
        <f t="shared" si="2"/>
        <v>12.841620014225484</v>
      </c>
      <c r="T6" s="16"/>
      <c r="U6" s="237">
        <v>1.2797490251287447</v>
      </c>
      <c r="V6" s="237">
        <v>1.8875328349811822</v>
      </c>
      <c r="W6" s="13">
        <f t="shared" si="3"/>
        <v>1.4749242217952021</v>
      </c>
      <c r="X6" s="16"/>
      <c r="Y6" s="237">
        <v>0.61001656827084161</v>
      </c>
      <c r="Z6" s="237">
        <v>1.4961307990853663</v>
      </c>
      <c r="AA6" s="13">
        <f t="shared" si="4"/>
        <v>2.4526068256249367</v>
      </c>
      <c r="AB6" s="15"/>
      <c r="AC6" s="237">
        <v>2.2217243938561952</v>
      </c>
      <c r="AD6" s="237">
        <v>2.4380378512878074</v>
      </c>
      <c r="AE6" s="13">
        <f t="shared" si="5"/>
        <v>1.0973628673429479</v>
      </c>
      <c r="AF6" s="18"/>
    </row>
    <row r="7" spans="1:32" x14ac:dyDescent="0.25">
      <c r="C7" s="11" t="s">
        <v>14</v>
      </c>
      <c r="D7" s="3"/>
      <c r="E7" s="270">
        <f>17997968.7617816/1000</f>
        <v>17997.968761781598</v>
      </c>
      <c r="F7" s="234">
        <f>20790004.306/1000</f>
        <v>20790.004306000003</v>
      </c>
      <c r="G7" s="13">
        <f>+E7/F7</f>
        <v>0.86570298384148858</v>
      </c>
      <c r="H7" s="15"/>
      <c r="I7" s="270">
        <f>12735868.3961184/1000</f>
        <v>12735.868396118402</v>
      </c>
      <c r="J7" s="234">
        <f>12632951.38/1000</f>
        <v>12632.95138</v>
      </c>
      <c r="K7" s="13">
        <f>+I7/J7</f>
        <v>1.008146711961651</v>
      </c>
      <c r="L7" s="16"/>
      <c r="M7" s="270">
        <f>20394247.4631/1000</f>
        <v>20394.2474631</v>
      </c>
      <c r="N7" s="234">
        <f>22238087.379/1000</f>
        <v>22238.087379000001</v>
      </c>
      <c r="O7" s="13">
        <f>+M7/N7</f>
        <v>0.91708639846243312</v>
      </c>
      <c r="P7" s="16"/>
      <c r="Q7" s="270">
        <f>1922330.74737893/1000</f>
        <v>1922.33074737893</v>
      </c>
      <c r="R7" s="234">
        <f>3417551.1/1000</f>
        <v>3417.5511000000001</v>
      </c>
      <c r="S7" s="13">
        <f>+Q7/R7</f>
        <v>0.56248778471196226</v>
      </c>
      <c r="T7" s="16"/>
      <c r="U7" s="270">
        <f>1187710777.7/100000</f>
        <v>11877.107777000001</v>
      </c>
      <c r="V7" s="234">
        <f>12944518.636/1000</f>
        <v>12944.518636000001</v>
      </c>
      <c r="W7" s="13">
        <f>+U7/V7</f>
        <v>0.91753954789547576</v>
      </c>
      <c r="X7" s="16"/>
      <c r="Y7" s="270">
        <f>487975901.1/100000</f>
        <v>4879.7590110000001</v>
      </c>
      <c r="Z7" s="234">
        <f>5990524.092/1000</f>
        <v>5990.5240920000006</v>
      </c>
      <c r="AA7" s="13">
        <f>+Y7/Z7</f>
        <v>0.81457964880178624</v>
      </c>
      <c r="AB7" s="15"/>
      <c r="AC7" s="270">
        <v>6997.3487660000001</v>
      </c>
      <c r="AD7" s="234">
        <f>6953994.544/1000</f>
        <v>6953.9945440000001</v>
      </c>
      <c r="AE7" s="13">
        <f>+AC7/AD7</f>
        <v>1.006234434284595</v>
      </c>
      <c r="AF7" s="18"/>
    </row>
    <row r="8" spans="1:32" x14ac:dyDescent="0.25">
      <c r="C8" s="11" t="s">
        <v>15</v>
      </c>
      <c r="D8" s="3"/>
      <c r="E8" s="12">
        <v>0.46107026420228397</v>
      </c>
      <c r="F8" s="12">
        <v>0.45537253242741099</v>
      </c>
      <c r="G8" s="13">
        <f>+IF(AND(F8&lt;0,E8&lt;0),(E8*-1)/(F8*-1),IF(F8&lt;0,(F8-E8)/E8,IF(E8&lt;0,(F8-E8)/E8,E8/F8)))</f>
        <v>1.0125122429859803</v>
      </c>
      <c r="H8" s="15"/>
      <c r="I8" s="12">
        <v>0.48725000273183</v>
      </c>
      <c r="J8" s="12">
        <v>0.54940098582093999</v>
      </c>
      <c r="K8" s="13">
        <f>+IF(AND(J8&lt;0,I8&lt;0),(I8*-1)/(J8*-1),IF(J8&lt;0,(J8-I8)/I8,IF(I8&lt;0,(J8-I8)/I8,I8/J8)))</f>
        <v>0.8868750062465921</v>
      </c>
      <c r="L8" s="16"/>
      <c r="M8" s="12">
        <v>0.53624169868916804</v>
      </c>
      <c r="N8" s="12">
        <v>0.39706322164820401</v>
      </c>
      <c r="O8" s="13">
        <f>+IF(AND(N8&lt;0,M8&lt;0),(M8*-1)/(N8*-1),IF(N8&lt;0,(N8-M8)/M8,IF(M8&lt;0,(N8-M8)/M8,M8/N8)))</f>
        <v>1.3505196891901396</v>
      </c>
      <c r="P8" s="16"/>
      <c r="Q8" s="12">
        <v>0.26086131695217701</v>
      </c>
      <c r="R8" s="12">
        <v>0.18653306047128301</v>
      </c>
      <c r="S8" s="13">
        <f>+IF(AND(R8&lt;0,Q8&lt;0),(Q8*-1)/(R8*-1),IF(R8&lt;0,(R8-Q8)/Q8,IF(Q8&lt;0,(R8-Q8)/Q8,Q8/R8)))</f>
        <v>1.3984722938287764</v>
      </c>
      <c r="T8" s="16"/>
      <c r="U8" s="617"/>
      <c r="V8" s="618"/>
      <c r="W8" s="618"/>
      <c r="X8" s="16"/>
      <c r="Y8" s="617"/>
      <c r="Z8" s="618"/>
      <c r="AA8" s="618"/>
      <c r="AB8" s="15"/>
      <c r="AC8" s="617"/>
      <c r="AD8" s="618"/>
      <c r="AE8" s="618"/>
      <c r="AF8" s="18"/>
    </row>
    <row r="9" spans="1:32" x14ac:dyDescent="0.25">
      <c r="C9" s="11" t="s">
        <v>16</v>
      </c>
      <c r="D9" s="3"/>
      <c r="E9" s="278"/>
      <c r="F9" s="278"/>
      <c r="G9" s="13"/>
      <c r="H9" s="15"/>
      <c r="I9" s="279"/>
      <c r="J9" s="280"/>
      <c r="K9" s="280"/>
      <c r="L9" s="16"/>
      <c r="M9" s="12"/>
      <c r="N9" s="21"/>
      <c r="O9" s="12"/>
      <c r="P9" s="16"/>
      <c r="Q9" s="279"/>
      <c r="R9" s="280"/>
      <c r="S9" s="280"/>
      <c r="T9" s="16"/>
      <c r="U9" s="12">
        <v>5.7610616362739238E-2</v>
      </c>
      <c r="V9" s="12">
        <v>0.1891029884398745</v>
      </c>
      <c r="W9" s="13">
        <f t="shared" ref="W9" si="6">+IF(AND(V9&lt;0,U9&lt;0),(U9-V9)/U9+1,IF(V9&lt;0,(V9-U9)/U9,IF(U9&lt;0,(V9-U9)/-U9,V9/U9)))</f>
        <v>3.2824330024384265</v>
      </c>
      <c r="X9" s="16"/>
      <c r="Y9" s="12">
        <v>6.1959642535133773E-2</v>
      </c>
      <c r="Z9" s="12">
        <v>0.25723578134741149</v>
      </c>
      <c r="AA9" s="13">
        <f t="shared" ref="AA9" si="7">+IF(AND(Z9&lt;0,Y9&lt;0),(Y9-Z9)/Y9+1,IF(Z9&lt;0,(Z9-Y9)/Y9,IF(Y9&lt;0,(Z9-Y9)/-Y9,Z9/Y9)))</f>
        <v>4.1516666465844727</v>
      </c>
      <c r="AB9" s="15"/>
      <c r="AC9" s="12">
        <v>5.4553780066432279E-2</v>
      </c>
      <c r="AD9" s="12">
        <v>0.1195283308706859</v>
      </c>
      <c r="AE9" s="13">
        <f t="shared" ref="AE9" si="8">+IF(AND(AD9&lt;0,AC9&lt;0),(AC9-AD9)/AC9+1,IF(AD9&lt;0,(AD9-AC9)/AC9,IF(AC9&lt;0,(AD9-AC9)/-AC9,AD9/AC9)))</f>
        <v>2.191018307533072</v>
      </c>
      <c r="AF9" s="18"/>
    </row>
    <row r="10" spans="1:32" ht="16.5" customHeight="1" x14ac:dyDescent="0.25">
      <c r="C10" s="22" t="s">
        <v>17</v>
      </c>
      <c r="D10" s="3"/>
      <c r="E10" s="267">
        <v>4.6500000000000004</v>
      </c>
      <c r="F10" s="23">
        <v>4.28</v>
      </c>
      <c r="G10" s="13">
        <f t="shared" ref="G10:G13" si="9">+IF(AND(F10&lt;0,E10&lt;0),(E10-F10)/E10+1,IF(F10&lt;0,(F10-E10)/E10,IF(E10&lt;0,(F10-E10)/-E10,F10/E10)))</f>
        <v>0.9204301075268817</v>
      </c>
      <c r="H10" s="24"/>
      <c r="I10" s="267">
        <v>4.6500000000000004</v>
      </c>
      <c r="J10" s="23">
        <v>4.51</v>
      </c>
      <c r="K10" s="13">
        <f t="shared" ref="K10:K13" si="10">+IF(AND(J10&lt;0,I10&lt;0),(I10-J10)/I10+1,IF(J10&lt;0,(J10-I10)/I10,IF(I10&lt;0,(J10-I10)/-I10,J10/I10)))</f>
        <v>0.96989247311827942</v>
      </c>
      <c r="L10" s="24"/>
      <c r="M10" s="267">
        <v>4.6500000000000004</v>
      </c>
      <c r="N10" s="25">
        <v>4.57</v>
      </c>
      <c r="O10" s="13">
        <f t="shared" ref="O10:O13" si="11">+IF(AND(N10&lt;0,M10&lt;0),(M10-N10)/M10+1,IF(N10&lt;0,(N10-M10)/M10,IF(M10&lt;0,(N10-M10)/-M10,N10/M10)))</f>
        <v>0.98279569892473118</v>
      </c>
      <c r="P10" s="24"/>
      <c r="Q10" s="267">
        <v>4.6500000000000004</v>
      </c>
      <c r="R10" s="23">
        <v>4.37</v>
      </c>
      <c r="S10" s="13">
        <f t="shared" ref="S10:S13" si="12">+IF(AND(R10&lt;0,Q10&lt;0),(Q10-R10)/Q10+1,IF(R10&lt;0,(R10-Q10)/Q10,IF(Q10&lt;0,(R10-Q10)/-Q10,R10/Q10)))</f>
        <v>0.93978494623655906</v>
      </c>
      <c r="T10" s="24"/>
      <c r="X10" s="24"/>
      <c r="AA10" s="233"/>
      <c r="AB10" s="24"/>
      <c r="AF10" s="18"/>
    </row>
    <row r="11" spans="1:32" ht="24" x14ac:dyDescent="0.25">
      <c r="C11" s="22" t="s">
        <v>18</v>
      </c>
      <c r="D11" s="3"/>
      <c r="E11" s="14">
        <v>0.5</v>
      </c>
      <c r="F11" s="12">
        <v>0.54</v>
      </c>
      <c r="G11" s="13">
        <f t="shared" si="9"/>
        <v>1.08</v>
      </c>
      <c r="H11" s="24"/>
      <c r="I11" s="14">
        <v>0.5</v>
      </c>
      <c r="J11" s="12">
        <v>0.54549999999999998</v>
      </c>
      <c r="K11" s="13">
        <f t="shared" si="10"/>
        <v>1.091</v>
      </c>
      <c r="L11" s="24"/>
      <c r="M11" s="14">
        <v>0.5</v>
      </c>
      <c r="N11" s="26">
        <v>0.54630000000000001</v>
      </c>
      <c r="O11" s="13">
        <f t="shared" si="11"/>
        <v>1.0926</v>
      </c>
      <c r="P11" s="24"/>
      <c r="Q11" s="14">
        <v>0.5</v>
      </c>
      <c r="R11" s="12">
        <v>0.438</v>
      </c>
      <c r="S11" s="13">
        <f t="shared" si="12"/>
        <v>0.876</v>
      </c>
      <c r="T11" s="24"/>
      <c r="X11" s="24"/>
      <c r="AB11" s="24"/>
      <c r="AF11" s="18"/>
    </row>
    <row r="12" spans="1:32" x14ac:dyDescent="0.25">
      <c r="C12" s="11" t="s">
        <v>19</v>
      </c>
      <c r="D12" s="3"/>
      <c r="E12" s="12">
        <f>13597.1088686776%/100</f>
        <v>1.3597108868677601</v>
      </c>
      <c r="F12" s="12">
        <v>1.3300643424543495</v>
      </c>
      <c r="G12" s="13">
        <f t="shared" si="9"/>
        <v>0.97819643521299982</v>
      </c>
      <c r="H12" s="15"/>
      <c r="I12" s="12">
        <f>33068.1511106307%/100</f>
        <v>3.3068151110630701</v>
      </c>
      <c r="J12" s="17">
        <v>1.4893260552342862</v>
      </c>
      <c r="K12" s="13">
        <f t="shared" si="10"/>
        <v>0.45038080606674735</v>
      </c>
      <c r="L12" s="16"/>
      <c r="M12" s="26">
        <f>4468.05551416168%/100</f>
        <v>0.44680555141616796</v>
      </c>
      <c r="N12" s="26">
        <v>0.70947456263225339</v>
      </c>
      <c r="O12" s="13">
        <f t="shared" si="11"/>
        <v>1.5878821567537502</v>
      </c>
      <c r="P12" s="16"/>
      <c r="Q12" s="17">
        <f>1466.58576753055%/100</f>
        <v>0.14665857675305499</v>
      </c>
      <c r="R12" s="17">
        <v>1.3137080696888273</v>
      </c>
      <c r="S12" s="13">
        <f t="shared" si="12"/>
        <v>8.9575945626477775</v>
      </c>
      <c r="T12" s="16"/>
      <c r="X12" s="16"/>
      <c r="AB12" s="15"/>
      <c r="AF12" s="18"/>
    </row>
    <row r="13" spans="1:32" x14ac:dyDescent="0.25">
      <c r="C13" s="11" t="s">
        <v>20</v>
      </c>
      <c r="D13" s="3"/>
      <c r="E13" s="12">
        <f>2314.32330132939%/100</f>
        <v>0.23143233013293898</v>
      </c>
      <c r="F13" s="12">
        <v>0.15822969726414132</v>
      </c>
      <c r="G13" s="13">
        <f t="shared" si="9"/>
        <v>0.68369746427930478</v>
      </c>
      <c r="H13" s="15"/>
      <c r="I13" s="12">
        <f>4530.73824492715%/100</f>
        <v>0.45307382449271499</v>
      </c>
      <c r="J13" s="12">
        <v>0.46893182805036909</v>
      </c>
      <c r="K13" s="13">
        <f t="shared" si="10"/>
        <v>1.0350009263400055</v>
      </c>
      <c r="L13" s="16"/>
      <c r="M13" s="26">
        <f>3887.41640001648%/100</f>
        <v>0.38874164000164801</v>
      </c>
      <c r="N13" s="26">
        <v>0.28550507339865405</v>
      </c>
      <c r="O13" s="13">
        <f t="shared" si="11"/>
        <v>0.7344339891076338</v>
      </c>
      <c r="P13" s="16"/>
      <c r="Q13" s="17">
        <f>2331.43094716154%/100</f>
        <v>0.23314309471615402</v>
      </c>
      <c r="R13" s="17">
        <v>0.12863738960224028</v>
      </c>
      <c r="S13" s="13">
        <f t="shared" si="12"/>
        <v>0.5517529470853646</v>
      </c>
      <c r="T13" s="16"/>
      <c r="X13" s="16"/>
      <c r="AB13" s="15"/>
      <c r="AF13" s="18"/>
    </row>
    <row r="14" spans="1:32" ht="21.75" customHeight="1" x14ac:dyDescent="0.25">
      <c r="G14" s="247"/>
      <c r="K14" s="247"/>
      <c r="O14" s="247"/>
      <c r="R14" s="247"/>
      <c r="S14" s="247"/>
      <c r="AF14" s="27"/>
    </row>
    <row r="15" spans="1:32" ht="15.75" thickBot="1" x14ac:dyDescent="0.3">
      <c r="A15" s="635" t="s">
        <v>3</v>
      </c>
      <c r="B15" s="635" t="s">
        <v>4</v>
      </c>
      <c r="F15" s="28"/>
      <c r="G15" s="28"/>
      <c r="H15" s="27"/>
      <c r="I15" s="29"/>
      <c r="J15" s="29"/>
      <c r="K15" s="29"/>
      <c r="L15" s="27"/>
      <c r="M15" s="27"/>
      <c r="N15" s="27"/>
      <c r="O15" s="27"/>
      <c r="P15" s="27"/>
      <c r="Q15" s="29"/>
      <c r="R15" s="248"/>
      <c r="S15" s="248"/>
      <c r="T15" s="27"/>
      <c r="U15" s="27"/>
      <c r="V15" s="27"/>
      <c r="W15" s="249"/>
      <c r="X15" s="27"/>
      <c r="Y15" s="253"/>
      <c r="Z15" s="252"/>
      <c r="AA15" s="27"/>
      <c r="AB15" s="27"/>
      <c r="AC15" s="27"/>
      <c r="AD15" s="27"/>
      <c r="AE15" s="27"/>
      <c r="AF15" s="27"/>
    </row>
    <row r="16" spans="1:32" ht="19.5" customHeight="1" thickBot="1" x14ac:dyDescent="0.3">
      <c r="A16" s="636"/>
      <c r="B16" s="636"/>
      <c r="E16" s="619" t="s">
        <v>21</v>
      </c>
      <c r="F16" s="620"/>
      <c r="G16" s="621"/>
      <c r="H16" s="9"/>
      <c r="I16" s="619" t="s">
        <v>22</v>
      </c>
      <c r="J16" s="620"/>
      <c r="K16" s="621"/>
      <c r="M16" s="619" t="s">
        <v>23</v>
      </c>
      <c r="N16" s="620"/>
      <c r="O16" s="621"/>
      <c r="Q16" s="619" t="s">
        <v>24</v>
      </c>
      <c r="R16" s="620"/>
      <c r="S16" s="621"/>
      <c r="U16" s="619" t="s">
        <v>25</v>
      </c>
      <c r="V16" s="620"/>
      <c r="W16" s="621"/>
      <c r="Y16" s="622" t="s">
        <v>26</v>
      </c>
      <c r="Z16" s="623"/>
      <c r="AA16" s="624"/>
      <c r="AC16" s="622" t="s">
        <v>27</v>
      </c>
      <c r="AD16" s="623"/>
      <c r="AE16" s="624"/>
    </row>
    <row r="17" spans="1:32" s="255" customFormat="1" ht="15.75" customHeight="1" thickBot="1" x14ac:dyDescent="0.3">
      <c r="A17" s="257"/>
      <c r="B17" s="257"/>
      <c r="C17" s="262" t="str">
        <f>+C5</f>
        <v>Cumplimiento de ingresos</v>
      </c>
      <c r="E17" s="275">
        <v>510.6634049999999</v>
      </c>
      <c r="F17" s="275">
        <v>338.07751000000002</v>
      </c>
      <c r="G17" s="13">
        <f t="shared" ref="G17:G18" si="13">+IF(AND(F17&lt;0,E17&lt;0),(E17-F17)/E17+1,IF(F17&lt;0,(F17-E17)/E17,IF(E17&lt;0,(F17-E17)/-E17,F17/E17)))</f>
        <v>0.66203590601915185</v>
      </c>
      <c r="H17" s="256"/>
      <c r="I17" s="275">
        <v>10063.240946514421</v>
      </c>
      <c r="J17" s="275">
        <v>9876.2688279999984</v>
      </c>
      <c r="K17" s="13">
        <f t="shared" ref="K17:K18" si="14">+IF(AND(J17&lt;0,I17&lt;0),(I17-J17)/I17+1,IF(J17&lt;0,(J17-I17)/I17,IF(I17&lt;0,(J17-I17)/-I17,J17/I17)))</f>
        <v>0.98142028800580561</v>
      </c>
      <c r="M17" s="275">
        <v>3332.2400227020466</v>
      </c>
      <c r="N17" s="275">
        <v>4729.1428530000003</v>
      </c>
      <c r="O17" s="13">
        <f t="shared" ref="O17:O18" si="15">+IF(AND(N17&lt;0,M17&lt;0),(M17-N17)/M17+1,IF(N17&lt;0,(N17-M17)/M17,IF(M17&lt;0,(N17-M17)/-M17,N17/M17)))</f>
        <v>1.4192083465719956</v>
      </c>
      <c r="Q17" s="275">
        <v>960.15058099999999</v>
      </c>
      <c r="R17" s="275">
        <v>1356.9676039999999</v>
      </c>
      <c r="S17" s="13">
        <f t="shared" ref="S17:S18" si="16">+IF(AND(R17&lt;0,Q17&lt;0),(Q17-R17)/Q17+1,IF(R17&lt;0,(R17-Q17)/Q17,IF(Q17&lt;0,(R17-Q17)/-Q17,R17/Q17)))</f>
        <v>1.4132862395257979</v>
      </c>
      <c r="U17" s="275">
        <v>135</v>
      </c>
      <c r="V17" s="275">
        <v>377.0086</v>
      </c>
      <c r="W17" s="13">
        <f t="shared" ref="W17:W18" si="17">+IF(AND(V17&lt;0,U17&lt;0),(U17-V17)/U17+1,IF(V17&lt;0,(V17-U17)/U17,IF(U17&lt;0,(V17-U17)/-U17,V17/U17)))</f>
        <v>2.7926562962962964</v>
      </c>
      <c r="Y17" s="275">
        <v>4423.8850528606536</v>
      </c>
      <c r="Z17" s="275">
        <v>3988.7732680000004</v>
      </c>
      <c r="AA17" s="13">
        <f t="shared" ref="AA17:AA18" si="18">+IF(AND(Z17&lt;0,Y17&lt;0),(Y17-Z17)/Y17+1,IF(Z17&lt;0,(Z17-Y17)/Y17,IF(Y17&lt;0,(Z17-Y17)/-Y17,Z17/Y17)))</f>
        <v>0.90164487104399482</v>
      </c>
      <c r="AC17" s="258"/>
      <c r="AD17" s="258"/>
      <c r="AE17" s="258"/>
    </row>
    <row r="18" spans="1:32" x14ac:dyDescent="0.25">
      <c r="A18" s="10" t="s">
        <v>12</v>
      </c>
      <c r="B18" s="10" t="s">
        <v>12</v>
      </c>
      <c r="C18" s="262" t="str">
        <f t="shared" ref="C18:C25" si="19">+C6</f>
        <v>Crecimiento ingresos por negocio*</v>
      </c>
      <c r="E18" s="32">
        <v>0.13829048766454721</v>
      </c>
      <c r="F18" s="32">
        <v>-0.24641082568601935</v>
      </c>
      <c r="G18" s="13">
        <f t="shared" si="13"/>
        <v>-2.781834960939185</v>
      </c>
      <c r="I18" s="32">
        <v>0.69834821225888399</v>
      </c>
      <c r="J18" s="32">
        <v>0.66679339160925899</v>
      </c>
      <c r="K18" s="13">
        <f t="shared" si="14"/>
        <v>0.95481506203394229</v>
      </c>
      <c r="M18" s="32">
        <v>0.15889145091132306</v>
      </c>
      <c r="N18" s="32">
        <v>0.64470841990427963</v>
      </c>
      <c r="O18" s="13">
        <f t="shared" si="15"/>
        <v>4.0575400136794642</v>
      </c>
      <c r="Q18" s="12">
        <v>-0.65757952278354692</v>
      </c>
      <c r="R18" s="12">
        <v>-0.51606185141812988</v>
      </c>
      <c r="S18" s="13">
        <f t="shared" si="16"/>
        <v>1.2152099730331778</v>
      </c>
      <c r="U18" s="237">
        <v>-9.6020792003906119E-2</v>
      </c>
      <c r="V18" s="237">
        <v>1.5245032269312309</v>
      </c>
      <c r="W18" s="13">
        <f t="shared" si="17"/>
        <v>16.876803295573882</v>
      </c>
      <c r="Y18" s="12">
        <v>0.50242887007893122</v>
      </c>
      <c r="Z18" s="12">
        <v>0.35465728481509262</v>
      </c>
      <c r="AA18" s="13">
        <f t="shared" si="18"/>
        <v>0.70588556099369093</v>
      </c>
      <c r="AC18" s="625">
        <v>0</v>
      </c>
      <c r="AD18" s="626"/>
      <c r="AE18" s="626"/>
    </row>
    <row r="19" spans="1:32" x14ac:dyDescent="0.25">
      <c r="C19" s="262" t="str">
        <f t="shared" si="19"/>
        <v>Cumplimiento presupuesto Egreso</v>
      </c>
      <c r="D19" s="3"/>
      <c r="E19" s="268">
        <f>632477.624/1000</f>
        <v>632.47762399999999</v>
      </c>
      <c r="F19" s="33">
        <f>672604.812/1000</f>
        <v>672.60481200000004</v>
      </c>
      <c r="G19" s="13">
        <f>+E19/F19</f>
        <v>0.94034061712897765</v>
      </c>
      <c r="H19" s="3"/>
      <c r="I19" s="268">
        <f>11264236.5056848/1000</f>
        <v>11264.236505684801</v>
      </c>
      <c r="J19" s="33">
        <f>10393074.911/1000</f>
        <v>10393.074911</v>
      </c>
      <c r="K19" s="13">
        <f>+I19/J19</f>
        <v>1.083821352404837</v>
      </c>
      <c r="L19" s="16"/>
      <c r="M19" s="268">
        <f>2850414.7948875/1000</f>
        <v>2850.4147948874997</v>
      </c>
      <c r="N19" s="33">
        <f>3361809.541/1000</f>
        <v>3361.8095410000001</v>
      </c>
      <c r="O19" s="13">
        <f>+M19/N19</f>
        <v>0.84788110692303487</v>
      </c>
      <c r="P19" s="16"/>
      <c r="Q19" s="269">
        <f>3265606.43249693/1000</f>
        <v>3265.6064324969302</v>
      </c>
      <c r="R19" s="19">
        <f>3617789.304/1000</f>
        <v>3617.7893039999999</v>
      </c>
      <c r="S19" s="13">
        <f>+Q19/R19</f>
        <v>0.90265246483158113</v>
      </c>
      <c r="T19" s="16"/>
      <c r="U19" s="269">
        <f>3544345.2483367/1000</f>
        <v>3544.3452483366996</v>
      </c>
      <c r="V19" s="19">
        <f>3409718.742/1000</f>
        <v>3409.718742</v>
      </c>
      <c r="W19" s="13">
        <f>+U19/V19</f>
        <v>1.0394831704675247</v>
      </c>
      <c r="X19" s="16"/>
      <c r="Y19" s="269">
        <f>4380963.6353408/1000</f>
        <v>4380.9636353407996</v>
      </c>
      <c r="Z19" s="19">
        <f>4974601.104/1000</f>
        <v>4974.6011040000003</v>
      </c>
      <c r="AA19" s="13">
        <f>+Y19/Z19</f>
        <v>0.8806663175099877</v>
      </c>
      <c r="AB19" s="16"/>
      <c r="AC19" s="627"/>
      <c r="AD19" s="628"/>
      <c r="AE19" s="628"/>
      <c r="AF19" s="27"/>
    </row>
    <row r="20" spans="1:32" x14ac:dyDescent="0.25">
      <c r="C20" s="262" t="str">
        <f t="shared" si="19"/>
        <v xml:space="preserve">% de egreso subsidiado por negocio </v>
      </c>
      <c r="D20" s="3"/>
      <c r="E20" s="32">
        <v>0.19259846416321599</v>
      </c>
      <c r="F20" s="32">
        <v>0.49736085147128001</v>
      </c>
      <c r="G20" s="13">
        <f>+IF(AND(F20&lt;0,E20&lt;0),(E20*-1)/(F20*-1),IF(F20&lt;0,(F20-E20)/E20,IF(E20&lt;0,(F20-E20)/E20-1,E20/F20)))</f>
        <v>0.38724090083382356</v>
      </c>
      <c r="H20" s="3"/>
      <c r="I20" s="32">
        <v>0.106620236406107</v>
      </c>
      <c r="J20" s="32">
        <v>4.9726003846370298E-2</v>
      </c>
      <c r="K20" s="13">
        <f>+IF(AND(J20&lt;0,I20&lt;0),(I20*-1)/(J20*-1),IF(J20&lt;0,(J20-I20)/I20,IF(I20&lt;0,(J20-I20)/I20-1,I20/J20)))</f>
        <v>2.1441545300023068</v>
      </c>
      <c r="L20" s="16"/>
      <c r="M20" s="281">
        <v>0</v>
      </c>
      <c r="N20" s="282">
        <v>0</v>
      </c>
      <c r="P20" s="16"/>
      <c r="Q20" s="12">
        <v>0.70598092548897395</v>
      </c>
      <c r="R20" s="12">
        <v>0.62491801208553699</v>
      </c>
      <c r="S20" s="13">
        <f>+IF(AND(R20&lt;0,Q20&lt;0),(Q20*-1)/(R20*-1),IF(R20&lt;0,(R20-Q20)/Q20,IF(Q20&lt;0,(R20-Q20)/Q20-1,Q20/R20)))</f>
        <v>1.1297176778965068</v>
      </c>
      <c r="T20" s="16"/>
      <c r="U20" s="12">
        <v>0.96191115973723096</v>
      </c>
      <c r="V20" s="12">
        <v>0.88943117349941203</v>
      </c>
      <c r="W20" s="13">
        <f>+IF(AND(V20&lt;0,U20&lt;0),(U20*-1)/(V20*-1),IF(V20&lt;0,(V20-U20)/U20,IF(U20&lt;0,(V20-U20)/U20-1,U20/V20)))</f>
        <v>1.0814902697334645</v>
      </c>
      <c r="X20" s="16"/>
      <c r="Y20" s="12">
        <v>-9.7972549175285202E-3</v>
      </c>
      <c r="Z20" s="12">
        <v>0.19817223841471701</v>
      </c>
      <c r="AA20" s="13">
        <f>+IF(AND(Z20&lt;0,Y20&lt;0),(Y20*-1)/(Z20*-1),IF(Z20&lt;0,(Z20-Y20)/Y20,IF(Y20&lt;0,(Z20-Y20)/Y20-1,Y20/Z20)))</f>
        <v>-22.227322865730684</v>
      </c>
      <c r="AB20" s="16"/>
      <c r="AC20" s="627"/>
      <c r="AD20" s="628"/>
      <c r="AE20" s="628"/>
      <c r="AF20" s="27"/>
    </row>
    <row r="21" spans="1:32" x14ac:dyDescent="0.25">
      <c r="C21" s="262" t="str">
        <f t="shared" si="19"/>
        <v xml:space="preserve">% de margen de utilidad por negocio </v>
      </c>
      <c r="D21" s="3"/>
      <c r="E21" s="40">
        <v>0</v>
      </c>
      <c r="F21" s="40">
        <v>0</v>
      </c>
      <c r="H21" s="3"/>
      <c r="I21" s="40">
        <v>0</v>
      </c>
      <c r="J21" s="40">
        <v>0</v>
      </c>
      <c r="L21" s="16"/>
      <c r="M21" s="32">
        <v>0.14459499451778657</v>
      </c>
      <c r="N21" s="32">
        <v>0.28912920469987752</v>
      </c>
      <c r="O21" s="13">
        <f t="shared" ref="O21:O25" si="20">+IF(AND(N21&lt;0,M21&lt;0),(M21-N21)/M21+1,IF(N21&lt;0,(N21-M21)/M21,IF(M21&lt;0,(N21-M21)/-M21,N21/M21)))</f>
        <v>1.9995796235139514</v>
      </c>
      <c r="P21" s="16"/>
      <c r="Q21" s="34">
        <v>0</v>
      </c>
      <c r="R21" s="35">
        <v>0</v>
      </c>
      <c r="T21" s="16"/>
      <c r="U21" s="34">
        <v>0</v>
      </c>
      <c r="V21" s="35">
        <v>0</v>
      </c>
      <c r="X21" s="16"/>
      <c r="Y21" s="34">
        <v>0</v>
      </c>
      <c r="Z21" s="14">
        <v>0</v>
      </c>
      <c r="AA21" s="246"/>
      <c r="AB21" s="16"/>
      <c r="AC21" s="629"/>
      <c r="AD21" s="630"/>
      <c r="AE21" s="630"/>
      <c r="AF21" s="27"/>
    </row>
    <row r="22" spans="1:32" x14ac:dyDescent="0.25">
      <c r="C22" s="262" t="str">
        <f t="shared" si="19"/>
        <v>Satisfacción de afiliados</v>
      </c>
      <c r="D22" s="3"/>
      <c r="E22" s="267">
        <v>4.6500000000000004</v>
      </c>
      <c r="F22" s="36">
        <v>4.72</v>
      </c>
      <c r="G22" s="13">
        <f t="shared" ref="G22:G25" si="21">+IF(AND(F22&lt;0,E22&lt;0),(E22-F22)/E22+1,IF(F22&lt;0,(F22-E22)/E22,IF(E22&lt;0,(F22-E22)/-E22,F22/E22)))</f>
        <v>1.0150537634408601</v>
      </c>
      <c r="H22" s="3"/>
      <c r="I22" s="267">
        <v>4.6500000000000004</v>
      </c>
      <c r="J22" s="36">
        <v>4.72</v>
      </c>
      <c r="K22" s="13">
        <f t="shared" ref="K22:K25" si="22">+IF(AND(J22&lt;0,I22&lt;0),(I22-J22)/I22+1,IF(J22&lt;0,(J22-I22)/I22,IF(I22&lt;0,(J22-I22)/-I22,J22/I22)))</f>
        <v>1.0150537634408601</v>
      </c>
      <c r="L22" s="16"/>
      <c r="M22" s="267">
        <v>4.6500000000000004</v>
      </c>
      <c r="N22" s="36">
        <v>4.67</v>
      </c>
      <c r="O22" s="13">
        <f t="shared" si="20"/>
        <v>1.0043010752688171</v>
      </c>
      <c r="P22" s="16"/>
      <c r="Q22" s="267">
        <v>4.6500000000000004</v>
      </c>
      <c r="R22" s="23">
        <v>4.74</v>
      </c>
      <c r="S22" s="13">
        <f t="shared" ref="S22:S25" si="23">+IF(AND(R22&lt;0,Q22&lt;0),(Q22-R22)/Q22+1,IF(R22&lt;0,(R22-Q22)/Q22,IF(Q22&lt;0,(R22-Q22)/-Q22,R22/Q22)))</f>
        <v>1.0193548387096774</v>
      </c>
      <c r="T22" s="16"/>
      <c r="U22" s="267">
        <v>4.6500000000000004</v>
      </c>
      <c r="V22" s="23">
        <v>4.8099999999999996</v>
      </c>
      <c r="W22" s="13">
        <f t="shared" ref="W22:W25" si="24">+IF(AND(V22&lt;0,U22&lt;0),(U22-V22)/U22+1,IF(V22&lt;0,(V22-U22)/U22,IF(U22&lt;0,(V22-U22)/-U22,V22/U22)))</f>
        <v>1.0344086021505374</v>
      </c>
      <c r="X22" s="16"/>
      <c r="Y22" s="267">
        <v>4.6500000000000004</v>
      </c>
      <c r="Z22" s="23">
        <v>4.75</v>
      </c>
      <c r="AA22" s="13">
        <f t="shared" ref="AA22:AA25" si="25">+IF(AND(Z22&lt;0,Y22&lt;0),(Y22-Z22)/Y22+1,IF(Z22&lt;0,(Z22-Y22)/Y22,IF(Y22&lt;0,(Z22-Y22)/-Y22,Z22/Y22)))</f>
        <v>1.021505376344086</v>
      </c>
      <c r="AB22" s="16"/>
      <c r="AC22" s="23">
        <v>4.6500000000000004</v>
      </c>
      <c r="AD22" s="25">
        <v>4.29</v>
      </c>
      <c r="AE22" s="13">
        <f t="shared" ref="AE22:AE24" si="26">+IF(AND(AD22&lt;0,AC22&lt;0),(AC22-AD22)/AC22+1,IF(AD22&lt;0,(AD22-AC22)/AC22,IF(AC22&lt;0,(AD22-AC22)/-AC22,AD22/AC22)))</f>
        <v>0.92258064516129024</v>
      </c>
      <c r="AF22" s="27"/>
    </row>
    <row r="23" spans="1:32" ht="24" x14ac:dyDescent="0.25">
      <c r="C23" s="262" t="str">
        <f t="shared" si="19"/>
        <v>Medición de la percepción  del bienestar generado por la Caja  a los afiliados*</v>
      </c>
      <c r="D23" s="3"/>
      <c r="E23" s="14">
        <v>0.5</v>
      </c>
      <c r="F23" s="32">
        <v>0.55489999999999995</v>
      </c>
      <c r="G23" s="13">
        <f t="shared" si="21"/>
        <v>1.1097999999999999</v>
      </c>
      <c r="H23" s="3"/>
      <c r="I23" s="14">
        <v>0.5</v>
      </c>
      <c r="J23" s="236">
        <v>0.50560000000000005</v>
      </c>
      <c r="K23" s="13">
        <f t="shared" si="22"/>
        <v>1.0112000000000001</v>
      </c>
      <c r="M23" s="14">
        <v>0.5</v>
      </c>
      <c r="N23" s="12">
        <v>0.501</v>
      </c>
      <c r="O23" s="13">
        <f t="shared" si="20"/>
        <v>1.002</v>
      </c>
      <c r="P23" s="16"/>
      <c r="Q23" s="14">
        <v>0.5</v>
      </c>
      <c r="R23" s="12">
        <v>0.55889999999999995</v>
      </c>
      <c r="S23" s="13">
        <f t="shared" si="23"/>
        <v>1.1177999999999999</v>
      </c>
      <c r="T23" s="16"/>
      <c r="U23" s="14">
        <v>0.5</v>
      </c>
      <c r="V23" s="12">
        <v>0.59650000000000003</v>
      </c>
      <c r="W23" s="13">
        <f t="shared" si="24"/>
        <v>1.1930000000000001</v>
      </c>
      <c r="X23" s="16"/>
      <c r="Y23" s="14">
        <v>0.5</v>
      </c>
      <c r="Z23" s="21">
        <v>0.67359999999999998</v>
      </c>
      <c r="AA23" s="13">
        <f t="shared" si="25"/>
        <v>1.3472</v>
      </c>
      <c r="AB23" s="16"/>
      <c r="AC23" s="14">
        <v>0.5</v>
      </c>
      <c r="AD23" s="38">
        <v>0.53669999999999995</v>
      </c>
      <c r="AE23" s="13">
        <f t="shared" si="26"/>
        <v>1.0733999999999999</v>
      </c>
      <c r="AF23" s="27"/>
    </row>
    <row r="24" spans="1:32" x14ac:dyDescent="0.25">
      <c r="C24" s="262" t="str">
        <f t="shared" si="19"/>
        <v>Crecimiento Coberturas Negocio</v>
      </c>
      <c r="D24" s="3"/>
      <c r="E24" s="32">
        <f>+-1584.76658476658%/100</f>
        <v>-0.15847665847665801</v>
      </c>
      <c r="F24" s="32">
        <v>-8.9680589680589673E-2</v>
      </c>
      <c r="G24" s="13">
        <f t="shared" si="21"/>
        <v>1.4341085271317813</v>
      </c>
      <c r="H24" s="3"/>
      <c r="I24" s="32">
        <f>5108.82856444118%/100</f>
        <v>0.51088285644411802</v>
      </c>
      <c r="J24" s="32">
        <v>0.11783647183500445</v>
      </c>
      <c r="K24" s="13">
        <f t="shared" si="22"/>
        <v>0.23065262486037985</v>
      </c>
      <c r="M24" s="32">
        <f>9399.85710883544%/100</f>
        <v>0.93998571088354399</v>
      </c>
      <c r="N24" s="32">
        <v>0.41295546558704443</v>
      </c>
      <c r="O24" s="13">
        <f t="shared" si="20"/>
        <v>0.43932100329364049</v>
      </c>
      <c r="P24" s="16"/>
      <c r="Q24" s="17">
        <f>7402.63200602653%/100</f>
        <v>0.74026320060265294</v>
      </c>
      <c r="R24" s="17">
        <v>0.85114366063448155</v>
      </c>
      <c r="S24" s="13">
        <f t="shared" si="23"/>
        <v>1.149785184433807</v>
      </c>
      <c r="T24" s="16"/>
      <c r="U24" s="39">
        <f>4018.14567578438%/100</f>
        <v>0.40181456757843798</v>
      </c>
      <c r="V24" s="17">
        <v>-3.2111288853358788E-2</v>
      </c>
      <c r="W24" s="13">
        <f t="shared" si="24"/>
        <v>-1.0799156910782992</v>
      </c>
      <c r="X24" s="16"/>
      <c r="Y24" s="17">
        <f>4506.49083041418%/100</f>
        <v>0.45064908304141804</v>
      </c>
      <c r="Z24" s="17">
        <v>-8.2835359571399092E-2</v>
      </c>
      <c r="AA24" s="13">
        <f t="shared" si="25"/>
        <v>-1.1838134430727021</v>
      </c>
      <c r="AB24" s="16"/>
      <c r="AC24" s="32">
        <v>2.1581575132871601E-2</v>
      </c>
      <c r="AD24" s="40">
        <v>0.1365580429841986</v>
      </c>
      <c r="AE24" s="13">
        <f t="shared" si="26"/>
        <v>6.3275290215588846</v>
      </c>
      <c r="AF24" s="27"/>
    </row>
    <row r="25" spans="1:32" x14ac:dyDescent="0.25">
      <c r="C25" s="262" t="str">
        <f t="shared" si="19"/>
        <v>Penetración de uso en población A y B</v>
      </c>
      <c r="D25" s="3"/>
      <c r="E25" s="32">
        <f>2583.94160583942%/100</f>
        <v>0.25839416058394199</v>
      </c>
      <c r="F25" s="32">
        <v>1.4844804318488529E-2</v>
      </c>
      <c r="G25" s="13">
        <f t="shared" si="21"/>
        <v>5.7450231402060042E-2</v>
      </c>
      <c r="H25" s="3"/>
      <c r="I25" s="32">
        <f>3196.55767778137%/100</f>
        <v>0.31965576777813698</v>
      </c>
      <c r="J25" s="32">
        <v>0.32273473108477668</v>
      </c>
      <c r="K25" s="13">
        <f t="shared" si="22"/>
        <v>1.0096321218542088</v>
      </c>
      <c r="L25" s="16"/>
      <c r="M25" s="32">
        <f>1190.15467714216%/100</f>
        <v>0.11901546771421601</v>
      </c>
      <c r="N25" s="32">
        <v>0.12438901061857408</v>
      </c>
      <c r="O25" s="13">
        <f t="shared" si="20"/>
        <v>1.0451499540989178</v>
      </c>
      <c r="P25" s="16"/>
      <c r="Q25" s="17">
        <f>41.9373876055742%/100</f>
        <v>4.1937387605574198E-3</v>
      </c>
      <c r="R25" s="17">
        <v>4.3076150049461675E-3</v>
      </c>
      <c r="S25" s="13">
        <f t="shared" si="23"/>
        <v>1.0271538717336823</v>
      </c>
      <c r="T25" s="16"/>
      <c r="U25" s="39">
        <f>28.0603813690379%/100</f>
        <v>2.8060381369037902E-3</v>
      </c>
      <c r="V25" s="17">
        <v>3.5700130846440374E-3</v>
      </c>
      <c r="W25" s="13">
        <f t="shared" si="24"/>
        <v>1.2722610707576572</v>
      </c>
      <c r="X25" s="16"/>
      <c r="Y25" s="17">
        <f>1565.34090909091%/100</f>
        <v>0.15653409090909098</v>
      </c>
      <c r="Z25" s="17">
        <v>0.24511345764996631</v>
      </c>
      <c r="AA25" s="13">
        <f t="shared" si="25"/>
        <v>1.5658790760941579</v>
      </c>
      <c r="AB25" s="16"/>
      <c r="AC25" s="41"/>
      <c r="AD25" s="42"/>
      <c r="AE25" s="42"/>
      <c r="AF25" s="27"/>
    </row>
    <row r="26" spans="1:32" ht="15.75" thickBot="1" x14ac:dyDescent="0.3">
      <c r="A26" s="631" t="s">
        <v>3</v>
      </c>
      <c r="B26" s="631" t="s">
        <v>4</v>
      </c>
      <c r="E26" s="250"/>
      <c r="F26" s="251"/>
      <c r="G26" s="29"/>
      <c r="H26" s="27"/>
      <c r="I26" s="29"/>
      <c r="J26" s="29"/>
      <c r="K26" s="29"/>
      <c r="L26" s="27"/>
      <c r="M26" s="27"/>
      <c r="N26" s="27"/>
      <c r="P26" s="27"/>
      <c r="Q26" s="29"/>
      <c r="R26" s="44"/>
      <c r="S26" s="30"/>
      <c r="T26" s="27"/>
      <c r="U26" s="27"/>
      <c r="V26" s="27"/>
      <c r="W26" s="27"/>
      <c r="X26" s="27"/>
      <c r="Y26" s="27"/>
      <c r="Z26" s="45"/>
      <c r="AA26" s="45"/>
      <c r="AB26" s="27"/>
      <c r="AC26" s="27"/>
      <c r="AD26" s="27"/>
      <c r="AE26" s="27"/>
      <c r="AF26" s="27"/>
    </row>
    <row r="27" spans="1:32" ht="23.25" customHeight="1" thickBot="1" x14ac:dyDescent="0.3">
      <c r="A27" s="631"/>
      <c r="B27" s="631"/>
      <c r="E27" s="632" t="s">
        <v>33</v>
      </c>
      <c r="F27" s="633"/>
      <c r="G27" s="634"/>
      <c r="H27" s="31"/>
      <c r="I27" s="632" t="s">
        <v>34</v>
      </c>
      <c r="J27" s="633"/>
      <c r="K27" s="634"/>
      <c r="L27" s="27"/>
      <c r="T27" s="27"/>
      <c r="U27" s="27"/>
      <c r="V27" s="27"/>
      <c r="W27" s="27"/>
      <c r="X27" s="27"/>
      <c r="Y27" s="27"/>
      <c r="Z27" s="28"/>
      <c r="AA27" s="28"/>
      <c r="AB27" s="27"/>
      <c r="AC27" s="27"/>
      <c r="AD27" s="27"/>
      <c r="AE27" s="27"/>
      <c r="AF27" s="27"/>
    </row>
    <row r="28" spans="1:32" s="255" customFormat="1" ht="18" customHeight="1" x14ac:dyDescent="0.25">
      <c r="A28" s="254"/>
      <c r="B28" s="254"/>
      <c r="C28" s="263" t="s">
        <v>106</v>
      </c>
      <c r="E28" s="277">
        <v>9337.7230778895773</v>
      </c>
      <c r="F28" s="277">
        <v>9860.8384650000007</v>
      </c>
      <c r="G28" s="13">
        <f t="shared" ref="G28:G29" si="27">+IF(AND(F28&lt;0,E28&lt;0),(E28-F28)/E28+1,IF(F28&lt;0,(F28-E28)/E28,IF(E28&lt;0,(F28-E28)/-E28,F28/E28)))</f>
        <v>1.056021728503503</v>
      </c>
      <c r="H28" s="259"/>
      <c r="I28" s="277">
        <v>21604.533044567001</v>
      </c>
      <c r="J28" s="277">
        <v>24114.179743000001</v>
      </c>
      <c r="K28" s="13">
        <f t="shared" ref="K28:K29" si="28">+IF(AND(J28&lt;0,I28&lt;0),(I28-J28)/I28+1,IF(J28&lt;0,(J28-I28)/I28,IF(I28&lt;0,(J28-I28)/-I28,J28/I28)))</f>
        <v>1.1161629688202919</v>
      </c>
      <c r="L28" s="260"/>
      <c r="T28" s="260"/>
      <c r="U28" s="260"/>
      <c r="V28" s="260"/>
      <c r="W28" s="260"/>
      <c r="X28" s="260"/>
      <c r="Y28" s="260"/>
      <c r="Z28" s="261"/>
      <c r="AA28" s="261"/>
      <c r="AB28" s="260"/>
      <c r="AC28" s="260"/>
      <c r="AD28" s="260"/>
      <c r="AE28" s="260"/>
      <c r="AF28" s="260"/>
    </row>
    <row r="29" spans="1:32" x14ac:dyDescent="0.25">
      <c r="A29" s="46" t="s">
        <v>12</v>
      </c>
      <c r="B29" s="46" t="s">
        <v>12</v>
      </c>
      <c r="C29" s="22" t="s">
        <v>13</v>
      </c>
      <c r="E29" s="12">
        <v>8.4257824080322452E-2</v>
      </c>
      <c r="F29" s="12">
        <v>0.14499982152874913</v>
      </c>
      <c r="G29" s="13">
        <f t="shared" si="27"/>
        <v>1.7209063147716908</v>
      </c>
      <c r="I29" s="12">
        <v>0.11166613817639992</v>
      </c>
      <c r="J29" s="12">
        <v>0.24080057712395941</v>
      </c>
      <c r="K29" s="13">
        <f t="shared" si="28"/>
        <v>2.1564332845787568</v>
      </c>
      <c r="L29" s="27"/>
      <c r="T29" s="27"/>
      <c r="U29" s="27"/>
      <c r="V29" s="27"/>
      <c r="W29" s="27"/>
      <c r="X29" s="27"/>
      <c r="Y29" s="27"/>
      <c r="Z29" s="27"/>
      <c r="AA29" s="27"/>
      <c r="AB29" s="27"/>
      <c r="AC29" s="27"/>
      <c r="AD29" s="27"/>
      <c r="AE29" s="27"/>
      <c r="AF29" s="27"/>
    </row>
    <row r="30" spans="1:32" x14ac:dyDescent="0.25">
      <c r="C30" s="22" t="s">
        <v>14</v>
      </c>
      <c r="D30" s="47"/>
      <c r="E30" s="268">
        <f>5908982.59588717/1000</f>
        <v>5908.9825958871697</v>
      </c>
      <c r="F30" s="33">
        <f>5208512.787/1000</f>
        <v>5208.5127869999997</v>
      </c>
      <c r="G30" s="13">
        <f>+E30/F30</f>
        <v>1.1344855695920499</v>
      </c>
      <c r="H30" s="48"/>
      <c r="I30" s="269">
        <f>20047006.0629766/1000</f>
        <v>20047.006062976598</v>
      </c>
      <c r="J30" s="19">
        <f>24613617.402/1000</f>
        <v>24613.617402</v>
      </c>
      <c r="K30" s="13">
        <f>+I30/J30</f>
        <v>0.81446809445196222</v>
      </c>
      <c r="L30" s="27"/>
      <c r="T30" s="27"/>
      <c r="U30" s="27"/>
      <c r="V30" s="27"/>
      <c r="W30" s="27"/>
      <c r="X30" s="27"/>
      <c r="Y30" s="27"/>
      <c r="Z30" s="27"/>
      <c r="AA30" s="27"/>
      <c r="AB30" s="27"/>
      <c r="AC30" s="27"/>
      <c r="AD30" s="27"/>
      <c r="AE30" s="27"/>
      <c r="AF30" s="27"/>
    </row>
    <row r="31" spans="1:32" x14ac:dyDescent="0.25">
      <c r="C31" s="22" t="s">
        <v>16</v>
      </c>
      <c r="D31" s="47"/>
      <c r="E31" s="12">
        <v>0.36719235014809826</v>
      </c>
      <c r="F31" s="12">
        <v>0.471798183746031</v>
      </c>
      <c r="G31" s="13">
        <f t="shared" ref="G31:G35" si="29">+IF(AND(F31&lt;0,E31&lt;0),(E31-F31)/E31+1,IF(F31&lt;0,(F31-E31)/E31,IF(E31&lt;0,(F31-E31)/-E31,F31/E31)))</f>
        <v>1.2848802093936393</v>
      </c>
      <c r="H31" s="48"/>
      <c r="I31" s="12">
        <v>7.2092601047078889E-2</v>
      </c>
      <c r="J31" s="12">
        <v>-2.0711368345215128E-2</v>
      </c>
      <c r="K31" s="13">
        <f t="shared" ref="K31:K35" si="30">+IF(AND(J31&lt;0,I31&lt;0),(I31-J31)/I31+1,IF(J31&lt;0,(J31-I31)/I31,IF(I31&lt;0,(J31-I31)/-I31,J31/I31)))</f>
        <v>-1.2872884046962032</v>
      </c>
      <c r="L31" s="27"/>
      <c r="T31" s="27"/>
      <c r="U31" s="27"/>
      <c r="V31" s="27"/>
      <c r="W31" s="27"/>
      <c r="X31" s="27"/>
      <c r="Y31" s="27"/>
      <c r="Z31" s="27"/>
      <c r="AA31" s="27"/>
      <c r="AB31" s="27"/>
      <c r="AC31" s="27"/>
      <c r="AD31" s="27"/>
      <c r="AE31" s="27"/>
      <c r="AF31" s="27"/>
    </row>
    <row r="32" spans="1:32" x14ac:dyDescent="0.25">
      <c r="C32" s="22" t="s">
        <v>17</v>
      </c>
      <c r="D32" s="47"/>
      <c r="E32" s="267">
        <v>4.6500000000000004</v>
      </c>
      <c r="F32" s="23">
        <v>4.59</v>
      </c>
      <c r="G32" s="13">
        <f t="shared" si="29"/>
        <v>0.98709677419354824</v>
      </c>
      <c r="H32" s="48"/>
      <c r="I32" s="267">
        <v>4.6500000000000004</v>
      </c>
      <c r="J32" s="23">
        <v>4.25</v>
      </c>
      <c r="K32" s="13">
        <f t="shared" si="30"/>
        <v>0.91397849462365588</v>
      </c>
      <c r="L32" s="27"/>
      <c r="T32" s="27"/>
      <c r="U32" s="27"/>
      <c r="V32" s="27"/>
      <c r="W32" s="27"/>
      <c r="X32" s="27"/>
      <c r="Y32" s="27"/>
      <c r="Z32" s="27"/>
      <c r="AA32" s="27"/>
      <c r="AB32" s="27"/>
      <c r="AC32" s="27"/>
      <c r="AD32" s="27"/>
      <c r="AE32" s="27"/>
      <c r="AF32" s="27"/>
    </row>
    <row r="33" spans="3:32" ht="24" x14ac:dyDescent="0.25">
      <c r="C33" s="22" t="s">
        <v>18</v>
      </c>
      <c r="D33" s="47"/>
      <c r="E33" s="14">
        <v>0.5</v>
      </c>
      <c r="F33" s="12">
        <v>0.59650000000000003</v>
      </c>
      <c r="G33" s="13">
        <f t="shared" si="29"/>
        <v>1.1930000000000001</v>
      </c>
      <c r="H33" s="48"/>
      <c r="I33" s="14">
        <v>0.5</v>
      </c>
      <c r="J33" s="12">
        <v>0.52649999999999997</v>
      </c>
      <c r="K33" s="13">
        <f t="shared" si="30"/>
        <v>1.0529999999999999</v>
      </c>
      <c r="L33" s="27"/>
      <c r="T33" s="27"/>
      <c r="U33" s="27"/>
      <c r="V33" s="27"/>
      <c r="W33" s="27"/>
      <c r="X33" s="27"/>
      <c r="Y33" s="27"/>
      <c r="Z33" s="27"/>
      <c r="AA33" s="27"/>
      <c r="AB33" s="27"/>
      <c r="AC33" s="27"/>
      <c r="AD33" s="27"/>
      <c r="AE33" s="27"/>
      <c r="AF33" s="27"/>
    </row>
    <row r="34" spans="3:32" x14ac:dyDescent="0.25">
      <c r="C34" s="22" t="s">
        <v>19</v>
      </c>
      <c r="D34" s="47"/>
      <c r="E34" s="17">
        <f>1989.46998946999%/100</f>
        <v>0.19894699894699902</v>
      </c>
      <c r="F34" s="17">
        <v>0.85447525447525452</v>
      </c>
      <c r="G34" s="13">
        <f t="shared" si="29"/>
        <v>4.2949894142554683</v>
      </c>
      <c r="H34" s="48"/>
      <c r="I34" s="17">
        <f>4745.50898203593%/100</f>
        <v>0.47455089820359297</v>
      </c>
      <c r="J34" s="17">
        <v>0.61077844311377238</v>
      </c>
      <c r="K34" s="13">
        <f t="shared" si="30"/>
        <v>1.2870662460567817</v>
      </c>
      <c r="L34" s="27"/>
      <c r="T34" s="27"/>
      <c r="U34" s="27"/>
      <c r="V34" s="27"/>
      <c r="W34" s="27"/>
      <c r="X34" s="27"/>
      <c r="Y34" s="27"/>
      <c r="Z34" s="27"/>
      <c r="AA34" s="27"/>
      <c r="AB34" s="27"/>
      <c r="AC34" s="27"/>
      <c r="AD34" s="27"/>
      <c r="AE34" s="27"/>
      <c r="AF34" s="27"/>
    </row>
    <row r="35" spans="3:32" x14ac:dyDescent="0.25">
      <c r="C35" s="22" t="s">
        <v>20</v>
      </c>
      <c r="D35" s="47"/>
      <c r="E35" s="17">
        <f>9908.07424322267%/100</f>
        <v>0.99080742432226709</v>
      </c>
      <c r="F35" s="17">
        <v>0.99258053526138468</v>
      </c>
      <c r="G35" s="13">
        <f t="shared" si="29"/>
        <v>1.001789561619737</v>
      </c>
      <c r="H35" s="48"/>
      <c r="I35" s="17">
        <f>9096.44670050761%/100</f>
        <v>0.90964467005076088</v>
      </c>
      <c r="J35" s="17">
        <v>0.53345724907063197</v>
      </c>
      <c r="K35" s="13">
        <f t="shared" si="30"/>
        <v>0.58644574814126427</v>
      </c>
      <c r="L35" s="27"/>
      <c r="T35" s="27"/>
      <c r="U35" s="27"/>
      <c r="V35" s="27"/>
      <c r="W35" s="27"/>
      <c r="X35" s="27"/>
      <c r="Y35" s="27"/>
      <c r="Z35" s="27"/>
      <c r="AA35" s="27"/>
      <c r="AB35" s="27"/>
      <c r="AC35" s="27"/>
      <c r="AD35" s="27"/>
      <c r="AE35" s="27"/>
      <c r="AF35" s="27"/>
    </row>
    <row r="36" spans="3:32" x14ac:dyDescent="0.25">
      <c r="D36" s="47"/>
      <c r="H36" s="48"/>
      <c r="L36" s="27"/>
      <c r="T36" s="27"/>
      <c r="U36" s="27"/>
      <c r="V36" s="27"/>
      <c r="W36" s="27"/>
      <c r="X36" s="27"/>
      <c r="Y36" s="27"/>
      <c r="Z36" s="27"/>
      <c r="AA36" s="27"/>
      <c r="AB36" s="27"/>
      <c r="AC36" s="27"/>
      <c r="AD36" s="27"/>
      <c r="AE36" s="27"/>
      <c r="AF36" s="27"/>
    </row>
    <row r="37" spans="3:32" ht="15.75" thickBot="1" x14ac:dyDescent="0.3"/>
    <row r="38" spans="3:32" ht="23.25" customHeight="1" thickBot="1" x14ac:dyDescent="0.3">
      <c r="E38" s="637" t="s">
        <v>40</v>
      </c>
      <c r="F38" s="638"/>
      <c r="G38" s="639"/>
      <c r="I38" s="637" t="s">
        <v>41</v>
      </c>
      <c r="J38" s="638"/>
      <c r="K38" s="639"/>
      <c r="M38" s="637" t="s">
        <v>42</v>
      </c>
      <c r="N38" s="638"/>
      <c r="O38" s="639"/>
    </row>
    <row r="39" spans="3:32" s="255" customFormat="1" ht="15" customHeight="1" x14ac:dyDescent="0.25">
      <c r="C39" s="263" t="s">
        <v>106</v>
      </c>
      <c r="E39" s="277">
        <v>27108.827612000001</v>
      </c>
      <c r="F39" s="277">
        <v>33203.428429</v>
      </c>
      <c r="G39" s="13">
        <f t="shared" ref="G39:G40" si="31">+IF(AND(F39&lt;0,E39&lt;0),(E39-F39)/E39+1,IF(F39&lt;0,(F39-E39)/E39,IF(E39&lt;0,(F39-E39)/-E39,F39/E39)))</f>
        <v>1.2248197857993004</v>
      </c>
      <c r="I39" s="277">
        <v>19425.180008077099</v>
      </c>
      <c r="J39" s="277">
        <v>20666.238663</v>
      </c>
      <c r="K39" s="13">
        <f t="shared" ref="K39:K40" si="32">+IF(AND(J39&lt;0,I39&lt;0),(I39-J39)/I39+1,IF(J39&lt;0,(J39-I39)/I39,IF(I39&lt;0,(J39-I39)/-I39,J39/I39)))</f>
        <v>1.0638891713954188</v>
      </c>
      <c r="M39" s="277">
        <v>30942.256122456598</v>
      </c>
      <c r="N39" s="277">
        <v>33975.018207999994</v>
      </c>
      <c r="O39" s="13">
        <f t="shared" ref="O39:O40" si="33">+IF(AND(N39&lt;0,M39&lt;0),(M39-N39)/M39+1,IF(N39&lt;0,(N39-M39)/M39,IF(M39&lt;0,(N39-M39)/-M39,N39/M39)))</f>
        <v>1.0980136055218788</v>
      </c>
    </row>
    <row r="40" spans="3:32" x14ac:dyDescent="0.25">
      <c r="C40" s="11" t="s">
        <v>13</v>
      </c>
      <c r="D40" s="3"/>
      <c r="E40" s="264">
        <v>1.0884585310297099</v>
      </c>
      <c r="F40" s="43">
        <v>1.5579853306265354</v>
      </c>
      <c r="G40" s="13">
        <f t="shared" si="31"/>
        <v>1.4313685695978156</v>
      </c>
      <c r="H40" s="3"/>
      <c r="I40" s="266">
        <v>0.28243207898558365</v>
      </c>
      <c r="J40" s="49">
        <v>0.36436560188287692</v>
      </c>
      <c r="K40" s="13">
        <f t="shared" si="32"/>
        <v>1.2900999177982027</v>
      </c>
      <c r="L40" s="3"/>
      <c r="M40" s="266">
        <v>0.10325000287610631</v>
      </c>
      <c r="N40" s="49">
        <v>0.2113835134500166</v>
      </c>
      <c r="O40" s="13">
        <f t="shared" si="33"/>
        <v>2.0472978940607285</v>
      </c>
    </row>
    <row r="41" spans="3:32" x14ac:dyDescent="0.25">
      <c r="C41" s="11" t="s">
        <v>14</v>
      </c>
      <c r="D41" s="3"/>
      <c r="E41" s="265">
        <f>55751385.3813789/1000</f>
        <v>55751.385381378896</v>
      </c>
      <c r="F41" s="50">
        <f>61360813.643/1000</f>
        <v>61360.813643000001</v>
      </c>
      <c r="G41" s="13">
        <f>+E41/F41</f>
        <v>0.90858288981862245</v>
      </c>
      <c r="H41" s="3"/>
      <c r="I41" s="265">
        <f>26326303.299397/1000</f>
        <v>26326.303299397001</v>
      </c>
      <c r="J41" s="50">
        <f>27006334.184/1000</f>
        <v>27006.334183999999</v>
      </c>
      <c r="K41" s="13">
        <f>+I41/J41</f>
        <v>0.97481957825264987</v>
      </c>
      <c r="L41" s="3"/>
      <c r="M41" s="265">
        <v>25955.988658863767</v>
      </c>
      <c r="N41" s="50">
        <v>29822.130189</v>
      </c>
      <c r="O41" s="13">
        <f>+M41/N41</f>
        <v>0.87035998080505084</v>
      </c>
    </row>
    <row r="42" spans="3:32" x14ac:dyDescent="0.25">
      <c r="C42" s="11" t="s">
        <v>15</v>
      </c>
      <c r="D42" s="3"/>
      <c r="E42" s="266">
        <v>0.51375508560807104</v>
      </c>
      <c r="F42" s="49">
        <v>0.45888220090791099</v>
      </c>
      <c r="G42" s="13">
        <f>+IF(AND(F42&lt;0,E42&lt;0),(E42*-1)/(F42*-1),IF(F42&lt;0,(F42-E42)/E42,IF(E42&lt;0,(F42-E42)/E42-1,E42/F42)))</f>
        <v>1.1195794576289788</v>
      </c>
      <c r="H42" s="3"/>
      <c r="I42" s="266">
        <v>0.262137954305114</v>
      </c>
      <c r="J42" s="49">
        <v>0.23476327730389299</v>
      </c>
      <c r="K42" s="13">
        <f>+IF(AND(J42&lt;0,I42&lt;0),(I42*-1)/(J42*-1),IF(J42&lt;0,(J42-I42)/I42,IF(I42&lt;0,(J42-I42)/I42-1,I42/J42)))</f>
        <v>1.1166054474771427</v>
      </c>
      <c r="L42" s="3"/>
      <c r="M42" s="640"/>
      <c r="N42" s="640"/>
      <c r="O42" s="640"/>
    </row>
    <row r="43" spans="3:32" x14ac:dyDescent="0.25">
      <c r="C43" s="11" t="s">
        <v>16</v>
      </c>
      <c r="D43" s="3"/>
      <c r="E43" s="640"/>
      <c r="F43" s="640"/>
      <c r="G43" s="640"/>
      <c r="H43" s="3"/>
      <c r="I43" s="640"/>
      <c r="J43" s="640"/>
      <c r="K43" s="640"/>
      <c r="L43" s="3"/>
      <c r="M43" s="266">
        <v>0.16114750792118185</v>
      </c>
      <c r="N43" s="49">
        <v>0.12223357743549747</v>
      </c>
      <c r="O43" s="13">
        <f t="shared" ref="O43:O47" si="34">+IF(AND(N43&lt;0,M43&lt;0),(M43-N43)/M43+1,IF(N43&lt;0,(N43-M43)/M43,IF(M43&lt;0,(N43-M43)/-M43,N43/M43)))</f>
        <v>0.75851981214182096</v>
      </c>
    </row>
    <row r="44" spans="3:32" x14ac:dyDescent="0.25">
      <c r="C44" s="22" t="s">
        <v>17</v>
      </c>
      <c r="D44" s="3"/>
      <c r="E44" s="267">
        <v>4.6500000000000004</v>
      </c>
      <c r="F44" s="25">
        <v>4.51</v>
      </c>
      <c r="G44" s="13">
        <f t="shared" ref="G44:G47" si="35">+IF(AND(F44&lt;0,E44&lt;0),(E44-F44)/E44+1,IF(F44&lt;0,(F44-E44)/E44,IF(E44&lt;0,(F44-E44)/-E44,F44/E44)))</f>
        <v>0.96989247311827942</v>
      </c>
      <c r="H44" s="3"/>
      <c r="I44" s="267">
        <v>4.6500000000000004</v>
      </c>
      <c r="J44" s="25">
        <v>4.74</v>
      </c>
      <c r="K44" s="13">
        <f t="shared" ref="K44:K47" si="36">+IF(AND(J44&lt;0,I44&lt;0),(I44-J44)/I44+1,IF(J44&lt;0,(J44-I44)/I44,IF(I44&lt;0,(J44-I44)/-I44,J44/I44)))</f>
        <v>1.0193548387096774</v>
      </c>
      <c r="L44" s="3"/>
      <c r="M44" s="267">
        <v>4.6500000000000004</v>
      </c>
      <c r="N44" s="25">
        <v>4.5</v>
      </c>
      <c r="O44" s="13">
        <f t="shared" si="34"/>
        <v>0.96774193548387089</v>
      </c>
    </row>
    <row r="45" spans="3:32" ht="24" x14ac:dyDescent="0.25">
      <c r="C45" s="22" t="s">
        <v>18</v>
      </c>
      <c r="D45" s="3"/>
      <c r="E45" s="14">
        <v>0.5</v>
      </c>
      <c r="F45" s="51">
        <v>0.62919999999999998</v>
      </c>
      <c r="G45" s="13">
        <f t="shared" si="35"/>
        <v>1.2584</v>
      </c>
      <c r="H45" s="3"/>
      <c r="I45" s="14">
        <v>0.5</v>
      </c>
      <c r="J45" s="51">
        <v>0.74609999999999999</v>
      </c>
      <c r="K45" s="13">
        <f t="shared" si="36"/>
        <v>1.4922</v>
      </c>
      <c r="L45" s="3"/>
      <c r="M45" s="14">
        <v>0.5</v>
      </c>
      <c r="N45" s="51">
        <v>0.60740000000000005</v>
      </c>
      <c r="O45" s="13">
        <f t="shared" si="34"/>
        <v>1.2148000000000001</v>
      </c>
    </row>
    <row r="46" spans="3:32" x14ac:dyDescent="0.25">
      <c r="C46" s="11" t="s">
        <v>19</v>
      </c>
      <c r="D46" s="3"/>
      <c r="E46" s="26">
        <f>11877.4028919762%/100</f>
        <v>1.1877402891976201</v>
      </c>
      <c r="F46" s="43">
        <v>1.2000294868159909</v>
      </c>
      <c r="G46" s="13">
        <f t="shared" si="35"/>
        <v>1.0103467043512289</v>
      </c>
      <c r="H46" s="3"/>
      <c r="I46" s="53">
        <f>4528.62504947653%/100</f>
        <v>0.45286250494765296</v>
      </c>
      <c r="J46" s="54">
        <v>9.6373175774907116E-2</v>
      </c>
      <c r="K46" s="13">
        <f t="shared" si="36"/>
        <v>0.21280890937536778</v>
      </c>
      <c r="L46" s="3"/>
      <c r="M46" s="51">
        <f>2112.92161201636%/100</f>
        <v>0.21129216120163602</v>
      </c>
      <c r="N46" s="52">
        <v>0.84355931066854417</v>
      </c>
      <c r="O46" s="13">
        <f t="shared" si="34"/>
        <v>3.9923833703586187</v>
      </c>
    </row>
    <row r="47" spans="3:32" x14ac:dyDescent="0.25">
      <c r="C47" s="11" t="s">
        <v>20</v>
      </c>
      <c r="D47" s="3"/>
      <c r="E47" s="26">
        <f>2919.02708082777%/100</f>
        <v>0.29190270808277702</v>
      </c>
      <c r="F47" s="49">
        <v>0.20706065748532382</v>
      </c>
      <c r="G47" s="13">
        <f t="shared" si="35"/>
        <v>0.70934818948855416</v>
      </c>
      <c r="H47" s="3"/>
      <c r="I47" s="53">
        <f>73.6793105149615%/100</f>
        <v>7.3679310514961505E-3</v>
      </c>
      <c r="J47" s="54">
        <v>8.3265082833943928E-3</v>
      </c>
      <c r="K47" s="13">
        <f t="shared" si="36"/>
        <v>1.1301012760839546</v>
      </c>
      <c r="L47" s="3"/>
      <c r="M47" s="51">
        <f>9863.81753764393%/100</f>
        <v>0.98638175376439308</v>
      </c>
      <c r="N47" s="52">
        <v>0.97461171934674284</v>
      </c>
      <c r="O47" s="13">
        <f t="shared" si="34"/>
        <v>0.98806746538778578</v>
      </c>
    </row>
    <row r="48" spans="3:32" x14ac:dyDescent="0.25">
      <c r="M48" s="55"/>
    </row>
  </sheetData>
  <mergeCells count="37">
    <mergeCell ref="E38:G38"/>
    <mergeCell ref="I38:K38"/>
    <mergeCell ref="M38:O38"/>
    <mergeCell ref="M42:O42"/>
    <mergeCell ref="E43:G43"/>
    <mergeCell ref="I43:K43"/>
    <mergeCell ref="U16:W16"/>
    <mergeCell ref="Y16:AA16"/>
    <mergeCell ref="AC16:AE16"/>
    <mergeCell ref="AC18:AE21"/>
    <mergeCell ref="A26:A27"/>
    <mergeCell ref="B26:B27"/>
    <mergeCell ref="E27:G27"/>
    <mergeCell ref="I27:K27"/>
    <mergeCell ref="A15:A16"/>
    <mergeCell ref="B15:B16"/>
    <mergeCell ref="E16:G16"/>
    <mergeCell ref="I16:K16"/>
    <mergeCell ref="M16:O16"/>
    <mergeCell ref="Q16:S16"/>
    <mergeCell ref="U4:W4"/>
    <mergeCell ref="U8:W8"/>
    <mergeCell ref="Y8:AA8"/>
    <mergeCell ref="AC8:AE8"/>
    <mergeCell ref="I1:K1"/>
    <mergeCell ref="M1:O1"/>
    <mergeCell ref="AC1:AE1"/>
    <mergeCell ref="Y4:AA4"/>
    <mergeCell ref="AC4:AE4"/>
    <mergeCell ref="Q1:S1"/>
    <mergeCell ref="U1:W1"/>
    <mergeCell ref="Y1:AA1"/>
    <mergeCell ref="E1:G1"/>
    <mergeCell ref="E4:G4"/>
    <mergeCell ref="I4:K4"/>
    <mergeCell ref="M4:O4"/>
    <mergeCell ref="Q4:S4"/>
  </mergeCells>
  <conditionalFormatting sqref="J13">
    <cfRule type="cellIs" dxfId="1199" priority="1562" operator="lessThan">
      <formula>0</formula>
    </cfRule>
  </conditionalFormatting>
  <conditionalFormatting sqref="G5:G13">
    <cfRule type="cellIs" dxfId="1198" priority="281" operator="lessThan">
      <formula>0.79999999</formula>
    </cfRule>
    <cfRule type="cellIs" dxfId="1197" priority="282" operator="greaterThan">
      <formula>0.999999</formula>
    </cfRule>
    <cfRule type="cellIs" dxfId="1196" priority="283" operator="between">
      <formula>0.94999999</formula>
      <formula>0.9999999</formula>
    </cfRule>
    <cfRule type="cellIs" dxfId="1195" priority="284" operator="between">
      <formula>0.8</formula>
      <formula>0.94999999</formula>
    </cfRule>
  </conditionalFormatting>
  <conditionalFormatting sqref="K7:K8">
    <cfRule type="cellIs" dxfId="1194" priority="277" operator="lessThan">
      <formula>0.79999999</formula>
    </cfRule>
    <cfRule type="cellIs" dxfId="1193" priority="278" operator="greaterThan">
      <formula>0.999999</formula>
    </cfRule>
    <cfRule type="cellIs" dxfId="1192" priority="279" operator="between">
      <formula>0.94999999</formula>
      <formula>0.9999999</formula>
    </cfRule>
    <cfRule type="cellIs" dxfId="1191" priority="280" operator="between">
      <formula>0.8</formula>
      <formula>0.94999999</formula>
    </cfRule>
  </conditionalFormatting>
  <conditionalFormatting sqref="O7:O8">
    <cfRule type="cellIs" dxfId="1190" priority="269" operator="lessThan">
      <formula>0.79999999</formula>
    </cfRule>
    <cfRule type="cellIs" dxfId="1189" priority="270" operator="greaterThan">
      <formula>0.999999</formula>
    </cfRule>
    <cfRule type="cellIs" dxfId="1188" priority="271" operator="between">
      <formula>0.94999999</formula>
      <formula>0.9999999</formula>
    </cfRule>
    <cfRule type="cellIs" dxfId="1187" priority="272" operator="between">
      <formula>0.8</formula>
      <formula>0.94999999</formula>
    </cfRule>
  </conditionalFormatting>
  <conditionalFormatting sqref="S7:S8">
    <cfRule type="cellIs" dxfId="1186" priority="261" operator="lessThan">
      <formula>0.79999999</formula>
    </cfRule>
    <cfRule type="cellIs" dxfId="1185" priority="262" operator="greaterThan">
      <formula>0.999999</formula>
    </cfRule>
    <cfRule type="cellIs" dxfId="1184" priority="263" operator="between">
      <formula>0.94999999</formula>
      <formula>0.9999999</formula>
    </cfRule>
    <cfRule type="cellIs" dxfId="1183" priority="264" operator="between">
      <formula>0.8</formula>
      <formula>0.94999999</formula>
    </cfRule>
  </conditionalFormatting>
  <conditionalFormatting sqref="W7">
    <cfRule type="cellIs" dxfId="1182" priority="253" operator="lessThan">
      <formula>0.79999999</formula>
    </cfRule>
    <cfRule type="cellIs" dxfId="1181" priority="254" operator="greaterThan">
      <formula>0.999999</formula>
    </cfRule>
    <cfRule type="cellIs" dxfId="1180" priority="255" operator="between">
      <formula>0.94999999</formula>
      <formula>0.9999999</formula>
    </cfRule>
    <cfRule type="cellIs" dxfId="1179" priority="256" operator="between">
      <formula>0.8</formula>
      <formula>0.94999999</formula>
    </cfRule>
  </conditionalFormatting>
  <conditionalFormatting sqref="AA7">
    <cfRule type="cellIs" dxfId="1178" priority="245" operator="lessThan">
      <formula>0.79999999</formula>
    </cfRule>
    <cfRule type="cellIs" dxfId="1177" priority="246" operator="greaterThan">
      <formula>0.999999</formula>
    </cfRule>
    <cfRule type="cellIs" dxfId="1176" priority="247" operator="between">
      <formula>0.94999999</formula>
      <formula>0.9999999</formula>
    </cfRule>
    <cfRule type="cellIs" dxfId="1175" priority="248" operator="between">
      <formula>0.8</formula>
      <formula>0.94999999</formula>
    </cfRule>
  </conditionalFormatting>
  <conditionalFormatting sqref="AE7">
    <cfRule type="cellIs" dxfId="1174" priority="237" operator="lessThan">
      <formula>0.79999999</formula>
    </cfRule>
    <cfRule type="cellIs" dxfId="1173" priority="238" operator="greaterThan">
      <formula>0.999999</formula>
    </cfRule>
    <cfRule type="cellIs" dxfId="1172" priority="239" operator="between">
      <formula>0.94999999</formula>
      <formula>0.9999999</formula>
    </cfRule>
    <cfRule type="cellIs" dxfId="1171" priority="240" operator="between">
      <formula>0.8</formula>
      <formula>0.94999999</formula>
    </cfRule>
  </conditionalFormatting>
  <conditionalFormatting sqref="G19:G20">
    <cfRule type="cellIs" dxfId="1170" priority="229" operator="lessThan">
      <formula>0.79999999</formula>
    </cfRule>
    <cfRule type="cellIs" dxfId="1169" priority="230" operator="greaterThan">
      <formula>0.999999</formula>
    </cfRule>
    <cfRule type="cellIs" dxfId="1168" priority="231" operator="between">
      <formula>0.94999999</formula>
      <formula>0.9999999</formula>
    </cfRule>
    <cfRule type="cellIs" dxfId="1167" priority="232" operator="between">
      <formula>0.8</formula>
      <formula>0.94999999</formula>
    </cfRule>
  </conditionalFormatting>
  <conditionalFormatting sqref="K19:K20">
    <cfRule type="cellIs" dxfId="1166" priority="221" operator="lessThan">
      <formula>0.79999999</formula>
    </cfRule>
    <cfRule type="cellIs" dxfId="1165" priority="222" operator="greaterThan">
      <formula>0.999999</formula>
    </cfRule>
    <cfRule type="cellIs" dxfId="1164" priority="223" operator="between">
      <formula>0.94999999</formula>
      <formula>0.9999999</formula>
    </cfRule>
    <cfRule type="cellIs" dxfId="1163" priority="224" operator="between">
      <formula>0.8</formula>
      <formula>0.94999999</formula>
    </cfRule>
  </conditionalFormatting>
  <conditionalFormatting sqref="O19">
    <cfRule type="cellIs" dxfId="1162" priority="213" operator="lessThan">
      <formula>0.79999999</formula>
    </cfRule>
    <cfRule type="cellIs" dxfId="1161" priority="214" operator="greaterThan">
      <formula>0.999999</formula>
    </cfRule>
    <cfRule type="cellIs" dxfId="1160" priority="215" operator="between">
      <formula>0.94999999</formula>
      <formula>0.9999999</formula>
    </cfRule>
    <cfRule type="cellIs" dxfId="1159" priority="216" operator="between">
      <formula>0.8</formula>
      <formula>0.94999999</formula>
    </cfRule>
  </conditionalFormatting>
  <conditionalFormatting sqref="S19:S20">
    <cfRule type="cellIs" dxfId="1158" priority="205" operator="lessThan">
      <formula>0.79999999</formula>
    </cfRule>
    <cfRule type="cellIs" dxfId="1157" priority="206" operator="greaterThan">
      <formula>0.999999</formula>
    </cfRule>
    <cfRule type="cellIs" dxfId="1156" priority="207" operator="between">
      <formula>0.94999999</formula>
      <formula>0.9999999</formula>
    </cfRule>
    <cfRule type="cellIs" dxfId="1155" priority="208" operator="between">
      <formula>0.8</formula>
      <formula>0.94999999</formula>
    </cfRule>
  </conditionalFormatting>
  <conditionalFormatting sqref="W19:W20">
    <cfRule type="cellIs" dxfId="1154" priority="197" operator="lessThan">
      <formula>0.79999999</formula>
    </cfRule>
    <cfRule type="cellIs" dxfId="1153" priority="198" operator="greaterThan">
      <formula>0.999999</formula>
    </cfRule>
    <cfRule type="cellIs" dxfId="1152" priority="199" operator="between">
      <formula>0.94999999</formula>
      <formula>0.9999999</formula>
    </cfRule>
    <cfRule type="cellIs" dxfId="1151" priority="200" operator="between">
      <formula>0.8</formula>
      <formula>0.94999999</formula>
    </cfRule>
  </conditionalFormatting>
  <conditionalFormatting sqref="AA19:AA20">
    <cfRule type="cellIs" dxfId="1150" priority="189" operator="lessThan">
      <formula>0.79999999</formula>
    </cfRule>
    <cfRule type="cellIs" dxfId="1149" priority="190" operator="greaterThan">
      <formula>0.999999</formula>
    </cfRule>
    <cfRule type="cellIs" dxfId="1148" priority="191" operator="between">
      <formula>0.94999999</formula>
      <formula>0.9999999</formula>
    </cfRule>
    <cfRule type="cellIs" dxfId="1147" priority="192" operator="between">
      <formula>0.8</formula>
      <formula>0.94999999</formula>
    </cfRule>
  </conditionalFormatting>
  <conditionalFormatting sqref="G30">
    <cfRule type="cellIs" dxfId="1146" priority="181" operator="lessThan">
      <formula>0.79999999</formula>
    </cfRule>
    <cfRule type="cellIs" dxfId="1145" priority="182" operator="greaterThan">
      <formula>0.999999</formula>
    </cfRule>
    <cfRule type="cellIs" dxfId="1144" priority="183" operator="between">
      <formula>0.94999999</formula>
      <formula>0.9999999</formula>
    </cfRule>
    <cfRule type="cellIs" dxfId="1143" priority="184" operator="between">
      <formula>0.8</formula>
      <formula>0.94999999</formula>
    </cfRule>
  </conditionalFormatting>
  <conditionalFormatting sqref="K30">
    <cfRule type="cellIs" dxfId="1142" priority="177" operator="lessThan">
      <formula>0.79999999</formula>
    </cfRule>
    <cfRule type="cellIs" dxfId="1141" priority="178" operator="greaterThan">
      <formula>0.999999</formula>
    </cfRule>
    <cfRule type="cellIs" dxfId="1140" priority="179" operator="between">
      <formula>0.94999999</formula>
      <formula>0.9999999</formula>
    </cfRule>
    <cfRule type="cellIs" dxfId="1139" priority="180" operator="between">
      <formula>0.8</formula>
      <formula>0.94999999</formula>
    </cfRule>
  </conditionalFormatting>
  <conditionalFormatting sqref="G41:G42">
    <cfRule type="cellIs" dxfId="1138" priority="173" operator="lessThan">
      <formula>0.79999999</formula>
    </cfRule>
    <cfRule type="cellIs" dxfId="1137" priority="174" operator="greaterThan">
      <formula>0.999999</formula>
    </cfRule>
    <cfRule type="cellIs" dxfId="1136" priority="175" operator="between">
      <formula>0.94999999</formula>
      <formula>0.9999999</formula>
    </cfRule>
    <cfRule type="cellIs" dxfId="1135" priority="176" operator="between">
      <formula>0.8</formula>
      <formula>0.94999999</formula>
    </cfRule>
  </conditionalFormatting>
  <conditionalFormatting sqref="K41:K42">
    <cfRule type="cellIs" dxfId="1134" priority="169" operator="lessThan">
      <formula>0.79999999</formula>
    </cfRule>
    <cfRule type="cellIs" dxfId="1133" priority="170" operator="greaterThan">
      <formula>0.999999</formula>
    </cfRule>
    <cfRule type="cellIs" dxfId="1132" priority="171" operator="between">
      <formula>0.94999999</formula>
      <formula>0.9999999</formula>
    </cfRule>
    <cfRule type="cellIs" dxfId="1131" priority="172" operator="between">
      <formula>0.8</formula>
      <formula>0.94999999</formula>
    </cfRule>
  </conditionalFormatting>
  <conditionalFormatting sqref="O41">
    <cfRule type="cellIs" dxfId="1130" priority="165" operator="lessThan">
      <formula>0.79999999</formula>
    </cfRule>
    <cfRule type="cellIs" dxfId="1129" priority="166" operator="greaterThan">
      <formula>0.999999</formula>
    </cfRule>
    <cfRule type="cellIs" dxfId="1128" priority="167" operator="between">
      <formula>0.94999999</formula>
      <formula>0.9999999</formula>
    </cfRule>
    <cfRule type="cellIs" dxfId="1127" priority="168" operator="between">
      <formula>0.8</formula>
      <formula>0.94999999</formula>
    </cfRule>
  </conditionalFormatting>
  <conditionalFormatting sqref="K5:K6">
    <cfRule type="cellIs" dxfId="1126" priority="149" operator="lessThan">
      <formula>0.79999999</formula>
    </cfRule>
    <cfRule type="cellIs" dxfId="1125" priority="150" operator="greaterThan">
      <formula>0.999999</formula>
    </cfRule>
    <cfRule type="cellIs" dxfId="1124" priority="151" operator="between">
      <formula>0.94999999</formula>
      <formula>0.9999999</formula>
    </cfRule>
    <cfRule type="cellIs" dxfId="1123" priority="152" operator="between">
      <formula>0.8</formula>
      <formula>0.94999999</formula>
    </cfRule>
  </conditionalFormatting>
  <conditionalFormatting sqref="K10:K13">
    <cfRule type="cellIs" dxfId="1122" priority="145" operator="lessThan">
      <formula>0.79999999</formula>
    </cfRule>
    <cfRule type="cellIs" dxfId="1121" priority="146" operator="greaterThan">
      <formula>0.999999</formula>
    </cfRule>
    <cfRule type="cellIs" dxfId="1120" priority="147" operator="between">
      <formula>0.94999999</formula>
      <formula>0.9999999</formula>
    </cfRule>
    <cfRule type="cellIs" dxfId="1119" priority="148" operator="between">
      <formula>0.8</formula>
      <formula>0.94999999</formula>
    </cfRule>
  </conditionalFormatting>
  <conditionalFormatting sqref="O5:O6">
    <cfRule type="cellIs" dxfId="1118" priority="141" operator="lessThan">
      <formula>0.79999999</formula>
    </cfRule>
    <cfRule type="cellIs" dxfId="1117" priority="142" operator="greaterThan">
      <formula>0.999999</formula>
    </cfRule>
    <cfRule type="cellIs" dxfId="1116" priority="143" operator="between">
      <formula>0.94999999</formula>
      <formula>0.9999999</formula>
    </cfRule>
    <cfRule type="cellIs" dxfId="1115" priority="144" operator="between">
      <formula>0.8</formula>
      <formula>0.94999999</formula>
    </cfRule>
  </conditionalFormatting>
  <conditionalFormatting sqref="O10:O13">
    <cfRule type="cellIs" dxfId="1114" priority="137" operator="lessThan">
      <formula>0.79999999</formula>
    </cfRule>
    <cfRule type="cellIs" dxfId="1113" priority="138" operator="greaterThan">
      <formula>0.999999</formula>
    </cfRule>
    <cfRule type="cellIs" dxfId="1112" priority="139" operator="between">
      <formula>0.94999999</formula>
      <formula>0.9999999</formula>
    </cfRule>
    <cfRule type="cellIs" dxfId="1111" priority="140" operator="between">
      <formula>0.8</formula>
      <formula>0.94999999</formula>
    </cfRule>
  </conditionalFormatting>
  <conditionalFormatting sqref="S5:S6">
    <cfRule type="cellIs" dxfId="1110" priority="133" operator="lessThan">
      <formula>0.79999999</formula>
    </cfRule>
    <cfRule type="cellIs" dxfId="1109" priority="134" operator="greaterThan">
      <formula>0.999999</formula>
    </cfRule>
    <cfRule type="cellIs" dxfId="1108" priority="135" operator="between">
      <formula>0.94999999</formula>
      <formula>0.9999999</formula>
    </cfRule>
    <cfRule type="cellIs" dxfId="1107" priority="136" operator="between">
      <formula>0.8</formula>
      <formula>0.94999999</formula>
    </cfRule>
  </conditionalFormatting>
  <conditionalFormatting sqref="S10:S13">
    <cfRule type="cellIs" dxfId="1106" priority="129" operator="lessThan">
      <formula>0.79999999</formula>
    </cfRule>
    <cfRule type="cellIs" dxfId="1105" priority="130" operator="greaterThan">
      <formula>0.999999</formula>
    </cfRule>
    <cfRule type="cellIs" dxfId="1104" priority="131" operator="between">
      <formula>0.94999999</formula>
      <formula>0.9999999</formula>
    </cfRule>
    <cfRule type="cellIs" dxfId="1103" priority="132" operator="between">
      <formula>0.8</formula>
      <formula>0.94999999</formula>
    </cfRule>
  </conditionalFormatting>
  <conditionalFormatting sqref="W5:W6">
    <cfRule type="cellIs" dxfId="1102" priority="125" operator="lessThan">
      <formula>0.79999999</formula>
    </cfRule>
    <cfRule type="cellIs" dxfId="1101" priority="126" operator="greaterThan">
      <formula>0.999999</formula>
    </cfRule>
    <cfRule type="cellIs" dxfId="1100" priority="127" operator="between">
      <formula>0.94999999</formula>
      <formula>0.9999999</formula>
    </cfRule>
    <cfRule type="cellIs" dxfId="1099" priority="128" operator="between">
      <formula>0.8</formula>
      <formula>0.94999999</formula>
    </cfRule>
  </conditionalFormatting>
  <conditionalFormatting sqref="W9">
    <cfRule type="cellIs" dxfId="1098" priority="121" operator="lessThan">
      <formula>0.79999999</formula>
    </cfRule>
    <cfRule type="cellIs" dxfId="1097" priority="122" operator="greaterThan">
      <formula>0.999999</formula>
    </cfRule>
    <cfRule type="cellIs" dxfId="1096" priority="123" operator="between">
      <formula>0.94999999</formula>
      <formula>0.9999999</formula>
    </cfRule>
    <cfRule type="cellIs" dxfId="1095" priority="124" operator="between">
      <formula>0.8</formula>
      <formula>0.94999999</formula>
    </cfRule>
  </conditionalFormatting>
  <conditionalFormatting sqref="AA5:AA6">
    <cfRule type="cellIs" dxfId="1094" priority="117" operator="lessThan">
      <formula>0.79999999</formula>
    </cfRule>
    <cfRule type="cellIs" dxfId="1093" priority="118" operator="greaterThan">
      <formula>0.999999</formula>
    </cfRule>
    <cfRule type="cellIs" dxfId="1092" priority="119" operator="between">
      <formula>0.94999999</formula>
      <formula>0.9999999</formula>
    </cfRule>
    <cfRule type="cellIs" dxfId="1091" priority="120" operator="between">
      <formula>0.8</formula>
      <formula>0.94999999</formula>
    </cfRule>
  </conditionalFormatting>
  <conditionalFormatting sqref="AA9">
    <cfRule type="cellIs" dxfId="1090" priority="113" operator="lessThan">
      <formula>0.79999999</formula>
    </cfRule>
    <cfRule type="cellIs" dxfId="1089" priority="114" operator="greaterThan">
      <formula>0.999999</formula>
    </cfRule>
    <cfRule type="cellIs" dxfId="1088" priority="115" operator="between">
      <formula>0.94999999</formula>
      <formula>0.9999999</formula>
    </cfRule>
    <cfRule type="cellIs" dxfId="1087" priority="116" operator="between">
      <formula>0.8</formula>
      <formula>0.94999999</formula>
    </cfRule>
  </conditionalFormatting>
  <conditionalFormatting sqref="AE5:AE6">
    <cfRule type="cellIs" dxfId="1086" priority="109" operator="lessThan">
      <formula>0.79999999</formula>
    </cfRule>
    <cfRule type="cellIs" dxfId="1085" priority="110" operator="greaterThan">
      <formula>0.999999</formula>
    </cfRule>
    <cfRule type="cellIs" dxfId="1084" priority="111" operator="between">
      <formula>0.94999999</formula>
      <formula>0.9999999</formula>
    </cfRule>
    <cfRule type="cellIs" dxfId="1083" priority="112" operator="between">
      <formula>0.8</formula>
      <formula>0.94999999</formula>
    </cfRule>
  </conditionalFormatting>
  <conditionalFormatting sqref="AE9">
    <cfRule type="cellIs" dxfId="1082" priority="105" operator="lessThan">
      <formula>0.79999999</formula>
    </cfRule>
    <cfRule type="cellIs" dxfId="1081" priority="106" operator="greaterThan">
      <formula>0.999999</formula>
    </cfRule>
    <cfRule type="cellIs" dxfId="1080" priority="107" operator="between">
      <formula>0.94999999</formula>
      <formula>0.9999999</formula>
    </cfRule>
    <cfRule type="cellIs" dxfId="1079" priority="108" operator="between">
      <formula>0.8</formula>
      <formula>0.94999999</formula>
    </cfRule>
  </conditionalFormatting>
  <conditionalFormatting sqref="G17:G18">
    <cfRule type="cellIs" dxfId="1078" priority="101" operator="lessThan">
      <formula>0.79999999</formula>
    </cfRule>
    <cfRule type="cellIs" dxfId="1077" priority="102" operator="greaterThan">
      <formula>0.999999</formula>
    </cfRule>
    <cfRule type="cellIs" dxfId="1076" priority="103" operator="between">
      <formula>0.94999999</formula>
      <formula>0.9999999</formula>
    </cfRule>
    <cfRule type="cellIs" dxfId="1075" priority="104" operator="between">
      <formula>0.8</formula>
      <formula>0.94999999</formula>
    </cfRule>
  </conditionalFormatting>
  <conditionalFormatting sqref="G22:G25">
    <cfRule type="cellIs" dxfId="1074" priority="97" operator="lessThan">
      <formula>0.79999999</formula>
    </cfRule>
    <cfRule type="cellIs" dxfId="1073" priority="98" operator="greaterThan">
      <formula>0.999999</formula>
    </cfRule>
    <cfRule type="cellIs" dxfId="1072" priority="99" operator="between">
      <formula>0.94999999</formula>
      <formula>0.9999999</formula>
    </cfRule>
    <cfRule type="cellIs" dxfId="1071" priority="100" operator="between">
      <formula>0.8</formula>
      <formula>0.94999999</formula>
    </cfRule>
  </conditionalFormatting>
  <conditionalFormatting sqref="K22:K25">
    <cfRule type="cellIs" dxfId="1070" priority="93" operator="lessThan">
      <formula>0.79999999</formula>
    </cfRule>
    <cfRule type="cellIs" dxfId="1069" priority="94" operator="greaterThan">
      <formula>0.999999</formula>
    </cfRule>
    <cfRule type="cellIs" dxfId="1068" priority="95" operator="between">
      <formula>0.94999999</formula>
      <formula>0.9999999</formula>
    </cfRule>
    <cfRule type="cellIs" dxfId="1067" priority="96" operator="between">
      <formula>0.8</formula>
      <formula>0.94999999</formula>
    </cfRule>
  </conditionalFormatting>
  <conditionalFormatting sqref="K17:K18">
    <cfRule type="cellIs" dxfId="1066" priority="89" operator="lessThan">
      <formula>0.79999999</formula>
    </cfRule>
    <cfRule type="cellIs" dxfId="1065" priority="90" operator="greaterThan">
      <formula>0.999999</formula>
    </cfRule>
    <cfRule type="cellIs" dxfId="1064" priority="91" operator="between">
      <formula>0.94999999</formula>
      <formula>0.9999999</formula>
    </cfRule>
    <cfRule type="cellIs" dxfId="1063" priority="92" operator="between">
      <formula>0.8</formula>
      <formula>0.94999999</formula>
    </cfRule>
  </conditionalFormatting>
  <conditionalFormatting sqref="O17:O18">
    <cfRule type="cellIs" dxfId="1062" priority="85" operator="lessThan">
      <formula>0.79999999</formula>
    </cfRule>
    <cfRule type="cellIs" dxfId="1061" priority="86" operator="greaterThan">
      <formula>0.999999</formula>
    </cfRule>
    <cfRule type="cellIs" dxfId="1060" priority="87" operator="between">
      <formula>0.94999999</formula>
      <formula>0.9999999</formula>
    </cfRule>
    <cfRule type="cellIs" dxfId="1059" priority="88" operator="between">
      <formula>0.8</formula>
      <formula>0.94999999</formula>
    </cfRule>
  </conditionalFormatting>
  <conditionalFormatting sqref="O21:O25">
    <cfRule type="cellIs" dxfId="1058" priority="81" operator="lessThan">
      <formula>0.79999999</formula>
    </cfRule>
    <cfRule type="cellIs" dxfId="1057" priority="82" operator="greaterThan">
      <formula>0.999999</formula>
    </cfRule>
    <cfRule type="cellIs" dxfId="1056" priority="83" operator="between">
      <formula>0.94999999</formula>
      <formula>0.9999999</formula>
    </cfRule>
    <cfRule type="cellIs" dxfId="1055" priority="84" operator="between">
      <formula>0.8</formula>
      <formula>0.94999999</formula>
    </cfRule>
  </conditionalFormatting>
  <conditionalFormatting sqref="S17:S18">
    <cfRule type="cellIs" dxfId="1054" priority="77" operator="lessThan">
      <formula>0.79999999</formula>
    </cfRule>
    <cfRule type="cellIs" dxfId="1053" priority="78" operator="greaterThan">
      <formula>0.999999</formula>
    </cfRule>
    <cfRule type="cellIs" dxfId="1052" priority="79" operator="between">
      <formula>0.94999999</formula>
      <formula>0.9999999</formula>
    </cfRule>
    <cfRule type="cellIs" dxfId="1051" priority="80" operator="between">
      <formula>0.8</formula>
      <formula>0.94999999</formula>
    </cfRule>
  </conditionalFormatting>
  <conditionalFormatting sqref="S22:S25">
    <cfRule type="cellIs" dxfId="1050" priority="73" operator="lessThan">
      <formula>0.79999999</formula>
    </cfRule>
    <cfRule type="cellIs" dxfId="1049" priority="74" operator="greaterThan">
      <formula>0.999999</formula>
    </cfRule>
    <cfRule type="cellIs" dxfId="1048" priority="75" operator="between">
      <formula>0.94999999</formula>
      <formula>0.9999999</formula>
    </cfRule>
    <cfRule type="cellIs" dxfId="1047" priority="76" operator="between">
      <formula>0.8</formula>
      <formula>0.94999999</formula>
    </cfRule>
  </conditionalFormatting>
  <conditionalFormatting sqref="W17:W18">
    <cfRule type="cellIs" dxfId="1046" priority="69" operator="lessThan">
      <formula>0.79999999</formula>
    </cfRule>
    <cfRule type="cellIs" dxfId="1045" priority="70" operator="greaterThan">
      <formula>0.999999</formula>
    </cfRule>
    <cfRule type="cellIs" dxfId="1044" priority="71" operator="between">
      <formula>0.94999999</formula>
      <formula>0.9999999</formula>
    </cfRule>
    <cfRule type="cellIs" dxfId="1043" priority="72" operator="between">
      <formula>0.8</formula>
      <formula>0.94999999</formula>
    </cfRule>
  </conditionalFormatting>
  <conditionalFormatting sqref="W22:W25">
    <cfRule type="cellIs" dxfId="1042" priority="65" operator="lessThan">
      <formula>0.79999999</formula>
    </cfRule>
    <cfRule type="cellIs" dxfId="1041" priority="66" operator="greaterThan">
      <formula>0.999999</formula>
    </cfRule>
    <cfRule type="cellIs" dxfId="1040" priority="67" operator="between">
      <formula>0.94999999</formula>
      <formula>0.9999999</formula>
    </cfRule>
    <cfRule type="cellIs" dxfId="1039" priority="68" operator="between">
      <formula>0.8</formula>
      <formula>0.94999999</formula>
    </cfRule>
  </conditionalFormatting>
  <conditionalFormatting sqref="AA17:AA18">
    <cfRule type="cellIs" dxfId="1038" priority="61" operator="lessThan">
      <formula>0.79999999</formula>
    </cfRule>
    <cfRule type="cellIs" dxfId="1037" priority="62" operator="greaterThan">
      <formula>0.999999</formula>
    </cfRule>
    <cfRule type="cellIs" dxfId="1036" priority="63" operator="between">
      <formula>0.94999999</formula>
      <formula>0.9999999</formula>
    </cfRule>
    <cfRule type="cellIs" dxfId="1035" priority="64" operator="between">
      <formula>0.8</formula>
      <formula>0.94999999</formula>
    </cfRule>
  </conditionalFormatting>
  <conditionalFormatting sqref="AA22:AA25">
    <cfRule type="cellIs" dxfId="1034" priority="57" operator="lessThan">
      <formula>0.79999999</formula>
    </cfRule>
    <cfRule type="cellIs" dxfId="1033" priority="58" operator="greaterThan">
      <formula>0.999999</formula>
    </cfRule>
    <cfRule type="cellIs" dxfId="1032" priority="59" operator="between">
      <formula>0.94999999</formula>
      <formula>0.9999999</formula>
    </cfRule>
    <cfRule type="cellIs" dxfId="1031" priority="60" operator="between">
      <formula>0.8</formula>
      <formula>0.94999999</formula>
    </cfRule>
  </conditionalFormatting>
  <conditionalFormatting sqref="G28:G29">
    <cfRule type="cellIs" dxfId="1030" priority="53" operator="lessThan">
      <formula>0.79999999</formula>
    </cfRule>
    <cfRule type="cellIs" dxfId="1029" priority="54" operator="greaterThan">
      <formula>0.999999</formula>
    </cfRule>
    <cfRule type="cellIs" dxfId="1028" priority="55" operator="between">
      <formula>0.94999999</formula>
      <formula>0.9999999</formula>
    </cfRule>
    <cfRule type="cellIs" dxfId="1027" priority="56" operator="between">
      <formula>0.8</formula>
      <formula>0.94999999</formula>
    </cfRule>
  </conditionalFormatting>
  <conditionalFormatting sqref="K28:K29">
    <cfRule type="cellIs" dxfId="1026" priority="45" operator="lessThan">
      <formula>0.79999999</formula>
    </cfRule>
    <cfRule type="cellIs" dxfId="1025" priority="46" operator="greaterThan">
      <formula>0.999999</formula>
    </cfRule>
    <cfRule type="cellIs" dxfId="1024" priority="47" operator="between">
      <formula>0.94999999</formula>
      <formula>0.9999999</formula>
    </cfRule>
    <cfRule type="cellIs" dxfId="1023" priority="48" operator="between">
      <formula>0.8</formula>
      <formula>0.94999999</formula>
    </cfRule>
  </conditionalFormatting>
  <conditionalFormatting sqref="G31">
    <cfRule type="cellIs" dxfId="1022" priority="41" operator="lessThan">
      <formula>0.79999999</formula>
    </cfRule>
    <cfRule type="cellIs" dxfId="1021" priority="42" operator="greaterThan">
      <formula>0.999999</formula>
    </cfRule>
    <cfRule type="cellIs" dxfId="1020" priority="43" operator="between">
      <formula>0.94999999</formula>
      <formula>0.9999999</formula>
    </cfRule>
    <cfRule type="cellIs" dxfId="1019" priority="44" operator="between">
      <formula>0.8</formula>
      <formula>0.94999999</formula>
    </cfRule>
  </conditionalFormatting>
  <conditionalFormatting sqref="K31">
    <cfRule type="cellIs" dxfId="1018" priority="37" operator="lessThan">
      <formula>0.79999999</formula>
    </cfRule>
    <cfRule type="cellIs" dxfId="1017" priority="38" operator="greaterThan">
      <formula>0.999999</formula>
    </cfRule>
    <cfRule type="cellIs" dxfId="1016" priority="39" operator="between">
      <formula>0.94999999</formula>
      <formula>0.9999999</formula>
    </cfRule>
    <cfRule type="cellIs" dxfId="1015" priority="40" operator="between">
      <formula>0.8</formula>
      <formula>0.94999999</formula>
    </cfRule>
  </conditionalFormatting>
  <conditionalFormatting sqref="G32:G35">
    <cfRule type="cellIs" dxfId="1014" priority="33" operator="lessThan">
      <formula>0.79999999</formula>
    </cfRule>
    <cfRule type="cellIs" dxfId="1013" priority="34" operator="greaterThan">
      <formula>0.999999</formula>
    </cfRule>
    <cfRule type="cellIs" dxfId="1012" priority="35" operator="between">
      <formula>0.94999999</formula>
      <formula>0.9999999</formula>
    </cfRule>
    <cfRule type="cellIs" dxfId="1011" priority="36" operator="between">
      <formula>0.8</formula>
      <formula>0.94999999</formula>
    </cfRule>
  </conditionalFormatting>
  <conditionalFormatting sqref="K32:K35">
    <cfRule type="cellIs" dxfId="1010" priority="29" operator="lessThan">
      <formula>0.79999999</formula>
    </cfRule>
    <cfRule type="cellIs" dxfId="1009" priority="30" operator="greaterThan">
      <formula>0.999999</formula>
    </cfRule>
    <cfRule type="cellIs" dxfId="1008" priority="31" operator="between">
      <formula>0.94999999</formula>
      <formula>0.9999999</formula>
    </cfRule>
    <cfRule type="cellIs" dxfId="1007" priority="32" operator="between">
      <formula>0.8</formula>
      <formula>0.94999999</formula>
    </cfRule>
  </conditionalFormatting>
  <conditionalFormatting sqref="G39:G40">
    <cfRule type="cellIs" dxfId="1006" priority="25" operator="lessThan">
      <formula>0.79999999</formula>
    </cfRule>
    <cfRule type="cellIs" dxfId="1005" priority="26" operator="greaterThan">
      <formula>0.999999</formula>
    </cfRule>
    <cfRule type="cellIs" dxfId="1004" priority="27" operator="between">
      <formula>0.94999999</formula>
      <formula>0.9999999</formula>
    </cfRule>
    <cfRule type="cellIs" dxfId="1003" priority="28" operator="between">
      <formula>0.8</formula>
      <formula>0.94999999</formula>
    </cfRule>
  </conditionalFormatting>
  <conditionalFormatting sqref="G44:G47">
    <cfRule type="cellIs" dxfId="1002" priority="21" operator="lessThan">
      <formula>0.79999999</formula>
    </cfRule>
    <cfRule type="cellIs" dxfId="1001" priority="22" operator="greaterThan">
      <formula>0.999999</formula>
    </cfRule>
    <cfRule type="cellIs" dxfId="1000" priority="23" operator="between">
      <formula>0.94999999</formula>
      <formula>0.9999999</formula>
    </cfRule>
    <cfRule type="cellIs" dxfId="999" priority="24" operator="between">
      <formula>0.8</formula>
      <formula>0.94999999</formula>
    </cfRule>
  </conditionalFormatting>
  <conditionalFormatting sqref="K39:K40">
    <cfRule type="cellIs" dxfId="998" priority="17" operator="lessThan">
      <formula>0.79999999</formula>
    </cfRule>
    <cfRule type="cellIs" dxfId="997" priority="18" operator="greaterThan">
      <formula>0.999999</formula>
    </cfRule>
    <cfRule type="cellIs" dxfId="996" priority="19" operator="between">
      <formula>0.94999999</formula>
      <formula>0.9999999</formula>
    </cfRule>
    <cfRule type="cellIs" dxfId="995" priority="20" operator="between">
      <formula>0.8</formula>
      <formula>0.94999999</formula>
    </cfRule>
  </conditionalFormatting>
  <conditionalFormatting sqref="K44:K47">
    <cfRule type="cellIs" dxfId="994" priority="13" operator="lessThan">
      <formula>0.79999999</formula>
    </cfRule>
    <cfRule type="cellIs" dxfId="993" priority="14" operator="greaterThan">
      <formula>0.999999</formula>
    </cfRule>
    <cfRule type="cellIs" dxfId="992" priority="15" operator="between">
      <formula>0.94999999</formula>
      <formula>0.9999999</formula>
    </cfRule>
    <cfRule type="cellIs" dxfId="991" priority="16" operator="between">
      <formula>0.8</formula>
      <formula>0.94999999</formula>
    </cfRule>
  </conditionalFormatting>
  <conditionalFormatting sqref="O39:O40">
    <cfRule type="cellIs" dxfId="990" priority="9" operator="lessThan">
      <formula>0.79999999</formula>
    </cfRule>
    <cfRule type="cellIs" dxfId="989" priority="10" operator="greaterThan">
      <formula>0.999999</formula>
    </cfRule>
    <cfRule type="cellIs" dxfId="988" priority="11" operator="between">
      <formula>0.94999999</formula>
      <formula>0.9999999</formula>
    </cfRule>
    <cfRule type="cellIs" dxfId="987" priority="12" operator="between">
      <formula>0.8</formula>
      <formula>0.94999999</formula>
    </cfRule>
  </conditionalFormatting>
  <conditionalFormatting sqref="O43:O47">
    <cfRule type="cellIs" dxfId="986" priority="5" operator="lessThan">
      <formula>0.79999999</formula>
    </cfRule>
    <cfRule type="cellIs" dxfId="985" priority="6" operator="greaterThan">
      <formula>0.999999</formula>
    </cfRule>
    <cfRule type="cellIs" dxfId="984" priority="7" operator="between">
      <formula>0.94999999</formula>
      <formula>0.9999999</formula>
    </cfRule>
    <cfRule type="cellIs" dxfId="983" priority="8" operator="between">
      <formula>0.8</formula>
      <formula>0.94999999</formula>
    </cfRule>
  </conditionalFormatting>
  <conditionalFormatting sqref="AE22:AE24">
    <cfRule type="cellIs" dxfId="982" priority="1" operator="lessThan">
      <formula>0.79999999</formula>
    </cfRule>
    <cfRule type="cellIs" dxfId="981" priority="2" operator="greaterThan">
      <formula>0.999999</formula>
    </cfRule>
    <cfRule type="cellIs" dxfId="980" priority="3" operator="between">
      <formula>0.94999999</formula>
      <formula>0.9999999</formula>
    </cfRule>
    <cfRule type="cellIs" dxfId="979" priority="4" operator="between">
      <formula>0.8</formula>
      <formula>0.94999999</formula>
    </cfRule>
  </conditionalFormatting>
  <dataValidations count="21">
    <dataValidation allowBlank="1" showInputMessage="1" showErrorMessage="1" promptTitle="Ingreso" prompt="Ppto 2021: 46 _x000a_Ejecutado 2021: 130_x000a_Ejecutado 2020: 39" sqref="V18" xr:uid="{98B2E6BE-288B-46B5-8FD3-9D6B17AA7821}"/>
    <dataValidation allowBlank="1" showInputMessage="1" showErrorMessage="1" promptTitle="Ingreso" prompt="Ppto 2021: 3.327_x000a_Ejecutado 2021: 1.921_x000a_Ejecutado 2020: 1.815" sqref="Z18" xr:uid="{845CA9B4-86E5-4741-80FA-B0CFE23B9AED}"/>
    <dataValidation allowBlank="1" showInputMessage="1" showErrorMessage="1" promptTitle="Ingreso" prompt="Ppto ingreso 2021: 7.309_x000a_Ingreso 2021: 7.211_x000a_Ingreso 2020: 6.344" sqref="F29" xr:uid="{EEB53396-9C04-4641-9A84-50A1DA822540}"/>
    <dataValidation allowBlank="1" showInputMessage="1" showErrorMessage="1" promptTitle="Ingresos" prompt="Ppto ingresos 2021: 14.018_x000a_Ingresos 2021: 15.960_x000a_Ingresos 2020: 12.198" sqref="J29" xr:uid="{3333F94B-FFBF-4D8F-8795-A315EA18C8A1}"/>
    <dataValidation allowBlank="1" showInputMessage="1" showErrorMessage="1" promptTitle="Ingresos" prompt="Ppto 2021: 3.683_x000a_Ejecutado 2021: 2.466_x000a_Ejecutado 2020: 1.689" sqref="J6" xr:uid="{85C48A8D-8502-4458-AADE-F4A315EE128D}"/>
    <dataValidation allowBlank="1" showInputMessage="1" showErrorMessage="1" promptTitle="Ingresos" prompt="Ppto 2021: 6.544_x000a_Ejecutado 2021: 8.411_x000a_Ejecutado 2020: 3.141" sqref="N6" xr:uid="{E59A1FFC-B2E4-46A5-8BA0-0275E561D5F3}"/>
    <dataValidation allowBlank="1" showInputMessage="1" showErrorMessage="1" promptTitle="Ingresos" prompt="Ppto 2021: 1.068_x000a_Ejecutado 2021: 1.925_x000a_Ejecutado 2020: 768" sqref="R6 V6 Z6" xr:uid="{5B36459F-969E-430B-8D6E-95B2CE3B2CCB}"/>
    <dataValidation allowBlank="1" showInputMessage="1" showErrorMessage="1" promptTitle="Ingresos" prompt="Ppto 2021: 5.819_x000a_Ejecutado 2021: 5.783_x000a_Ejecutado 2020: 2.108" sqref="F6" xr:uid="{2AF5114A-C4D0-475D-882D-696356923487}"/>
    <dataValidation allowBlank="1" showInputMessage="1" showErrorMessage="1" promptTitle="Coberturas" prompt="Ppto 2021: 100.286_x000a_Ejecutado 2021: 103.847_x000a_Ejecutado 2020: 71.641" sqref="N12" xr:uid="{DB382827-F936-40FD-A600-8A58267C29AC}"/>
    <dataValidation allowBlank="1" showInputMessage="1" showErrorMessage="1" promptTitle="Coberturas" prompt="Ppto 2021: 685_x000a_Ejecución 2021: 741_x000a_Ejecución 2020: 814" sqref="F24 N24" xr:uid="{D5697999-499B-4841-A842-EC3A2ABC863A}"/>
    <dataValidation allowBlank="1" showInputMessage="1" showErrorMessage="1" promptTitle="Coberturas" prompt="Ppto 2021: 30.019_x000a_Ejecución 2021: 20.624_x000a_Ejecución 2020: 19.092" sqref="J24" xr:uid="{ED0686A3-0281-4442-A969-E084098F8335}"/>
    <dataValidation allowBlank="1" showInputMessage="1" showErrorMessage="1" promptTitle="Coberturas" prompt="Ppto 2021: 442.098_x000a_Ejecución 2021: 536.185_x000a_Ejecución 2020: 232.533" sqref="R24" xr:uid="{24CF36EE-BE3F-4768-9051-420310AF89B4}"/>
    <dataValidation allowBlank="1" showInputMessage="1" showErrorMessage="1" promptTitle="Coberturas" prompt="Ppto 2021: 2.449.012_x000a_Ejecución 2021: 1.821.038_x000a_Ejecución 2020: 1.817.604" sqref="V24" xr:uid="{F4B50241-6186-4CEF-B28C-BE082F15F550}"/>
    <dataValidation allowBlank="1" showInputMessage="1" showErrorMessage="1" promptTitle="Coberturas" prompt="Ppto 2021: 21.377_x000a_Ejecución 2021: 8.816_x000a_Ejecución 2020: 9.292" sqref="Z24" xr:uid="{A1A8067C-E13A-42B1-8DD3-BCA5BDB67A97}"/>
    <dataValidation allowBlank="1" showInputMessage="1" showErrorMessage="1" promptTitle="Coberturas" prompt="Ppto 2021: 12.889_x000a_Ejecución 2021: 18.335_x000a_Ejecución 2020: 8.685" sqref="F34" xr:uid="{87A2F72F-DAB0-4D2E-A6BD-B93F73A4410D}"/>
    <dataValidation allowBlank="1" showInputMessage="1" showErrorMessage="1" promptTitle="Coberturas" prompt="Ppto 2021: 690_x000a_Ejecución 2021: 812_x000a_Ejecución 2020: 370" sqref="J34" xr:uid="{83496A4F-2E65-49D9-959C-8D6B541A2A6E}"/>
    <dataValidation allowBlank="1" showInputMessage="1" showErrorMessage="1" promptTitle="Coberturas" prompt="Ppto 2021: 41.293_x000a_Ejecución 2021: 85.293_x000a_Ejecución 2020: 31.205" sqref="R12" xr:uid="{B85F9A2A-AE61-42E9-B262-749F34823CD3}"/>
    <dataValidation allowBlank="1" showInputMessage="1" showErrorMessage="1" promptTitle="Ingresos" prompt="Ppto 2021: 399_x000a_Ejecutado 2021: 236_x000a_Ejecutado 2020: 273" sqref="F18" xr:uid="{300524A9-A7B3-4B79-84B1-49AC286D8C15}"/>
    <dataValidation allowBlank="1" showInputMessage="1" showErrorMessage="1" promptTitle="Ingreso" prompt="Ppto 2021: 7.644_x000a_Ejecutado 2021: 5.751_x000a_Ejecutado 2020: 3.925" sqref="J18" xr:uid="{4D887554-7DB7-451C-9A8F-3596A5760EB3}"/>
    <dataValidation allowBlank="1" showInputMessage="1" showErrorMessage="1" promptTitle="Ingresos" prompt="Ppto 2021: 2.513_x000a_Ejecutado 2021: 2.929_x000a_Ejecutado 2020: 974" sqref="N18" xr:uid="{D6A86706-C549-4615-9997-EB237EA73970}"/>
    <dataValidation allowBlank="1" showInputMessage="1" showErrorMessage="1" promptTitle="Ingreso" prompt="Ppto 2021: 584_x000a_Ejecutado 2021: 670_x000a_Ejecutado 2020: 1.665" sqref="R18" xr:uid="{B30B5872-E89B-4F55-8891-CFA557CA6590}"/>
  </dataValidations>
  <hyperlinks>
    <hyperlink ref="A18" location="'Detalle Negocios'!B56:B95" display="Ver" xr:uid="{04CA91AB-7CB1-4A32-B8B0-E44EA6949F2C}"/>
    <hyperlink ref="A29" location="'Detalle Negocios'!B123:B137" display="Ver" xr:uid="{435B6792-F497-4EE5-B96A-771BD91F887A}"/>
    <hyperlink ref="B18" location="'Causas y Acciones negocios'!B53:B88" display="Ver" xr:uid="{9CAA7D1A-0F3B-4261-822B-3F55E7D0715C}"/>
    <hyperlink ref="B29" location="'Causas y Acciones negocios'!B97" display="Ver" xr:uid="{57613E2E-DEFC-4A08-A424-3DE3D3BF25ED}"/>
    <hyperlink ref="A6" location="'Detalle Negocios'!B6:B54" display="Ver" xr:uid="{B4D9AECC-8685-4F4C-BB0D-8A4B907B8D07}"/>
    <hyperlink ref="B6" location="'Causas y Acciones negocios'!B7:B44" display="Ver" xr:uid="{9A262206-6951-46E3-9CB7-D487A78A9211}"/>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24663-F30E-4334-8F03-F534D8058D4F}">
  <dimension ref="A1:O456"/>
  <sheetViews>
    <sheetView showGridLines="0" topLeftCell="A43" zoomScale="90" zoomScaleNormal="90" workbookViewId="0">
      <selection activeCell="E62" sqref="E62"/>
    </sheetView>
  </sheetViews>
  <sheetFormatPr baseColWidth="10" defaultRowHeight="15" x14ac:dyDescent="0.25"/>
  <cols>
    <col min="1" max="1" width="53.5703125" customWidth="1"/>
    <col min="2" max="2" width="20.42578125" customWidth="1"/>
    <col min="3" max="3" width="17" bestFit="1" customWidth="1"/>
    <col min="4" max="7" width="17" customWidth="1"/>
    <col min="8" max="8" width="18.42578125" customWidth="1"/>
    <col min="9" max="10" width="17" customWidth="1"/>
    <col min="11" max="11" width="20.7109375" customWidth="1"/>
    <col min="12" max="12" width="41.85546875" bestFit="1" customWidth="1"/>
  </cols>
  <sheetData>
    <row r="1" spans="1:11" x14ac:dyDescent="0.25">
      <c r="A1" s="484" t="s">
        <v>101</v>
      </c>
      <c r="B1" s="485" t="s">
        <v>118</v>
      </c>
      <c r="C1" s="485" t="s">
        <v>103</v>
      </c>
      <c r="D1" s="485" t="s">
        <v>411</v>
      </c>
      <c r="E1" s="485" t="s">
        <v>430</v>
      </c>
      <c r="F1" s="485" t="s">
        <v>112</v>
      </c>
      <c r="G1" s="485" t="s">
        <v>431</v>
      </c>
      <c r="H1" s="485" t="s">
        <v>113</v>
      </c>
      <c r="I1" s="485" t="s">
        <v>396</v>
      </c>
      <c r="J1" s="486" t="s">
        <v>397</v>
      </c>
      <c r="K1" s="486" t="s">
        <v>102</v>
      </c>
    </row>
    <row r="2" spans="1:11" x14ac:dyDescent="0.25">
      <c r="A2" s="489" t="s">
        <v>356</v>
      </c>
      <c r="B2" s="476">
        <v>44681</v>
      </c>
      <c r="C2" s="285" t="s">
        <v>60</v>
      </c>
      <c r="D2" s="491">
        <v>2.3039999999999998</v>
      </c>
      <c r="E2" s="530">
        <f t="shared" ref="E2:E65" si="0">+D2*100</f>
        <v>230.39999999999998</v>
      </c>
      <c r="F2" s="491">
        <v>3.7322000000000002</v>
      </c>
      <c r="G2" s="532">
        <f t="shared" ref="G2:G65" si="1">+F2*100</f>
        <v>373.22</v>
      </c>
      <c r="H2" s="487" t="s">
        <v>114</v>
      </c>
      <c r="I2" s="80">
        <f t="shared" ref="I2:I65" si="2">+IFERROR(IF(H2="Creciente",IF(AND(F2&lt;0,D2&lt;0),1-(F2-D2)/D2,IF(F2&lt;0,IFERROR(F2/D2,0),IF(D2&lt;0,1+((F2-D2)/F2),F2/D2))),IF(AND(F2&lt;0,D2&lt;0),(D2*-1)/(F2*-1),IF(F2&lt;0,(F2-D2)/F2,IF(D2&lt;0,-1+(F2-D2)/D2,IF(H2="Decreciente",1+(D2-F2)/D2,F2/D2))))),"N/A")</f>
        <v>1.6198784722222224</v>
      </c>
      <c r="J2" s="517">
        <f t="shared" ref="J2:J26" si="3">+IF(I2&lt;0,0%,IF(I2&gt;120%,120%,I2))</f>
        <v>1.2</v>
      </c>
      <c r="K2" s="483" t="str">
        <f t="shared" ref="K2:K26" si="4">+IF(J2&lt;79.99999%,"Incumple",IF(AND(J2&gt;=80%,J2&lt;94.999999%),"Tolerable",IF(AND(J2&gt;=95%,J2&lt;100%),"Satisfactorio","Sobresaliente")))</f>
        <v>Sobresaliente</v>
      </c>
    </row>
    <row r="3" spans="1:11" x14ac:dyDescent="0.25">
      <c r="A3" s="489" t="s">
        <v>416</v>
      </c>
      <c r="B3" s="476">
        <v>44681</v>
      </c>
      <c r="C3" s="285" t="s">
        <v>60</v>
      </c>
      <c r="D3" s="491">
        <v>1</v>
      </c>
      <c r="E3" s="530">
        <f t="shared" si="0"/>
        <v>100</v>
      </c>
      <c r="F3" s="491">
        <v>1</v>
      </c>
      <c r="G3" s="532">
        <f t="shared" si="1"/>
        <v>100</v>
      </c>
      <c r="H3" s="487" t="s">
        <v>114</v>
      </c>
      <c r="I3" s="80">
        <f t="shared" si="2"/>
        <v>1</v>
      </c>
      <c r="J3" s="517">
        <f t="shared" si="3"/>
        <v>1</v>
      </c>
      <c r="K3" s="483" t="str">
        <f t="shared" si="4"/>
        <v>Sobresaliente</v>
      </c>
    </row>
    <row r="4" spans="1:11" x14ac:dyDescent="0.25">
      <c r="A4" s="489" t="s">
        <v>428</v>
      </c>
      <c r="B4" s="476">
        <v>44681</v>
      </c>
      <c r="C4" s="285" t="s">
        <v>60</v>
      </c>
      <c r="D4" s="491">
        <v>0.14030000000000001</v>
      </c>
      <c r="E4" s="530">
        <f t="shared" si="0"/>
        <v>14.030000000000001</v>
      </c>
      <c r="F4" s="491">
        <v>6.6699999999999995E-2</v>
      </c>
      <c r="G4" s="532">
        <f t="shared" si="1"/>
        <v>6.67</v>
      </c>
      <c r="H4" s="487" t="s">
        <v>114</v>
      </c>
      <c r="I4" s="80">
        <f t="shared" si="2"/>
        <v>0.47540983606557369</v>
      </c>
      <c r="J4" s="517">
        <f t="shared" si="3"/>
        <v>0.47540983606557369</v>
      </c>
      <c r="K4" s="483" t="str">
        <f t="shared" si="4"/>
        <v>Incumple</v>
      </c>
    </row>
    <row r="5" spans="1:11" x14ac:dyDescent="0.25">
      <c r="A5" s="489" t="s">
        <v>427</v>
      </c>
      <c r="B5" s="476">
        <v>44681</v>
      </c>
      <c r="C5" s="285" t="s">
        <v>60</v>
      </c>
      <c r="D5" s="491">
        <v>7.9699999999999993E-2</v>
      </c>
      <c r="E5" s="530">
        <f t="shared" si="0"/>
        <v>7.9699999999999989</v>
      </c>
      <c r="F5" s="491">
        <v>-1.61E-2</v>
      </c>
      <c r="G5" s="532">
        <f t="shared" si="1"/>
        <v>-1.6099999999999999</v>
      </c>
      <c r="H5" s="487" t="s">
        <v>114</v>
      </c>
      <c r="I5" s="80">
        <f t="shared" si="2"/>
        <v>-0.20200752823086576</v>
      </c>
      <c r="J5" s="517">
        <f t="shared" si="3"/>
        <v>0</v>
      </c>
      <c r="K5" s="483" t="str">
        <f t="shared" si="4"/>
        <v>Incumple</v>
      </c>
    </row>
    <row r="6" spans="1:11" x14ac:dyDescent="0.25">
      <c r="A6" s="489" t="s">
        <v>64</v>
      </c>
      <c r="B6" s="476">
        <v>44681</v>
      </c>
      <c r="C6" s="285" t="s">
        <v>60</v>
      </c>
      <c r="D6" s="491">
        <v>8.6999999999999994E-2</v>
      </c>
      <c r="E6" s="530">
        <f t="shared" si="0"/>
        <v>8.6999999999999993</v>
      </c>
      <c r="F6" s="491">
        <v>-4.8599999999999997E-2</v>
      </c>
      <c r="G6" s="532">
        <f t="shared" si="1"/>
        <v>-4.8599999999999994</v>
      </c>
      <c r="H6" s="487" t="s">
        <v>114</v>
      </c>
      <c r="I6" s="80">
        <f t="shared" si="2"/>
        <v>-0.55862068965517242</v>
      </c>
      <c r="J6" s="517">
        <f t="shared" si="3"/>
        <v>0</v>
      </c>
      <c r="K6" s="483" t="str">
        <f t="shared" si="4"/>
        <v>Incumple</v>
      </c>
    </row>
    <row r="7" spans="1:11" x14ac:dyDescent="0.25">
      <c r="A7" s="489" t="s">
        <v>67</v>
      </c>
      <c r="B7" s="476">
        <v>44681</v>
      </c>
      <c r="C7" s="285" t="s">
        <v>60</v>
      </c>
      <c r="D7" s="491">
        <v>1</v>
      </c>
      <c r="E7" s="530">
        <f t="shared" si="0"/>
        <v>100</v>
      </c>
      <c r="F7" s="491">
        <v>0.55289999999999995</v>
      </c>
      <c r="G7" s="532">
        <f t="shared" si="1"/>
        <v>55.289999999999992</v>
      </c>
      <c r="H7" s="487" t="s">
        <v>114</v>
      </c>
      <c r="I7" s="80">
        <f t="shared" si="2"/>
        <v>0.55289999999999995</v>
      </c>
      <c r="J7" s="517">
        <f t="shared" si="3"/>
        <v>0.55289999999999995</v>
      </c>
      <c r="K7" s="483" t="str">
        <f t="shared" si="4"/>
        <v>Incumple</v>
      </c>
    </row>
    <row r="8" spans="1:11" x14ac:dyDescent="0.25">
      <c r="A8" s="489" t="s">
        <v>425</v>
      </c>
      <c r="B8" s="476">
        <v>44681</v>
      </c>
      <c r="C8" s="285" t="s">
        <v>60</v>
      </c>
      <c r="D8" s="491">
        <v>1</v>
      </c>
      <c r="E8" s="530">
        <f t="shared" si="0"/>
        <v>100</v>
      </c>
      <c r="F8" s="491">
        <v>2.5044</v>
      </c>
      <c r="G8" s="532">
        <f t="shared" si="1"/>
        <v>250.44</v>
      </c>
      <c r="H8" s="487" t="s">
        <v>114</v>
      </c>
      <c r="I8" s="80">
        <f t="shared" si="2"/>
        <v>2.5044</v>
      </c>
      <c r="J8" s="517">
        <f t="shared" si="3"/>
        <v>1.2</v>
      </c>
      <c r="K8" s="483" t="str">
        <f t="shared" si="4"/>
        <v>Sobresaliente</v>
      </c>
    </row>
    <row r="9" spans="1:11" x14ac:dyDescent="0.25">
      <c r="A9" s="489" t="s">
        <v>426</v>
      </c>
      <c r="B9" s="476">
        <v>44681</v>
      </c>
      <c r="C9" s="285" t="s">
        <v>60</v>
      </c>
      <c r="D9" s="491">
        <v>6.4871999999999996</v>
      </c>
      <c r="E9" s="530">
        <f t="shared" si="0"/>
        <v>648.71999999999991</v>
      </c>
      <c r="F9" s="491">
        <v>6.2789000000000001</v>
      </c>
      <c r="G9" s="532">
        <f t="shared" si="1"/>
        <v>627.89</v>
      </c>
      <c r="H9" s="487" t="s">
        <v>114</v>
      </c>
      <c r="I9" s="80">
        <f t="shared" si="2"/>
        <v>0.96789061536564314</v>
      </c>
      <c r="J9" s="517">
        <f t="shared" si="3"/>
        <v>0.96789061536564314</v>
      </c>
      <c r="K9" s="483" t="str">
        <f t="shared" si="4"/>
        <v>Satisfactorio</v>
      </c>
    </row>
    <row r="10" spans="1:11" x14ac:dyDescent="0.25">
      <c r="A10" s="489" t="s">
        <v>429</v>
      </c>
      <c r="B10" s="476">
        <v>44681</v>
      </c>
      <c r="C10" s="285" t="s">
        <v>60</v>
      </c>
      <c r="D10" s="491">
        <v>6.1899999999999997E-2</v>
      </c>
      <c r="E10" s="530">
        <f t="shared" si="0"/>
        <v>6.1899999999999995</v>
      </c>
      <c r="F10" s="491">
        <v>9.9400000000000002E-2</v>
      </c>
      <c r="G10" s="532">
        <f t="shared" si="1"/>
        <v>9.94</v>
      </c>
      <c r="H10" s="487" t="s">
        <v>114</v>
      </c>
      <c r="I10" s="80">
        <f t="shared" si="2"/>
        <v>1.6058158319870761</v>
      </c>
      <c r="J10" s="517">
        <f t="shared" si="3"/>
        <v>1.2</v>
      </c>
      <c r="K10" s="483" t="str">
        <f t="shared" si="4"/>
        <v>Sobresaliente</v>
      </c>
    </row>
    <row r="11" spans="1:11" x14ac:dyDescent="0.25">
      <c r="A11" s="489" t="s">
        <v>356</v>
      </c>
      <c r="B11" s="476">
        <v>44681</v>
      </c>
      <c r="C11" s="285" t="s">
        <v>74</v>
      </c>
      <c r="D11" s="491">
        <v>1.0277000000000001</v>
      </c>
      <c r="E11" s="530">
        <f t="shared" si="0"/>
        <v>102.77000000000001</v>
      </c>
      <c r="F11" s="491">
        <v>1.1301000000000001</v>
      </c>
      <c r="G11" s="532">
        <f t="shared" si="1"/>
        <v>113.01</v>
      </c>
      <c r="H11" s="487" t="s">
        <v>114</v>
      </c>
      <c r="I11" s="80">
        <f t="shared" si="2"/>
        <v>1.099639972754695</v>
      </c>
      <c r="J11" s="517">
        <f t="shared" si="3"/>
        <v>1.099639972754695</v>
      </c>
      <c r="K11" s="483" t="str">
        <f t="shared" si="4"/>
        <v>Sobresaliente</v>
      </c>
    </row>
    <row r="12" spans="1:11" x14ac:dyDescent="0.25">
      <c r="A12" s="489" t="s">
        <v>416</v>
      </c>
      <c r="B12" s="476">
        <v>44681</v>
      </c>
      <c r="C12" s="285" t="s">
        <v>74</v>
      </c>
      <c r="D12" s="491">
        <v>1</v>
      </c>
      <c r="E12" s="530">
        <f t="shared" si="0"/>
        <v>100</v>
      </c>
      <c r="F12" s="491">
        <v>1</v>
      </c>
      <c r="G12" s="532">
        <f t="shared" si="1"/>
        <v>100</v>
      </c>
      <c r="H12" s="487" t="s">
        <v>114</v>
      </c>
      <c r="I12" s="80">
        <f t="shared" si="2"/>
        <v>1</v>
      </c>
      <c r="J12" s="517">
        <f t="shared" si="3"/>
        <v>1</v>
      </c>
      <c r="K12" s="483" t="str">
        <f t="shared" si="4"/>
        <v>Sobresaliente</v>
      </c>
    </row>
    <row r="13" spans="1:11" x14ac:dyDescent="0.25">
      <c r="A13" s="489" t="s">
        <v>428</v>
      </c>
      <c r="B13" s="476">
        <v>44681</v>
      </c>
      <c r="C13" s="285" t="s">
        <v>74</v>
      </c>
      <c r="D13" s="491">
        <v>0.14030000000000001</v>
      </c>
      <c r="E13" s="530">
        <f t="shared" si="0"/>
        <v>14.030000000000001</v>
      </c>
      <c r="F13" s="491">
        <v>0.2132</v>
      </c>
      <c r="G13" s="532">
        <f t="shared" si="1"/>
        <v>21.32</v>
      </c>
      <c r="H13" s="487" t="s">
        <v>114</v>
      </c>
      <c r="I13" s="80">
        <f t="shared" si="2"/>
        <v>1.5196008553100497</v>
      </c>
      <c r="J13" s="517">
        <f t="shared" si="3"/>
        <v>1.2</v>
      </c>
      <c r="K13" s="483" t="str">
        <f t="shared" si="4"/>
        <v>Sobresaliente</v>
      </c>
    </row>
    <row r="14" spans="1:11" x14ac:dyDescent="0.25">
      <c r="A14" s="489" t="s">
        <v>427</v>
      </c>
      <c r="B14" s="476">
        <v>44681</v>
      </c>
      <c r="C14" s="285" t="s">
        <v>74</v>
      </c>
      <c r="D14" s="491">
        <v>7.9699999999999993E-2</v>
      </c>
      <c r="E14" s="530">
        <f t="shared" si="0"/>
        <v>7.9699999999999989</v>
      </c>
      <c r="F14" s="491">
        <v>0.11799999999999999</v>
      </c>
      <c r="G14" s="532">
        <f t="shared" si="1"/>
        <v>11.799999999999999</v>
      </c>
      <c r="H14" s="487" t="s">
        <v>114</v>
      </c>
      <c r="I14" s="80">
        <f t="shared" si="2"/>
        <v>1.4805520702634882</v>
      </c>
      <c r="J14" s="517">
        <f t="shared" si="3"/>
        <v>1.2</v>
      </c>
      <c r="K14" s="483" t="str">
        <f t="shared" si="4"/>
        <v>Sobresaliente</v>
      </c>
    </row>
    <row r="15" spans="1:11" x14ac:dyDescent="0.25">
      <c r="A15" s="489" t="s">
        <v>64</v>
      </c>
      <c r="B15" s="476">
        <v>44681</v>
      </c>
      <c r="C15" s="285" t="s">
        <v>74</v>
      </c>
      <c r="D15" s="491">
        <v>0.51570000000000005</v>
      </c>
      <c r="E15" s="530">
        <f t="shared" si="0"/>
        <v>51.570000000000007</v>
      </c>
      <c r="F15" s="491">
        <v>0.27639999999999998</v>
      </c>
      <c r="G15" s="532">
        <f t="shared" si="1"/>
        <v>27.639999999999997</v>
      </c>
      <c r="H15" s="487" t="s">
        <v>114</v>
      </c>
      <c r="I15" s="80">
        <f t="shared" si="2"/>
        <v>0.53597052549932123</v>
      </c>
      <c r="J15" s="517">
        <f t="shared" si="3"/>
        <v>0.53597052549932123</v>
      </c>
      <c r="K15" s="483" t="str">
        <f t="shared" si="4"/>
        <v>Incumple</v>
      </c>
    </row>
    <row r="16" spans="1:11" x14ac:dyDescent="0.25">
      <c r="A16" s="489" t="s">
        <v>67</v>
      </c>
      <c r="B16" s="476">
        <v>44681</v>
      </c>
      <c r="C16" s="285" t="s">
        <v>74</v>
      </c>
      <c r="D16" s="491">
        <v>1</v>
      </c>
      <c r="E16" s="530">
        <f t="shared" si="0"/>
        <v>100</v>
      </c>
      <c r="F16" s="491">
        <v>0.11459999999999999</v>
      </c>
      <c r="G16" s="532">
        <f t="shared" si="1"/>
        <v>11.459999999999999</v>
      </c>
      <c r="H16" s="487" t="s">
        <v>114</v>
      </c>
      <c r="I16" s="80">
        <f t="shared" si="2"/>
        <v>0.11459999999999999</v>
      </c>
      <c r="J16" s="517">
        <f t="shared" si="3"/>
        <v>0.11459999999999999</v>
      </c>
      <c r="K16" s="483" t="str">
        <f t="shared" si="4"/>
        <v>Incumple</v>
      </c>
    </row>
    <row r="17" spans="1:12" x14ac:dyDescent="0.25">
      <c r="A17" s="489" t="s">
        <v>425</v>
      </c>
      <c r="B17" s="476">
        <v>44681</v>
      </c>
      <c r="C17" s="285" t="s">
        <v>74</v>
      </c>
      <c r="D17" s="491">
        <v>1</v>
      </c>
      <c r="E17" s="530">
        <f t="shared" si="0"/>
        <v>100</v>
      </c>
      <c r="F17" s="491">
        <v>1.0245</v>
      </c>
      <c r="G17" s="532">
        <f t="shared" si="1"/>
        <v>102.45</v>
      </c>
      <c r="H17" s="487" t="s">
        <v>114</v>
      </c>
      <c r="I17" s="80">
        <f t="shared" si="2"/>
        <v>1.0245</v>
      </c>
      <c r="J17" s="517">
        <f t="shared" si="3"/>
        <v>1.0245</v>
      </c>
      <c r="K17" s="483" t="str">
        <f t="shared" si="4"/>
        <v>Sobresaliente</v>
      </c>
    </row>
    <row r="18" spans="1:12" x14ac:dyDescent="0.25">
      <c r="A18" s="489" t="s">
        <v>426</v>
      </c>
      <c r="B18" s="476">
        <v>44681</v>
      </c>
      <c r="C18" s="285" t="s">
        <v>74</v>
      </c>
      <c r="D18" s="491">
        <v>1.629</v>
      </c>
      <c r="E18" s="530">
        <f t="shared" si="0"/>
        <v>162.9</v>
      </c>
      <c r="F18" s="491">
        <v>7.4808000000000003</v>
      </c>
      <c r="G18" s="532">
        <f t="shared" si="1"/>
        <v>748.08</v>
      </c>
      <c r="H18" s="487" t="s">
        <v>114</v>
      </c>
      <c r="I18" s="80">
        <f t="shared" si="2"/>
        <v>4.5922651933701664</v>
      </c>
      <c r="J18" s="517">
        <f t="shared" si="3"/>
        <v>1.2</v>
      </c>
      <c r="K18" s="483" t="str">
        <f t="shared" si="4"/>
        <v>Sobresaliente</v>
      </c>
    </row>
    <row r="19" spans="1:12" x14ac:dyDescent="0.25">
      <c r="A19" s="489" t="s">
        <v>429</v>
      </c>
      <c r="B19" s="476">
        <v>44681</v>
      </c>
      <c r="C19" s="285" t="s">
        <v>74</v>
      </c>
      <c r="D19" s="491">
        <v>4.24E-2</v>
      </c>
      <c r="E19" s="530">
        <f t="shared" si="0"/>
        <v>4.24</v>
      </c>
      <c r="F19" s="491">
        <v>2.0799999999999999E-2</v>
      </c>
      <c r="G19" s="532">
        <f t="shared" si="1"/>
        <v>2.08</v>
      </c>
      <c r="H19" s="487" t="s">
        <v>114</v>
      </c>
      <c r="I19" s="80">
        <f t="shared" si="2"/>
        <v>0.49056603773584906</v>
      </c>
      <c r="J19" s="517">
        <f t="shared" si="3"/>
        <v>0.49056603773584906</v>
      </c>
      <c r="K19" s="483" t="str">
        <f t="shared" si="4"/>
        <v>Incumple</v>
      </c>
    </row>
    <row r="20" spans="1:12" x14ac:dyDescent="0.25">
      <c r="A20" s="489" t="s">
        <v>416</v>
      </c>
      <c r="B20" s="476">
        <v>44681</v>
      </c>
      <c r="C20" s="285" t="s">
        <v>386</v>
      </c>
      <c r="D20" s="491">
        <v>1</v>
      </c>
      <c r="E20" s="530">
        <f t="shared" si="0"/>
        <v>100</v>
      </c>
      <c r="F20" s="491">
        <v>1</v>
      </c>
      <c r="G20" s="532">
        <f t="shared" si="1"/>
        <v>100</v>
      </c>
      <c r="H20" s="487" t="s">
        <v>114</v>
      </c>
      <c r="I20" s="80">
        <f t="shared" si="2"/>
        <v>1</v>
      </c>
      <c r="J20" s="517">
        <f t="shared" si="3"/>
        <v>1</v>
      </c>
      <c r="K20" s="483" t="str">
        <f t="shared" si="4"/>
        <v>Sobresaliente</v>
      </c>
    </row>
    <row r="21" spans="1:12" x14ac:dyDescent="0.25">
      <c r="A21" s="489" t="s">
        <v>428</v>
      </c>
      <c r="B21" s="476">
        <v>44681</v>
      </c>
      <c r="C21" s="285" t="s">
        <v>386</v>
      </c>
      <c r="D21" s="491">
        <v>9.5799999999999996E-2</v>
      </c>
      <c r="E21" s="530">
        <f t="shared" si="0"/>
        <v>9.58</v>
      </c>
      <c r="F21" s="491">
        <v>7.1300000000000002E-2</v>
      </c>
      <c r="G21" s="532">
        <f t="shared" si="1"/>
        <v>7.13</v>
      </c>
      <c r="H21" s="487" t="s">
        <v>114</v>
      </c>
      <c r="I21" s="80">
        <f t="shared" si="2"/>
        <v>0.74425887265135704</v>
      </c>
      <c r="J21" s="517">
        <f t="shared" si="3"/>
        <v>0.74425887265135704</v>
      </c>
      <c r="K21" s="483" t="str">
        <f t="shared" si="4"/>
        <v>Incumple</v>
      </c>
    </row>
    <row r="22" spans="1:12" x14ac:dyDescent="0.25">
      <c r="A22" s="489" t="s">
        <v>427</v>
      </c>
      <c r="B22" s="476">
        <v>44681</v>
      </c>
      <c r="C22" s="285" t="s">
        <v>386</v>
      </c>
      <c r="D22" s="491">
        <v>7.9699999999999993E-2</v>
      </c>
      <c r="E22" s="530">
        <f t="shared" si="0"/>
        <v>7.9699999999999989</v>
      </c>
      <c r="F22" s="491">
        <v>8.8599999999999998E-2</v>
      </c>
      <c r="G22" s="532">
        <f t="shared" si="1"/>
        <v>8.86</v>
      </c>
      <c r="H22" s="487" t="s">
        <v>114</v>
      </c>
      <c r="I22" s="80">
        <f t="shared" si="2"/>
        <v>1.1116687578419073</v>
      </c>
      <c r="J22" s="517">
        <f t="shared" si="3"/>
        <v>1.1116687578419073</v>
      </c>
      <c r="K22" s="483" t="str">
        <f t="shared" si="4"/>
        <v>Sobresaliente</v>
      </c>
    </row>
    <row r="23" spans="1:12" x14ac:dyDescent="0.25">
      <c r="A23" s="489" t="s">
        <v>64</v>
      </c>
      <c r="B23" s="476">
        <v>44681</v>
      </c>
      <c r="C23" s="285" t="s">
        <v>386</v>
      </c>
      <c r="D23" s="491">
        <v>0.29260000000000003</v>
      </c>
      <c r="E23" s="530">
        <f t="shared" si="0"/>
        <v>29.26</v>
      </c>
      <c r="F23" s="491">
        <v>7.8200000000000006E-2</v>
      </c>
      <c r="G23" s="532">
        <f t="shared" si="1"/>
        <v>7.82</v>
      </c>
      <c r="H23" s="487" t="s">
        <v>114</v>
      </c>
      <c r="I23" s="80">
        <f t="shared" si="2"/>
        <v>0.26725905673274092</v>
      </c>
      <c r="J23" s="517">
        <f t="shared" si="3"/>
        <v>0.26725905673274092</v>
      </c>
      <c r="K23" s="483" t="str">
        <f t="shared" si="4"/>
        <v>Incumple</v>
      </c>
    </row>
    <row r="24" spans="1:12" x14ac:dyDescent="0.25">
      <c r="A24" s="489" t="s">
        <v>67</v>
      </c>
      <c r="B24" s="476">
        <v>44681</v>
      </c>
      <c r="C24" s="285" t="s">
        <v>386</v>
      </c>
      <c r="D24" s="491">
        <v>1</v>
      </c>
      <c r="E24" s="530">
        <f t="shared" si="0"/>
        <v>100</v>
      </c>
      <c r="F24" s="491">
        <v>1.0606</v>
      </c>
      <c r="G24" s="532">
        <f t="shared" si="1"/>
        <v>106.06</v>
      </c>
      <c r="H24" s="487" t="s">
        <v>114</v>
      </c>
      <c r="I24" s="80">
        <f t="shared" si="2"/>
        <v>1.0606</v>
      </c>
      <c r="J24" s="517">
        <f t="shared" si="3"/>
        <v>1.0606</v>
      </c>
      <c r="K24" s="483" t="str">
        <f t="shared" si="4"/>
        <v>Sobresaliente</v>
      </c>
    </row>
    <row r="25" spans="1:12" x14ac:dyDescent="0.25">
      <c r="A25" s="489" t="s">
        <v>425</v>
      </c>
      <c r="B25" s="476">
        <v>44681</v>
      </c>
      <c r="C25" s="285" t="s">
        <v>386</v>
      </c>
      <c r="D25" s="491">
        <v>1</v>
      </c>
      <c r="E25" s="530">
        <f t="shared" si="0"/>
        <v>100</v>
      </c>
      <c r="F25" s="491">
        <v>0.99280000000000002</v>
      </c>
      <c r="G25" s="532">
        <f t="shared" si="1"/>
        <v>99.28</v>
      </c>
      <c r="H25" s="487" t="s">
        <v>114</v>
      </c>
      <c r="I25" s="80">
        <f t="shared" si="2"/>
        <v>0.99280000000000002</v>
      </c>
      <c r="J25" s="517">
        <f t="shared" si="3"/>
        <v>0.99280000000000002</v>
      </c>
      <c r="K25" s="483" t="str">
        <f t="shared" si="4"/>
        <v>Satisfactorio</v>
      </c>
    </row>
    <row r="26" spans="1:12" x14ac:dyDescent="0.25">
      <c r="A26" s="489" t="s">
        <v>356</v>
      </c>
      <c r="B26" s="476">
        <v>44681</v>
      </c>
      <c r="C26" s="285" t="s">
        <v>81</v>
      </c>
      <c r="D26" s="491">
        <v>2.0276999999999998</v>
      </c>
      <c r="E26" s="530">
        <f t="shared" si="0"/>
        <v>202.76999999999998</v>
      </c>
      <c r="F26" s="491">
        <v>1.1599999999999999</v>
      </c>
      <c r="G26" s="532">
        <f t="shared" si="1"/>
        <v>115.99999999999999</v>
      </c>
      <c r="H26" s="487" t="s">
        <v>114</v>
      </c>
      <c r="I26" s="80">
        <f t="shared" si="2"/>
        <v>0.57207673718991958</v>
      </c>
      <c r="J26" s="517">
        <f t="shared" si="3"/>
        <v>0.57207673718991958</v>
      </c>
      <c r="K26" s="483" t="str">
        <f t="shared" si="4"/>
        <v>Incumple</v>
      </c>
    </row>
    <row r="27" spans="1:12" x14ac:dyDescent="0.25">
      <c r="A27" s="489" t="s">
        <v>416</v>
      </c>
      <c r="B27" s="476">
        <v>44681</v>
      </c>
      <c r="C27" s="285" t="s">
        <v>81</v>
      </c>
      <c r="D27" s="491">
        <v>1</v>
      </c>
      <c r="E27" s="530">
        <f t="shared" si="0"/>
        <v>100</v>
      </c>
      <c r="F27" s="491">
        <v>1</v>
      </c>
      <c r="G27" s="532">
        <f t="shared" si="1"/>
        <v>100</v>
      </c>
      <c r="H27" s="487" t="s">
        <v>114</v>
      </c>
      <c r="I27" s="80">
        <f t="shared" si="2"/>
        <v>1</v>
      </c>
      <c r="J27" s="517">
        <f>+IF(I27&lt;0,0%,IF(I27&gt;120%,120%,I27))</f>
        <v>1</v>
      </c>
      <c r="K27" s="483" t="str">
        <f>+IF(I27&lt;79.99999%,"Incumple",IF(AND(I27&gt;=80%,I27&lt;94.999999%),"Tolerable",IF(AND(I27&gt;=95%,I27&lt;100%),"Satisfactorio","Sobresaliente")))</f>
        <v>Sobresaliente</v>
      </c>
    </row>
    <row r="28" spans="1:12" x14ac:dyDescent="0.25">
      <c r="A28" s="489" t="s">
        <v>428</v>
      </c>
      <c r="B28" s="476">
        <v>44681</v>
      </c>
      <c r="C28" s="285" t="s">
        <v>81</v>
      </c>
      <c r="D28" s="491">
        <v>0.14030000000000001</v>
      </c>
      <c r="E28" s="530">
        <f t="shared" si="0"/>
        <v>14.030000000000001</v>
      </c>
      <c r="F28" s="491">
        <v>0.18629999999999999</v>
      </c>
      <c r="G28" s="532">
        <f t="shared" si="1"/>
        <v>18.63</v>
      </c>
      <c r="H28" s="487" t="s">
        <v>114</v>
      </c>
      <c r="I28" s="80">
        <f t="shared" si="2"/>
        <v>1.3278688524590163</v>
      </c>
      <c r="J28" s="517">
        <f t="shared" ref="J28:J91" si="5">+IF(I28&lt;0,0%,IF(I28&gt;120%,120%,I28))</f>
        <v>1.2</v>
      </c>
      <c r="K28" s="483" t="str">
        <f t="shared" ref="K28:K91" si="6">+IF(J28&lt;79.99999%,"Incumple",IF(AND(J28&gt;=80%,J28&lt;94.999999%),"Tolerable",IF(AND(J28&gt;=95%,J28&lt;100%),"Satisfactorio","Sobresaliente")))</f>
        <v>Sobresaliente</v>
      </c>
    </row>
    <row r="29" spans="1:12" x14ac:dyDescent="0.25">
      <c r="A29" s="489" t="s">
        <v>427</v>
      </c>
      <c r="B29" s="476">
        <v>44681</v>
      </c>
      <c r="C29" s="285" t="s">
        <v>81</v>
      </c>
      <c r="D29" s="491">
        <v>7.9699999999999993E-2</v>
      </c>
      <c r="E29" s="530">
        <f t="shared" si="0"/>
        <v>7.9699999999999989</v>
      </c>
      <c r="F29" s="491">
        <v>4.99E-2</v>
      </c>
      <c r="G29" s="532">
        <f t="shared" si="1"/>
        <v>4.99</v>
      </c>
      <c r="H29" s="487" t="s">
        <v>114</v>
      </c>
      <c r="I29" s="80">
        <f t="shared" si="2"/>
        <v>0.6260978670012548</v>
      </c>
      <c r="J29" s="517">
        <f t="shared" si="5"/>
        <v>0.6260978670012548</v>
      </c>
      <c r="K29" s="483" t="str">
        <f t="shared" si="6"/>
        <v>Incumple</v>
      </c>
      <c r="L29" s="500" t="s">
        <v>407</v>
      </c>
    </row>
    <row r="30" spans="1:12" x14ac:dyDescent="0.25">
      <c r="A30" s="489" t="s">
        <v>64</v>
      </c>
      <c r="B30" s="476">
        <v>44681</v>
      </c>
      <c r="C30" s="285" t="s">
        <v>81</v>
      </c>
      <c r="D30" s="491">
        <v>-0.73609999999999998</v>
      </c>
      <c r="E30" s="530">
        <f t="shared" si="0"/>
        <v>-73.61</v>
      </c>
      <c r="F30" s="491">
        <v>1.04E-2</v>
      </c>
      <c r="G30" s="532">
        <f t="shared" si="1"/>
        <v>1.04</v>
      </c>
      <c r="H30" s="487" t="s">
        <v>114</v>
      </c>
      <c r="I30" s="80">
        <f t="shared" si="2"/>
        <v>72.778846153846146</v>
      </c>
      <c r="J30" s="517">
        <f t="shared" si="5"/>
        <v>1.2</v>
      </c>
      <c r="K30" s="483" t="str">
        <f t="shared" si="6"/>
        <v>Sobresaliente</v>
      </c>
    </row>
    <row r="31" spans="1:12" x14ac:dyDescent="0.25">
      <c r="A31" s="489" t="s">
        <v>67</v>
      </c>
      <c r="B31" s="476">
        <v>44681</v>
      </c>
      <c r="C31" s="285" t="s">
        <v>81</v>
      </c>
      <c r="D31" s="491">
        <v>1</v>
      </c>
      <c r="E31" s="530">
        <f t="shared" si="0"/>
        <v>100</v>
      </c>
      <c r="F31" s="491">
        <v>0.68189999999999995</v>
      </c>
      <c r="G31" s="532">
        <f t="shared" si="1"/>
        <v>68.19</v>
      </c>
      <c r="H31" s="487" t="s">
        <v>114</v>
      </c>
      <c r="I31" s="80">
        <f t="shared" si="2"/>
        <v>0.68189999999999995</v>
      </c>
      <c r="J31" s="517">
        <f t="shared" si="5"/>
        <v>0.68189999999999995</v>
      </c>
      <c r="K31" s="483" t="str">
        <f t="shared" si="6"/>
        <v>Incumple</v>
      </c>
    </row>
    <row r="32" spans="1:12" x14ac:dyDescent="0.25">
      <c r="A32" s="489" t="s">
        <v>425</v>
      </c>
      <c r="B32" s="476">
        <v>44681</v>
      </c>
      <c r="C32" s="285" t="s">
        <v>81</v>
      </c>
      <c r="D32" s="491">
        <v>1</v>
      </c>
      <c r="E32" s="530">
        <f t="shared" si="0"/>
        <v>100</v>
      </c>
      <c r="F32" s="491">
        <v>1.7762</v>
      </c>
      <c r="G32" s="532">
        <f t="shared" si="1"/>
        <v>177.62</v>
      </c>
      <c r="H32" s="487" t="s">
        <v>114</v>
      </c>
      <c r="I32" s="80">
        <f t="shared" si="2"/>
        <v>1.7762</v>
      </c>
      <c r="J32" s="517">
        <f t="shared" si="5"/>
        <v>1.2</v>
      </c>
      <c r="K32" s="483" t="str">
        <f t="shared" si="6"/>
        <v>Sobresaliente</v>
      </c>
    </row>
    <row r="33" spans="1:13" x14ac:dyDescent="0.25">
      <c r="A33" s="489" t="s">
        <v>426</v>
      </c>
      <c r="B33" s="476">
        <v>44681</v>
      </c>
      <c r="C33" s="285" t="s">
        <v>81</v>
      </c>
      <c r="D33" s="491">
        <v>1.8343</v>
      </c>
      <c r="E33" s="530">
        <f t="shared" si="0"/>
        <v>183.43</v>
      </c>
      <c r="F33" s="491">
        <v>-0.23119999999999999</v>
      </c>
      <c r="G33" s="532">
        <f t="shared" si="1"/>
        <v>-23.119999999999997</v>
      </c>
      <c r="H33" s="487" t="s">
        <v>114</v>
      </c>
      <c r="I33" s="80">
        <f t="shared" si="2"/>
        <v>-0.12604263206672844</v>
      </c>
      <c r="J33" s="517">
        <f t="shared" si="5"/>
        <v>0</v>
      </c>
      <c r="K33" s="483" t="str">
        <f t="shared" si="6"/>
        <v>Incumple</v>
      </c>
    </row>
    <row r="34" spans="1:13" x14ac:dyDescent="0.25">
      <c r="A34" s="489" t="s">
        <v>429</v>
      </c>
      <c r="B34" s="476">
        <v>44681</v>
      </c>
      <c r="C34" s="285" t="s">
        <v>81</v>
      </c>
      <c r="D34" s="491">
        <v>6.6699999999999995E-2</v>
      </c>
      <c r="E34" s="530">
        <f t="shared" si="0"/>
        <v>6.67</v>
      </c>
      <c r="F34" s="491">
        <v>0.1242</v>
      </c>
      <c r="G34" s="532">
        <f t="shared" si="1"/>
        <v>12.42</v>
      </c>
      <c r="H34" s="487" t="s">
        <v>114</v>
      </c>
      <c r="I34" s="80">
        <f t="shared" si="2"/>
        <v>1.8620689655172415</v>
      </c>
      <c r="J34" s="517">
        <f t="shared" si="5"/>
        <v>1.2</v>
      </c>
      <c r="K34" s="483" t="str">
        <f t="shared" si="6"/>
        <v>Sobresaliente</v>
      </c>
    </row>
    <row r="35" spans="1:13" x14ac:dyDescent="0.25">
      <c r="A35" s="489" t="s">
        <v>356</v>
      </c>
      <c r="B35" s="476">
        <v>44681</v>
      </c>
      <c r="C35" s="285" t="s">
        <v>83</v>
      </c>
      <c r="D35" s="491">
        <v>0.4783</v>
      </c>
      <c r="E35" s="530">
        <f t="shared" si="0"/>
        <v>47.83</v>
      </c>
      <c r="F35" s="491">
        <v>1.4767999999999999</v>
      </c>
      <c r="G35" s="532">
        <f t="shared" si="1"/>
        <v>147.67999999999998</v>
      </c>
      <c r="H35" s="487" t="s">
        <v>114</v>
      </c>
      <c r="I35" s="80">
        <f t="shared" si="2"/>
        <v>3.0876019234789878</v>
      </c>
      <c r="J35" s="517">
        <f t="shared" si="5"/>
        <v>1.2</v>
      </c>
      <c r="K35" s="483" t="str">
        <f t="shared" si="6"/>
        <v>Sobresaliente</v>
      </c>
      <c r="M35" s="291"/>
    </row>
    <row r="36" spans="1:13" x14ac:dyDescent="0.25">
      <c r="A36" s="489" t="s">
        <v>416</v>
      </c>
      <c r="B36" s="476">
        <v>44681</v>
      </c>
      <c r="C36" s="285" t="s">
        <v>83</v>
      </c>
      <c r="D36" s="491">
        <v>1</v>
      </c>
      <c r="E36" s="530">
        <f t="shared" si="0"/>
        <v>100</v>
      </c>
      <c r="F36" s="491">
        <v>1</v>
      </c>
      <c r="G36" s="532">
        <f t="shared" si="1"/>
        <v>100</v>
      </c>
      <c r="H36" s="487" t="s">
        <v>114</v>
      </c>
      <c r="I36" s="80">
        <f t="shared" si="2"/>
        <v>1</v>
      </c>
      <c r="J36" s="517">
        <f t="shared" si="5"/>
        <v>1</v>
      </c>
      <c r="K36" s="483" t="str">
        <f t="shared" si="6"/>
        <v>Sobresaliente</v>
      </c>
    </row>
    <row r="37" spans="1:13" x14ac:dyDescent="0.25">
      <c r="A37" s="489" t="s">
        <v>428</v>
      </c>
      <c r="B37" s="476">
        <v>44681</v>
      </c>
      <c r="C37" s="285" t="s">
        <v>83</v>
      </c>
      <c r="D37" s="491">
        <v>0.14030000000000001</v>
      </c>
      <c r="E37" s="530">
        <f t="shared" si="0"/>
        <v>14.030000000000001</v>
      </c>
      <c r="F37" s="491">
        <v>0.10879999999999999</v>
      </c>
      <c r="G37" s="532">
        <f t="shared" si="1"/>
        <v>10.879999999999999</v>
      </c>
      <c r="H37" s="487" t="s">
        <v>114</v>
      </c>
      <c r="I37" s="80">
        <f t="shared" si="2"/>
        <v>0.77548111190306479</v>
      </c>
      <c r="J37" s="517">
        <f t="shared" si="5"/>
        <v>0.77548111190306479</v>
      </c>
      <c r="K37" s="483" t="str">
        <f t="shared" si="6"/>
        <v>Incumple</v>
      </c>
    </row>
    <row r="38" spans="1:13" x14ac:dyDescent="0.25">
      <c r="A38" s="489" t="s">
        <v>427</v>
      </c>
      <c r="B38" s="476">
        <v>44681</v>
      </c>
      <c r="C38" s="285" t="s">
        <v>83</v>
      </c>
      <c r="D38" s="491">
        <v>7.9699999999999993E-2</v>
      </c>
      <c r="E38" s="530">
        <f t="shared" si="0"/>
        <v>7.9699999999999989</v>
      </c>
      <c r="F38" s="491">
        <v>0.05</v>
      </c>
      <c r="G38" s="532">
        <f t="shared" si="1"/>
        <v>5</v>
      </c>
      <c r="H38" s="487" t="s">
        <v>114</v>
      </c>
      <c r="I38" s="80">
        <f t="shared" si="2"/>
        <v>0.62735257214554585</v>
      </c>
      <c r="J38" s="517">
        <f t="shared" si="5"/>
        <v>0.62735257214554585</v>
      </c>
      <c r="K38" s="483" t="str">
        <f t="shared" si="6"/>
        <v>Incumple</v>
      </c>
    </row>
    <row r="39" spans="1:13" x14ac:dyDescent="0.25">
      <c r="A39" s="489" t="s">
        <v>64</v>
      </c>
      <c r="B39" s="476">
        <v>44681</v>
      </c>
      <c r="C39" s="285" t="s">
        <v>83</v>
      </c>
      <c r="D39" s="491">
        <v>-0.58730000000000004</v>
      </c>
      <c r="E39" s="530">
        <f t="shared" si="0"/>
        <v>-58.730000000000004</v>
      </c>
      <c r="F39" s="491">
        <v>-0.1118</v>
      </c>
      <c r="G39" s="532">
        <f t="shared" si="1"/>
        <v>-11.18</v>
      </c>
      <c r="H39" s="487" t="s">
        <v>114</v>
      </c>
      <c r="I39" s="80">
        <f t="shared" si="2"/>
        <v>1.8096373233441172</v>
      </c>
      <c r="J39" s="517">
        <f t="shared" si="5"/>
        <v>1.2</v>
      </c>
      <c r="K39" s="483" t="str">
        <f t="shared" si="6"/>
        <v>Sobresaliente</v>
      </c>
    </row>
    <row r="40" spans="1:13" x14ac:dyDescent="0.25">
      <c r="A40" s="489" t="s">
        <v>67</v>
      </c>
      <c r="B40" s="476">
        <v>44681</v>
      </c>
      <c r="C40" s="285" t="s">
        <v>83</v>
      </c>
      <c r="D40" s="491">
        <v>1</v>
      </c>
      <c r="E40" s="530">
        <f t="shared" si="0"/>
        <v>100</v>
      </c>
      <c r="F40" s="491">
        <v>0.59609999999999996</v>
      </c>
      <c r="G40" s="532">
        <f t="shared" si="1"/>
        <v>59.61</v>
      </c>
      <c r="H40" s="487" t="s">
        <v>114</v>
      </c>
      <c r="I40" s="80">
        <f t="shared" si="2"/>
        <v>0.59609999999999996</v>
      </c>
      <c r="J40" s="517">
        <f t="shared" si="5"/>
        <v>0.59609999999999996</v>
      </c>
      <c r="K40" s="483" t="str">
        <f t="shared" si="6"/>
        <v>Incumple</v>
      </c>
    </row>
    <row r="41" spans="1:13" x14ac:dyDescent="0.25">
      <c r="A41" s="489" t="s">
        <v>425</v>
      </c>
      <c r="B41" s="476">
        <v>44681</v>
      </c>
      <c r="C41" s="285" t="s">
        <v>83</v>
      </c>
      <c r="D41" s="491">
        <v>1</v>
      </c>
      <c r="E41" s="530">
        <f t="shared" si="0"/>
        <v>100</v>
      </c>
      <c r="F41" s="491">
        <v>1.2224999999999999</v>
      </c>
      <c r="G41" s="532">
        <f t="shared" si="1"/>
        <v>122.24999999999999</v>
      </c>
      <c r="H41" s="487" t="s">
        <v>114</v>
      </c>
      <c r="I41" s="80">
        <f t="shared" si="2"/>
        <v>1.2224999999999999</v>
      </c>
      <c r="J41" s="517">
        <f t="shared" si="5"/>
        <v>1.2</v>
      </c>
      <c r="K41" s="483" t="str">
        <f t="shared" si="6"/>
        <v>Sobresaliente</v>
      </c>
    </row>
    <row r="42" spans="1:13" x14ac:dyDescent="0.25">
      <c r="A42" s="489" t="s">
        <v>426</v>
      </c>
      <c r="B42" s="476">
        <v>44681</v>
      </c>
      <c r="C42" s="285" t="s">
        <v>83</v>
      </c>
      <c r="D42" s="491">
        <v>7.7553999999999998</v>
      </c>
      <c r="E42" s="530">
        <f t="shared" si="0"/>
        <v>775.54</v>
      </c>
      <c r="F42" s="491">
        <v>1.1628000000000001</v>
      </c>
      <c r="G42" s="532">
        <f t="shared" si="1"/>
        <v>116.28</v>
      </c>
      <c r="H42" s="487" t="s">
        <v>114</v>
      </c>
      <c r="I42" s="80">
        <f t="shared" si="2"/>
        <v>0.14993423936869796</v>
      </c>
      <c r="J42" s="517">
        <f t="shared" si="5"/>
        <v>0.14993423936869796</v>
      </c>
      <c r="K42" s="483" t="str">
        <f t="shared" si="6"/>
        <v>Incumple</v>
      </c>
    </row>
    <row r="43" spans="1:13" x14ac:dyDescent="0.25">
      <c r="A43" s="489" t="s">
        <v>429</v>
      </c>
      <c r="B43" s="476">
        <v>44681</v>
      </c>
      <c r="C43" s="285" t="s">
        <v>83</v>
      </c>
      <c r="D43" s="491">
        <v>3.9300000000000002E-2</v>
      </c>
      <c r="E43" s="530">
        <f t="shared" si="0"/>
        <v>3.93</v>
      </c>
      <c r="F43" s="491">
        <v>0.2074</v>
      </c>
      <c r="G43" s="532">
        <f t="shared" si="1"/>
        <v>20.74</v>
      </c>
      <c r="H43" s="487" t="s">
        <v>114</v>
      </c>
      <c r="I43" s="80">
        <f t="shared" si="2"/>
        <v>5.2773536895674296</v>
      </c>
      <c r="J43" s="517">
        <f t="shared" si="5"/>
        <v>1.2</v>
      </c>
      <c r="K43" s="483" t="str">
        <f t="shared" si="6"/>
        <v>Sobresaliente</v>
      </c>
    </row>
    <row r="44" spans="1:13" x14ac:dyDescent="0.25">
      <c r="A44" s="489" t="s">
        <v>356</v>
      </c>
      <c r="B44" s="476">
        <v>44681</v>
      </c>
      <c r="C44" s="285" t="s">
        <v>85</v>
      </c>
      <c r="D44" s="491">
        <v>0.85809999999999997</v>
      </c>
      <c r="E44" s="530">
        <f t="shared" si="0"/>
        <v>85.81</v>
      </c>
      <c r="F44" s="491">
        <v>2.5651000000000002</v>
      </c>
      <c r="G44" s="532">
        <f t="shared" si="1"/>
        <v>256.51</v>
      </c>
      <c r="H44" s="487" t="s">
        <v>114</v>
      </c>
      <c r="I44" s="80">
        <f t="shared" si="2"/>
        <v>2.9892786388532806</v>
      </c>
      <c r="J44" s="517">
        <f t="shared" si="5"/>
        <v>1.2</v>
      </c>
      <c r="K44" s="483" t="str">
        <f t="shared" si="6"/>
        <v>Sobresaliente</v>
      </c>
    </row>
    <row r="45" spans="1:13" x14ac:dyDescent="0.25">
      <c r="A45" s="489" t="s">
        <v>416</v>
      </c>
      <c r="B45" s="476">
        <v>44681</v>
      </c>
      <c r="C45" s="285" t="s">
        <v>85</v>
      </c>
      <c r="D45" s="491">
        <v>1</v>
      </c>
      <c r="E45" s="530">
        <f t="shared" si="0"/>
        <v>100</v>
      </c>
      <c r="F45" s="491">
        <v>1</v>
      </c>
      <c r="G45" s="532">
        <f t="shared" si="1"/>
        <v>100</v>
      </c>
      <c r="H45" s="487" t="s">
        <v>114</v>
      </c>
      <c r="I45" s="80">
        <f t="shared" si="2"/>
        <v>1</v>
      </c>
      <c r="J45" s="517">
        <f t="shared" si="5"/>
        <v>1</v>
      </c>
      <c r="K45" s="483" t="str">
        <f t="shared" si="6"/>
        <v>Sobresaliente</v>
      </c>
    </row>
    <row r="46" spans="1:13" x14ac:dyDescent="0.25">
      <c r="A46" s="489" t="s">
        <v>428</v>
      </c>
      <c r="B46" s="476">
        <v>44681</v>
      </c>
      <c r="C46" s="285" t="s">
        <v>85</v>
      </c>
      <c r="D46" s="491">
        <v>0.14030000000000001</v>
      </c>
      <c r="E46" s="530">
        <f t="shared" si="0"/>
        <v>14.030000000000001</v>
      </c>
      <c r="F46" s="491">
        <v>3.9600000000000003E-2</v>
      </c>
      <c r="G46" s="532">
        <f t="shared" si="1"/>
        <v>3.9600000000000004</v>
      </c>
      <c r="H46" s="487" t="s">
        <v>114</v>
      </c>
      <c r="I46" s="80">
        <f t="shared" si="2"/>
        <v>0.28225231646471849</v>
      </c>
      <c r="J46" s="517">
        <f t="shared" si="5"/>
        <v>0.28225231646471849</v>
      </c>
      <c r="K46" s="483" t="str">
        <f t="shared" si="6"/>
        <v>Incumple</v>
      </c>
    </row>
    <row r="47" spans="1:13" x14ac:dyDescent="0.25">
      <c r="A47" s="489" t="s">
        <v>427</v>
      </c>
      <c r="B47" s="476">
        <v>44681</v>
      </c>
      <c r="C47" s="285" t="s">
        <v>85</v>
      </c>
      <c r="D47" s="491">
        <v>7.9699999999999993E-2</v>
      </c>
      <c r="E47" s="530">
        <f t="shared" si="0"/>
        <v>7.9699999999999989</v>
      </c>
      <c r="F47" s="491">
        <v>-6.6199999999999995E-2</v>
      </c>
      <c r="G47" s="532">
        <f t="shared" si="1"/>
        <v>-6.6199999999999992</v>
      </c>
      <c r="H47" s="487" t="s">
        <v>114</v>
      </c>
      <c r="I47" s="80">
        <f t="shared" si="2"/>
        <v>-0.83061480552070266</v>
      </c>
      <c r="J47" s="517">
        <f t="shared" si="5"/>
        <v>0</v>
      </c>
      <c r="K47" s="483" t="str">
        <f t="shared" si="6"/>
        <v>Incumple</v>
      </c>
    </row>
    <row r="48" spans="1:13" x14ac:dyDescent="0.25">
      <c r="A48" s="489" t="s">
        <v>64</v>
      </c>
      <c r="B48" s="476">
        <v>44681</v>
      </c>
      <c r="C48" s="285" t="s">
        <v>85</v>
      </c>
      <c r="D48" s="491">
        <v>0.22</v>
      </c>
      <c r="E48" s="530">
        <f t="shared" si="0"/>
        <v>22</v>
      </c>
      <c r="F48" s="491">
        <v>-0.19639999999999999</v>
      </c>
      <c r="G48" s="532">
        <f t="shared" si="1"/>
        <v>-19.64</v>
      </c>
      <c r="H48" s="487" t="s">
        <v>114</v>
      </c>
      <c r="I48" s="80">
        <f t="shared" si="2"/>
        <v>-0.8927272727272727</v>
      </c>
      <c r="J48" s="517">
        <f t="shared" si="5"/>
        <v>0</v>
      </c>
      <c r="K48" s="483" t="str">
        <f t="shared" si="6"/>
        <v>Incumple</v>
      </c>
    </row>
    <row r="49" spans="1:14" x14ac:dyDescent="0.25">
      <c r="A49" s="489" t="s">
        <v>67</v>
      </c>
      <c r="B49" s="476">
        <v>44681</v>
      </c>
      <c r="C49" s="285" t="s">
        <v>85</v>
      </c>
      <c r="D49" s="491">
        <v>1</v>
      </c>
      <c r="E49" s="530">
        <f t="shared" si="0"/>
        <v>100</v>
      </c>
      <c r="F49" s="491">
        <v>0.22259999999999999</v>
      </c>
      <c r="G49" s="532">
        <f t="shared" si="1"/>
        <v>22.259999999999998</v>
      </c>
      <c r="H49" s="487" t="s">
        <v>114</v>
      </c>
      <c r="I49" s="80">
        <f t="shared" si="2"/>
        <v>0.22259999999999999</v>
      </c>
      <c r="J49" s="517">
        <f t="shared" si="5"/>
        <v>0.22259999999999999</v>
      </c>
      <c r="K49" s="483" t="str">
        <f t="shared" si="6"/>
        <v>Incumple</v>
      </c>
    </row>
    <row r="50" spans="1:14" x14ac:dyDescent="0.25">
      <c r="A50" s="489" t="s">
        <v>425</v>
      </c>
      <c r="B50" s="476">
        <v>44681</v>
      </c>
      <c r="C50" s="285" t="s">
        <v>85</v>
      </c>
      <c r="D50" s="491">
        <v>1</v>
      </c>
      <c r="E50" s="530">
        <f t="shared" si="0"/>
        <v>100</v>
      </c>
      <c r="F50" s="491">
        <v>0.83020000000000005</v>
      </c>
      <c r="G50" s="532">
        <f t="shared" si="1"/>
        <v>83.02000000000001</v>
      </c>
      <c r="H50" s="487" t="s">
        <v>114</v>
      </c>
      <c r="I50" s="80">
        <f t="shared" si="2"/>
        <v>0.83020000000000005</v>
      </c>
      <c r="J50" s="517">
        <f t="shared" si="5"/>
        <v>0.83020000000000005</v>
      </c>
      <c r="K50" s="483" t="str">
        <f t="shared" si="6"/>
        <v>Tolerable</v>
      </c>
    </row>
    <row r="51" spans="1:14" x14ac:dyDescent="0.25">
      <c r="A51" s="489" t="s">
        <v>426</v>
      </c>
      <c r="B51" s="476">
        <v>44681</v>
      </c>
      <c r="C51" s="285" t="s">
        <v>85</v>
      </c>
      <c r="D51" s="491">
        <v>-7.6799999999999993E-2</v>
      </c>
      <c r="E51" s="530">
        <f t="shared" si="0"/>
        <v>-7.68</v>
      </c>
      <c r="F51" s="491">
        <v>-0.11550000000000001</v>
      </c>
      <c r="G51" s="532">
        <f t="shared" si="1"/>
        <v>-11.55</v>
      </c>
      <c r="H51" s="487" t="s">
        <v>114</v>
      </c>
      <c r="I51" s="80">
        <f t="shared" si="2"/>
        <v>0.49609374999999978</v>
      </c>
      <c r="J51" s="517">
        <f t="shared" si="5"/>
        <v>0.49609374999999978</v>
      </c>
      <c r="K51" s="483" t="str">
        <f t="shared" si="6"/>
        <v>Incumple</v>
      </c>
    </row>
    <row r="52" spans="1:14" x14ac:dyDescent="0.25">
      <c r="A52" s="489" t="s">
        <v>429</v>
      </c>
      <c r="B52" s="476">
        <v>44681</v>
      </c>
      <c r="C52" s="285" t="s">
        <v>85</v>
      </c>
      <c r="D52" s="491">
        <v>0.10929999999999999</v>
      </c>
      <c r="E52" s="530">
        <f t="shared" si="0"/>
        <v>10.93</v>
      </c>
      <c r="F52" s="491">
        <v>5.3100000000000001E-2</v>
      </c>
      <c r="G52" s="532">
        <f t="shared" si="1"/>
        <v>5.3100000000000005</v>
      </c>
      <c r="H52" s="487" t="s">
        <v>114</v>
      </c>
      <c r="I52" s="80">
        <f t="shared" si="2"/>
        <v>0.48581884720951513</v>
      </c>
      <c r="J52" s="517">
        <f t="shared" si="5"/>
        <v>0.48581884720951513</v>
      </c>
      <c r="K52" s="483" t="str">
        <f t="shared" si="6"/>
        <v>Incumple</v>
      </c>
    </row>
    <row r="53" spans="1:14" x14ac:dyDescent="0.25">
      <c r="A53" s="489" t="s">
        <v>356</v>
      </c>
      <c r="B53" s="476">
        <v>44681</v>
      </c>
      <c r="C53" s="285" t="s">
        <v>87</v>
      </c>
      <c r="D53" s="491">
        <v>1.5056</v>
      </c>
      <c r="E53" s="530">
        <f t="shared" si="0"/>
        <v>150.56</v>
      </c>
      <c r="F53" s="491">
        <v>1.5409999999999999</v>
      </c>
      <c r="G53" s="532">
        <f t="shared" si="1"/>
        <v>154.1</v>
      </c>
      <c r="H53" s="487" t="s">
        <v>114</v>
      </c>
      <c r="I53" s="80">
        <f t="shared" si="2"/>
        <v>1.0235122210414451</v>
      </c>
      <c r="J53" s="517">
        <f t="shared" si="5"/>
        <v>1.0235122210414451</v>
      </c>
      <c r="K53" s="483" t="str">
        <f t="shared" si="6"/>
        <v>Sobresaliente</v>
      </c>
      <c r="M53" s="291"/>
      <c r="N53" s="291"/>
    </row>
    <row r="54" spans="1:14" x14ac:dyDescent="0.25">
      <c r="A54" s="489" t="s">
        <v>428</v>
      </c>
      <c r="B54" s="476">
        <v>44681</v>
      </c>
      <c r="C54" s="285" t="s">
        <v>87</v>
      </c>
      <c r="D54" s="491">
        <v>0.14030000000000001</v>
      </c>
      <c r="E54" s="530">
        <f t="shared" si="0"/>
        <v>14.030000000000001</v>
      </c>
      <c r="F54" s="491">
        <v>0.20930000000000001</v>
      </c>
      <c r="G54" s="532">
        <f t="shared" si="1"/>
        <v>20.93</v>
      </c>
      <c r="H54" s="487" t="s">
        <v>114</v>
      </c>
      <c r="I54" s="80">
        <f t="shared" si="2"/>
        <v>1.4918032786885247</v>
      </c>
      <c r="J54" s="517">
        <f t="shared" si="5"/>
        <v>1.2</v>
      </c>
      <c r="K54" s="483" t="str">
        <f t="shared" si="6"/>
        <v>Sobresaliente</v>
      </c>
    </row>
    <row r="55" spans="1:14" x14ac:dyDescent="0.25">
      <c r="A55" s="489" t="s">
        <v>427</v>
      </c>
      <c r="B55" s="476">
        <v>44681</v>
      </c>
      <c r="C55" s="285" t="s">
        <v>87</v>
      </c>
      <c r="D55" s="491">
        <v>7.9699999999999993E-2</v>
      </c>
      <c r="E55" s="530">
        <f t="shared" si="0"/>
        <v>7.9699999999999989</v>
      </c>
      <c r="F55" s="491">
        <v>0.18609999999999999</v>
      </c>
      <c r="G55" s="532">
        <f t="shared" si="1"/>
        <v>18.61</v>
      </c>
      <c r="H55" s="487" t="s">
        <v>114</v>
      </c>
      <c r="I55" s="80">
        <f t="shared" si="2"/>
        <v>2.3350062735257215</v>
      </c>
      <c r="J55" s="517">
        <f t="shared" si="5"/>
        <v>1.2</v>
      </c>
      <c r="K55" s="483" t="str">
        <f t="shared" si="6"/>
        <v>Sobresaliente</v>
      </c>
    </row>
    <row r="56" spans="1:14" x14ac:dyDescent="0.25">
      <c r="A56" s="489" t="s">
        <v>64</v>
      </c>
      <c r="B56" s="476">
        <v>44681</v>
      </c>
      <c r="C56" s="285" t="s">
        <v>87</v>
      </c>
      <c r="D56" s="491">
        <v>0.53569999999999995</v>
      </c>
      <c r="E56" s="530">
        <f t="shared" si="0"/>
        <v>53.569999999999993</v>
      </c>
      <c r="F56" s="491">
        <v>0.2258</v>
      </c>
      <c r="G56" s="532">
        <f t="shared" si="1"/>
        <v>22.58</v>
      </c>
      <c r="H56" s="487" t="s">
        <v>114</v>
      </c>
      <c r="I56" s="80">
        <f t="shared" si="2"/>
        <v>0.42150457345529219</v>
      </c>
      <c r="J56" s="517">
        <f t="shared" si="5"/>
        <v>0.42150457345529219</v>
      </c>
      <c r="K56" s="483" t="str">
        <f t="shared" si="6"/>
        <v>Incumple</v>
      </c>
    </row>
    <row r="57" spans="1:14" x14ac:dyDescent="0.25">
      <c r="A57" s="489" t="s">
        <v>67</v>
      </c>
      <c r="B57" s="476">
        <v>44681</v>
      </c>
      <c r="C57" s="285" t="s">
        <v>87</v>
      </c>
      <c r="D57" s="491">
        <v>1</v>
      </c>
      <c r="E57" s="530">
        <f t="shared" si="0"/>
        <v>100</v>
      </c>
      <c r="F57" s="491">
        <v>0.72560000000000002</v>
      </c>
      <c r="G57" s="532">
        <f t="shared" si="1"/>
        <v>72.56</v>
      </c>
      <c r="H57" s="487" t="s">
        <v>114</v>
      </c>
      <c r="I57" s="80">
        <f t="shared" si="2"/>
        <v>0.72560000000000002</v>
      </c>
      <c r="J57" s="517">
        <f t="shared" si="5"/>
        <v>0.72560000000000002</v>
      </c>
      <c r="K57" s="483" t="str">
        <f t="shared" si="6"/>
        <v>Incumple</v>
      </c>
    </row>
    <row r="58" spans="1:14" x14ac:dyDescent="0.25">
      <c r="A58" s="489" t="s">
        <v>425</v>
      </c>
      <c r="B58" s="476">
        <v>44681</v>
      </c>
      <c r="C58" s="285" t="s">
        <v>87</v>
      </c>
      <c r="D58" s="491">
        <v>1</v>
      </c>
      <c r="E58" s="530">
        <f t="shared" si="0"/>
        <v>100</v>
      </c>
      <c r="F58" s="491">
        <v>1.0939000000000001</v>
      </c>
      <c r="G58" s="532">
        <f t="shared" si="1"/>
        <v>109.39000000000001</v>
      </c>
      <c r="H58" s="487" t="s">
        <v>114</v>
      </c>
      <c r="I58" s="80">
        <f t="shared" si="2"/>
        <v>1.0939000000000001</v>
      </c>
      <c r="J58" s="517">
        <f t="shared" si="5"/>
        <v>1.0939000000000001</v>
      </c>
      <c r="K58" s="483" t="str">
        <f t="shared" si="6"/>
        <v>Sobresaliente</v>
      </c>
    </row>
    <row r="59" spans="1:14" x14ac:dyDescent="0.25">
      <c r="A59" s="489" t="s">
        <v>426</v>
      </c>
      <c r="B59" s="476">
        <v>44681</v>
      </c>
      <c r="C59" s="285" t="s">
        <v>87</v>
      </c>
      <c r="D59" s="491">
        <v>-0.58840000000000003</v>
      </c>
      <c r="E59" s="530">
        <f t="shared" si="0"/>
        <v>-58.84</v>
      </c>
      <c r="F59" s="491">
        <v>-0.55089999999999995</v>
      </c>
      <c r="G59" s="532">
        <f t="shared" si="1"/>
        <v>-55.089999999999996</v>
      </c>
      <c r="H59" s="487" t="s">
        <v>114</v>
      </c>
      <c r="I59" s="80">
        <f t="shared" si="2"/>
        <v>1.063732154996601</v>
      </c>
      <c r="J59" s="517">
        <f t="shared" si="5"/>
        <v>1.063732154996601</v>
      </c>
      <c r="K59" s="483" t="str">
        <f t="shared" si="6"/>
        <v>Sobresaliente</v>
      </c>
    </row>
    <row r="60" spans="1:14" x14ac:dyDescent="0.25">
      <c r="A60" s="489" t="s">
        <v>429</v>
      </c>
      <c r="B60" s="476">
        <v>44681</v>
      </c>
      <c r="C60" s="285" t="s">
        <v>87</v>
      </c>
      <c r="D60" s="491">
        <v>2.2599999999999999E-2</v>
      </c>
      <c r="E60" s="530">
        <f t="shared" si="0"/>
        <v>2.2599999999999998</v>
      </c>
      <c r="F60" s="491">
        <v>2.1100000000000001E-2</v>
      </c>
      <c r="G60" s="532">
        <f t="shared" si="1"/>
        <v>2.11</v>
      </c>
      <c r="H60" s="487" t="s">
        <v>114</v>
      </c>
      <c r="I60" s="80">
        <f t="shared" si="2"/>
        <v>0.93362831858407092</v>
      </c>
      <c r="J60" s="517">
        <f t="shared" si="5"/>
        <v>0.93362831858407092</v>
      </c>
      <c r="K60" s="483" t="str">
        <f t="shared" si="6"/>
        <v>Tolerable</v>
      </c>
    </row>
    <row r="61" spans="1:14" x14ac:dyDescent="0.25">
      <c r="A61" s="489" t="s">
        <v>356</v>
      </c>
      <c r="B61" s="476">
        <v>44681</v>
      </c>
      <c r="C61" s="285" t="s">
        <v>89</v>
      </c>
      <c r="D61" s="491">
        <v>0.50670000000000004</v>
      </c>
      <c r="E61" s="530">
        <f t="shared" si="0"/>
        <v>50.67</v>
      </c>
      <c r="F61" s="491">
        <v>5.3579999999999997</v>
      </c>
      <c r="G61" s="532">
        <f t="shared" si="1"/>
        <v>535.79999999999995</v>
      </c>
      <c r="H61" s="487" t="s">
        <v>114</v>
      </c>
      <c r="I61" s="80">
        <f t="shared" si="2"/>
        <v>10.574304322084071</v>
      </c>
      <c r="J61" s="517">
        <f t="shared" si="5"/>
        <v>1.2</v>
      </c>
      <c r="K61" s="483" t="str">
        <f t="shared" si="6"/>
        <v>Sobresaliente</v>
      </c>
    </row>
    <row r="62" spans="1:14" x14ac:dyDescent="0.25">
      <c r="A62" s="489" t="s">
        <v>428</v>
      </c>
      <c r="B62" s="476">
        <v>44681</v>
      </c>
      <c r="C62" s="285" t="s">
        <v>89</v>
      </c>
      <c r="D62" s="491">
        <v>0.14030000000000001</v>
      </c>
      <c r="E62" s="530">
        <f t="shared" si="0"/>
        <v>14.030000000000001</v>
      </c>
      <c r="F62" s="491">
        <v>2.5899999999999999E-2</v>
      </c>
      <c r="G62" s="532">
        <f t="shared" si="1"/>
        <v>2.59</v>
      </c>
      <c r="H62" s="487" t="s">
        <v>114</v>
      </c>
      <c r="I62" s="80">
        <f t="shared" si="2"/>
        <v>0.18460441910192443</v>
      </c>
      <c r="J62" s="517">
        <f t="shared" si="5"/>
        <v>0.18460441910192443</v>
      </c>
      <c r="K62" s="483" t="str">
        <f t="shared" si="6"/>
        <v>Incumple</v>
      </c>
    </row>
    <row r="63" spans="1:14" x14ac:dyDescent="0.25">
      <c r="A63" s="489" t="s">
        <v>427</v>
      </c>
      <c r="B63" s="476">
        <v>44681</v>
      </c>
      <c r="C63" s="285" t="s">
        <v>89</v>
      </c>
      <c r="D63" s="491">
        <v>7.9699999999999993E-2</v>
      </c>
      <c r="E63" s="530">
        <f t="shared" si="0"/>
        <v>7.9699999999999989</v>
      </c>
      <c r="F63" s="491">
        <v>8.6199999999999999E-2</v>
      </c>
      <c r="G63" s="532">
        <f t="shared" si="1"/>
        <v>8.6199999999999992</v>
      </c>
      <c r="H63" s="487" t="s">
        <v>114</v>
      </c>
      <c r="I63" s="80">
        <f t="shared" si="2"/>
        <v>1.0815558343789211</v>
      </c>
      <c r="J63" s="517">
        <f t="shared" si="5"/>
        <v>1.0815558343789211</v>
      </c>
      <c r="K63" s="483" t="str">
        <f t="shared" si="6"/>
        <v>Sobresaliente</v>
      </c>
    </row>
    <row r="64" spans="1:14" x14ac:dyDescent="0.25">
      <c r="A64" s="489" t="s">
        <v>64</v>
      </c>
      <c r="B64" s="476">
        <v>44681</v>
      </c>
      <c r="C64" s="285" t="s">
        <v>89</v>
      </c>
      <c r="D64" s="491">
        <v>-0.60780000000000001</v>
      </c>
      <c r="E64" s="530">
        <f t="shared" si="0"/>
        <v>-60.78</v>
      </c>
      <c r="F64" s="491">
        <v>-9.2299999999999993E-2</v>
      </c>
      <c r="G64" s="532">
        <f t="shared" si="1"/>
        <v>-9.2299999999999986</v>
      </c>
      <c r="H64" s="487" t="s">
        <v>114</v>
      </c>
      <c r="I64" s="80">
        <f t="shared" si="2"/>
        <v>1.8481408358012505</v>
      </c>
      <c r="J64" s="517">
        <f t="shared" si="5"/>
        <v>1.2</v>
      </c>
      <c r="K64" s="483" t="str">
        <f t="shared" si="6"/>
        <v>Sobresaliente</v>
      </c>
    </row>
    <row r="65" spans="1:15" x14ac:dyDescent="0.25">
      <c r="A65" s="489" t="s">
        <v>67</v>
      </c>
      <c r="B65" s="476">
        <v>44681</v>
      </c>
      <c r="C65" s="285" t="s">
        <v>89</v>
      </c>
      <c r="D65" s="491">
        <v>1</v>
      </c>
      <c r="E65" s="530">
        <f t="shared" si="0"/>
        <v>100</v>
      </c>
      <c r="F65" s="491">
        <v>0.30420000000000003</v>
      </c>
      <c r="G65" s="532">
        <f t="shared" si="1"/>
        <v>30.42</v>
      </c>
      <c r="H65" s="487" t="s">
        <v>114</v>
      </c>
      <c r="I65" s="80">
        <f t="shared" si="2"/>
        <v>0.30420000000000003</v>
      </c>
      <c r="J65" s="517">
        <f t="shared" si="5"/>
        <v>0.30420000000000003</v>
      </c>
      <c r="K65" s="483" t="str">
        <f t="shared" si="6"/>
        <v>Incumple</v>
      </c>
    </row>
    <row r="66" spans="1:15" x14ac:dyDescent="0.25">
      <c r="A66" s="489" t="s">
        <v>425</v>
      </c>
      <c r="B66" s="476">
        <v>44681</v>
      </c>
      <c r="C66" s="285" t="s">
        <v>89</v>
      </c>
      <c r="D66" s="491">
        <v>1</v>
      </c>
      <c r="E66" s="530">
        <f t="shared" ref="E66:E92" si="7">+D66*100</f>
        <v>100</v>
      </c>
      <c r="F66" s="491">
        <v>1.1769000000000001</v>
      </c>
      <c r="G66" s="532">
        <f t="shared" ref="G66:G92" si="8">+F66*100</f>
        <v>117.69000000000001</v>
      </c>
      <c r="H66" s="487" t="s">
        <v>114</v>
      </c>
      <c r="I66" s="80">
        <f t="shared" ref="I66:I92" si="9">+IFERROR(IF(H66="Creciente",IF(AND(F66&lt;0,D66&lt;0),1-(F66-D66)/D66,IF(F66&lt;0,IFERROR(F66/D66,0),IF(D66&lt;0,1+((F66-D66)/F66),F66/D66))),IF(AND(F66&lt;0,D66&lt;0),(D66*-1)/(F66*-1),IF(F66&lt;0,(F66-D66)/F66,IF(D66&lt;0,-1+(F66-D66)/D66,IF(H66="Decreciente",1+(D66-F66)/D66,F66/D66))))),"N/A")</f>
        <v>1.1769000000000001</v>
      </c>
      <c r="J66" s="517">
        <f t="shared" si="5"/>
        <v>1.1769000000000001</v>
      </c>
      <c r="K66" s="483" t="str">
        <f t="shared" si="6"/>
        <v>Sobresaliente</v>
      </c>
    </row>
    <row r="67" spans="1:15" x14ac:dyDescent="0.25">
      <c r="A67" s="489" t="s">
        <v>426</v>
      </c>
      <c r="B67" s="476">
        <v>44681</v>
      </c>
      <c r="C67" s="285" t="s">
        <v>89</v>
      </c>
      <c r="D67" s="491">
        <v>0.97109999999999996</v>
      </c>
      <c r="E67" s="530">
        <f t="shared" si="7"/>
        <v>97.11</v>
      </c>
      <c r="F67" s="491">
        <v>1.4996</v>
      </c>
      <c r="G67" s="532">
        <f t="shared" si="8"/>
        <v>149.96</v>
      </c>
      <c r="H67" s="487" t="s">
        <v>114</v>
      </c>
      <c r="I67" s="80">
        <f t="shared" si="9"/>
        <v>1.5442281948306045</v>
      </c>
      <c r="J67" s="517">
        <f t="shared" si="5"/>
        <v>1.2</v>
      </c>
      <c r="K67" s="483" t="str">
        <f t="shared" si="6"/>
        <v>Sobresaliente</v>
      </c>
    </row>
    <row r="68" spans="1:15" x14ac:dyDescent="0.25">
      <c r="A68" s="489" t="s">
        <v>429</v>
      </c>
      <c r="B68" s="476">
        <v>44681</v>
      </c>
      <c r="C68" s="285" t="s">
        <v>89</v>
      </c>
      <c r="D68" s="491">
        <v>4.6600000000000003E-2</v>
      </c>
      <c r="E68" s="530">
        <f t="shared" si="7"/>
        <v>4.66</v>
      </c>
      <c r="F68" s="491">
        <v>3.1399999999999997E-2</v>
      </c>
      <c r="G68" s="532">
        <f t="shared" si="8"/>
        <v>3.1399999999999997</v>
      </c>
      <c r="H68" s="487" t="s">
        <v>114</v>
      </c>
      <c r="I68" s="80">
        <f t="shared" si="9"/>
        <v>0.67381974248927035</v>
      </c>
      <c r="J68" s="517">
        <f t="shared" si="5"/>
        <v>0.67381974248927035</v>
      </c>
      <c r="K68" s="483" t="str">
        <f t="shared" si="6"/>
        <v>Incumple</v>
      </c>
    </row>
    <row r="69" spans="1:15" x14ac:dyDescent="0.25">
      <c r="A69" s="489" t="s">
        <v>356</v>
      </c>
      <c r="B69" s="476">
        <v>44681</v>
      </c>
      <c r="C69" s="285" t="s">
        <v>91</v>
      </c>
      <c r="D69" s="491">
        <v>4.6109</v>
      </c>
      <c r="E69" s="530">
        <f t="shared" si="7"/>
        <v>461.09</v>
      </c>
      <c r="F69" s="491">
        <v>3.6156999999999999</v>
      </c>
      <c r="G69" s="532">
        <f t="shared" si="8"/>
        <v>361.57</v>
      </c>
      <c r="H69" s="487" t="s">
        <v>114</v>
      </c>
      <c r="I69" s="80">
        <f t="shared" si="9"/>
        <v>0.78416361230996112</v>
      </c>
      <c r="J69" s="517">
        <f t="shared" si="5"/>
        <v>0.78416361230996112</v>
      </c>
      <c r="K69" s="483" t="str">
        <f t="shared" si="6"/>
        <v>Incumple</v>
      </c>
    </row>
    <row r="70" spans="1:15" x14ac:dyDescent="0.25">
      <c r="A70" s="489" t="s">
        <v>428</v>
      </c>
      <c r="B70" s="476">
        <v>44681</v>
      </c>
      <c r="C70" s="285" t="s">
        <v>91</v>
      </c>
      <c r="D70" s="491">
        <v>0.14030000000000001</v>
      </c>
      <c r="E70" s="530">
        <f t="shared" si="7"/>
        <v>14.030000000000001</v>
      </c>
      <c r="F70" s="491">
        <v>0.13689999999999999</v>
      </c>
      <c r="G70" s="532">
        <f t="shared" si="8"/>
        <v>13.69</v>
      </c>
      <c r="H70" s="487" t="s">
        <v>114</v>
      </c>
      <c r="I70" s="80">
        <f t="shared" si="9"/>
        <v>0.97576621525302909</v>
      </c>
      <c r="J70" s="517">
        <f t="shared" si="5"/>
        <v>0.97576621525302909</v>
      </c>
      <c r="K70" s="483" t="str">
        <f t="shared" si="6"/>
        <v>Satisfactorio</v>
      </c>
      <c r="O70" s="498"/>
    </row>
    <row r="71" spans="1:15" x14ac:dyDescent="0.25">
      <c r="A71" s="489" t="s">
        <v>427</v>
      </c>
      <c r="B71" s="476">
        <v>44681</v>
      </c>
      <c r="C71" s="285" t="s">
        <v>91</v>
      </c>
      <c r="D71" s="491">
        <v>7.9699999999999993E-2</v>
      </c>
      <c r="E71" s="530">
        <f t="shared" si="7"/>
        <v>7.9699999999999989</v>
      </c>
      <c r="F71" s="491">
        <v>0.108</v>
      </c>
      <c r="G71" s="532">
        <f t="shared" si="8"/>
        <v>10.8</v>
      </c>
      <c r="H71" s="487" t="s">
        <v>114</v>
      </c>
      <c r="I71" s="80">
        <f t="shared" si="9"/>
        <v>1.3550815558343789</v>
      </c>
      <c r="J71" s="517">
        <f t="shared" si="5"/>
        <v>1.2</v>
      </c>
      <c r="K71" s="483" t="str">
        <f t="shared" si="6"/>
        <v>Sobresaliente</v>
      </c>
    </row>
    <row r="72" spans="1:15" x14ac:dyDescent="0.25">
      <c r="A72" s="489" t="s">
        <v>64</v>
      </c>
      <c r="B72" s="476">
        <v>44681</v>
      </c>
      <c r="C72" s="285" t="s">
        <v>91</v>
      </c>
      <c r="D72" s="491">
        <v>-0.71789999999999998</v>
      </c>
      <c r="E72" s="530">
        <f t="shared" si="7"/>
        <v>-71.789999999999992</v>
      </c>
      <c r="F72" s="491">
        <v>6.1199999999999997E-2</v>
      </c>
      <c r="G72" s="532">
        <f t="shared" si="8"/>
        <v>6.12</v>
      </c>
      <c r="H72" s="487" t="s">
        <v>114</v>
      </c>
      <c r="I72" s="80">
        <f t="shared" si="9"/>
        <v>13.730392156862745</v>
      </c>
      <c r="J72" s="517">
        <f t="shared" si="5"/>
        <v>1.2</v>
      </c>
      <c r="K72" s="483" t="str">
        <f t="shared" si="6"/>
        <v>Sobresaliente</v>
      </c>
    </row>
    <row r="73" spans="1:15" x14ac:dyDescent="0.25">
      <c r="A73" s="489" t="s">
        <v>67</v>
      </c>
      <c r="B73" s="476">
        <v>44681</v>
      </c>
      <c r="C73" s="285" t="s">
        <v>91</v>
      </c>
      <c r="D73" s="491">
        <v>1</v>
      </c>
      <c r="E73" s="530">
        <f t="shared" si="7"/>
        <v>100</v>
      </c>
      <c r="F73" s="491">
        <v>1.7426999999999999</v>
      </c>
      <c r="G73" s="532">
        <f t="shared" si="8"/>
        <v>174.26999999999998</v>
      </c>
      <c r="H73" s="487" t="s">
        <v>114</v>
      </c>
      <c r="I73" s="80">
        <f t="shared" si="9"/>
        <v>1.7426999999999999</v>
      </c>
      <c r="J73" s="517">
        <f t="shared" si="5"/>
        <v>1.2</v>
      </c>
      <c r="K73" s="483" t="str">
        <f t="shared" si="6"/>
        <v>Sobresaliente</v>
      </c>
    </row>
    <row r="74" spans="1:15" x14ac:dyDescent="0.25">
      <c r="A74" s="489" t="s">
        <v>425</v>
      </c>
      <c r="B74" s="476">
        <v>44681</v>
      </c>
      <c r="C74" s="285" t="s">
        <v>91</v>
      </c>
      <c r="D74" s="491">
        <v>1</v>
      </c>
      <c r="E74" s="530">
        <f t="shared" si="7"/>
        <v>100</v>
      </c>
      <c r="F74" s="491">
        <v>28.720300000000002</v>
      </c>
      <c r="G74" s="532">
        <f t="shared" si="8"/>
        <v>2872.03</v>
      </c>
      <c r="H74" s="487" t="s">
        <v>114</v>
      </c>
      <c r="I74" s="80">
        <f t="shared" si="9"/>
        <v>28.720300000000002</v>
      </c>
      <c r="J74" s="517">
        <f t="shared" si="5"/>
        <v>1.2</v>
      </c>
      <c r="K74" s="483" t="str">
        <f t="shared" si="6"/>
        <v>Sobresaliente</v>
      </c>
    </row>
    <row r="75" spans="1:15" x14ac:dyDescent="0.25">
      <c r="A75" s="489" t="s">
        <v>426</v>
      </c>
      <c r="B75" s="476">
        <v>44681</v>
      </c>
      <c r="C75" s="285" t="s">
        <v>91</v>
      </c>
      <c r="D75" s="491">
        <v>8.4068000000000005</v>
      </c>
      <c r="E75" s="530">
        <f t="shared" si="7"/>
        <v>840.68000000000006</v>
      </c>
      <c r="F75" s="491">
        <v>28.720300000000002</v>
      </c>
      <c r="G75" s="532">
        <f t="shared" si="8"/>
        <v>2872.03</v>
      </c>
      <c r="H75" s="487" t="s">
        <v>114</v>
      </c>
      <c r="I75" s="80">
        <f t="shared" si="9"/>
        <v>3.4163177427796545</v>
      </c>
      <c r="J75" s="517">
        <f t="shared" si="5"/>
        <v>1.2</v>
      </c>
      <c r="K75" s="483" t="str">
        <f t="shared" si="6"/>
        <v>Sobresaliente</v>
      </c>
    </row>
    <row r="76" spans="1:15" x14ac:dyDescent="0.25">
      <c r="A76" s="489" t="s">
        <v>429</v>
      </c>
      <c r="B76" s="476">
        <v>44681</v>
      </c>
      <c r="C76" s="285" t="s">
        <v>91</v>
      </c>
      <c r="D76" s="491">
        <v>0.34229999999999999</v>
      </c>
      <c r="E76" s="530">
        <f t="shared" si="7"/>
        <v>34.229999999999997</v>
      </c>
      <c r="F76" s="491">
        <v>0.23580000000000001</v>
      </c>
      <c r="G76" s="532">
        <f t="shared" si="8"/>
        <v>23.580000000000002</v>
      </c>
      <c r="H76" s="487" t="s">
        <v>114</v>
      </c>
      <c r="I76" s="80">
        <f t="shared" si="9"/>
        <v>0.68886941279579317</v>
      </c>
      <c r="J76" s="517">
        <f t="shared" si="5"/>
        <v>0.68886941279579317</v>
      </c>
      <c r="K76" s="483" t="str">
        <f t="shared" si="6"/>
        <v>Incumple</v>
      </c>
    </row>
    <row r="77" spans="1:15" x14ac:dyDescent="0.25">
      <c r="A77" s="489" t="s">
        <v>356</v>
      </c>
      <c r="B77" s="476">
        <v>44681</v>
      </c>
      <c r="C77" s="285" t="s">
        <v>93</v>
      </c>
      <c r="D77" s="491">
        <v>0.378</v>
      </c>
      <c r="E77" s="530">
        <f t="shared" si="7"/>
        <v>37.799999999999997</v>
      </c>
      <c r="F77" s="491">
        <v>1.9298</v>
      </c>
      <c r="G77" s="532">
        <f t="shared" si="8"/>
        <v>192.98</v>
      </c>
      <c r="H77" s="487" t="s">
        <v>114</v>
      </c>
      <c r="I77" s="80">
        <f t="shared" si="9"/>
        <v>5.1052910052910052</v>
      </c>
      <c r="J77" s="517">
        <f t="shared" si="5"/>
        <v>1.2</v>
      </c>
      <c r="K77" s="483" t="str">
        <f t="shared" si="6"/>
        <v>Sobresaliente</v>
      </c>
    </row>
    <row r="78" spans="1:15" x14ac:dyDescent="0.25">
      <c r="A78" s="489" t="s">
        <v>428</v>
      </c>
      <c r="B78" s="476">
        <v>44681</v>
      </c>
      <c r="C78" s="285" t="s">
        <v>93</v>
      </c>
      <c r="D78" s="491">
        <v>0.14030000000000001</v>
      </c>
      <c r="E78" s="530">
        <f t="shared" si="7"/>
        <v>14.030000000000001</v>
      </c>
      <c r="F78" s="491">
        <v>0.1237</v>
      </c>
      <c r="G78" s="532">
        <f t="shared" si="8"/>
        <v>12.370000000000001</v>
      </c>
      <c r="H78" s="487" t="s">
        <v>114</v>
      </c>
      <c r="I78" s="80">
        <f t="shared" si="9"/>
        <v>0.88168210976478967</v>
      </c>
      <c r="J78" s="517">
        <f t="shared" si="5"/>
        <v>0.88168210976478967</v>
      </c>
      <c r="K78" s="483" t="str">
        <f t="shared" si="6"/>
        <v>Tolerable</v>
      </c>
    </row>
    <row r="79" spans="1:15" x14ac:dyDescent="0.25">
      <c r="A79" s="489" t="s">
        <v>427</v>
      </c>
      <c r="B79" s="476">
        <v>44681</v>
      </c>
      <c r="C79" s="285" t="s">
        <v>93</v>
      </c>
      <c r="D79" s="491">
        <v>7.9699999999999993E-2</v>
      </c>
      <c r="E79" s="530">
        <f t="shared" si="7"/>
        <v>7.9699999999999989</v>
      </c>
      <c r="F79" s="491">
        <v>-5.4399999999999997E-2</v>
      </c>
      <c r="G79" s="532">
        <f t="shared" si="8"/>
        <v>-5.4399999999999995</v>
      </c>
      <c r="H79" s="487" t="s">
        <v>114</v>
      </c>
      <c r="I79" s="80">
        <f t="shared" si="9"/>
        <v>-0.68255959849435388</v>
      </c>
      <c r="J79" s="517">
        <f t="shared" si="5"/>
        <v>0</v>
      </c>
      <c r="K79" s="483" t="str">
        <f t="shared" si="6"/>
        <v>Incumple</v>
      </c>
    </row>
    <row r="80" spans="1:15" x14ac:dyDescent="0.25">
      <c r="A80" s="489" t="s">
        <v>64</v>
      </c>
      <c r="B80" s="476">
        <v>44681</v>
      </c>
      <c r="C80" s="285" t="s">
        <v>93</v>
      </c>
      <c r="D80" s="491">
        <v>-0.4667</v>
      </c>
      <c r="E80" s="530">
        <f t="shared" si="7"/>
        <v>-46.67</v>
      </c>
      <c r="F80" s="491">
        <v>0</v>
      </c>
      <c r="G80" s="532">
        <f t="shared" si="8"/>
        <v>0</v>
      </c>
      <c r="H80" s="487" t="s">
        <v>114</v>
      </c>
      <c r="I80" s="80" t="str">
        <f t="shared" si="9"/>
        <v>N/A</v>
      </c>
      <c r="J80" s="517">
        <f t="shared" si="5"/>
        <v>1.2</v>
      </c>
      <c r="K80" s="483" t="str">
        <f t="shared" si="6"/>
        <v>Sobresaliente</v>
      </c>
    </row>
    <row r="81" spans="1:11" x14ac:dyDescent="0.25">
      <c r="A81" s="489" t="s">
        <v>67</v>
      </c>
      <c r="B81" s="476">
        <v>44681</v>
      </c>
      <c r="C81" s="285" t="s">
        <v>93</v>
      </c>
      <c r="D81" s="491">
        <v>1</v>
      </c>
      <c r="E81" s="530">
        <f t="shared" si="7"/>
        <v>100</v>
      </c>
      <c r="F81" s="491">
        <v>0.34189999999999998</v>
      </c>
      <c r="G81" s="532">
        <f t="shared" si="8"/>
        <v>34.19</v>
      </c>
      <c r="H81" s="487" t="s">
        <v>114</v>
      </c>
      <c r="I81" s="80">
        <f t="shared" si="9"/>
        <v>0.34189999999999998</v>
      </c>
      <c r="J81" s="517">
        <f t="shared" si="5"/>
        <v>0.34189999999999998</v>
      </c>
      <c r="K81" s="483" t="str">
        <f t="shared" si="6"/>
        <v>Incumple</v>
      </c>
    </row>
    <row r="82" spans="1:11" x14ac:dyDescent="0.25">
      <c r="A82" s="489" t="s">
        <v>425</v>
      </c>
      <c r="B82" s="476">
        <v>44681</v>
      </c>
      <c r="C82" s="285" t="s">
        <v>93</v>
      </c>
      <c r="D82" s="491">
        <v>1</v>
      </c>
      <c r="E82" s="530">
        <f t="shared" si="7"/>
        <v>100</v>
      </c>
      <c r="F82" s="491">
        <v>0.56859999999999999</v>
      </c>
      <c r="G82" s="532">
        <f t="shared" si="8"/>
        <v>56.86</v>
      </c>
      <c r="H82" s="487" t="s">
        <v>114</v>
      </c>
      <c r="I82" s="80">
        <f t="shared" si="9"/>
        <v>0.56859999999999999</v>
      </c>
      <c r="J82" s="517">
        <f t="shared" si="5"/>
        <v>0.56859999999999999</v>
      </c>
      <c r="K82" s="483" t="str">
        <f t="shared" si="6"/>
        <v>Incumple</v>
      </c>
    </row>
    <row r="83" spans="1:11" x14ac:dyDescent="0.25">
      <c r="A83" s="489" t="s">
        <v>426</v>
      </c>
      <c r="B83" s="476">
        <v>44681</v>
      </c>
      <c r="C83" s="285" t="s">
        <v>93</v>
      </c>
      <c r="D83" s="491">
        <v>4.665</v>
      </c>
      <c r="E83" s="530">
        <f t="shared" si="7"/>
        <v>466.5</v>
      </c>
      <c r="F83" s="491">
        <v>2.94</v>
      </c>
      <c r="G83" s="532">
        <f t="shared" si="8"/>
        <v>294</v>
      </c>
      <c r="H83" s="487" t="s">
        <v>114</v>
      </c>
      <c r="I83" s="80">
        <f t="shared" si="9"/>
        <v>0.63022508038585212</v>
      </c>
      <c r="J83" s="517">
        <f t="shared" si="5"/>
        <v>0.63022508038585212</v>
      </c>
      <c r="K83" s="483" t="str">
        <f t="shared" si="6"/>
        <v>Incumple</v>
      </c>
    </row>
    <row r="84" spans="1:11" x14ac:dyDescent="0.25">
      <c r="A84" s="489" t="s">
        <v>429</v>
      </c>
      <c r="B84" s="476">
        <v>44681</v>
      </c>
      <c r="C84" s="285" t="s">
        <v>93</v>
      </c>
      <c r="D84" s="491">
        <v>0.17119999999999999</v>
      </c>
      <c r="E84" s="530">
        <f t="shared" si="7"/>
        <v>17.119999999999997</v>
      </c>
      <c r="F84" s="491">
        <v>0.34899999999999998</v>
      </c>
      <c r="G84" s="532">
        <f t="shared" si="8"/>
        <v>34.9</v>
      </c>
      <c r="H84" s="487" t="s">
        <v>114</v>
      </c>
      <c r="I84" s="80">
        <f t="shared" si="9"/>
        <v>2.0385514018691588</v>
      </c>
      <c r="J84" s="517">
        <f t="shared" si="5"/>
        <v>1.2</v>
      </c>
      <c r="K84" s="483" t="str">
        <f t="shared" si="6"/>
        <v>Sobresaliente</v>
      </c>
    </row>
    <row r="85" spans="1:11" x14ac:dyDescent="0.25">
      <c r="A85" s="489" t="s">
        <v>356</v>
      </c>
      <c r="B85" s="476">
        <v>44681</v>
      </c>
      <c r="C85" s="285" t="s">
        <v>95</v>
      </c>
      <c r="D85" s="491">
        <v>0.78539999999999999</v>
      </c>
      <c r="E85" s="530">
        <f t="shared" si="7"/>
        <v>78.539999999999992</v>
      </c>
      <c r="F85" s="491">
        <v>2.4904000000000002</v>
      </c>
      <c r="G85" s="532">
        <f t="shared" si="8"/>
        <v>249.04000000000002</v>
      </c>
      <c r="H85" s="487" t="s">
        <v>114</v>
      </c>
      <c r="I85" s="80">
        <f t="shared" si="9"/>
        <v>3.1708683473389359</v>
      </c>
      <c r="J85" s="517">
        <f t="shared" si="5"/>
        <v>1.2</v>
      </c>
      <c r="K85" s="483" t="str">
        <f t="shared" si="6"/>
        <v>Sobresaliente</v>
      </c>
    </row>
    <row r="86" spans="1:11" x14ac:dyDescent="0.25">
      <c r="A86" s="489" t="s">
        <v>428</v>
      </c>
      <c r="B86" s="476">
        <v>44681</v>
      </c>
      <c r="C86" s="285" t="s">
        <v>95</v>
      </c>
      <c r="D86" s="491">
        <v>0.14030000000000001</v>
      </c>
      <c r="E86" s="530">
        <f t="shared" si="7"/>
        <v>14.030000000000001</v>
      </c>
      <c r="F86" s="491">
        <v>0.14879999999999999</v>
      </c>
      <c r="G86" s="532">
        <f t="shared" si="8"/>
        <v>14.879999999999999</v>
      </c>
      <c r="H86" s="487" t="s">
        <v>114</v>
      </c>
      <c r="I86" s="80">
        <f t="shared" si="9"/>
        <v>1.0605844618674267</v>
      </c>
      <c r="J86" s="517">
        <f t="shared" si="5"/>
        <v>1.0605844618674267</v>
      </c>
      <c r="K86" s="483" t="str">
        <f t="shared" si="6"/>
        <v>Sobresaliente</v>
      </c>
    </row>
    <row r="87" spans="1:11" x14ac:dyDescent="0.25">
      <c r="A87" s="489" t="s">
        <v>427</v>
      </c>
      <c r="B87" s="476">
        <v>44681</v>
      </c>
      <c r="C87" s="285" t="s">
        <v>95</v>
      </c>
      <c r="D87" s="491">
        <v>7.9699999999999993E-2</v>
      </c>
      <c r="E87" s="530">
        <f t="shared" si="7"/>
        <v>7.9699999999999989</v>
      </c>
      <c r="F87" s="491">
        <v>3.8300000000000001E-2</v>
      </c>
      <c r="G87" s="532">
        <f t="shared" si="8"/>
        <v>3.83</v>
      </c>
      <c r="H87" s="487" t="s">
        <v>114</v>
      </c>
      <c r="I87" s="80">
        <f t="shared" si="9"/>
        <v>0.48055207026348812</v>
      </c>
      <c r="J87" s="517">
        <f t="shared" si="5"/>
        <v>0.48055207026348812</v>
      </c>
      <c r="K87" s="483" t="str">
        <f t="shared" si="6"/>
        <v>Incumple</v>
      </c>
    </row>
    <row r="88" spans="1:11" x14ac:dyDescent="0.25">
      <c r="A88" s="489" t="s">
        <v>64</v>
      </c>
      <c r="B88" s="476">
        <v>44681</v>
      </c>
      <c r="C88" s="285" t="s">
        <v>95</v>
      </c>
      <c r="D88" s="491">
        <v>3</v>
      </c>
      <c r="E88" s="530">
        <f t="shared" si="7"/>
        <v>300</v>
      </c>
      <c r="F88" s="491">
        <v>0.83330000000000004</v>
      </c>
      <c r="G88" s="532">
        <f t="shared" si="8"/>
        <v>83.33</v>
      </c>
      <c r="H88" s="487" t="s">
        <v>114</v>
      </c>
      <c r="I88" s="80">
        <f t="shared" si="9"/>
        <v>0.27776666666666666</v>
      </c>
      <c r="J88" s="517">
        <f t="shared" si="5"/>
        <v>0.27776666666666666</v>
      </c>
      <c r="K88" s="483" t="str">
        <f t="shared" si="6"/>
        <v>Incumple</v>
      </c>
    </row>
    <row r="89" spans="1:11" x14ac:dyDescent="0.25">
      <c r="A89" s="489" t="s">
        <v>67</v>
      </c>
      <c r="B89" s="476">
        <v>44681</v>
      </c>
      <c r="C89" s="285" t="s">
        <v>95</v>
      </c>
      <c r="D89" s="491">
        <v>1</v>
      </c>
      <c r="E89" s="530">
        <f t="shared" si="7"/>
        <v>100</v>
      </c>
      <c r="F89" s="491">
        <v>0.13009999999999999</v>
      </c>
      <c r="G89" s="532">
        <f t="shared" si="8"/>
        <v>13.01</v>
      </c>
      <c r="H89" s="487" t="s">
        <v>114</v>
      </c>
      <c r="I89" s="80">
        <f t="shared" si="9"/>
        <v>0.13009999999999999</v>
      </c>
      <c r="J89" s="517">
        <f t="shared" si="5"/>
        <v>0.13009999999999999</v>
      </c>
      <c r="K89" s="483" t="str">
        <f t="shared" si="6"/>
        <v>Incumple</v>
      </c>
    </row>
    <row r="90" spans="1:11" x14ac:dyDescent="0.25">
      <c r="A90" s="489" t="s">
        <v>425</v>
      </c>
      <c r="B90" s="476">
        <v>44681</v>
      </c>
      <c r="C90" s="285" t="s">
        <v>95</v>
      </c>
      <c r="D90" s="491">
        <v>1</v>
      </c>
      <c r="E90" s="530">
        <f t="shared" si="7"/>
        <v>100</v>
      </c>
      <c r="F90" s="491">
        <v>0.1638</v>
      </c>
      <c r="G90" s="532">
        <f t="shared" si="8"/>
        <v>16.38</v>
      </c>
      <c r="H90" s="487" t="s">
        <v>114</v>
      </c>
      <c r="I90" s="80">
        <f t="shared" si="9"/>
        <v>0.1638</v>
      </c>
      <c r="J90" s="517">
        <f t="shared" si="5"/>
        <v>0.1638</v>
      </c>
      <c r="K90" s="483" t="str">
        <f t="shared" si="6"/>
        <v>Incumple</v>
      </c>
    </row>
    <row r="91" spans="1:11" x14ac:dyDescent="0.25">
      <c r="A91" s="489" t="s">
        <v>426</v>
      </c>
      <c r="B91" s="476">
        <v>44681</v>
      </c>
      <c r="C91" s="285" t="s">
        <v>95</v>
      </c>
      <c r="D91" s="491">
        <v>0.1739</v>
      </c>
      <c r="E91" s="530">
        <f t="shared" si="7"/>
        <v>17.39</v>
      </c>
      <c r="F91" s="491">
        <v>-0.14910000000000001</v>
      </c>
      <c r="G91" s="532">
        <f t="shared" si="8"/>
        <v>-14.91</v>
      </c>
      <c r="H91" s="487" t="s">
        <v>114</v>
      </c>
      <c r="I91" s="80">
        <f t="shared" si="9"/>
        <v>-0.85738930419781489</v>
      </c>
      <c r="J91" s="517">
        <f t="shared" si="5"/>
        <v>0</v>
      </c>
      <c r="K91" s="483" t="str">
        <f t="shared" si="6"/>
        <v>Incumple</v>
      </c>
    </row>
    <row r="92" spans="1:11" x14ac:dyDescent="0.25">
      <c r="A92" s="489" t="s">
        <v>429</v>
      </c>
      <c r="B92" s="476">
        <v>44681</v>
      </c>
      <c r="C92" s="285" t="s">
        <v>95</v>
      </c>
      <c r="D92" s="491">
        <v>0.34920000000000001</v>
      </c>
      <c r="E92" s="530">
        <f t="shared" si="7"/>
        <v>34.92</v>
      </c>
      <c r="F92" s="491">
        <v>0.2482</v>
      </c>
      <c r="G92" s="532">
        <f t="shared" si="8"/>
        <v>24.82</v>
      </c>
      <c r="H92" s="487" t="s">
        <v>114</v>
      </c>
      <c r="I92" s="80">
        <f t="shared" si="9"/>
        <v>0.71076746849942729</v>
      </c>
      <c r="J92" s="517">
        <f t="shared" ref="J92" si="10">+IF(I92&lt;0,0%,IF(I92&gt;120%,120%,I92))</f>
        <v>0.71076746849942729</v>
      </c>
      <c r="K92" s="483" t="str">
        <f t="shared" ref="K92" si="11">+IF(J92&lt;79.99999%,"Incumple",IF(AND(J92&gt;=80%,J92&lt;94.999999%),"Tolerable",IF(AND(J92&gt;=95%,J92&lt;100%),"Satisfactorio","Sobresaliente")))</f>
        <v>Incumple</v>
      </c>
    </row>
    <row r="93" spans="1:11" x14ac:dyDescent="0.25">
      <c r="A93" s="592" t="s">
        <v>356</v>
      </c>
      <c r="B93" s="476">
        <v>44651</v>
      </c>
      <c r="C93" s="285" t="s">
        <v>60</v>
      </c>
      <c r="D93" s="491">
        <v>3.1703999999999999</v>
      </c>
      <c r="E93" s="530">
        <f t="shared" ref="E93:E110" si="12">+D93*100</f>
        <v>317.03999999999996</v>
      </c>
      <c r="F93" s="491">
        <v>5.5762999999999998</v>
      </c>
      <c r="G93" s="532">
        <f t="shared" ref="G93:G110" si="13">+F93*100</f>
        <v>557.63</v>
      </c>
      <c r="H93" s="487" t="s">
        <v>114</v>
      </c>
      <c r="I93" s="80">
        <f t="shared" ref="I93:I156" si="14">+IFERROR(IF(H93="Creciente",IF(AND(F93&lt;0,D93&lt;0),1-(F93-D93)/D93,IF(F93&lt;0,IFERROR(F93/D93,0),IF(D93&lt;0,1+((F93-D93)/F93),F93/D93))),IF(AND(F93&lt;0,D93&lt;0),(D93*-1)/(F93*-1),IF(F93&lt;0,(F93-D93)/F93,IF(D93&lt;0,-1+(F93-D93)/D93,IF(H93="Decreciente",1+(D93-F93)/D93,F93/D93))))),"N/A")</f>
        <v>1.7588632349230382</v>
      </c>
      <c r="J93" s="517">
        <f t="shared" ref="J93:J110" si="15">+IF(I93&lt;0,0%,IF(I93&gt;120%,120%,I93))</f>
        <v>1.2</v>
      </c>
      <c r="K93" s="483" t="str">
        <f t="shared" ref="K93:K110" si="16">+IF(J93&lt;79.99999%,"Incumple",IF(AND(J93&gt;=80%,J93&lt;94.999999%),"Tolerable",IF(AND(J93&gt;=95%,J93&lt;100%),"Satisfactorio","Sobresaliente")))</f>
        <v>Sobresaliente</v>
      </c>
    </row>
    <row r="94" spans="1:11" x14ac:dyDescent="0.25">
      <c r="A94" s="489" t="s">
        <v>416</v>
      </c>
      <c r="B94" s="476">
        <v>44651</v>
      </c>
      <c r="C94" s="285" t="s">
        <v>60</v>
      </c>
      <c r="D94" s="491">
        <v>1</v>
      </c>
      <c r="E94" s="530">
        <f t="shared" si="12"/>
        <v>100</v>
      </c>
      <c r="F94" s="491">
        <v>1</v>
      </c>
      <c r="G94" s="532">
        <f t="shared" si="13"/>
        <v>100</v>
      </c>
      <c r="H94" s="487" t="s">
        <v>114</v>
      </c>
      <c r="I94" s="80">
        <f t="shared" si="14"/>
        <v>1</v>
      </c>
      <c r="J94" s="517">
        <f t="shared" si="15"/>
        <v>1</v>
      </c>
      <c r="K94" s="483" t="str">
        <f t="shared" si="16"/>
        <v>Sobresaliente</v>
      </c>
    </row>
    <row r="95" spans="1:11" x14ac:dyDescent="0.25">
      <c r="A95" s="489" t="s">
        <v>428</v>
      </c>
      <c r="B95" s="476">
        <v>44651</v>
      </c>
      <c r="C95" s="285" t="s">
        <v>60</v>
      </c>
      <c r="D95" s="491">
        <v>0.14030000000000001</v>
      </c>
      <c r="E95" s="530">
        <f t="shared" si="12"/>
        <v>14.030000000000001</v>
      </c>
      <c r="F95" s="491">
        <v>6.08E-2</v>
      </c>
      <c r="G95" s="532">
        <f t="shared" si="13"/>
        <v>6.08</v>
      </c>
      <c r="H95" s="487" t="s">
        <v>114</v>
      </c>
      <c r="I95" s="80">
        <f t="shared" si="14"/>
        <v>0.43335709194583033</v>
      </c>
      <c r="J95" s="517">
        <f t="shared" si="15"/>
        <v>0.43335709194583033</v>
      </c>
      <c r="K95" s="483" t="str">
        <f t="shared" si="16"/>
        <v>Incumple</v>
      </c>
    </row>
    <row r="96" spans="1:11" x14ac:dyDescent="0.25">
      <c r="A96" s="489" t="s">
        <v>427</v>
      </c>
      <c r="B96" s="476">
        <v>44651</v>
      </c>
      <c r="C96" s="285" t="s">
        <v>60</v>
      </c>
      <c r="D96" s="491">
        <v>7.9899999999999999E-2</v>
      </c>
      <c r="E96" s="530">
        <f t="shared" si="12"/>
        <v>7.99</v>
      </c>
      <c r="F96" s="491">
        <v>1.4E-2</v>
      </c>
      <c r="G96" s="532">
        <f t="shared" si="13"/>
        <v>1.4000000000000001</v>
      </c>
      <c r="H96" s="487" t="s">
        <v>114</v>
      </c>
      <c r="I96" s="80">
        <f t="shared" si="14"/>
        <v>0.17521902377972468</v>
      </c>
      <c r="J96" s="517">
        <f t="shared" si="15"/>
        <v>0.17521902377972468</v>
      </c>
      <c r="K96" s="483" t="str">
        <f t="shared" si="16"/>
        <v>Incumple</v>
      </c>
    </row>
    <row r="97" spans="1:11" x14ac:dyDescent="0.25">
      <c r="A97" s="489" t="s">
        <v>64</v>
      </c>
      <c r="B97" s="476">
        <v>44651</v>
      </c>
      <c r="C97" s="285" t="s">
        <v>60</v>
      </c>
      <c r="D97" s="491">
        <v>0.1341</v>
      </c>
      <c r="E97" s="530">
        <f t="shared" si="12"/>
        <v>13.41</v>
      </c>
      <c r="F97" s="491">
        <v>2.8799999999999999E-2</v>
      </c>
      <c r="G97" s="532">
        <f t="shared" si="13"/>
        <v>2.88</v>
      </c>
      <c r="H97" s="487" t="s">
        <v>114</v>
      </c>
      <c r="I97" s="80">
        <f t="shared" si="14"/>
        <v>0.21476510067114093</v>
      </c>
      <c r="J97" s="517">
        <f t="shared" si="15"/>
        <v>0.21476510067114093</v>
      </c>
      <c r="K97" s="483" t="str">
        <f t="shared" si="16"/>
        <v>Incumple</v>
      </c>
    </row>
    <row r="98" spans="1:11" x14ac:dyDescent="0.25">
      <c r="A98" s="489" t="s">
        <v>67</v>
      </c>
      <c r="B98" s="476">
        <v>44651</v>
      </c>
      <c r="C98" s="285" t="s">
        <v>60</v>
      </c>
      <c r="D98" s="491">
        <v>1</v>
      </c>
      <c r="E98" s="530">
        <f t="shared" si="12"/>
        <v>100</v>
      </c>
      <c r="F98" s="491">
        <v>0.46960000000000002</v>
      </c>
      <c r="G98" s="532">
        <f t="shared" si="13"/>
        <v>46.96</v>
      </c>
      <c r="H98" s="487" t="s">
        <v>114</v>
      </c>
      <c r="I98" s="80">
        <f t="shared" si="14"/>
        <v>0.46960000000000002</v>
      </c>
      <c r="J98" s="517">
        <f t="shared" si="15"/>
        <v>0.46960000000000002</v>
      </c>
      <c r="K98" s="483" t="str">
        <f t="shared" si="16"/>
        <v>Incumple</v>
      </c>
    </row>
    <row r="99" spans="1:11" x14ac:dyDescent="0.25">
      <c r="A99" s="489" t="s">
        <v>425</v>
      </c>
      <c r="B99" s="476">
        <v>44651</v>
      </c>
      <c r="C99" s="285" t="s">
        <v>60</v>
      </c>
      <c r="D99" s="491">
        <v>1</v>
      </c>
      <c r="E99" s="530">
        <f t="shared" si="12"/>
        <v>100</v>
      </c>
      <c r="F99" s="491">
        <v>0.9415</v>
      </c>
      <c r="G99" s="532">
        <f t="shared" si="13"/>
        <v>94.15</v>
      </c>
      <c r="H99" s="487" t="s">
        <v>114</v>
      </c>
      <c r="I99" s="80">
        <f t="shared" si="14"/>
        <v>0.9415</v>
      </c>
      <c r="J99" s="517">
        <f t="shared" si="15"/>
        <v>0.9415</v>
      </c>
      <c r="K99" s="483" t="str">
        <f t="shared" si="16"/>
        <v>Tolerable</v>
      </c>
    </row>
    <row r="100" spans="1:11" x14ac:dyDescent="0.25">
      <c r="A100" s="489" t="s">
        <v>426</v>
      </c>
      <c r="B100" s="476">
        <v>44651</v>
      </c>
      <c r="C100" s="285" t="s">
        <v>60</v>
      </c>
      <c r="D100" s="491">
        <v>9.9252000000000002</v>
      </c>
      <c r="E100" s="530">
        <f t="shared" si="12"/>
        <v>992.52</v>
      </c>
      <c r="F100" s="491">
        <v>8.3263999999999996</v>
      </c>
      <c r="G100" s="532">
        <f t="shared" si="13"/>
        <v>832.64</v>
      </c>
      <c r="H100" s="487" t="s">
        <v>114</v>
      </c>
      <c r="I100" s="80">
        <f t="shared" si="14"/>
        <v>0.83891508483456245</v>
      </c>
      <c r="J100" s="517">
        <f t="shared" si="15"/>
        <v>0.83891508483456245</v>
      </c>
      <c r="K100" s="483" t="str">
        <f t="shared" si="16"/>
        <v>Tolerable</v>
      </c>
    </row>
    <row r="101" spans="1:11" x14ac:dyDescent="0.25">
      <c r="A101" s="489" t="s">
        <v>429</v>
      </c>
      <c r="B101" s="476">
        <v>44651</v>
      </c>
      <c r="C101" s="285" t="s">
        <v>60</v>
      </c>
      <c r="D101" s="491">
        <v>5.8200000000000002E-2</v>
      </c>
      <c r="E101" s="530">
        <f t="shared" si="12"/>
        <v>5.82</v>
      </c>
      <c r="F101" s="491">
        <v>8.2600000000000007E-2</v>
      </c>
      <c r="G101" s="532">
        <f t="shared" si="13"/>
        <v>8.2600000000000016</v>
      </c>
      <c r="H101" s="487" t="s">
        <v>114</v>
      </c>
      <c r="I101" s="80">
        <f t="shared" si="14"/>
        <v>1.4192439862542956</v>
      </c>
      <c r="J101" s="517">
        <f t="shared" si="15"/>
        <v>1.2</v>
      </c>
      <c r="K101" s="483" t="str">
        <f t="shared" si="16"/>
        <v>Sobresaliente</v>
      </c>
    </row>
    <row r="102" spans="1:11" s="255" customFormat="1" x14ac:dyDescent="0.25">
      <c r="A102" s="489" t="s">
        <v>356</v>
      </c>
      <c r="B102" s="476">
        <v>44651</v>
      </c>
      <c r="C102" s="285" t="s">
        <v>74</v>
      </c>
      <c r="D102" s="491">
        <v>1.2785</v>
      </c>
      <c r="E102" s="530">
        <f t="shared" si="12"/>
        <v>127.85</v>
      </c>
      <c r="F102" s="491">
        <v>1.7388999999999999</v>
      </c>
      <c r="G102" s="532">
        <f t="shared" si="13"/>
        <v>173.89</v>
      </c>
      <c r="H102" s="487" t="s">
        <v>114</v>
      </c>
      <c r="I102" s="80">
        <f t="shared" si="14"/>
        <v>1.3601095033242081</v>
      </c>
      <c r="J102" s="517">
        <f t="shared" si="15"/>
        <v>1.2</v>
      </c>
      <c r="K102" s="483" t="str">
        <f t="shared" si="16"/>
        <v>Sobresaliente</v>
      </c>
    </row>
    <row r="103" spans="1:11" x14ac:dyDescent="0.25">
      <c r="A103" s="489" t="s">
        <v>416</v>
      </c>
      <c r="B103" s="476">
        <v>44651</v>
      </c>
      <c r="C103" s="285" t="s">
        <v>74</v>
      </c>
      <c r="D103" s="491">
        <v>1</v>
      </c>
      <c r="E103" s="530">
        <f t="shared" si="12"/>
        <v>100</v>
      </c>
      <c r="F103" s="491">
        <v>1</v>
      </c>
      <c r="G103" s="532">
        <f t="shared" si="13"/>
        <v>100</v>
      </c>
      <c r="H103" s="487" t="s">
        <v>114</v>
      </c>
      <c r="I103" s="80">
        <f t="shared" si="14"/>
        <v>1</v>
      </c>
      <c r="J103" s="517">
        <f t="shared" si="15"/>
        <v>1</v>
      </c>
      <c r="K103" s="483" t="str">
        <f t="shared" si="16"/>
        <v>Sobresaliente</v>
      </c>
    </row>
    <row r="104" spans="1:11" x14ac:dyDescent="0.25">
      <c r="A104" s="489" t="s">
        <v>428</v>
      </c>
      <c r="B104" s="476">
        <v>44651</v>
      </c>
      <c r="C104" s="285" t="s">
        <v>74</v>
      </c>
      <c r="D104" s="491">
        <v>0.14030000000000001</v>
      </c>
      <c r="E104" s="530">
        <f t="shared" si="12"/>
        <v>14.030000000000001</v>
      </c>
      <c r="F104" s="491">
        <v>0.20599999999999999</v>
      </c>
      <c r="G104" s="532">
        <f t="shared" si="13"/>
        <v>20.599999999999998</v>
      </c>
      <c r="H104" s="487" t="s">
        <v>114</v>
      </c>
      <c r="I104" s="80">
        <f t="shared" si="14"/>
        <v>1.4682822523164645</v>
      </c>
      <c r="J104" s="517">
        <f t="shared" si="15"/>
        <v>1.2</v>
      </c>
      <c r="K104" s="483" t="str">
        <f t="shared" si="16"/>
        <v>Sobresaliente</v>
      </c>
    </row>
    <row r="105" spans="1:11" x14ac:dyDescent="0.25">
      <c r="A105" s="489" t="s">
        <v>427</v>
      </c>
      <c r="B105" s="476">
        <v>44651</v>
      </c>
      <c r="C105" s="285" t="s">
        <v>74</v>
      </c>
      <c r="D105" s="491">
        <v>7.9899999999999999E-2</v>
      </c>
      <c r="E105" s="530">
        <f t="shared" si="12"/>
        <v>7.99</v>
      </c>
      <c r="F105" s="491">
        <v>0.1336</v>
      </c>
      <c r="G105" s="532">
        <f t="shared" si="13"/>
        <v>13.36</v>
      </c>
      <c r="H105" s="487" t="s">
        <v>114</v>
      </c>
      <c r="I105" s="80">
        <f t="shared" si="14"/>
        <v>1.672090112640801</v>
      </c>
      <c r="J105" s="517">
        <f t="shared" si="15"/>
        <v>1.2</v>
      </c>
      <c r="K105" s="483" t="str">
        <f t="shared" si="16"/>
        <v>Sobresaliente</v>
      </c>
    </row>
    <row r="106" spans="1:11" x14ac:dyDescent="0.25">
      <c r="A106" s="489" t="s">
        <v>64</v>
      </c>
      <c r="B106" s="476">
        <v>44651</v>
      </c>
      <c r="C106" s="285" t="s">
        <v>74</v>
      </c>
      <c r="D106" s="491">
        <v>0.50519999999999998</v>
      </c>
      <c r="E106" s="530">
        <f t="shared" si="12"/>
        <v>50.519999999999996</v>
      </c>
      <c r="F106" s="491">
        <v>0.38059999999999999</v>
      </c>
      <c r="G106" s="532">
        <f t="shared" si="13"/>
        <v>38.06</v>
      </c>
      <c r="H106" s="487" t="s">
        <v>114</v>
      </c>
      <c r="I106" s="80">
        <f t="shared" si="14"/>
        <v>0.75336500395882822</v>
      </c>
      <c r="J106" s="517">
        <f t="shared" si="15"/>
        <v>0.75336500395882822</v>
      </c>
      <c r="K106" s="483" t="str">
        <f t="shared" si="16"/>
        <v>Incumple</v>
      </c>
    </row>
    <row r="107" spans="1:11" x14ac:dyDescent="0.25">
      <c r="A107" s="489" t="s">
        <v>67</v>
      </c>
      <c r="B107" s="476">
        <v>44651</v>
      </c>
      <c r="C107" s="285" t="s">
        <v>74</v>
      </c>
      <c r="D107" s="491">
        <v>1</v>
      </c>
      <c r="E107" s="530">
        <f t="shared" si="12"/>
        <v>100</v>
      </c>
      <c r="F107" s="491">
        <v>0.93769999999999998</v>
      </c>
      <c r="G107" s="532">
        <f t="shared" si="13"/>
        <v>93.77</v>
      </c>
      <c r="H107" s="487" t="s">
        <v>114</v>
      </c>
      <c r="I107" s="80">
        <f t="shared" si="14"/>
        <v>0.93769999999999998</v>
      </c>
      <c r="J107" s="517">
        <f t="shared" si="15"/>
        <v>0.93769999999999998</v>
      </c>
      <c r="K107" s="483" t="str">
        <f t="shared" si="16"/>
        <v>Tolerable</v>
      </c>
    </row>
    <row r="108" spans="1:11" x14ac:dyDescent="0.25">
      <c r="A108" s="489" t="s">
        <v>425</v>
      </c>
      <c r="B108" s="476">
        <v>44651</v>
      </c>
      <c r="C108" s="285" t="s">
        <v>74</v>
      </c>
      <c r="D108" s="491">
        <v>1</v>
      </c>
      <c r="E108" s="530">
        <f t="shared" si="12"/>
        <v>100</v>
      </c>
      <c r="F108" s="491">
        <v>1.2479</v>
      </c>
      <c r="G108" s="532">
        <f t="shared" si="13"/>
        <v>124.79</v>
      </c>
      <c r="H108" s="487" t="s">
        <v>114</v>
      </c>
      <c r="I108" s="80">
        <f t="shared" si="14"/>
        <v>1.2479</v>
      </c>
      <c r="J108" s="517">
        <f t="shared" si="15"/>
        <v>1.2</v>
      </c>
      <c r="K108" s="483" t="str">
        <f t="shared" si="16"/>
        <v>Sobresaliente</v>
      </c>
    </row>
    <row r="109" spans="1:11" x14ac:dyDescent="0.25">
      <c r="A109" s="489" t="s">
        <v>426</v>
      </c>
      <c r="B109" s="476">
        <v>44651</v>
      </c>
      <c r="C109" s="285" t="s">
        <v>74</v>
      </c>
      <c r="D109" s="491">
        <v>1.7806999999999999</v>
      </c>
      <c r="E109" s="530">
        <f t="shared" si="12"/>
        <v>178.07</v>
      </c>
      <c r="F109" s="491">
        <v>8.2363</v>
      </c>
      <c r="G109" s="532">
        <f t="shared" si="13"/>
        <v>823.63</v>
      </c>
      <c r="H109" s="487" t="s">
        <v>114</v>
      </c>
      <c r="I109" s="80">
        <f t="shared" si="14"/>
        <v>4.6253158870107258</v>
      </c>
      <c r="J109" s="517">
        <f t="shared" si="15"/>
        <v>1.2</v>
      </c>
      <c r="K109" s="483" t="str">
        <f t="shared" si="16"/>
        <v>Sobresaliente</v>
      </c>
    </row>
    <row r="110" spans="1:11" x14ac:dyDescent="0.25">
      <c r="A110" s="489" t="s">
        <v>429</v>
      </c>
      <c r="B110" s="476">
        <v>44651</v>
      </c>
      <c r="C110" s="285" t="s">
        <v>74</v>
      </c>
      <c r="D110" s="491">
        <v>3.8300000000000001E-2</v>
      </c>
      <c r="E110" s="530">
        <f t="shared" si="12"/>
        <v>3.83</v>
      </c>
      <c r="F110" s="491">
        <v>1.3100000000000001E-2</v>
      </c>
      <c r="G110" s="532">
        <f t="shared" si="13"/>
        <v>1.31</v>
      </c>
      <c r="H110" s="487" t="s">
        <v>114</v>
      </c>
      <c r="I110" s="80">
        <f t="shared" si="14"/>
        <v>0.34203655352480417</v>
      </c>
      <c r="J110" s="517">
        <f t="shared" si="15"/>
        <v>0.34203655352480417</v>
      </c>
      <c r="K110" s="483" t="str">
        <f t="shared" si="16"/>
        <v>Incumple</v>
      </c>
    </row>
    <row r="111" spans="1:11" x14ac:dyDescent="0.25">
      <c r="A111" s="489" t="s">
        <v>416</v>
      </c>
      <c r="B111" s="476">
        <v>44651</v>
      </c>
      <c r="C111" s="285" t="s">
        <v>386</v>
      </c>
      <c r="D111" s="491">
        <v>1</v>
      </c>
      <c r="E111" s="530">
        <f t="shared" ref="E111:E124" si="17">+D111*100</f>
        <v>100</v>
      </c>
      <c r="F111" s="491">
        <v>1</v>
      </c>
      <c r="G111" s="532">
        <f t="shared" ref="G111:G124" si="18">+F111*100</f>
        <v>100</v>
      </c>
      <c r="H111" s="487" t="s">
        <v>114</v>
      </c>
      <c r="I111" s="80">
        <f t="shared" si="14"/>
        <v>1</v>
      </c>
      <c r="J111" s="517">
        <f t="shared" ref="J111:J125" si="19">+IF(I111&lt;0,0%,IF(I111&gt;120%,120%,I111))</f>
        <v>1</v>
      </c>
      <c r="K111" s="483" t="str">
        <f t="shared" ref="K111:K125" si="20">+IF(J111&lt;79.99999%,"Incumple",IF(AND(J111&gt;=80%,J111&lt;94.999999%),"Tolerable",IF(AND(J111&gt;=95%,J111&lt;100%),"Satisfactorio","Sobresaliente")))</f>
        <v>Sobresaliente</v>
      </c>
    </row>
    <row r="112" spans="1:11" x14ac:dyDescent="0.25">
      <c r="A112" s="489" t="s">
        <v>428</v>
      </c>
      <c r="B112" s="476">
        <v>44651</v>
      </c>
      <c r="C112" s="285" t="s">
        <v>386</v>
      </c>
      <c r="D112" s="491">
        <v>8.1199999999999994E-2</v>
      </c>
      <c r="E112" s="530">
        <f t="shared" si="17"/>
        <v>8.1199999999999992</v>
      </c>
      <c r="F112" s="491">
        <v>6.0400000000000002E-2</v>
      </c>
      <c r="G112" s="532">
        <f t="shared" si="18"/>
        <v>6.04</v>
      </c>
      <c r="H112" s="487" t="s">
        <v>114</v>
      </c>
      <c r="I112" s="80">
        <f t="shared" si="14"/>
        <v>0.7438423645320198</v>
      </c>
      <c r="J112" s="517">
        <f t="shared" si="19"/>
        <v>0.7438423645320198</v>
      </c>
      <c r="K112" s="483" t="str">
        <f t="shared" si="20"/>
        <v>Incumple</v>
      </c>
    </row>
    <row r="113" spans="1:11" x14ac:dyDescent="0.25">
      <c r="A113" s="489" t="s">
        <v>427</v>
      </c>
      <c r="B113" s="476">
        <v>44651</v>
      </c>
      <c r="C113" s="285" t="s">
        <v>386</v>
      </c>
      <c r="D113" s="491">
        <v>7.9899999999999999E-2</v>
      </c>
      <c r="E113" s="530">
        <f t="shared" si="17"/>
        <v>7.99</v>
      </c>
      <c r="F113" s="491">
        <v>9.3899999999999997E-2</v>
      </c>
      <c r="G113" s="532">
        <f t="shared" si="18"/>
        <v>9.39</v>
      </c>
      <c r="H113" s="487" t="s">
        <v>114</v>
      </c>
      <c r="I113" s="80">
        <f t="shared" si="14"/>
        <v>1.1752190237797246</v>
      </c>
      <c r="J113" s="517">
        <f t="shared" si="19"/>
        <v>1.1752190237797246</v>
      </c>
      <c r="K113" s="483" t="str">
        <f t="shared" si="20"/>
        <v>Sobresaliente</v>
      </c>
    </row>
    <row r="114" spans="1:11" x14ac:dyDescent="0.25">
      <c r="A114" s="489" t="s">
        <v>64</v>
      </c>
      <c r="B114" s="476">
        <v>44651</v>
      </c>
      <c r="C114" s="285" t="s">
        <v>386</v>
      </c>
      <c r="D114" s="491">
        <v>0.28739999999999999</v>
      </c>
      <c r="E114" s="530">
        <f t="shared" si="17"/>
        <v>28.74</v>
      </c>
      <c r="F114" s="491">
        <v>0.122</v>
      </c>
      <c r="G114" s="532">
        <f t="shared" si="18"/>
        <v>12.2</v>
      </c>
      <c r="H114" s="487" t="s">
        <v>114</v>
      </c>
      <c r="I114" s="80">
        <f t="shared" si="14"/>
        <v>0.4244954766875435</v>
      </c>
      <c r="J114" s="517">
        <f t="shared" si="19"/>
        <v>0.4244954766875435</v>
      </c>
      <c r="K114" s="483" t="str">
        <f t="shared" si="20"/>
        <v>Incumple</v>
      </c>
    </row>
    <row r="115" spans="1:11" x14ac:dyDescent="0.25">
      <c r="A115" s="489" t="s">
        <v>67</v>
      </c>
      <c r="B115" s="476">
        <v>44651</v>
      </c>
      <c r="C115" s="285" t="s">
        <v>386</v>
      </c>
      <c r="D115" s="491">
        <v>1</v>
      </c>
      <c r="E115" s="530">
        <f t="shared" si="17"/>
        <v>100</v>
      </c>
      <c r="F115" s="491">
        <v>0.92069999999999996</v>
      </c>
      <c r="G115" s="532">
        <f t="shared" si="18"/>
        <v>92.07</v>
      </c>
      <c r="H115" s="487" t="s">
        <v>114</v>
      </c>
      <c r="I115" s="80">
        <f t="shared" si="14"/>
        <v>0.92069999999999996</v>
      </c>
      <c r="J115" s="517">
        <f t="shared" si="19"/>
        <v>0.92069999999999996</v>
      </c>
      <c r="K115" s="483" t="str">
        <f t="shared" si="20"/>
        <v>Tolerable</v>
      </c>
    </row>
    <row r="116" spans="1:11" x14ac:dyDescent="0.25">
      <c r="A116" s="489" t="s">
        <v>425</v>
      </c>
      <c r="B116" s="476">
        <v>44651</v>
      </c>
      <c r="C116" s="285" t="s">
        <v>386</v>
      </c>
      <c r="D116" s="491">
        <v>1</v>
      </c>
      <c r="E116" s="530">
        <f t="shared" si="17"/>
        <v>100</v>
      </c>
      <c r="F116" s="491">
        <v>1.1373</v>
      </c>
      <c r="G116" s="532">
        <f t="shared" si="18"/>
        <v>113.73</v>
      </c>
      <c r="H116" s="487" t="s">
        <v>114</v>
      </c>
      <c r="I116" s="80">
        <f t="shared" si="14"/>
        <v>1.1373</v>
      </c>
      <c r="J116" s="517">
        <f t="shared" si="19"/>
        <v>1.1373</v>
      </c>
      <c r="K116" s="483" t="str">
        <f t="shared" si="20"/>
        <v>Sobresaliente</v>
      </c>
    </row>
    <row r="117" spans="1:11" x14ac:dyDescent="0.25">
      <c r="A117" s="489" t="s">
        <v>356</v>
      </c>
      <c r="B117" s="476">
        <v>44651</v>
      </c>
      <c r="C117" s="285" t="s">
        <v>81</v>
      </c>
      <c r="D117" s="491">
        <v>3.7408999999999999</v>
      </c>
      <c r="E117" s="530">
        <f t="shared" si="17"/>
        <v>374.09</v>
      </c>
      <c r="F117" s="491">
        <v>2.6981999999999999</v>
      </c>
      <c r="G117" s="532">
        <f t="shared" si="18"/>
        <v>269.82</v>
      </c>
      <c r="H117" s="487" t="s">
        <v>114</v>
      </c>
      <c r="I117" s="80">
        <f t="shared" si="14"/>
        <v>0.72127028255232695</v>
      </c>
      <c r="J117" s="517">
        <f t="shared" si="19"/>
        <v>0.72127028255232695</v>
      </c>
      <c r="K117" s="483" t="str">
        <f t="shared" si="20"/>
        <v>Incumple</v>
      </c>
    </row>
    <row r="118" spans="1:11" x14ac:dyDescent="0.25">
      <c r="A118" s="489" t="s">
        <v>416</v>
      </c>
      <c r="B118" s="476">
        <v>44651</v>
      </c>
      <c r="C118" s="285" t="str">
        <f>+'Detalle Regiones'!BF52</f>
        <v>Suroeste</v>
      </c>
      <c r="D118" s="491">
        <v>1</v>
      </c>
      <c r="E118" s="530">
        <f t="shared" si="17"/>
        <v>100</v>
      </c>
      <c r="F118" s="491">
        <v>1</v>
      </c>
      <c r="G118" s="532">
        <f t="shared" si="18"/>
        <v>100</v>
      </c>
      <c r="H118" s="487" t="s">
        <v>114</v>
      </c>
      <c r="I118" s="80">
        <f t="shared" si="14"/>
        <v>1</v>
      </c>
      <c r="J118" s="517">
        <f>+IF(I118&lt;0,0%,IF(I118&gt;120%,120%,I118))</f>
        <v>1</v>
      </c>
      <c r="K118" s="483" t="str">
        <f>+IF(I118&lt;79.99999%,"Incumple",IF(AND(I118&gt;=80%,I118&lt;94.999999%),"Tolerable",IF(AND(I118&gt;=95%,I118&lt;100%),"Satisfactorio","Sobresaliente")))</f>
        <v>Sobresaliente</v>
      </c>
    </row>
    <row r="119" spans="1:11" x14ac:dyDescent="0.25">
      <c r="A119" s="489" t="s">
        <v>428</v>
      </c>
      <c r="B119" s="476">
        <v>44651</v>
      </c>
      <c r="C119" s="285" t="s">
        <v>81</v>
      </c>
      <c r="D119" s="491">
        <v>0.14030000000000001</v>
      </c>
      <c r="E119" s="530">
        <f t="shared" si="17"/>
        <v>14.030000000000001</v>
      </c>
      <c r="F119" s="491">
        <v>0.2021</v>
      </c>
      <c r="G119" s="532">
        <f t="shared" si="18"/>
        <v>20.21</v>
      </c>
      <c r="H119" s="487" t="s">
        <v>114</v>
      </c>
      <c r="I119" s="80">
        <f t="shared" si="14"/>
        <v>1.4404846756949394</v>
      </c>
      <c r="J119" s="517">
        <f t="shared" si="19"/>
        <v>1.2</v>
      </c>
      <c r="K119" s="483" t="str">
        <f t="shared" si="20"/>
        <v>Sobresaliente</v>
      </c>
    </row>
    <row r="120" spans="1:11" x14ac:dyDescent="0.25">
      <c r="A120" s="489" t="s">
        <v>427</v>
      </c>
      <c r="B120" s="476">
        <v>44651</v>
      </c>
      <c r="C120" s="285" t="s">
        <v>81</v>
      </c>
      <c r="D120" s="491">
        <v>7.9899999999999999E-2</v>
      </c>
      <c r="E120" s="530">
        <f t="shared" si="17"/>
        <v>7.99</v>
      </c>
      <c r="F120" s="491">
        <v>8.1199999999999994E-2</v>
      </c>
      <c r="G120" s="532">
        <f t="shared" si="18"/>
        <v>8.1199999999999992</v>
      </c>
      <c r="H120" s="487" t="s">
        <v>114</v>
      </c>
      <c r="I120" s="80">
        <f t="shared" si="14"/>
        <v>1.016270337922403</v>
      </c>
      <c r="J120" s="517">
        <f t="shared" si="19"/>
        <v>1.016270337922403</v>
      </c>
      <c r="K120" s="483" t="str">
        <f t="shared" si="20"/>
        <v>Sobresaliente</v>
      </c>
    </row>
    <row r="121" spans="1:11" x14ac:dyDescent="0.25">
      <c r="A121" s="489" t="s">
        <v>64</v>
      </c>
      <c r="B121" s="476">
        <v>44651</v>
      </c>
      <c r="C121" s="285" t="s">
        <v>81</v>
      </c>
      <c r="D121" s="491">
        <v>-0.73580000000000001</v>
      </c>
      <c r="E121" s="530">
        <f t="shared" si="17"/>
        <v>-73.58</v>
      </c>
      <c r="F121" s="491">
        <v>5.4100000000000002E-2</v>
      </c>
      <c r="G121" s="532">
        <f t="shared" si="18"/>
        <v>5.41</v>
      </c>
      <c r="H121" s="487" t="s">
        <v>114</v>
      </c>
      <c r="I121" s="80">
        <f t="shared" si="14"/>
        <v>15.600739371534196</v>
      </c>
      <c r="J121" s="517">
        <f t="shared" si="19"/>
        <v>1.2</v>
      </c>
      <c r="K121" s="483" t="str">
        <f t="shared" si="20"/>
        <v>Sobresaliente</v>
      </c>
    </row>
    <row r="122" spans="1:11" x14ac:dyDescent="0.25">
      <c r="A122" s="489" t="s">
        <v>67</v>
      </c>
      <c r="B122" s="476">
        <v>44651</v>
      </c>
      <c r="C122" s="285" t="s">
        <v>81</v>
      </c>
      <c r="D122" s="491">
        <v>1</v>
      </c>
      <c r="E122" s="530">
        <f t="shared" si="17"/>
        <v>100</v>
      </c>
      <c r="F122" s="491">
        <v>0.61409999999999998</v>
      </c>
      <c r="G122" s="532">
        <f t="shared" si="18"/>
        <v>61.41</v>
      </c>
      <c r="H122" s="487" t="s">
        <v>114</v>
      </c>
      <c r="I122" s="80">
        <f t="shared" si="14"/>
        <v>0.61409999999999998</v>
      </c>
      <c r="J122" s="517">
        <f t="shared" si="19"/>
        <v>0.61409999999999998</v>
      </c>
      <c r="K122" s="483" t="str">
        <f t="shared" si="20"/>
        <v>Incumple</v>
      </c>
    </row>
    <row r="123" spans="1:11" x14ac:dyDescent="0.25">
      <c r="A123" s="489" t="s">
        <v>425</v>
      </c>
      <c r="B123" s="476">
        <v>44651</v>
      </c>
      <c r="C123" s="285" t="s">
        <v>81</v>
      </c>
      <c r="D123" s="491">
        <v>1</v>
      </c>
      <c r="E123" s="530">
        <f t="shared" si="17"/>
        <v>100</v>
      </c>
      <c r="F123" s="491">
        <v>1.8611</v>
      </c>
      <c r="G123" s="532">
        <f t="shared" si="18"/>
        <v>186.10999999999999</v>
      </c>
      <c r="H123" s="487" t="s">
        <v>114</v>
      </c>
      <c r="I123" s="80">
        <f t="shared" si="14"/>
        <v>1.8611</v>
      </c>
      <c r="J123" s="517">
        <f t="shared" si="19"/>
        <v>1.2</v>
      </c>
      <c r="K123" s="483" t="str">
        <f t="shared" si="20"/>
        <v>Sobresaliente</v>
      </c>
    </row>
    <row r="124" spans="1:11" x14ac:dyDescent="0.25">
      <c r="A124" s="489" t="s">
        <v>426</v>
      </c>
      <c r="B124" s="476">
        <v>44651</v>
      </c>
      <c r="C124" s="285" t="s">
        <v>81</v>
      </c>
      <c r="D124" s="491">
        <v>1.7529999999999999</v>
      </c>
      <c r="E124" s="530">
        <f t="shared" si="17"/>
        <v>175.29999999999998</v>
      </c>
      <c r="F124" s="491">
        <v>-0.3523</v>
      </c>
      <c r="G124" s="532">
        <f t="shared" si="18"/>
        <v>-35.229999999999997</v>
      </c>
      <c r="H124" s="487" t="s">
        <v>114</v>
      </c>
      <c r="I124" s="80">
        <f t="shared" si="14"/>
        <v>-0.20096976611523104</v>
      </c>
      <c r="J124" s="517">
        <f t="shared" si="19"/>
        <v>0</v>
      </c>
      <c r="K124" s="483" t="str">
        <f t="shared" si="20"/>
        <v>Incumple</v>
      </c>
    </row>
    <row r="125" spans="1:11" x14ac:dyDescent="0.25">
      <c r="A125" s="489" t="s">
        <v>429</v>
      </c>
      <c r="B125" s="476">
        <v>44651</v>
      </c>
      <c r="C125" s="285" t="s">
        <v>81</v>
      </c>
      <c r="D125" s="491">
        <v>7.8600000000000003E-2</v>
      </c>
      <c r="E125" s="530">
        <f t="shared" ref="E125:E156" si="21">+D125*100</f>
        <v>7.86</v>
      </c>
      <c r="F125" s="491">
        <v>0.13500000000000001</v>
      </c>
      <c r="G125" s="532">
        <f t="shared" ref="G125:G156" si="22">+F125*100</f>
        <v>13.5</v>
      </c>
      <c r="H125" s="487" t="s">
        <v>114</v>
      </c>
      <c r="I125" s="80">
        <f t="shared" si="14"/>
        <v>1.717557251908397</v>
      </c>
      <c r="J125" s="517">
        <f t="shared" si="19"/>
        <v>1.2</v>
      </c>
      <c r="K125" s="483" t="str">
        <f t="shared" si="20"/>
        <v>Sobresaliente</v>
      </c>
    </row>
    <row r="126" spans="1:11" x14ac:dyDescent="0.25">
      <c r="A126" s="489" t="s">
        <v>356</v>
      </c>
      <c r="B126" s="476">
        <v>44651</v>
      </c>
      <c r="C126" s="285" t="s">
        <v>83</v>
      </c>
      <c r="D126" s="491">
        <v>0.40129999999999999</v>
      </c>
      <c r="E126" s="530">
        <f t="shared" si="21"/>
        <v>40.129999999999995</v>
      </c>
      <c r="F126" s="491">
        <v>2.3290999999999999</v>
      </c>
      <c r="G126" s="532">
        <f t="shared" si="22"/>
        <v>232.91</v>
      </c>
      <c r="H126" s="487" t="s">
        <v>114</v>
      </c>
      <c r="I126" s="80">
        <f t="shared" si="14"/>
        <v>5.8038873660603043</v>
      </c>
      <c r="J126" s="517">
        <f t="shared" ref="J126:J156" si="23">+IF(I126&lt;0,0%,IF(I126&gt;120%,120%,I126))</f>
        <v>1.2</v>
      </c>
      <c r="K126" s="483" t="str">
        <f t="shared" ref="K126:K156" si="24">+IF(J126&lt;79.99999%,"Incumple",IF(AND(J126&gt;=80%,J126&lt;94.999999%),"Tolerable",IF(AND(J126&gt;=95%,J126&lt;100%),"Satisfactorio","Sobresaliente")))</f>
        <v>Sobresaliente</v>
      </c>
    </row>
    <row r="127" spans="1:11" x14ac:dyDescent="0.25">
      <c r="A127" s="489" t="s">
        <v>416</v>
      </c>
      <c r="B127" s="476">
        <v>44651</v>
      </c>
      <c r="C127" s="285" t="s">
        <v>83</v>
      </c>
      <c r="D127" s="491">
        <v>1</v>
      </c>
      <c r="E127" s="530">
        <f t="shared" si="21"/>
        <v>100</v>
      </c>
      <c r="F127" s="491">
        <v>1</v>
      </c>
      <c r="G127" s="532">
        <f t="shared" si="22"/>
        <v>100</v>
      </c>
      <c r="H127" s="487" t="s">
        <v>114</v>
      </c>
      <c r="I127" s="80">
        <f t="shared" si="14"/>
        <v>1</v>
      </c>
      <c r="J127" s="517">
        <f t="shared" si="23"/>
        <v>1</v>
      </c>
      <c r="K127" s="483" t="str">
        <f t="shared" si="24"/>
        <v>Sobresaliente</v>
      </c>
    </row>
    <row r="128" spans="1:11" x14ac:dyDescent="0.25">
      <c r="A128" s="489" t="s">
        <v>428</v>
      </c>
      <c r="B128" s="476">
        <v>44651</v>
      </c>
      <c r="C128" s="285" t="s">
        <v>83</v>
      </c>
      <c r="D128" s="491">
        <v>0.14030000000000001</v>
      </c>
      <c r="E128" s="530">
        <f t="shared" si="21"/>
        <v>14.030000000000001</v>
      </c>
      <c r="F128" s="491">
        <v>0.1173</v>
      </c>
      <c r="G128" s="532">
        <f t="shared" si="22"/>
        <v>11.73</v>
      </c>
      <c r="H128" s="487" t="s">
        <v>114</v>
      </c>
      <c r="I128" s="80">
        <f t="shared" si="14"/>
        <v>0.83606557377049173</v>
      </c>
      <c r="J128" s="517">
        <f t="shared" si="23"/>
        <v>0.83606557377049173</v>
      </c>
      <c r="K128" s="483" t="str">
        <f t="shared" si="24"/>
        <v>Tolerable</v>
      </c>
    </row>
    <row r="129" spans="1:11" x14ac:dyDescent="0.25">
      <c r="A129" s="489" t="s">
        <v>427</v>
      </c>
      <c r="B129" s="476">
        <v>44651</v>
      </c>
      <c r="C129" s="285" t="s">
        <v>83</v>
      </c>
      <c r="D129" s="491">
        <v>7.9899999999999999E-2</v>
      </c>
      <c r="E129" s="530">
        <f t="shared" si="21"/>
        <v>7.99</v>
      </c>
      <c r="F129" s="491">
        <v>4.5600000000000002E-2</v>
      </c>
      <c r="G129" s="532">
        <f t="shared" si="22"/>
        <v>4.5600000000000005</v>
      </c>
      <c r="H129" s="487" t="s">
        <v>114</v>
      </c>
      <c r="I129" s="80">
        <f t="shared" si="14"/>
        <v>0.57071339173967461</v>
      </c>
      <c r="J129" s="517">
        <f t="shared" si="23"/>
        <v>0.57071339173967461</v>
      </c>
      <c r="K129" s="483" t="str">
        <f t="shared" si="24"/>
        <v>Incumple</v>
      </c>
    </row>
    <row r="130" spans="1:11" x14ac:dyDescent="0.25">
      <c r="A130" s="489" t="s">
        <v>64</v>
      </c>
      <c r="B130" s="476">
        <v>44651</v>
      </c>
      <c r="C130" s="285" t="s">
        <v>83</v>
      </c>
      <c r="D130" s="491">
        <v>-0.61219999999999997</v>
      </c>
      <c r="E130" s="530">
        <f t="shared" si="21"/>
        <v>-61.22</v>
      </c>
      <c r="F130" s="491">
        <v>-1.6500000000000001E-2</v>
      </c>
      <c r="G130" s="532">
        <f t="shared" si="22"/>
        <v>-1.6500000000000001</v>
      </c>
      <c r="H130" s="487" t="s">
        <v>114</v>
      </c>
      <c r="I130" s="80">
        <f t="shared" si="14"/>
        <v>1.9730480235217249</v>
      </c>
      <c r="J130" s="517">
        <f t="shared" si="23"/>
        <v>1.2</v>
      </c>
      <c r="K130" s="483" t="str">
        <f t="shared" si="24"/>
        <v>Sobresaliente</v>
      </c>
    </row>
    <row r="131" spans="1:11" x14ac:dyDescent="0.25">
      <c r="A131" s="489" t="s">
        <v>67</v>
      </c>
      <c r="B131" s="476">
        <v>44651</v>
      </c>
      <c r="C131" s="285" t="s">
        <v>83</v>
      </c>
      <c r="D131" s="491">
        <v>1</v>
      </c>
      <c r="E131" s="530">
        <f t="shared" si="21"/>
        <v>100</v>
      </c>
      <c r="F131" s="491">
        <v>0.38329999999999997</v>
      </c>
      <c r="G131" s="532">
        <f t="shared" si="22"/>
        <v>38.33</v>
      </c>
      <c r="H131" s="487" t="s">
        <v>114</v>
      </c>
      <c r="I131" s="80">
        <f t="shared" si="14"/>
        <v>0.38329999999999997</v>
      </c>
      <c r="J131" s="517">
        <f t="shared" si="23"/>
        <v>0.38329999999999997</v>
      </c>
      <c r="K131" s="483" t="str">
        <f t="shared" si="24"/>
        <v>Incumple</v>
      </c>
    </row>
    <row r="132" spans="1:11" x14ac:dyDescent="0.25">
      <c r="A132" s="489" t="s">
        <v>425</v>
      </c>
      <c r="B132" s="476">
        <v>44651</v>
      </c>
      <c r="C132" s="285" t="s">
        <v>83</v>
      </c>
      <c r="D132" s="491">
        <v>1</v>
      </c>
      <c r="E132" s="530">
        <f t="shared" si="21"/>
        <v>100</v>
      </c>
      <c r="F132" s="491">
        <v>1.3036099999999999</v>
      </c>
      <c r="G132" s="532">
        <f t="shared" si="22"/>
        <v>130.36099999999999</v>
      </c>
      <c r="H132" s="487" t="s">
        <v>114</v>
      </c>
      <c r="I132" s="80">
        <f t="shared" si="14"/>
        <v>1.3036099999999999</v>
      </c>
      <c r="J132" s="517">
        <f t="shared" si="23"/>
        <v>1.2</v>
      </c>
      <c r="K132" s="483" t="str">
        <f t="shared" si="24"/>
        <v>Sobresaliente</v>
      </c>
    </row>
    <row r="133" spans="1:11" x14ac:dyDescent="0.25">
      <c r="A133" s="489" t="s">
        <v>426</v>
      </c>
      <c r="B133" s="476">
        <v>44651</v>
      </c>
      <c r="C133" s="285" t="s">
        <v>83</v>
      </c>
      <c r="D133" s="491">
        <v>8.4599999999999995E-2</v>
      </c>
      <c r="E133" s="530">
        <f t="shared" si="21"/>
        <v>8.4599999999999991</v>
      </c>
      <c r="F133" s="491">
        <v>1.2055</v>
      </c>
      <c r="G133" s="532">
        <f t="shared" si="22"/>
        <v>120.55</v>
      </c>
      <c r="H133" s="487" t="s">
        <v>114</v>
      </c>
      <c r="I133" s="80">
        <f t="shared" si="14"/>
        <v>14.249408983451538</v>
      </c>
      <c r="J133" s="517">
        <f t="shared" si="23"/>
        <v>1.2</v>
      </c>
      <c r="K133" s="483" t="str">
        <f t="shared" si="24"/>
        <v>Sobresaliente</v>
      </c>
    </row>
    <row r="134" spans="1:11" x14ac:dyDescent="0.25">
      <c r="A134" s="489" t="s">
        <v>429</v>
      </c>
      <c r="B134" s="476">
        <v>44651</v>
      </c>
      <c r="C134" s="285" t="s">
        <v>83</v>
      </c>
      <c r="D134" s="491">
        <v>0.35089999999999999</v>
      </c>
      <c r="E134" s="530">
        <f t="shared" si="21"/>
        <v>35.089999999999996</v>
      </c>
      <c r="F134" s="491">
        <v>0.1293</v>
      </c>
      <c r="G134" s="532">
        <f t="shared" si="22"/>
        <v>12.93</v>
      </c>
      <c r="H134" s="487" t="s">
        <v>114</v>
      </c>
      <c r="I134" s="80">
        <f t="shared" si="14"/>
        <v>0.36848104873183246</v>
      </c>
      <c r="J134" s="517">
        <f t="shared" si="23"/>
        <v>0.36848104873183246</v>
      </c>
      <c r="K134" s="483" t="str">
        <f t="shared" si="24"/>
        <v>Incumple</v>
      </c>
    </row>
    <row r="135" spans="1:11" x14ac:dyDescent="0.25">
      <c r="A135" s="489" t="s">
        <v>356</v>
      </c>
      <c r="B135" s="476">
        <v>44651</v>
      </c>
      <c r="C135" s="285" t="s">
        <v>85</v>
      </c>
      <c r="D135" s="491">
        <v>1.5405</v>
      </c>
      <c r="E135" s="530">
        <f t="shared" si="21"/>
        <v>154.05000000000001</v>
      </c>
      <c r="F135" s="491">
        <v>4.2706999999999997</v>
      </c>
      <c r="G135" s="532">
        <f t="shared" si="22"/>
        <v>427.07</v>
      </c>
      <c r="H135" s="487" t="s">
        <v>114</v>
      </c>
      <c r="I135" s="80">
        <f t="shared" si="14"/>
        <v>2.7722817267121065</v>
      </c>
      <c r="J135" s="517">
        <f t="shared" si="23"/>
        <v>1.2</v>
      </c>
      <c r="K135" s="483" t="str">
        <f t="shared" si="24"/>
        <v>Sobresaliente</v>
      </c>
    </row>
    <row r="136" spans="1:11" x14ac:dyDescent="0.25">
      <c r="A136" s="489" t="s">
        <v>416</v>
      </c>
      <c r="B136" s="476">
        <v>44651</v>
      </c>
      <c r="C136" s="285" t="s">
        <v>85</v>
      </c>
      <c r="D136" s="491">
        <v>1</v>
      </c>
      <c r="E136" s="530">
        <f t="shared" si="21"/>
        <v>100</v>
      </c>
      <c r="F136" s="491">
        <v>1</v>
      </c>
      <c r="G136" s="532">
        <f t="shared" si="22"/>
        <v>100</v>
      </c>
      <c r="H136" s="487" t="s">
        <v>114</v>
      </c>
      <c r="I136" s="80">
        <f t="shared" si="14"/>
        <v>1</v>
      </c>
      <c r="J136" s="517">
        <f t="shared" si="23"/>
        <v>1</v>
      </c>
      <c r="K136" s="483" t="str">
        <f t="shared" si="24"/>
        <v>Sobresaliente</v>
      </c>
    </row>
    <row r="137" spans="1:11" x14ac:dyDescent="0.25">
      <c r="A137" s="489" t="s">
        <v>428</v>
      </c>
      <c r="B137" s="476">
        <v>44651</v>
      </c>
      <c r="C137" s="285" t="s">
        <v>85</v>
      </c>
      <c r="D137" s="491">
        <v>0.14030000000000001</v>
      </c>
      <c r="E137" s="530">
        <f t="shared" si="21"/>
        <v>14.030000000000001</v>
      </c>
      <c r="F137" s="491">
        <v>6.2700000000000006E-2</v>
      </c>
      <c r="G137" s="532">
        <f t="shared" si="22"/>
        <v>6.2700000000000005</v>
      </c>
      <c r="H137" s="487" t="s">
        <v>114</v>
      </c>
      <c r="I137" s="80">
        <f t="shared" si="14"/>
        <v>0.44689950106913756</v>
      </c>
      <c r="J137" s="517">
        <f t="shared" si="23"/>
        <v>0.44689950106913756</v>
      </c>
      <c r="K137" s="483" t="str">
        <f t="shared" si="24"/>
        <v>Incumple</v>
      </c>
    </row>
    <row r="138" spans="1:11" x14ac:dyDescent="0.25">
      <c r="A138" s="489" t="s">
        <v>427</v>
      </c>
      <c r="B138" s="476">
        <v>44651</v>
      </c>
      <c r="C138" s="285" t="s">
        <v>85</v>
      </c>
      <c r="D138" s="491">
        <v>7.9899999999999999E-2</v>
      </c>
      <c r="E138" s="530">
        <f t="shared" si="21"/>
        <v>7.99</v>
      </c>
      <c r="F138" s="491">
        <v>-3.5099999999999999E-2</v>
      </c>
      <c r="G138" s="532">
        <f t="shared" si="22"/>
        <v>-3.51</v>
      </c>
      <c r="H138" s="487" t="s">
        <v>114</v>
      </c>
      <c r="I138" s="80">
        <f t="shared" si="14"/>
        <v>-0.43929912390488107</v>
      </c>
      <c r="J138" s="517">
        <f t="shared" si="23"/>
        <v>0</v>
      </c>
      <c r="K138" s="483" t="str">
        <f t="shared" si="24"/>
        <v>Incumple</v>
      </c>
    </row>
    <row r="139" spans="1:11" x14ac:dyDescent="0.25">
      <c r="A139" s="489" t="s">
        <v>64</v>
      </c>
      <c r="B139" s="476">
        <v>44651</v>
      </c>
      <c r="C139" s="285" t="s">
        <v>85</v>
      </c>
      <c r="D139" s="491">
        <v>-2.7E-2</v>
      </c>
      <c r="E139" s="530">
        <f t="shared" si="21"/>
        <v>-2.7</v>
      </c>
      <c r="F139" s="491">
        <v>-0.24390000000000001</v>
      </c>
      <c r="G139" s="532">
        <f t="shared" si="22"/>
        <v>-24.39</v>
      </c>
      <c r="H139" s="487" t="s">
        <v>114</v>
      </c>
      <c r="I139" s="80">
        <f t="shared" si="14"/>
        <v>-7.0333333333333332</v>
      </c>
      <c r="J139" s="517">
        <f t="shared" si="23"/>
        <v>0</v>
      </c>
      <c r="K139" s="483" t="str">
        <f t="shared" si="24"/>
        <v>Incumple</v>
      </c>
    </row>
    <row r="140" spans="1:11" x14ac:dyDescent="0.25">
      <c r="A140" s="489" t="s">
        <v>67</v>
      </c>
      <c r="B140" s="476">
        <v>44651</v>
      </c>
      <c r="C140" s="285" t="s">
        <v>85</v>
      </c>
      <c r="D140" s="491">
        <v>1</v>
      </c>
      <c r="E140" s="530">
        <f t="shared" si="21"/>
        <v>100</v>
      </c>
      <c r="F140" s="491">
        <v>0.1762</v>
      </c>
      <c r="G140" s="532">
        <f t="shared" si="22"/>
        <v>17.62</v>
      </c>
      <c r="H140" s="487" t="s">
        <v>114</v>
      </c>
      <c r="I140" s="80">
        <f t="shared" si="14"/>
        <v>0.1762</v>
      </c>
      <c r="J140" s="517">
        <f t="shared" si="23"/>
        <v>0.1762</v>
      </c>
      <c r="K140" s="483" t="str">
        <f t="shared" si="24"/>
        <v>Incumple</v>
      </c>
    </row>
    <row r="141" spans="1:11" x14ac:dyDescent="0.25">
      <c r="A141" s="489" t="s">
        <v>425</v>
      </c>
      <c r="B141" s="476">
        <v>44651</v>
      </c>
      <c r="C141" s="285" t="s">
        <v>85</v>
      </c>
      <c r="D141" s="491">
        <v>1</v>
      </c>
      <c r="E141" s="530">
        <f t="shared" si="21"/>
        <v>100</v>
      </c>
      <c r="F141" s="491">
        <v>0.47149999999999997</v>
      </c>
      <c r="G141" s="532">
        <f t="shared" si="22"/>
        <v>47.15</v>
      </c>
      <c r="H141" s="487" t="s">
        <v>114</v>
      </c>
      <c r="I141" s="80">
        <f t="shared" si="14"/>
        <v>0.47149999999999997</v>
      </c>
      <c r="J141" s="517">
        <f t="shared" si="23"/>
        <v>0.47149999999999997</v>
      </c>
      <c r="K141" s="483" t="str">
        <f t="shared" si="24"/>
        <v>Incumple</v>
      </c>
    </row>
    <row r="142" spans="1:11" x14ac:dyDescent="0.25">
      <c r="A142" s="489" t="s">
        <v>426</v>
      </c>
      <c r="B142" s="476">
        <v>44651</v>
      </c>
      <c r="C142" s="285" t="s">
        <v>85</v>
      </c>
      <c r="D142" s="491">
        <v>-0.33850000000000002</v>
      </c>
      <c r="E142" s="530">
        <f t="shared" si="21"/>
        <v>-33.85</v>
      </c>
      <c r="F142" s="491">
        <v>-0.62480000000000002</v>
      </c>
      <c r="G142" s="532">
        <f t="shared" si="22"/>
        <v>-62.480000000000004</v>
      </c>
      <c r="H142" s="487" t="s">
        <v>114</v>
      </c>
      <c r="I142" s="80">
        <f t="shared" si="14"/>
        <v>0.15420974889217143</v>
      </c>
      <c r="J142" s="517">
        <f t="shared" si="23"/>
        <v>0.15420974889217143</v>
      </c>
      <c r="K142" s="483" t="str">
        <f t="shared" si="24"/>
        <v>Incumple</v>
      </c>
    </row>
    <row r="143" spans="1:11" x14ac:dyDescent="0.25">
      <c r="A143" s="489" t="s">
        <v>429</v>
      </c>
      <c r="B143" s="476">
        <v>44651</v>
      </c>
      <c r="C143" s="285" t="s">
        <v>85</v>
      </c>
      <c r="D143" s="491">
        <v>0.1211</v>
      </c>
      <c r="E143" s="530">
        <f t="shared" si="21"/>
        <v>12.11</v>
      </c>
      <c r="F143" s="491">
        <v>0.1081</v>
      </c>
      <c r="G143" s="532">
        <f t="shared" si="22"/>
        <v>10.81</v>
      </c>
      <c r="H143" s="487" t="s">
        <v>114</v>
      </c>
      <c r="I143" s="80">
        <f t="shared" si="14"/>
        <v>0.89265070189925688</v>
      </c>
      <c r="J143" s="517">
        <f t="shared" si="23"/>
        <v>0.89265070189925688</v>
      </c>
      <c r="K143" s="483" t="str">
        <f t="shared" si="24"/>
        <v>Tolerable</v>
      </c>
    </row>
    <row r="144" spans="1:11" x14ac:dyDescent="0.25">
      <c r="A144" s="489" t="s">
        <v>356</v>
      </c>
      <c r="B144" s="476">
        <v>44651</v>
      </c>
      <c r="C144" s="285" t="s">
        <v>87</v>
      </c>
      <c r="D144" s="491">
        <v>1.5229999999999999</v>
      </c>
      <c r="E144" s="530">
        <f t="shared" si="21"/>
        <v>152.29999999999998</v>
      </c>
      <c r="F144" s="491">
        <v>1.899</v>
      </c>
      <c r="G144" s="532">
        <f t="shared" si="22"/>
        <v>189.9</v>
      </c>
      <c r="H144" s="487" t="s">
        <v>114</v>
      </c>
      <c r="I144" s="80">
        <f t="shared" si="14"/>
        <v>1.2468811556139199</v>
      </c>
      <c r="J144" s="517">
        <f t="shared" si="23"/>
        <v>1.2</v>
      </c>
      <c r="K144" s="483" t="str">
        <f t="shared" si="24"/>
        <v>Sobresaliente</v>
      </c>
    </row>
    <row r="145" spans="1:11" x14ac:dyDescent="0.25">
      <c r="A145" s="489" t="s">
        <v>428</v>
      </c>
      <c r="B145" s="476">
        <v>44651</v>
      </c>
      <c r="C145" s="285" t="s">
        <v>87</v>
      </c>
      <c r="D145" s="491">
        <v>0.14030000000000001</v>
      </c>
      <c r="E145" s="530">
        <f t="shared" si="21"/>
        <v>14.030000000000001</v>
      </c>
      <c r="F145" s="491">
        <v>0.17100000000000001</v>
      </c>
      <c r="G145" s="532">
        <f t="shared" si="22"/>
        <v>17.100000000000001</v>
      </c>
      <c r="H145" s="487" t="s">
        <v>114</v>
      </c>
      <c r="I145" s="80">
        <f t="shared" si="14"/>
        <v>1.218816821097648</v>
      </c>
      <c r="J145" s="517">
        <f t="shared" si="23"/>
        <v>1.2</v>
      </c>
      <c r="K145" s="483" t="str">
        <f t="shared" si="24"/>
        <v>Sobresaliente</v>
      </c>
    </row>
    <row r="146" spans="1:11" x14ac:dyDescent="0.25">
      <c r="A146" s="489" t="s">
        <v>427</v>
      </c>
      <c r="B146" s="476">
        <v>44651</v>
      </c>
      <c r="C146" s="285" t="s">
        <v>87</v>
      </c>
      <c r="D146" s="491">
        <v>7.9899999999999999E-2</v>
      </c>
      <c r="E146" s="530">
        <f t="shared" si="21"/>
        <v>7.99</v>
      </c>
      <c r="F146" s="491">
        <v>0.28149999999999997</v>
      </c>
      <c r="G146" s="532">
        <f t="shared" si="22"/>
        <v>28.15</v>
      </c>
      <c r="H146" s="487" t="s">
        <v>114</v>
      </c>
      <c r="I146" s="80">
        <f t="shared" si="14"/>
        <v>3.5231539424280349</v>
      </c>
      <c r="J146" s="517">
        <f t="shared" si="23"/>
        <v>1.2</v>
      </c>
      <c r="K146" s="483" t="str">
        <f t="shared" si="24"/>
        <v>Sobresaliente</v>
      </c>
    </row>
    <row r="147" spans="1:11" x14ac:dyDescent="0.25">
      <c r="A147" s="489" t="s">
        <v>64</v>
      </c>
      <c r="B147" s="476">
        <v>44651</v>
      </c>
      <c r="C147" s="285" t="s">
        <v>87</v>
      </c>
      <c r="D147" s="491">
        <v>0.52380000000000004</v>
      </c>
      <c r="E147" s="530">
        <f t="shared" si="21"/>
        <v>52.38</v>
      </c>
      <c r="F147" s="491">
        <v>0.33329999999999999</v>
      </c>
      <c r="G147" s="532">
        <f t="shared" si="22"/>
        <v>33.33</v>
      </c>
      <c r="H147" s="487" t="s">
        <v>114</v>
      </c>
      <c r="I147" s="80">
        <f t="shared" si="14"/>
        <v>0.63631156930125998</v>
      </c>
      <c r="J147" s="517">
        <f t="shared" si="23"/>
        <v>0.63631156930125998</v>
      </c>
      <c r="K147" s="483" t="str">
        <f t="shared" si="24"/>
        <v>Incumple</v>
      </c>
    </row>
    <row r="148" spans="1:11" x14ac:dyDescent="0.25">
      <c r="A148" s="489" t="s">
        <v>67</v>
      </c>
      <c r="B148" s="476">
        <v>44651</v>
      </c>
      <c r="C148" s="285" t="s">
        <v>87</v>
      </c>
      <c r="D148" s="491">
        <v>1</v>
      </c>
      <c r="E148" s="530">
        <f t="shared" si="21"/>
        <v>100</v>
      </c>
      <c r="F148" s="491">
        <v>0.72030000000000005</v>
      </c>
      <c r="G148" s="532">
        <f t="shared" si="22"/>
        <v>72.03</v>
      </c>
      <c r="H148" s="487" t="s">
        <v>114</v>
      </c>
      <c r="I148" s="80">
        <f t="shared" si="14"/>
        <v>0.72030000000000005</v>
      </c>
      <c r="J148" s="517">
        <f t="shared" si="23"/>
        <v>0.72030000000000005</v>
      </c>
      <c r="K148" s="483" t="str">
        <f t="shared" si="24"/>
        <v>Incumple</v>
      </c>
    </row>
    <row r="149" spans="1:11" x14ac:dyDescent="0.25">
      <c r="A149" s="489" t="s">
        <v>425</v>
      </c>
      <c r="B149" s="476">
        <v>44651</v>
      </c>
      <c r="C149" s="285" t="s">
        <v>87</v>
      </c>
      <c r="D149" s="491">
        <v>1</v>
      </c>
      <c r="E149" s="530">
        <f t="shared" si="21"/>
        <v>100</v>
      </c>
      <c r="F149" s="491">
        <v>1.319</v>
      </c>
      <c r="G149" s="532">
        <f t="shared" si="22"/>
        <v>131.9</v>
      </c>
      <c r="H149" s="487" t="s">
        <v>114</v>
      </c>
      <c r="I149" s="80">
        <f t="shared" si="14"/>
        <v>1.319</v>
      </c>
      <c r="J149" s="517">
        <f t="shared" si="23"/>
        <v>1.2</v>
      </c>
      <c r="K149" s="483" t="str">
        <f t="shared" si="24"/>
        <v>Sobresaliente</v>
      </c>
    </row>
    <row r="150" spans="1:11" x14ac:dyDescent="0.25">
      <c r="A150" s="489" t="s">
        <v>426</v>
      </c>
      <c r="B150" s="476">
        <v>44651</v>
      </c>
      <c r="C150" s="285" t="s">
        <v>87</v>
      </c>
      <c r="D150" s="491">
        <v>-0.85389999999999999</v>
      </c>
      <c r="E150" s="530">
        <f t="shared" si="21"/>
        <v>-85.39</v>
      </c>
      <c r="F150" s="491">
        <v>-0.89219999999999999</v>
      </c>
      <c r="G150" s="532">
        <f t="shared" si="22"/>
        <v>-89.22</v>
      </c>
      <c r="H150" s="487" t="s">
        <v>114</v>
      </c>
      <c r="I150" s="80">
        <f t="shared" si="14"/>
        <v>0.95514697271343252</v>
      </c>
      <c r="J150" s="517">
        <f t="shared" si="23"/>
        <v>0.95514697271343252</v>
      </c>
      <c r="K150" s="483" t="str">
        <f t="shared" si="24"/>
        <v>Satisfactorio</v>
      </c>
    </row>
    <row r="151" spans="1:11" x14ac:dyDescent="0.25">
      <c r="A151" s="489" t="s">
        <v>429</v>
      </c>
      <c r="B151" s="476">
        <v>44651</v>
      </c>
      <c r="C151" s="285" t="s">
        <v>87</v>
      </c>
      <c r="D151" s="491">
        <v>3.9600000000000003E-2</v>
      </c>
      <c r="E151" s="530">
        <f t="shared" si="21"/>
        <v>3.9600000000000004</v>
      </c>
      <c r="F151" s="491">
        <v>6.1800000000000001E-2</v>
      </c>
      <c r="G151" s="532">
        <f t="shared" si="22"/>
        <v>6.18</v>
      </c>
      <c r="H151" s="487" t="s">
        <v>114</v>
      </c>
      <c r="I151" s="80">
        <f t="shared" si="14"/>
        <v>1.5606060606060606</v>
      </c>
      <c r="J151" s="517">
        <f t="shared" si="23"/>
        <v>1.2</v>
      </c>
      <c r="K151" s="483" t="str">
        <f t="shared" si="24"/>
        <v>Sobresaliente</v>
      </c>
    </row>
    <row r="152" spans="1:11" x14ac:dyDescent="0.25">
      <c r="A152" s="489" t="s">
        <v>356</v>
      </c>
      <c r="B152" s="476">
        <v>44651</v>
      </c>
      <c r="C152" s="285" t="s">
        <v>89</v>
      </c>
      <c r="D152" s="491">
        <v>-0.35780000000000001</v>
      </c>
      <c r="E152" s="530">
        <f t="shared" si="21"/>
        <v>-35.78</v>
      </c>
      <c r="F152" s="491">
        <v>6.9244000000000003</v>
      </c>
      <c r="G152" s="532">
        <f t="shared" si="22"/>
        <v>692.44</v>
      </c>
      <c r="H152" s="487" t="s">
        <v>114</v>
      </c>
      <c r="I152" s="80">
        <f t="shared" si="14"/>
        <v>2.0516723470625613</v>
      </c>
      <c r="J152" s="517">
        <f t="shared" si="23"/>
        <v>1.2</v>
      </c>
      <c r="K152" s="483" t="str">
        <f t="shared" si="24"/>
        <v>Sobresaliente</v>
      </c>
    </row>
    <row r="153" spans="1:11" x14ac:dyDescent="0.25">
      <c r="A153" s="489" t="s">
        <v>428</v>
      </c>
      <c r="B153" s="476">
        <v>44651</v>
      </c>
      <c r="C153" s="285" t="s">
        <v>89</v>
      </c>
      <c r="D153" s="491">
        <v>0.14030000000000001</v>
      </c>
      <c r="E153" s="530">
        <f t="shared" si="21"/>
        <v>14.030000000000001</v>
      </c>
      <c r="F153" s="491">
        <v>-2.8500000000000001E-2</v>
      </c>
      <c r="G153" s="532">
        <f t="shared" si="22"/>
        <v>-2.85</v>
      </c>
      <c r="H153" s="487" t="s">
        <v>114</v>
      </c>
      <c r="I153" s="80">
        <f t="shared" si="14"/>
        <v>-0.20313613684960799</v>
      </c>
      <c r="J153" s="517">
        <f t="shared" si="23"/>
        <v>0</v>
      </c>
      <c r="K153" s="483" t="str">
        <f t="shared" si="24"/>
        <v>Incumple</v>
      </c>
    </row>
    <row r="154" spans="1:11" x14ac:dyDescent="0.25">
      <c r="A154" s="489" t="s">
        <v>427</v>
      </c>
      <c r="B154" s="476">
        <v>44651</v>
      </c>
      <c r="C154" s="285" t="s">
        <v>89</v>
      </c>
      <c r="D154" s="491">
        <v>7.9899999999999999E-2</v>
      </c>
      <c r="E154" s="530">
        <f t="shared" si="21"/>
        <v>7.99</v>
      </c>
      <c r="F154" s="491">
        <v>-0.12529999999999999</v>
      </c>
      <c r="G154" s="532">
        <f t="shared" si="22"/>
        <v>-12.53</v>
      </c>
      <c r="H154" s="487" t="s">
        <v>114</v>
      </c>
      <c r="I154" s="80">
        <f t="shared" si="14"/>
        <v>-1.5682102628285357</v>
      </c>
      <c r="J154" s="517">
        <f t="shared" si="23"/>
        <v>0</v>
      </c>
      <c r="K154" s="483" t="str">
        <f t="shared" si="24"/>
        <v>Incumple</v>
      </c>
    </row>
    <row r="155" spans="1:11" x14ac:dyDescent="0.25">
      <c r="A155" s="489" t="s">
        <v>64</v>
      </c>
      <c r="B155" s="476">
        <v>44651</v>
      </c>
      <c r="C155" s="285" t="s">
        <v>89</v>
      </c>
      <c r="D155" s="491">
        <v>-0.625</v>
      </c>
      <c r="E155" s="530">
        <f t="shared" si="21"/>
        <v>-62.5</v>
      </c>
      <c r="F155" s="491">
        <v>-1.9599999999999999E-2</v>
      </c>
      <c r="G155" s="532">
        <f t="shared" si="22"/>
        <v>-1.96</v>
      </c>
      <c r="H155" s="487" t="s">
        <v>114</v>
      </c>
      <c r="I155" s="80">
        <f t="shared" si="14"/>
        <v>1.9686400000000002</v>
      </c>
      <c r="J155" s="517">
        <f t="shared" si="23"/>
        <v>1.2</v>
      </c>
      <c r="K155" s="483" t="str">
        <f t="shared" si="24"/>
        <v>Sobresaliente</v>
      </c>
    </row>
    <row r="156" spans="1:11" x14ac:dyDescent="0.25">
      <c r="A156" s="489" t="s">
        <v>67</v>
      </c>
      <c r="B156" s="476">
        <v>44651</v>
      </c>
      <c r="C156" s="285" t="s">
        <v>89</v>
      </c>
      <c r="D156" s="491">
        <v>1</v>
      </c>
      <c r="E156" s="530">
        <f t="shared" si="21"/>
        <v>100</v>
      </c>
      <c r="F156" s="491">
        <v>0.15659999999999999</v>
      </c>
      <c r="G156" s="532">
        <f t="shared" si="22"/>
        <v>15.659999999999998</v>
      </c>
      <c r="H156" s="487" t="s">
        <v>114</v>
      </c>
      <c r="I156" s="80">
        <f t="shared" si="14"/>
        <v>0.15659999999999999</v>
      </c>
      <c r="J156" s="517">
        <f t="shared" si="23"/>
        <v>0.15659999999999999</v>
      </c>
      <c r="K156" s="483" t="str">
        <f t="shared" si="24"/>
        <v>Incumple</v>
      </c>
    </row>
    <row r="157" spans="1:11" x14ac:dyDescent="0.25">
      <c r="A157" s="489" t="s">
        <v>425</v>
      </c>
      <c r="B157" s="476">
        <v>44651</v>
      </c>
      <c r="C157" s="285" t="s">
        <v>89</v>
      </c>
      <c r="D157" s="491">
        <v>1</v>
      </c>
      <c r="E157" s="530">
        <f t="shared" ref="E157:E370" si="25">+D157*100</f>
        <v>100</v>
      </c>
      <c r="F157" s="491">
        <v>0.98180000000000001</v>
      </c>
      <c r="G157" s="532">
        <f t="shared" ref="G157:G370" si="26">+F157*100</f>
        <v>98.18</v>
      </c>
      <c r="H157" s="487" t="s">
        <v>114</v>
      </c>
      <c r="I157" s="80">
        <f t="shared" ref="I157:I220" si="27">+IFERROR(IF(H157="Creciente",IF(AND(F157&lt;0,D157&lt;0),1-(F157-D157)/D157,IF(F157&lt;0,IFERROR(F157/D157,0),IF(D157&lt;0,1+((F157-D157)/F157),F157/D157))),IF(AND(F157&lt;0,D157&lt;0),(D157*-1)/(F157*-1),IF(F157&lt;0,(F157-D157)/F157,IF(D157&lt;0,-1+(F157-D157)/D157,IF(H157="Decreciente",1+(D157-F157)/D157,F157/D157))))),"N/A")</f>
        <v>0.98180000000000001</v>
      </c>
      <c r="J157" s="517">
        <f t="shared" ref="J157:J370" si="28">+IF(I157&lt;0,0%,IF(I157&gt;120%,120%,I157))</f>
        <v>0.98180000000000001</v>
      </c>
      <c r="K157" s="483" t="str">
        <f t="shared" ref="K157:K370" si="29">+IF(J157&lt;79.99999%,"Incumple",IF(AND(J157&gt;=80%,J157&lt;94.999999%),"Tolerable",IF(AND(J157&gt;=95%,J157&lt;100%),"Satisfactorio","Sobresaliente")))</f>
        <v>Satisfactorio</v>
      </c>
    </row>
    <row r="158" spans="1:11" x14ac:dyDescent="0.25">
      <c r="A158" s="489" t="s">
        <v>426</v>
      </c>
      <c r="B158" s="476">
        <v>44651</v>
      </c>
      <c r="C158" s="285" t="s">
        <v>89</v>
      </c>
      <c r="D158" s="491">
        <v>43.817599999999999</v>
      </c>
      <c r="E158" s="530">
        <f t="shared" si="25"/>
        <v>4381.76</v>
      </c>
      <c r="F158" s="491">
        <v>66.723500000000001</v>
      </c>
      <c r="G158" s="532">
        <f t="shared" si="26"/>
        <v>6672.35</v>
      </c>
      <c r="H158" s="487" t="s">
        <v>114</v>
      </c>
      <c r="I158" s="80">
        <f t="shared" si="27"/>
        <v>1.5227556963411963</v>
      </c>
      <c r="J158" s="517">
        <f t="shared" si="28"/>
        <v>1.2</v>
      </c>
      <c r="K158" s="483" t="str">
        <f t="shared" si="29"/>
        <v>Sobresaliente</v>
      </c>
    </row>
    <row r="159" spans="1:11" x14ac:dyDescent="0.25">
      <c r="A159" s="489" t="s">
        <v>429</v>
      </c>
      <c r="B159" s="476">
        <v>44651</v>
      </c>
      <c r="C159" s="285" t="s">
        <v>89</v>
      </c>
      <c r="D159" s="491">
        <v>4.24E-2</v>
      </c>
      <c r="E159" s="530">
        <f t="shared" si="25"/>
        <v>4.24</v>
      </c>
      <c r="F159" s="491">
        <v>1.9900000000000001E-2</v>
      </c>
      <c r="G159" s="532">
        <f t="shared" si="26"/>
        <v>1.9900000000000002</v>
      </c>
      <c r="H159" s="487" t="s">
        <v>114</v>
      </c>
      <c r="I159" s="80">
        <f t="shared" si="27"/>
        <v>0.46933962264150947</v>
      </c>
      <c r="J159" s="517">
        <f t="shared" si="28"/>
        <v>0.46933962264150947</v>
      </c>
      <c r="K159" s="483" t="str">
        <f t="shared" si="29"/>
        <v>Incumple</v>
      </c>
    </row>
    <row r="160" spans="1:11" x14ac:dyDescent="0.25">
      <c r="A160" s="489" t="s">
        <v>356</v>
      </c>
      <c r="B160" s="476">
        <v>44651</v>
      </c>
      <c r="C160" s="285" t="s">
        <v>91</v>
      </c>
      <c r="D160" s="491">
        <v>6.5439999999999996</v>
      </c>
      <c r="E160" s="530">
        <f t="shared" si="25"/>
        <v>654.4</v>
      </c>
      <c r="F160" s="491">
        <v>5.3132000000000001</v>
      </c>
      <c r="G160" s="532">
        <f t="shared" si="26"/>
        <v>531.32000000000005</v>
      </c>
      <c r="H160" s="487" t="s">
        <v>114</v>
      </c>
      <c r="I160" s="80">
        <f t="shared" si="27"/>
        <v>0.8119193154034231</v>
      </c>
      <c r="J160" s="517">
        <f t="shared" si="28"/>
        <v>0.8119193154034231</v>
      </c>
      <c r="K160" s="483" t="str">
        <f t="shared" si="29"/>
        <v>Tolerable</v>
      </c>
    </row>
    <row r="161" spans="1:11" x14ac:dyDescent="0.25">
      <c r="A161" s="489" t="s">
        <v>428</v>
      </c>
      <c r="B161" s="476">
        <v>44651</v>
      </c>
      <c r="C161" s="285" t="s">
        <v>91</v>
      </c>
      <c r="D161" s="491">
        <v>0.14030000000000001</v>
      </c>
      <c r="E161" s="530">
        <f t="shared" si="25"/>
        <v>14.030000000000001</v>
      </c>
      <c r="F161" s="491">
        <v>0.15359999999999999</v>
      </c>
      <c r="G161" s="532">
        <f t="shared" si="26"/>
        <v>15.36</v>
      </c>
      <c r="H161" s="487" t="s">
        <v>114</v>
      </c>
      <c r="I161" s="80">
        <f t="shared" si="27"/>
        <v>1.0947968638631502</v>
      </c>
      <c r="J161" s="517">
        <f t="shared" si="28"/>
        <v>1.0947968638631502</v>
      </c>
      <c r="K161" s="483" t="str">
        <f t="shared" si="29"/>
        <v>Sobresaliente</v>
      </c>
    </row>
    <row r="162" spans="1:11" x14ac:dyDescent="0.25">
      <c r="A162" s="489" t="s">
        <v>427</v>
      </c>
      <c r="B162" s="476">
        <v>44651</v>
      </c>
      <c r="C162" s="285" t="s">
        <v>91</v>
      </c>
      <c r="D162" s="491">
        <v>7.9899999999999999E-2</v>
      </c>
      <c r="E162" s="530">
        <f t="shared" si="25"/>
        <v>7.99</v>
      </c>
      <c r="F162" s="491">
        <v>0.15709999999999999</v>
      </c>
      <c r="G162" s="532">
        <f t="shared" si="26"/>
        <v>15.709999999999999</v>
      </c>
      <c r="H162" s="487" t="s">
        <v>114</v>
      </c>
      <c r="I162" s="80">
        <f t="shared" si="27"/>
        <v>1.9662077596996244</v>
      </c>
      <c r="J162" s="517">
        <f t="shared" si="28"/>
        <v>1.2</v>
      </c>
      <c r="K162" s="483" t="str">
        <f t="shared" si="29"/>
        <v>Sobresaliente</v>
      </c>
    </row>
    <row r="163" spans="1:11" x14ac:dyDescent="0.25">
      <c r="A163" s="489" t="s">
        <v>64</v>
      </c>
      <c r="B163" s="476">
        <v>44651</v>
      </c>
      <c r="C163" s="285" t="s">
        <v>91</v>
      </c>
      <c r="D163" s="491">
        <v>-0.73329999999999995</v>
      </c>
      <c r="E163" s="530">
        <f t="shared" si="25"/>
        <v>-73.33</v>
      </c>
      <c r="F163" s="491">
        <v>0.17649999999999999</v>
      </c>
      <c r="G163" s="532">
        <f t="shared" si="26"/>
        <v>17.649999999999999</v>
      </c>
      <c r="H163" s="487" t="s">
        <v>114</v>
      </c>
      <c r="I163" s="80">
        <f t="shared" si="27"/>
        <v>6.1546742209631731</v>
      </c>
      <c r="J163" s="517">
        <f t="shared" si="28"/>
        <v>1.2</v>
      </c>
      <c r="K163" s="483" t="str">
        <f t="shared" si="29"/>
        <v>Sobresaliente</v>
      </c>
    </row>
    <row r="164" spans="1:11" x14ac:dyDescent="0.25">
      <c r="A164" s="489" t="s">
        <v>67</v>
      </c>
      <c r="B164" s="476">
        <v>44651</v>
      </c>
      <c r="C164" s="285" t="s">
        <v>91</v>
      </c>
      <c r="D164" s="491">
        <v>1</v>
      </c>
      <c r="E164" s="530">
        <f t="shared" si="25"/>
        <v>100</v>
      </c>
      <c r="F164" s="491">
        <v>1.7718</v>
      </c>
      <c r="G164" s="532">
        <f t="shared" si="26"/>
        <v>177.18</v>
      </c>
      <c r="H164" s="487" t="s">
        <v>114</v>
      </c>
      <c r="I164" s="80">
        <f t="shared" si="27"/>
        <v>1.7718</v>
      </c>
      <c r="J164" s="517">
        <f t="shared" si="28"/>
        <v>1.2</v>
      </c>
      <c r="K164" s="483" t="str">
        <f t="shared" si="29"/>
        <v>Sobresaliente</v>
      </c>
    </row>
    <row r="165" spans="1:11" x14ac:dyDescent="0.25">
      <c r="A165" s="489" t="s">
        <v>425</v>
      </c>
      <c r="B165" s="476">
        <v>44651</v>
      </c>
      <c r="C165" s="285" t="s">
        <v>91</v>
      </c>
      <c r="D165" s="491">
        <v>1</v>
      </c>
      <c r="E165" s="530">
        <f t="shared" si="25"/>
        <v>100</v>
      </c>
      <c r="F165" s="491">
        <v>3.9636</v>
      </c>
      <c r="G165" s="532">
        <f t="shared" si="26"/>
        <v>396.36</v>
      </c>
      <c r="H165" s="487" t="s">
        <v>114</v>
      </c>
      <c r="I165" s="80">
        <f t="shared" si="27"/>
        <v>3.9636</v>
      </c>
      <c r="J165" s="517">
        <f t="shared" si="28"/>
        <v>1.2</v>
      </c>
      <c r="K165" s="483" t="str">
        <f t="shared" si="29"/>
        <v>Sobresaliente</v>
      </c>
    </row>
    <row r="166" spans="1:11" x14ac:dyDescent="0.25">
      <c r="A166" s="489" t="s">
        <v>426</v>
      </c>
      <c r="B166" s="476">
        <v>44651</v>
      </c>
      <c r="C166" s="285" t="s">
        <v>91</v>
      </c>
      <c r="D166" s="491">
        <v>7.3608000000000002</v>
      </c>
      <c r="E166" s="530">
        <f t="shared" si="25"/>
        <v>736.08</v>
      </c>
      <c r="F166" s="491">
        <v>13.0825</v>
      </c>
      <c r="G166" s="532">
        <f t="shared" si="26"/>
        <v>1308.25</v>
      </c>
      <c r="H166" s="487" t="s">
        <v>114</v>
      </c>
      <c r="I166" s="80">
        <f t="shared" si="27"/>
        <v>1.7773203999565264</v>
      </c>
      <c r="J166" s="517">
        <f t="shared" si="28"/>
        <v>1.2</v>
      </c>
      <c r="K166" s="483" t="str">
        <f t="shared" si="29"/>
        <v>Sobresaliente</v>
      </c>
    </row>
    <row r="167" spans="1:11" x14ac:dyDescent="0.25">
      <c r="A167" s="489" t="s">
        <v>429</v>
      </c>
      <c r="B167" s="476">
        <v>44651</v>
      </c>
      <c r="C167" s="285" t="s">
        <v>91</v>
      </c>
      <c r="D167" s="491">
        <v>0.36370000000000002</v>
      </c>
      <c r="E167" s="530">
        <f t="shared" si="25"/>
        <v>36.370000000000005</v>
      </c>
      <c r="F167" s="491">
        <v>0.37919999999999998</v>
      </c>
      <c r="G167" s="532">
        <f t="shared" si="26"/>
        <v>37.92</v>
      </c>
      <c r="H167" s="487" t="s">
        <v>114</v>
      </c>
      <c r="I167" s="80">
        <f t="shared" si="27"/>
        <v>1.0426175419301622</v>
      </c>
      <c r="J167" s="517">
        <f t="shared" si="28"/>
        <v>1.0426175419301622</v>
      </c>
      <c r="K167" s="483" t="str">
        <f t="shared" si="29"/>
        <v>Sobresaliente</v>
      </c>
    </row>
    <row r="168" spans="1:11" x14ac:dyDescent="0.25">
      <c r="A168" s="489" t="s">
        <v>356</v>
      </c>
      <c r="B168" s="476">
        <v>44651</v>
      </c>
      <c r="C168" s="285" t="s">
        <v>93</v>
      </c>
      <c r="D168" s="491">
        <v>-9.4899999999999998E-2</v>
      </c>
      <c r="E168" s="530">
        <f t="shared" si="25"/>
        <v>-9.49</v>
      </c>
      <c r="F168" s="491">
        <v>6.5307000000000004</v>
      </c>
      <c r="G168" s="532">
        <f t="shared" si="26"/>
        <v>653.07000000000005</v>
      </c>
      <c r="H168" s="487" t="s">
        <v>114</v>
      </c>
      <c r="I168" s="80">
        <f t="shared" si="27"/>
        <v>2.0145313672347527</v>
      </c>
      <c r="J168" s="517">
        <f t="shared" si="28"/>
        <v>1.2</v>
      </c>
      <c r="K168" s="483" t="str">
        <f t="shared" si="29"/>
        <v>Sobresaliente</v>
      </c>
    </row>
    <row r="169" spans="1:11" x14ac:dyDescent="0.25">
      <c r="A169" s="489" t="s">
        <v>428</v>
      </c>
      <c r="B169" s="476">
        <v>44651</v>
      </c>
      <c r="C169" s="285" t="s">
        <v>93</v>
      </c>
      <c r="D169" s="491">
        <v>0.14030000000000001</v>
      </c>
      <c r="E169" s="530">
        <f t="shared" si="25"/>
        <v>14.030000000000001</v>
      </c>
      <c r="F169" s="491">
        <v>0.1484</v>
      </c>
      <c r="G169" s="532">
        <f t="shared" si="26"/>
        <v>14.84</v>
      </c>
      <c r="H169" s="487" t="s">
        <v>114</v>
      </c>
      <c r="I169" s="80">
        <f t="shared" si="27"/>
        <v>1.0577334283677833</v>
      </c>
      <c r="J169" s="517">
        <f t="shared" si="28"/>
        <v>1.0577334283677833</v>
      </c>
      <c r="K169" s="483" t="str">
        <f t="shared" si="29"/>
        <v>Sobresaliente</v>
      </c>
    </row>
    <row r="170" spans="1:11" x14ac:dyDescent="0.25">
      <c r="A170" s="489" t="s">
        <v>427</v>
      </c>
      <c r="B170" s="476">
        <v>44651</v>
      </c>
      <c r="C170" s="285" t="s">
        <v>93</v>
      </c>
      <c r="D170" s="491">
        <v>7.9899999999999999E-2</v>
      </c>
      <c r="E170" s="530">
        <f t="shared" si="25"/>
        <v>7.99</v>
      </c>
      <c r="F170" s="491">
        <v>1.4E-3</v>
      </c>
      <c r="G170" s="532">
        <f t="shared" si="26"/>
        <v>0.13999999999999999</v>
      </c>
      <c r="H170" s="487" t="s">
        <v>114</v>
      </c>
      <c r="I170" s="80">
        <f t="shared" si="27"/>
        <v>1.7521902377972465E-2</v>
      </c>
      <c r="J170" s="517">
        <f t="shared" si="28"/>
        <v>1.7521902377972465E-2</v>
      </c>
      <c r="K170" s="483" t="str">
        <f t="shared" si="29"/>
        <v>Incumple</v>
      </c>
    </row>
    <row r="171" spans="1:11" x14ac:dyDescent="0.25">
      <c r="A171" s="489" t="s">
        <v>64</v>
      </c>
      <c r="B171" s="476">
        <v>44651</v>
      </c>
      <c r="C171" s="285" t="s">
        <v>93</v>
      </c>
      <c r="D171" s="491">
        <v>-0.53849999999999998</v>
      </c>
      <c r="E171" s="530">
        <f t="shared" si="25"/>
        <v>-53.849999999999994</v>
      </c>
      <c r="F171" s="491">
        <v>-0.125</v>
      </c>
      <c r="G171" s="532">
        <f t="shared" si="26"/>
        <v>-12.5</v>
      </c>
      <c r="H171" s="487" t="s">
        <v>114</v>
      </c>
      <c r="I171" s="80">
        <f t="shared" si="27"/>
        <v>1.7678737233054782</v>
      </c>
      <c r="J171" s="517">
        <f t="shared" si="28"/>
        <v>1.2</v>
      </c>
      <c r="K171" s="483" t="str">
        <f t="shared" si="29"/>
        <v>Sobresaliente</v>
      </c>
    </row>
    <row r="172" spans="1:11" x14ac:dyDescent="0.25">
      <c r="A172" s="489" t="s">
        <v>67</v>
      </c>
      <c r="B172" s="476">
        <v>44651</v>
      </c>
      <c r="C172" s="285" t="s">
        <v>93</v>
      </c>
      <c r="D172" s="491">
        <v>1</v>
      </c>
      <c r="E172" s="530">
        <f t="shared" si="25"/>
        <v>100</v>
      </c>
      <c r="F172" s="491">
        <v>0.35849999999999999</v>
      </c>
      <c r="G172" s="532">
        <f t="shared" si="26"/>
        <v>35.85</v>
      </c>
      <c r="H172" s="487" t="s">
        <v>114</v>
      </c>
      <c r="I172" s="80">
        <f t="shared" si="27"/>
        <v>0.35849999999999999</v>
      </c>
      <c r="J172" s="517">
        <f t="shared" si="28"/>
        <v>0.35849999999999999</v>
      </c>
      <c r="K172" s="483" t="str">
        <f t="shared" si="29"/>
        <v>Incumple</v>
      </c>
    </row>
    <row r="173" spans="1:11" x14ac:dyDescent="0.25">
      <c r="A173" s="489" t="s">
        <v>425</v>
      </c>
      <c r="B173" s="476">
        <v>44651</v>
      </c>
      <c r="C173" s="285" t="s">
        <v>93</v>
      </c>
      <c r="D173" s="491">
        <v>1</v>
      </c>
      <c r="E173" s="530">
        <f t="shared" si="25"/>
        <v>100</v>
      </c>
      <c r="F173" s="491">
        <v>0.56410000000000005</v>
      </c>
      <c r="G173" s="532">
        <f t="shared" si="26"/>
        <v>56.410000000000004</v>
      </c>
      <c r="H173" s="487" t="s">
        <v>114</v>
      </c>
      <c r="I173" s="80">
        <f t="shared" si="27"/>
        <v>0.56410000000000005</v>
      </c>
      <c r="J173" s="517">
        <f t="shared" si="28"/>
        <v>0.56410000000000005</v>
      </c>
      <c r="K173" s="483" t="str">
        <f t="shared" si="29"/>
        <v>Incumple</v>
      </c>
    </row>
    <row r="174" spans="1:11" x14ac:dyDescent="0.25">
      <c r="A174" s="489" t="s">
        <v>426</v>
      </c>
      <c r="B174" s="476">
        <v>44651</v>
      </c>
      <c r="C174" s="285" t="s">
        <v>93</v>
      </c>
      <c r="D174" s="491">
        <v>1.0333000000000001</v>
      </c>
      <c r="E174" s="530">
        <f t="shared" si="25"/>
        <v>103.33000000000001</v>
      </c>
      <c r="F174" s="491">
        <v>1.68</v>
      </c>
      <c r="G174" s="532">
        <f t="shared" si="26"/>
        <v>168</v>
      </c>
      <c r="H174" s="487" t="s">
        <v>114</v>
      </c>
      <c r="I174" s="80">
        <f t="shared" si="27"/>
        <v>1.6258588986741505</v>
      </c>
      <c r="J174" s="517">
        <f t="shared" si="28"/>
        <v>1.2</v>
      </c>
      <c r="K174" s="483" t="str">
        <f t="shared" si="29"/>
        <v>Sobresaliente</v>
      </c>
    </row>
    <row r="175" spans="1:11" x14ac:dyDescent="0.25">
      <c r="A175" s="489" t="s">
        <v>429</v>
      </c>
      <c r="B175" s="476">
        <v>44651</v>
      </c>
      <c r="C175" s="285" t="s">
        <v>93</v>
      </c>
      <c r="D175" s="491">
        <v>0.52790000000000004</v>
      </c>
      <c r="E175" s="530">
        <f t="shared" si="25"/>
        <v>52.790000000000006</v>
      </c>
      <c r="F175" s="491">
        <v>0.4602</v>
      </c>
      <c r="G175" s="532">
        <f t="shared" si="26"/>
        <v>46.02</v>
      </c>
      <c r="H175" s="487" t="s">
        <v>114</v>
      </c>
      <c r="I175" s="80">
        <f t="shared" si="27"/>
        <v>0.87175601439666595</v>
      </c>
      <c r="J175" s="517">
        <f t="shared" si="28"/>
        <v>0.87175601439666595</v>
      </c>
      <c r="K175" s="483" t="str">
        <f t="shared" si="29"/>
        <v>Tolerable</v>
      </c>
    </row>
    <row r="176" spans="1:11" x14ac:dyDescent="0.25">
      <c r="A176" s="489" t="s">
        <v>356</v>
      </c>
      <c r="B176" s="476">
        <v>44651</v>
      </c>
      <c r="C176" s="285" t="s">
        <v>95</v>
      </c>
      <c r="D176" s="491">
        <v>0.3281</v>
      </c>
      <c r="E176" s="530">
        <f t="shared" si="25"/>
        <v>32.81</v>
      </c>
      <c r="F176" s="491">
        <v>2.7928999999999999</v>
      </c>
      <c r="G176" s="532">
        <f t="shared" si="26"/>
        <v>279.29000000000002</v>
      </c>
      <c r="H176" s="487" t="s">
        <v>114</v>
      </c>
      <c r="I176" s="80">
        <f t="shared" si="27"/>
        <v>8.512343797622675</v>
      </c>
      <c r="J176" s="517">
        <f t="shared" si="28"/>
        <v>1.2</v>
      </c>
      <c r="K176" s="483" t="str">
        <f t="shared" si="29"/>
        <v>Sobresaliente</v>
      </c>
    </row>
    <row r="177" spans="1:11" x14ac:dyDescent="0.25">
      <c r="A177" s="489" t="s">
        <v>428</v>
      </c>
      <c r="B177" s="476">
        <v>44651</v>
      </c>
      <c r="C177" s="285" t="s">
        <v>95</v>
      </c>
      <c r="D177" s="491">
        <v>0.14030000000000001</v>
      </c>
      <c r="E177" s="530">
        <f t="shared" si="25"/>
        <v>14.030000000000001</v>
      </c>
      <c r="F177" s="491">
        <v>0.1273</v>
      </c>
      <c r="G177" s="532">
        <f t="shared" si="26"/>
        <v>12.73</v>
      </c>
      <c r="H177" s="487" t="s">
        <v>114</v>
      </c>
      <c r="I177" s="80">
        <f t="shared" si="27"/>
        <v>0.9073414112615823</v>
      </c>
      <c r="J177" s="517">
        <f t="shared" si="28"/>
        <v>0.9073414112615823</v>
      </c>
      <c r="K177" s="483" t="str">
        <f t="shared" si="29"/>
        <v>Tolerable</v>
      </c>
    </row>
    <row r="178" spans="1:11" x14ac:dyDescent="0.25">
      <c r="A178" s="489" t="s">
        <v>427</v>
      </c>
      <c r="B178" s="476">
        <v>44651</v>
      </c>
      <c r="C178" s="285" t="s">
        <v>95</v>
      </c>
      <c r="D178" s="491">
        <v>7.9899999999999999E-2</v>
      </c>
      <c r="E178" s="530">
        <f t="shared" si="25"/>
        <v>7.99</v>
      </c>
      <c r="F178" s="491">
        <v>1.6899999999999998E-2</v>
      </c>
      <c r="G178" s="532">
        <f t="shared" si="26"/>
        <v>1.69</v>
      </c>
      <c r="H178" s="487" t="s">
        <v>114</v>
      </c>
      <c r="I178" s="80">
        <f t="shared" si="27"/>
        <v>0.21151439299123903</v>
      </c>
      <c r="J178" s="517">
        <f t="shared" si="28"/>
        <v>0.21151439299123903</v>
      </c>
      <c r="K178" s="483" t="str">
        <f t="shared" si="29"/>
        <v>Incumple</v>
      </c>
    </row>
    <row r="179" spans="1:11" x14ac:dyDescent="0.25">
      <c r="A179" s="489" t="s">
        <v>64</v>
      </c>
      <c r="B179" s="476">
        <v>44651</v>
      </c>
      <c r="C179" s="285" t="s">
        <v>95</v>
      </c>
      <c r="D179" s="491">
        <v>3.5</v>
      </c>
      <c r="E179" s="530">
        <f t="shared" si="25"/>
        <v>350</v>
      </c>
      <c r="F179" s="491">
        <v>1.5</v>
      </c>
      <c r="G179" s="532">
        <f t="shared" si="26"/>
        <v>150</v>
      </c>
      <c r="H179" s="487" t="s">
        <v>114</v>
      </c>
      <c r="I179" s="80">
        <f t="shared" si="27"/>
        <v>0.42857142857142855</v>
      </c>
      <c r="J179" s="517">
        <f t="shared" si="28"/>
        <v>0.42857142857142855</v>
      </c>
      <c r="K179" s="483" t="str">
        <f t="shared" si="29"/>
        <v>Incumple</v>
      </c>
    </row>
    <row r="180" spans="1:11" x14ac:dyDescent="0.25">
      <c r="A180" s="489" t="s">
        <v>67</v>
      </c>
      <c r="B180" s="476">
        <v>44651</v>
      </c>
      <c r="C180" s="285" t="s">
        <v>95</v>
      </c>
      <c r="D180" s="491">
        <v>1</v>
      </c>
      <c r="E180" s="530">
        <f t="shared" si="25"/>
        <v>100</v>
      </c>
      <c r="F180" s="491">
        <v>9.2899999999999996E-2</v>
      </c>
      <c r="G180" s="532">
        <f t="shared" si="26"/>
        <v>9.2899999999999991</v>
      </c>
      <c r="H180" s="487" t="s">
        <v>114</v>
      </c>
      <c r="I180" s="80">
        <f t="shared" si="27"/>
        <v>9.2899999999999996E-2</v>
      </c>
      <c r="J180" s="517">
        <f t="shared" si="28"/>
        <v>9.2899999999999996E-2</v>
      </c>
      <c r="K180" s="483" t="str">
        <f t="shared" si="29"/>
        <v>Incumple</v>
      </c>
    </row>
    <row r="181" spans="1:11" x14ac:dyDescent="0.25">
      <c r="A181" s="489" t="s">
        <v>425</v>
      </c>
      <c r="B181" s="476">
        <v>44651</v>
      </c>
      <c r="C181" s="285" t="s">
        <v>95</v>
      </c>
      <c r="D181" s="491">
        <v>1</v>
      </c>
      <c r="E181" s="530">
        <f t="shared" si="25"/>
        <v>100</v>
      </c>
      <c r="F181" s="491">
        <v>0.1353</v>
      </c>
      <c r="G181" s="532">
        <f t="shared" si="26"/>
        <v>13.530000000000001</v>
      </c>
      <c r="H181" s="487" t="s">
        <v>114</v>
      </c>
      <c r="I181" s="80">
        <f t="shared" si="27"/>
        <v>0.1353</v>
      </c>
      <c r="J181" s="517">
        <f t="shared" si="28"/>
        <v>0.1353</v>
      </c>
      <c r="K181" s="483" t="str">
        <f t="shared" si="29"/>
        <v>Incumple</v>
      </c>
    </row>
    <row r="182" spans="1:11" x14ac:dyDescent="0.25">
      <c r="A182" s="489" t="s">
        <v>426</v>
      </c>
      <c r="B182" s="476">
        <v>44651</v>
      </c>
      <c r="C182" s="285" t="s">
        <v>95</v>
      </c>
      <c r="D182" s="491">
        <v>0.20830000000000001</v>
      </c>
      <c r="E182" s="530">
        <f t="shared" si="25"/>
        <v>20.830000000000002</v>
      </c>
      <c r="F182" s="491">
        <v>0.44440000000000002</v>
      </c>
      <c r="G182" s="532">
        <f t="shared" si="26"/>
        <v>44.440000000000005</v>
      </c>
      <c r="H182" s="487" t="s">
        <v>114</v>
      </c>
      <c r="I182" s="80">
        <f t="shared" si="27"/>
        <v>2.1334613538166107</v>
      </c>
      <c r="J182" s="517">
        <f t="shared" si="28"/>
        <v>1.2</v>
      </c>
      <c r="K182" s="483" t="str">
        <f t="shared" si="29"/>
        <v>Sobresaliente</v>
      </c>
    </row>
    <row r="183" spans="1:11" x14ac:dyDescent="0.25">
      <c r="A183" s="489" t="s">
        <v>429</v>
      </c>
      <c r="B183" s="476">
        <v>44651</v>
      </c>
      <c r="C183" s="285" t="s">
        <v>95</v>
      </c>
      <c r="D183" s="491">
        <v>0.67820000000000003</v>
      </c>
      <c r="E183" s="530">
        <f t="shared" si="25"/>
        <v>67.820000000000007</v>
      </c>
      <c r="F183" s="491">
        <v>0.32690000000000002</v>
      </c>
      <c r="G183" s="532">
        <f t="shared" si="26"/>
        <v>32.690000000000005</v>
      </c>
      <c r="H183" s="487" t="s">
        <v>114</v>
      </c>
      <c r="I183" s="80">
        <f t="shared" si="27"/>
        <v>0.48201120613388382</v>
      </c>
      <c r="J183" s="517">
        <f t="shared" si="28"/>
        <v>0.48201120613388382</v>
      </c>
      <c r="K183" s="483" t="str">
        <f t="shared" si="29"/>
        <v>Incumple</v>
      </c>
    </row>
    <row r="184" spans="1:11" x14ac:dyDescent="0.25">
      <c r="A184" s="568" t="s">
        <v>356</v>
      </c>
      <c r="B184" s="569">
        <v>44620</v>
      </c>
      <c r="C184" s="570" t="s">
        <v>60</v>
      </c>
      <c r="D184" s="559">
        <v>4.1017000000000001</v>
      </c>
      <c r="E184" s="560">
        <f t="shared" ref="E184:E201" si="30">+D184*100</f>
        <v>410.17</v>
      </c>
      <c r="F184" s="559">
        <v>5.5079000000000002</v>
      </c>
      <c r="G184" s="561">
        <f t="shared" ref="G184:G201" si="31">+F184*100</f>
        <v>550.79000000000008</v>
      </c>
      <c r="H184" s="571" t="s">
        <v>114</v>
      </c>
      <c r="I184" s="80">
        <f t="shared" si="27"/>
        <v>1.3428334592973645</v>
      </c>
      <c r="J184" s="562">
        <f t="shared" ref="J184:J201" si="32">+IF(I184&lt;0,0%,IF(I184&gt;120%,120%,I184))</f>
        <v>1.2</v>
      </c>
      <c r="K184" s="572" t="str">
        <f t="shared" ref="K184:K201" si="33">+IF(I184&lt;79.99999%,"Incumple",IF(AND(I184&gt;=80%,I184&lt;94.999999%),"Tolerable",IF(AND(I184&gt;=95%,I184&lt;100%),"Satisfactorio","Sobresaliente")))</f>
        <v>Sobresaliente</v>
      </c>
    </row>
    <row r="185" spans="1:11" x14ac:dyDescent="0.25">
      <c r="A185" s="489" t="s">
        <v>416</v>
      </c>
      <c r="B185" s="476">
        <v>44620</v>
      </c>
      <c r="C185" s="285" t="s">
        <v>60</v>
      </c>
      <c r="D185" s="491">
        <v>1</v>
      </c>
      <c r="E185" s="530">
        <f t="shared" si="30"/>
        <v>100</v>
      </c>
      <c r="F185" s="491">
        <v>1</v>
      </c>
      <c r="G185" s="532">
        <f t="shared" si="31"/>
        <v>100</v>
      </c>
      <c r="H185" s="487" t="s">
        <v>114</v>
      </c>
      <c r="I185" s="80">
        <f t="shared" si="27"/>
        <v>1</v>
      </c>
      <c r="J185" s="517">
        <f t="shared" si="32"/>
        <v>1</v>
      </c>
      <c r="K185" s="483" t="str">
        <f t="shared" si="33"/>
        <v>Sobresaliente</v>
      </c>
    </row>
    <row r="186" spans="1:11" x14ac:dyDescent="0.25">
      <c r="A186" s="489" t="s">
        <v>428</v>
      </c>
      <c r="B186" s="476">
        <v>44620</v>
      </c>
      <c r="C186" s="285" t="s">
        <v>60</v>
      </c>
      <c r="D186" s="491">
        <v>0.14030000000000001</v>
      </c>
      <c r="E186" s="530">
        <f t="shared" si="30"/>
        <v>14.030000000000001</v>
      </c>
      <c r="F186" s="491">
        <v>4.5629999999999997E-2</v>
      </c>
      <c r="G186" s="532">
        <f t="shared" si="31"/>
        <v>4.5629999999999997</v>
      </c>
      <c r="H186" s="487" t="s">
        <v>114</v>
      </c>
      <c r="I186" s="80">
        <f t="shared" si="27"/>
        <v>0.32523164647184599</v>
      </c>
      <c r="J186" s="517">
        <f t="shared" si="32"/>
        <v>0.32523164647184599</v>
      </c>
      <c r="K186" s="483" t="str">
        <f t="shared" si="33"/>
        <v>Incumple</v>
      </c>
    </row>
    <row r="187" spans="1:11" x14ac:dyDescent="0.25">
      <c r="A187" s="489" t="s">
        <v>427</v>
      </c>
      <c r="B187" s="476">
        <v>44620</v>
      </c>
      <c r="C187" s="285" t="s">
        <v>60</v>
      </c>
      <c r="D187" s="491">
        <v>9.4200000000000006E-2</v>
      </c>
      <c r="E187" s="530">
        <f t="shared" si="30"/>
        <v>9.42</v>
      </c>
      <c r="F187" s="491">
        <v>-1.17E-2</v>
      </c>
      <c r="G187" s="532">
        <f t="shared" si="31"/>
        <v>-1.17</v>
      </c>
      <c r="H187" s="487" t="s">
        <v>114</v>
      </c>
      <c r="I187" s="80">
        <f t="shared" si="27"/>
        <v>-0.12420382165605096</v>
      </c>
      <c r="J187" s="517">
        <f t="shared" si="32"/>
        <v>0</v>
      </c>
      <c r="K187" s="483" t="str">
        <f t="shared" si="33"/>
        <v>Incumple</v>
      </c>
    </row>
    <row r="188" spans="1:11" x14ac:dyDescent="0.25">
      <c r="A188" s="489" t="s">
        <v>64</v>
      </c>
      <c r="B188" s="476">
        <v>44620</v>
      </c>
      <c r="C188" s="285" t="s">
        <v>60</v>
      </c>
      <c r="D188" s="491">
        <v>0.2157</v>
      </c>
      <c r="E188" s="530">
        <f t="shared" si="30"/>
        <v>21.57</v>
      </c>
      <c r="F188" s="491">
        <v>0</v>
      </c>
      <c r="G188" s="532">
        <f t="shared" si="31"/>
        <v>0</v>
      </c>
      <c r="H188" s="487" t="s">
        <v>114</v>
      </c>
      <c r="I188" s="80">
        <f t="shared" si="27"/>
        <v>0</v>
      </c>
      <c r="J188" s="517">
        <f t="shared" si="32"/>
        <v>0</v>
      </c>
      <c r="K188" s="483" t="str">
        <f t="shared" si="33"/>
        <v>Incumple</v>
      </c>
    </row>
    <row r="189" spans="1:11" x14ac:dyDescent="0.25">
      <c r="A189" s="489" t="s">
        <v>67</v>
      </c>
      <c r="B189" s="476">
        <v>44620</v>
      </c>
      <c r="C189" s="285" t="s">
        <v>60</v>
      </c>
      <c r="D189" s="491">
        <v>1</v>
      </c>
      <c r="E189" s="530">
        <f t="shared" si="30"/>
        <v>100</v>
      </c>
      <c r="F189" s="491">
        <v>0.17849999999999999</v>
      </c>
      <c r="G189" s="532">
        <f t="shared" si="31"/>
        <v>17.849999999999998</v>
      </c>
      <c r="H189" s="487" t="s">
        <v>114</v>
      </c>
      <c r="I189" s="80">
        <f t="shared" si="27"/>
        <v>0.17849999999999999</v>
      </c>
      <c r="J189" s="517">
        <f t="shared" si="32"/>
        <v>0.17849999999999999</v>
      </c>
      <c r="K189" s="483" t="str">
        <f t="shared" si="33"/>
        <v>Incumple</v>
      </c>
    </row>
    <row r="190" spans="1:11" x14ac:dyDescent="0.25">
      <c r="A190" s="489" t="s">
        <v>425</v>
      </c>
      <c r="B190" s="476">
        <v>44620</v>
      </c>
      <c r="C190" s="285" t="s">
        <v>60</v>
      </c>
      <c r="D190" s="491">
        <v>1</v>
      </c>
      <c r="E190" s="530">
        <f t="shared" si="30"/>
        <v>100</v>
      </c>
      <c r="F190" s="491">
        <v>1.0482</v>
      </c>
      <c r="G190" s="532">
        <f t="shared" si="31"/>
        <v>104.82000000000001</v>
      </c>
      <c r="H190" s="487" t="s">
        <v>114</v>
      </c>
      <c r="I190" s="80">
        <f t="shared" si="27"/>
        <v>1.0482</v>
      </c>
      <c r="J190" s="517">
        <f t="shared" si="32"/>
        <v>1.0482</v>
      </c>
      <c r="K190" s="483" t="str">
        <f t="shared" si="33"/>
        <v>Sobresaliente</v>
      </c>
    </row>
    <row r="191" spans="1:11" x14ac:dyDescent="0.25">
      <c r="A191" s="489" t="s">
        <v>426</v>
      </c>
      <c r="B191" s="476">
        <v>44620</v>
      </c>
      <c r="C191" s="285" t="s">
        <v>60</v>
      </c>
      <c r="D191" s="491">
        <v>32.833300000000001</v>
      </c>
      <c r="E191" s="530">
        <f t="shared" si="30"/>
        <v>3283.33</v>
      </c>
      <c r="F191" s="491">
        <v>18.583300000000001</v>
      </c>
      <c r="G191" s="532">
        <f t="shared" si="31"/>
        <v>1858.3300000000002</v>
      </c>
      <c r="H191" s="487" t="s">
        <v>114</v>
      </c>
      <c r="I191" s="80">
        <f t="shared" si="27"/>
        <v>0.56598940709584478</v>
      </c>
      <c r="J191" s="517">
        <f t="shared" si="32"/>
        <v>0.56598940709584478</v>
      </c>
      <c r="K191" s="483" t="str">
        <f t="shared" si="33"/>
        <v>Incumple</v>
      </c>
    </row>
    <row r="192" spans="1:11" x14ac:dyDescent="0.25">
      <c r="A192" s="489" t="s">
        <v>429</v>
      </c>
      <c r="B192" s="476">
        <v>44620</v>
      </c>
      <c r="C192" s="285" t="s">
        <v>60</v>
      </c>
      <c r="D192" s="491">
        <v>7.2300000000000003E-2</v>
      </c>
      <c r="E192" s="530">
        <f t="shared" si="30"/>
        <v>7.23</v>
      </c>
      <c r="F192" s="491">
        <v>0.1477</v>
      </c>
      <c r="G192" s="532">
        <f t="shared" si="31"/>
        <v>14.77</v>
      </c>
      <c r="H192" s="487" t="s">
        <v>114</v>
      </c>
      <c r="I192" s="80">
        <f t="shared" si="27"/>
        <v>2.0428769017980635</v>
      </c>
      <c r="J192" s="517">
        <f t="shared" si="32"/>
        <v>1.2</v>
      </c>
      <c r="K192" s="483" t="str">
        <f t="shared" si="33"/>
        <v>Sobresaliente</v>
      </c>
    </row>
    <row r="193" spans="1:14" x14ac:dyDescent="0.25">
      <c r="A193" s="489" t="s">
        <v>356</v>
      </c>
      <c r="B193" s="476">
        <v>44620</v>
      </c>
      <c r="C193" s="285" t="s">
        <v>74</v>
      </c>
      <c r="D193" s="491">
        <v>1.7988999999999999</v>
      </c>
      <c r="E193" s="530">
        <f t="shared" si="30"/>
        <v>179.89</v>
      </c>
      <c r="F193" s="491">
        <v>3.3065000000000002</v>
      </c>
      <c r="G193" s="532">
        <f t="shared" si="31"/>
        <v>330.65000000000003</v>
      </c>
      <c r="H193" s="487" t="s">
        <v>114</v>
      </c>
      <c r="I193" s="80">
        <f t="shared" si="27"/>
        <v>1.8380677080438048</v>
      </c>
      <c r="J193" s="517">
        <f t="shared" si="32"/>
        <v>1.2</v>
      </c>
      <c r="K193" s="483" t="str">
        <f t="shared" si="33"/>
        <v>Sobresaliente</v>
      </c>
    </row>
    <row r="194" spans="1:14" x14ac:dyDescent="0.25">
      <c r="A194" s="489" t="s">
        <v>416</v>
      </c>
      <c r="B194" s="476">
        <v>44620</v>
      </c>
      <c r="C194" s="285" t="s">
        <v>74</v>
      </c>
      <c r="D194" s="491">
        <v>1</v>
      </c>
      <c r="E194" s="530">
        <f t="shared" si="30"/>
        <v>100</v>
      </c>
      <c r="F194" s="491">
        <v>1</v>
      </c>
      <c r="G194" s="532">
        <f t="shared" si="31"/>
        <v>100</v>
      </c>
      <c r="H194" s="487" t="s">
        <v>114</v>
      </c>
      <c r="I194" s="80">
        <f t="shared" si="27"/>
        <v>1</v>
      </c>
      <c r="J194" s="517">
        <f t="shared" si="32"/>
        <v>1</v>
      </c>
      <c r="K194" s="483" t="str">
        <f t="shared" si="33"/>
        <v>Sobresaliente</v>
      </c>
    </row>
    <row r="195" spans="1:14" x14ac:dyDescent="0.25">
      <c r="A195" s="489" t="s">
        <v>428</v>
      </c>
      <c r="B195" s="476">
        <v>44620</v>
      </c>
      <c r="C195" s="285" t="s">
        <v>74</v>
      </c>
      <c r="D195" s="491">
        <v>0.14030000000000001</v>
      </c>
      <c r="E195" s="530">
        <f t="shared" si="30"/>
        <v>14.030000000000001</v>
      </c>
      <c r="F195" s="491">
        <v>0.1764</v>
      </c>
      <c r="G195" s="532">
        <f t="shared" si="31"/>
        <v>17.64</v>
      </c>
      <c r="H195" s="487" t="s">
        <v>114</v>
      </c>
      <c r="I195" s="80">
        <f t="shared" si="27"/>
        <v>1.2573057733428368</v>
      </c>
      <c r="J195" s="517">
        <f t="shared" si="32"/>
        <v>1.2</v>
      </c>
      <c r="K195" s="483" t="str">
        <f t="shared" si="33"/>
        <v>Sobresaliente</v>
      </c>
    </row>
    <row r="196" spans="1:14" x14ac:dyDescent="0.25">
      <c r="A196" s="489" t="s">
        <v>427</v>
      </c>
      <c r="B196" s="476">
        <v>44620</v>
      </c>
      <c r="C196" s="285" t="s">
        <v>74</v>
      </c>
      <c r="D196" s="491">
        <v>9.4200000000000006E-2</v>
      </c>
      <c r="E196" s="530">
        <f t="shared" si="30"/>
        <v>9.42</v>
      </c>
      <c r="F196" s="491">
        <v>0.1263</v>
      </c>
      <c r="G196" s="532">
        <f t="shared" si="31"/>
        <v>12.629999999999999</v>
      </c>
      <c r="H196" s="487" t="s">
        <v>114</v>
      </c>
      <c r="I196" s="80">
        <f t="shared" si="27"/>
        <v>1.3407643312101909</v>
      </c>
      <c r="J196" s="517">
        <f t="shared" si="32"/>
        <v>1.2</v>
      </c>
      <c r="K196" s="483" t="str">
        <f t="shared" si="33"/>
        <v>Sobresaliente</v>
      </c>
    </row>
    <row r="197" spans="1:14" x14ac:dyDescent="0.25">
      <c r="A197" s="489" t="s">
        <v>64</v>
      </c>
      <c r="B197" s="476">
        <v>44620</v>
      </c>
      <c r="C197" s="285" t="s">
        <v>74</v>
      </c>
      <c r="D197" s="491">
        <v>0.56579999999999997</v>
      </c>
      <c r="E197" s="530">
        <f t="shared" si="30"/>
        <v>56.58</v>
      </c>
      <c r="F197" s="491">
        <v>0.1782</v>
      </c>
      <c r="G197" s="532">
        <f t="shared" si="31"/>
        <v>17.82</v>
      </c>
      <c r="H197" s="487" t="s">
        <v>114</v>
      </c>
      <c r="I197" s="80">
        <f t="shared" si="27"/>
        <v>0.31495227995758218</v>
      </c>
      <c r="J197" s="517">
        <f t="shared" si="32"/>
        <v>0.31495227995758218</v>
      </c>
      <c r="K197" s="483" t="str">
        <f t="shared" si="33"/>
        <v>Incumple</v>
      </c>
    </row>
    <row r="198" spans="1:14" x14ac:dyDescent="0.25">
      <c r="A198" s="489" t="s">
        <v>67</v>
      </c>
      <c r="B198" s="476">
        <v>44620</v>
      </c>
      <c r="C198" s="285" t="s">
        <v>74</v>
      </c>
      <c r="D198" s="491">
        <v>1</v>
      </c>
      <c r="E198" s="530">
        <f t="shared" si="30"/>
        <v>100</v>
      </c>
      <c r="F198" s="491">
        <v>0.29520000000000002</v>
      </c>
      <c r="G198" s="532">
        <f t="shared" si="31"/>
        <v>29.520000000000003</v>
      </c>
      <c r="H198" s="487" t="s">
        <v>114</v>
      </c>
      <c r="I198" s="80">
        <f t="shared" si="27"/>
        <v>0.29520000000000002</v>
      </c>
      <c r="J198" s="517">
        <f t="shared" si="32"/>
        <v>0.29520000000000002</v>
      </c>
      <c r="K198" s="483" t="str">
        <f t="shared" si="33"/>
        <v>Incumple</v>
      </c>
    </row>
    <row r="199" spans="1:14" x14ac:dyDescent="0.25">
      <c r="A199" s="489" t="s">
        <v>425</v>
      </c>
      <c r="B199" s="476">
        <v>44620</v>
      </c>
      <c r="C199" s="285" t="s">
        <v>74</v>
      </c>
      <c r="D199" s="491">
        <v>1</v>
      </c>
      <c r="E199" s="530">
        <f t="shared" si="30"/>
        <v>100</v>
      </c>
      <c r="F199" s="491">
        <v>1.3310999999999999</v>
      </c>
      <c r="G199" s="532">
        <f t="shared" si="31"/>
        <v>133.10999999999999</v>
      </c>
      <c r="H199" s="487" t="s">
        <v>114</v>
      </c>
      <c r="I199" s="80">
        <f t="shared" si="27"/>
        <v>1.3310999999999999</v>
      </c>
      <c r="J199" s="517">
        <f t="shared" si="32"/>
        <v>1.2</v>
      </c>
      <c r="K199" s="483" t="str">
        <f t="shared" si="33"/>
        <v>Sobresaliente</v>
      </c>
      <c r="N199" s="294"/>
    </row>
    <row r="200" spans="1:14" x14ac:dyDescent="0.25">
      <c r="A200" s="489" t="s">
        <v>426</v>
      </c>
      <c r="B200" s="476">
        <v>44620</v>
      </c>
      <c r="C200" s="285" t="s">
        <v>74</v>
      </c>
      <c r="D200" s="491">
        <v>13.0116</v>
      </c>
      <c r="E200" s="530">
        <f t="shared" si="30"/>
        <v>1301.1599999999999</v>
      </c>
      <c r="F200" s="491">
        <v>45.966999999999999</v>
      </c>
      <c r="G200" s="532">
        <f t="shared" si="31"/>
        <v>4596.7</v>
      </c>
      <c r="H200" s="487" t="s">
        <v>114</v>
      </c>
      <c r="I200" s="80">
        <f t="shared" si="27"/>
        <v>3.5327707584001966</v>
      </c>
      <c r="J200" s="517">
        <f t="shared" si="32"/>
        <v>1.2</v>
      </c>
      <c r="K200" s="483" t="str">
        <f t="shared" si="33"/>
        <v>Sobresaliente</v>
      </c>
    </row>
    <row r="201" spans="1:14" x14ac:dyDescent="0.25">
      <c r="A201" s="489" t="s">
        <v>429</v>
      </c>
      <c r="B201" s="476">
        <v>44620</v>
      </c>
      <c r="C201" s="285" t="s">
        <v>74</v>
      </c>
      <c r="D201" s="491">
        <v>3.2000000000000001E-2</v>
      </c>
      <c r="E201" s="530">
        <f t="shared" si="30"/>
        <v>3.2</v>
      </c>
      <c r="F201" s="491">
        <v>6.0000000000000001E-3</v>
      </c>
      <c r="G201" s="532">
        <f t="shared" si="31"/>
        <v>0.6</v>
      </c>
      <c r="H201" s="487" t="s">
        <v>114</v>
      </c>
      <c r="I201" s="80">
        <f t="shared" si="27"/>
        <v>0.1875</v>
      </c>
      <c r="J201" s="517">
        <f t="shared" si="32"/>
        <v>0.1875</v>
      </c>
      <c r="K201" s="483" t="str">
        <f t="shared" si="33"/>
        <v>Incumple</v>
      </c>
    </row>
    <row r="202" spans="1:14" x14ac:dyDescent="0.25">
      <c r="A202" s="563" t="s">
        <v>416</v>
      </c>
      <c r="B202" s="564">
        <v>44620</v>
      </c>
      <c r="C202" s="327" t="s">
        <v>386</v>
      </c>
      <c r="D202" s="491">
        <v>1</v>
      </c>
      <c r="E202" s="530">
        <f t="shared" si="25"/>
        <v>100</v>
      </c>
      <c r="F202" s="491">
        <v>1</v>
      </c>
      <c r="G202" s="532">
        <f t="shared" si="26"/>
        <v>100</v>
      </c>
      <c r="H202" s="565" t="s">
        <v>114</v>
      </c>
      <c r="I202" s="80">
        <f t="shared" si="27"/>
        <v>1</v>
      </c>
      <c r="J202" s="566">
        <f t="shared" ref="J202:J215" si="34">+IF(I202&lt;0,0%,IF(I202&gt;120%,120%,I202))</f>
        <v>1</v>
      </c>
      <c r="K202" s="567" t="str">
        <f t="shared" ref="K202:K215" si="35">+IF(I202&lt;79.99999%,"Incumple",IF(AND(I202&gt;=80%,I202&lt;94.999999%),"Tolerable",IF(AND(I202&gt;=95%,I202&lt;100%),"Satisfactorio","Sobresaliente")))</f>
        <v>Sobresaliente</v>
      </c>
    </row>
    <row r="203" spans="1:14" x14ac:dyDescent="0.25">
      <c r="A203" s="489" t="s">
        <v>428</v>
      </c>
      <c r="B203" s="476">
        <v>44620</v>
      </c>
      <c r="C203" s="285" t="s">
        <v>386</v>
      </c>
      <c r="D203" s="491">
        <v>8.1900000000000001E-2</v>
      </c>
      <c r="E203" s="530">
        <f t="shared" si="25"/>
        <v>8.19</v>
      </c>
      <c r="F203" s="491">
        <v>4.41E-2</v>
      </c>
      <c r="G203" s="532">
        <f t="shared" si="26"/>
        <v>4.41</v>
      </c>
      <c r="H203" s="487" t="s">
        <v>114</v>
      </c>
      <c r="I203" s="80">
        <f t="shared" si="27"/>
        <v>0.53846153846153844</v>
      </c>
      <c r="J203" s="517">
        <f t="shared" si="34"/>
        <v>0.53846153846153844</v>
      </c>
      <c r="K203" s="483" t="str">
        <f t="shared" si="35"/>
        <v>Incumple</v>
      </c>
    </row>
    <row r="204" spans="1:14" x14ac:dyDescent="0.25">
      <c r="A204" s="489" t="s">
        <v>427</v>
      </c>
      <c r="B204" s="476">
        <v>44620</v>
      </c>
      <c r="C204" s="285" t="s">
        <v>386</v>
      </c>
      <c r="D204" s="491">
        <v>9.4200000000000006E-2</v>
      </c>
      <c r="E204" s="530">
        <f t="shared" si="25"/>
        <v>9.42</v>
      </c>
      <c r="F204" s="491">
        <v>9.4500000000000001E-2</v>
      </c>
      <c r="G204" s="532">
        <f t="shared" si="26"/>
        <v>9.4499999999999993</v>
      </c>
      <c r="H204" s="487" t="s">
        <v>114</v>
      </c>
      <c r="I204" s="80">
        <f t="shared" si="27"/>
        <v>1.0031847133757961</v>
      </c>
      <c r="J204" s="517">
        <f t="shared" si="34"/>
        <v>1.0031847133757961</v>
      </c>
      <c r="K204" s="483" t="str">
        <f t="shared" si="35"/>
        <v>Sobresaliente</v>
      </c>
    </row>
    <row r="205" spans="1:14" x14ac:dyDescent="0.25">
      <c r="A205" s="489" t="s">
        <v>64</v>
      </c>
      <c r="B205" s="476">
        <v>44620</v>
      </c>
      <c r="C205" s="285" t="s">
        <v>386</v>
      </c>
      <c r="D205" s="491">
        <v>0.38569999999999999</v>
      </c>
      <c r="E205" s="530">
        <f t="shared" si="25"/>
        <v>38.57</v>
      </c>
      <c r="F205" s="491">
        <v>0.1031</v>
      </c>
      <c r="G205" s="532">
        <f t="shared" si="26"/>
        <v>10.31</v>
      </c>
      <c r="H205" s="487" t="s">
        <v>114</v>
      </c>
      <c r="I205" s="80">
        <f t="shared" si="27"/>
        <v>0.26730619652579723</v>
      </c>
      <c r="J205" s="517">
        <f t="shared" si="34"/>
        <v>0.26730619652579723</v>
      </c>
      <c r="K205" s="483" t="str">
        <f t="shared" si="35"/>
        <v>Incumple</v>
      </c>
    </row>
    <row r="206" spans="1:14" x14ac:dyDescent="0.25">
      <c r="A206" s="489" t="s">
        <v>67</v>
      </c>
      <c r="B206" s="476">
        <v>44620</v>
      </c>
      <c r="C206" s="285" t="s">
        <v>386</v>
      </c>
      <c r="D206" s="491">
        <v>1</v>
      </c>
      <c r="E206" s="530">
        <f t="shared" si="25"/>
        <v>100</v>
      </c>
      <c r="F206" s="491">
        <v>0.22020000000000001</v>
      </c>
      <c r="G206" s="532">
        <f t="shared" si="26"/>
        <v>22.02</v>
      </c>
      <c r="H206" s="487" t="s">
        <v>114</v>
      </c>
      <c r="I206" s="80">
        <f t="shared" si="27"/>
        <v>0.22020000000000001</v>
      </c>
      <c r="J206" s="517">
        <f t="shared" si="34"/>
        <v>0.22020000000000001</v>
      </c>
      <c r="K206" s="483" t="str">
        <f t="shared" si="35"/>
        <v>Incumple</v>
      </c>
    </row>
    <row r="207" spans="1:14" x14ac:dyDescent="0.25">
      <c r="A207" s="489" t="s">
        <v>425</v>
      </c>
      <c r="B207" s="476">
        <v>44620</v>
      </c>
      <c r="C207" s="285" t="s">
        <v>386</v>
      </c>
      <c r="D207" s="491">
        <v>1</v>
      </c>
      <c r="E207" s="530">
        <f t="shared" si="25"/>
        <v>100</v>
      </c>
      <c r="F207" s="491">
        <v>1.4056999999999999</v>
      </c>
      <c r="G207" s="532">
        <f t="shared" si="26"/>
        <v>140.57</v>
      </c>
      <c r="H207" s="487" t="s">
        <v>114</v>
      </c>
      <c r="I207" s="80">
        <f t="shared" si="27"/>
        <v>1.4056999999999999</v>
      </c>
      <c r="J207" s="517">
        <f t="shared" si="34"/>
        <v>1.2</v>
      </c>
      <c r="K207" s="483" t="str">
        <f t="shared" si="35"/>
        <v>Sobresaliente</v>
      </c>
    </row>
    <row r="208" spans="1:14" x14ac:dyDescent="0.25">
      <c r="A208" s="489" t="s">
        <v>356</v>
      </c>
      <c r="B208" s="476">
        <v>44620</v>
      </c>
      <c r="C208" s="285" t="s">
        <v>81</v>
      </c>
      <c r="D208" s="491">
        <v>3.3117000000000001</v>
      </c>
      <c r="E208" s="530">
        <f t="shared" si="25"/>
        <v>331.17</v>
      </c>
      <c r="F208" s="491">
        <v>3.2675000000000001</v>
      </c>
      <c r="G208" s="532">
        <f t="shared" si="26"/>
        <v>326.75</v>
      </c>
      <c r="H208" s="487" t="s">
        <v>114</v>
      </c>
      <c r="I208" s="80">
        <f t="shared" si="27"/>
        <v>0.98665338043904938</v>
      </c>
      <c r="J208" s="517">
        <f t="shared" si="34"/>
        <v>0.98665338043904938</v>
      </c>
      <c r="K208" s="483" t="str">
        <f t="shared" si="35"/>
        <v>Satisfactorio</v>
      </c>
    </row>
    <row r="209" spans="1:11" x14ac:dyDescent="0.25">
      <c r="A209" s="489" t="s">
        <v>416</v>
      </c>
      <c r="B209" s="476">
        <v>44620</v>
      </c>
      <c r="C209" s="285" t="s">
        <v>81</v>
      </c>
      <c r="D209" s="491">
        <v>1</v>
      </c>
      <c r="E209" s="530">
        <f t="shared" si="25"/>
        <v>100</v>
      </c>
      <c r="F209" s="491">
        <v>1</v>
      </c>
      <c r="G209" s="532">
        <f t="shared" si="26"/>
        <v>100</v>
      </c>
      <c r="H209" s="487" t="s">
        <v>114</v>
      </c>
      <c r="I209" s="80">
        <f t="shared" si="27"/>
        <v>1</v>
      </c>
      <c r="J209" s="517">
        <f t="shared" si="34"/>
        <v>1</v>
      </c>
      <c r="K209" s="483" t="str">
        <f t="shared" si="35"/>
        <v>Sobresaliente</v>
      </c>
    </row>
    <row r="210" spans="1:11" x14ac:dyDescent="0.25">
      <c r="A210" s="489" t="s">
        <v>428</v>
      </c>
      <c r="B210" s="476">
        <v>44620</v>
      </c>
      <c r="C210" s="285" t="s">
        <v>81</v>
      </c>
      <c r="D210" s="491">
        <v>0.14030000000000001</v>
      </c>
      <c r="E210" s="530">
        <f t="shared" si="25"/>
        <v>14.030000000000001</v>
      </c>
      <c r="F210" s="491">
        <v>0.24970000000000001</v>
      </c>
      <c r="G210" s="532">
        <f t="shared" si="26"/>
        <v>24.97</v>
      </c>
      <c r="H210" s="487" t="s">
        <v>114</v>
      </c>
      <c r="I210" s="80">
        <f t="shared" si="27"/>
        <v>1.7797576621525302</v>
      </c>
      <c r="J210" s="517">
        <f t="shared" si="34"/>
        <v>1.2</v>
      </c>
      <c r="K210" s="483" t="str">
        <f t="shared" si="35"/>
        <v>Sobresaliente</v>
      </c>
    </row>
    <row r="211" spans="1:11" x14ac:dyDescent="0.25">
      <c r="A211" s="489" t="s">
        <v>427</v>
      </c>
      <c r="B211" s="476">
        <v>44620</v>
      </c>
      <c r="C211" s="285" t="s">
        <v>81</v>
      </c>
      <c r="D211" s="491">
        <v>9.4200000000000006E-2</v>
      </c>
      <c r="E211" s="530">
        <f t="shared" si="25"/>
        <v>9.42</v>
      </c>
      <c r="F211" s="491">
        <v>9.3299999999999994E-2</v>
      </c>
      <c r="G211" s="532">
        <f t="shared" si="26"/>
        <v>9.33</v>
      </c>
      <c r="H211" s="487" t="s">
        <v>114</v>
      </c>
      <c r="I211" s="80">
        <f t="shared" si="27"/>
        <v>0.99044585987261136</v>
      </c>
      <c r="J211" s="517">
        <f t="shared" si="34"/>
        <v>0.99044585987261136</v>
      </c>
      <c r="K211" s="483" t="str">
        <f t="shared" si="35"/>
        <v>Satisfactorio</v>
      </c>
    </row>
    <row r="212" spans="1:11" x14ac:dyDescent="0.25">
      <c r="A212" s="489" t="s">
        <v>64</v>
      </c>
      <c r="B212" s="476">
        <v>44620</v>
      </c>
      <c r="C212" s="285" t="s">
        <v>81</v>
      </c>
      <c r="D212" s="491">
        <v>-0.65380000000000005</v>
      </c>
      <c r="E212" s="530">
        <f t="shared" si="25"/>
        <v>-65.38000000000001</v>
      </c>
      <c r="F212" s="491">
        <v>0.4</v>
      </c>
      <c r="G212" s="532">
        <f t="shared" si="26"/>
        <v>40</v>
      </c>
      <c r="H212" s="487" t="s">
        <v>114</v>
      </c>
      <c r="I212" s="80">
        <f t="shared" si="27"/>
        <v>3.6345000000000001</v>
      </c>
      <c r="J212" s="517">
        <f t="shared" si="34"/>
        <v>1.2</v>
      </c>
      <c r="K212" s="483" t="str">
        <f t="shared" si="35"/>
        <v>Sobresaliente</v>
      </c>
    </row>
    <row r="213" spans="1:11" x14ac:dyDescent="0.25">
      <c r="A213" s="489" t="s">
        <v>67</v>
      </c>
      <c r="B213" s="476">
        <v>44620</v>
      </c>
      <c r="C213" s="285" t="s">
        <v>81</v>
      </c>
      <c r="D213" s="491">
        <v>1</v>
      </c>
      <c r="E213" s="530">
        <f t="shared" si="25"/>
        <v>100</v>
      </c>
      <c r="F213" s="491">
        <v>0.53459999999999996</v>
      </c>
      <c r="G213" s="532">
        <f t="shared" si="26"/>
        <v>53.459999999999994</v>
      </c>
      <c r="H213" s="487" t="s">
        <v>114</v>
      </c>
      <c r="I213" s="80">
        <f t="shared" si="27"/>
        <v>0.53459999999999996</v>
      </c>
      <c r="J213" s="517">
        <f t="shared" si="34"/>
        <v>0.53459999999999996</v>
      </c>
      <c r="K213" s="483" t="str">
        <f t="shared" si="35"/>
        <v>Incumple</v>
      </c>
    </row>
    <row r="214" spans="1:11" x14ac:dyDescent="0.25">
      <c r="A214" s="489" t="s">
        <v>425</v>
      </c>
      <c r="B214" s="476">
        <v>44620</v>
      </c>
      <c r="C214" s="285" t="s">
        <v>81</v>
      </c>
      <c r="D214" s="491">
        <v>1</v>
      </c>
      <c r="E214" s="530">
        <f t="shared" si="25"/>
        <v>100</v>
      </c>
      <c r="F214" s="491">
        <v>1.5</v>
      </c>
      <c r="G214" s="532">
        <f t="shared" si="26"/>
        <v>150</v>
      </c>
      <c r="H214" s="487" t="s">
        <v>114</v>
      </c>
      <c r="I214" s="80">
        <f t="shared" si="27"/>
        <v>1.5</v>
      </c>
      <c r="J214" s="517">
        <f t="shared" si="34"/>
        <v>1.2</v>
      </c>
      <c r="K214" s="483" t="str">
        <f t="shared" si="35"/>
        <v>Sobresaliente</v>
      </c>
    </row>
    <row r="215" spans="1:11" x14ac:dyDescent="0.25">
      <c r="A215" s="489" t="s">
        <v>426</v>
      </c>
      <c r="B215" s="476">
        <v>44620</v>
      </c>
      <c r="C215" s="285" t="s">
        <v>81</v>
      </c>
      <c r="D215" s="491">
        <v>0.98760000000000003</v>
      </c>
      <c r="E215" s="530">
        <f t="shared" si="25"/>
        <v>98.76</v>
      </c>
      <c r="F215" s="491">
        <v>-0.46949999999999997</v>
      </c>
      <c r="G215" s="532">
        <f t="shared" si="26"/>
        <v>-46.949999999999996</v>
      </c>
      <c r="H215" s="487" t="s">
        <v>114</v>
      </c>
      <c r="I215" s="80">
        <f t="shared" si="27"/>
        <v>-0.4753948967193195</v>
      </c>
      <c r="J215" s="517">
        <f t="shared" si="34"/>
        <v>0</v>
      </c>
      <c r="K215" s="483" t="str">
        <f t="shared" si="35"/>
        <v>Incumple</v>
      </c>
    </row>
    <row r="216" spans="1:11" x14ac:dyDescent="0.25">
      <c r="A216" s="489" t="s">
        <v>429</v>
      </c>
      <c r="B216" s="476">
        <v>44620</v>
      </c>
      <c r="C216" s="285" t="s">
        <v>81</v>
      </c>
      <c r="D216" s="491">
        <v>8.14E-2</v>
      </c>
      <c r="E216" s="530">
        <f t="shared" ref="E216:E247" si="36">+D216*100</f>
        <v>8.14</v>
      </c>
      <c r="F216" s="491">
        <v>8.5300000000000001E-2</v>
      </c>
      <c r="G216" s="532">
        <f t="shared" ref="G216:G247" si="37">+F216*100</f>
        <v>8.5299999999999994</v>
      </c>
      <c r="H216" s="487" t="s">
        <v>114</v>
      </c>
      <c r="I216" s="80">
        <f t="shared" si="27"/>
        <v>1.0479115479115479</v>
      </c>
      <c r="J216" s="518">
        <f t="shared" ref="J216:J247" si="38">+IF(I216&lt;0,0%,IF(I216&gt;120%,120%,I216))</f>
        <v>1.0479115479115479</v>
      </c>
      <c r="K216" s="488" t="str">
        <f t="shared" ref="K216:K247" si="39">+IF(I216&lt;79.99999%,"Incumple",IF(AND(I216&gt;=80%,I216&lt;94.999999%),"Tolerable",IF(AND(I216&gt;=95%,I216&lt;100%),"Satisfactorio","Sobresaliente")))</f>
        <v>Sobresaliente</v>
      </c>
    </row>
    <row r="217" spans="1:11" x14ac:dyDescent="0.25">
      <c r="A217" s="489" t="s">
        <v>356</v>
      </c>
      <c r="B217" s="476">
        <v>44620</v>
      </c>
      <c r="C217" s="285" t="s">
        <v>83</v>
      </c>
      <c r="D217" s="491">
        <v>3.5935999999999999</v>
      </c>
      <c r="E217" s="530">
        <f t="shared" si="36"/>
        <v>359.36</v>
      </c>
      <c r="F217" s="491">
        <v>11.299200000000001</v>
      </c>
      <c r="G217" s="532">
        <f t="shared" si="37"/>
        <v>1129.92</v>
      </c>
      <c r="H217" s="487" t="s">
        <v>114</v>
      </c>
      <c r="I217" s="80">
        <f t="shared" si="27"/>
        <v>3.1442564559216386</v>
      </c>
      <c r="J217" s="518">
        <f t="shared" si="38"/>
        <v>1.2</v>
      </c>
      <c r="K217" s="488" t="str">
        <f t="shared" si="39"/>
        <v>Sobresaliente</v>
      </c>
    </row>
    <row r="218" spans="1:11" x14ac:dyDescent="0.25">
      <c r="A218" s="489" t="s">
        <v>416</v>
      </c>
      <c r="B218" s="476">
        <v>44620</v>
      </c>
      <c r="C218" s="285" t="s">
        <v>83</v>
      </c>
      <c r="D218" s="491">
        <v>1</v>
      </c>
      <c r="E218" s="530">
        <f t="shared" si="36"/>
        <v>100</v>
      </c>
      <c r="F218" s="491">
        <v>1</v>
      </c>
      <c r="G218" s="532">
        <f t="shared" si="37"/>
        <v>100</v>
      </c>
      <c r="H218" s="487" t="s">
        <v>114</v>
      </c>
      <c r="I218" s="80">
        <f t="shared" si="27"/>
        <v>1</v>
      </c>
      <c r="J218" s="518">
        <f t="shared" si="38"/>
        <v>1</v>
      </c>
      <c r="K218" s="488" t="str">
        <f t="shared" si="39"/>
        <v>Sobresaliente</v>
      </c>
    </row>
    <row r="219" spans="1:11" x14ac:dyDescent="0.25">
      <c r="A219" s="489" t="s">
        <v>428</v>
      </c>
      <c r="B219" s="476">
        <v>44620</v>
      </c>
      <c r="C219" s="285" t="s">
        <v>83</v>
      </c>
      <c r="D219" s="491">
        <v>0.14030000000000001</v>
      </c>
      <c r="E219" s="530">
        <f t="shared" si="36"/>
        <v>14.030000000000001</v>
      </c>
      <c r="F219" s="491">
        <v>0.1489</v>
      </c>
      <c r="G219" s="532">
        <f t="shared" si="37"/>
        <v>14.89</v>
      </c>
      <c r="H219" s="487" t="s">
        <v>114</v>
      </c>
      <c r="I219" s="80">
        <f t="shared" si="27"/>
        <v>1.0612972202423379</v>
      </c>
      <c r="J219" s="518">
        <f t="shared" si="38"/>
        <v>1.0612972202423379</v>
      </c>
      <c r="K219" s="488" t="str">
        <f t="shared" si="39"/>
        <v>Sobresaliente</v>
      </c>
    </row>
    <row r="220" spans="1:11" x14ac:dyDescent="0.25">
      <c r="A220" s="489" t="s">
        <v>427</v>
      </c>
      <c r="B220" s="476">
        <v>44620</v>
      </c>
      <c r="C220" s="285" t="s">
        <v>83</v>
      </c>
      <c r="D220" s="491">
        <v>9.4200000000000006E-2</v>
      </c>
      <c r="E220" s="530">
        <f t="shared" si="36"/>
        <v>9.42</v>
      </c>
      <c r="F220" s="491">
        <v>3.2399999999999998E-2</v>
      </c>
      <c r="G220" s="532">
        <f t="shared" si="37"/>
        <v>3.2399999999999998</v>
      </c>
      <c r="H220" s="487" t="s">
        <v>114</v>
      </c>
      <c r="I220" s="80">
        <f t="shared" si="27"/>
        <v>0.34394904458598724</v>
      </c>
      <c r="J220" s="518">
        <f t="shared" si="38"/>
        <v>0.34394904458598724</v>
      </c>
      <c r="K220" s="488" t="str">
        <f t="shared" si="39"/>
        <v>Incumple</v>
      </c>
    </row>
    <row r="221" spans="1:11" x14ac:dyDescent="0.25">
      <c r="A221" s="489" t="s">
        <v>64</v>
      </c>
      <c r="B221" s="476">
        <v>44620</v>
      </c>
      <c r="C221" s="285" t="s">
        <v>83</v>
      </c>
      <c r="D221" s="491">
        <v>-0.60319999999999996</v>
      </c>
      <c r="E221" s="530">
        <f t="shared" si="36"/>
        <v>-60.319999999999993</v>
      </c>
      <c r="F221" s="491">
        <v>-0.11840000000000001</v>
      </c>
      <c r="G221" s="532">
        <f t="shared" si="37"/>
        <v>-11.84</v>
      </c>
      <c r="H221" s="487" t="s">
        <v>114</v>
      </c>
      <c r="I221" s="80">
        <f t="shared" ref="I221:I284" si="40">+IFERROR(IF(H221="Creciente",IF(AND(F221&lt;0,D221&lt;0),1-(F221-D221)/D221,IF(F221&lt;0,IFERROR(F221/D221,0),IF(D221&lt;0,1+((F221-D221)/F221),F221/D221))),IF(AND(F221&lt;0,D221&lt;0),(D221*-1)/(F221*-1),IF(F221&lt;0,(F221-D221)/F221,IF(D221&lt;0,-1+(F221-D221)/D221,IF(H221="Decreciente",1+(D221-F221)/D221,F221/D221))))),"N/A")</f>
        <v>1.8037135278514589</v>
      </c>
      <c r="J221" s="518">
        <f t="shared" si="38"/>
        <v>1.2</v>
      </c>
      <c r="K221" s="488" t="str">
        <f t="shared" si="39"/>
        <v>Sobresaliente</v>
      </c>
    </row>
    <row r="222" spans="1:11" x14ac:dyDescent="0.25">
      <c r="A222" s="489" t="s">
        <v>67</v>
      </c>
      <c r="B222" s="476">
        <v>44620</v>
      </c>
      <c r="C222" s="285" t="s">
        <v>83</v>
      </c>
      <c r="D222" s="491">
        <v>1</v>
      </c>
      <c r="E222" s="530">
        <f t="shared" si="36"/>
        <v>100</v>
      </c>
      <c r="F222" s="491">
        <v>0.20799999999999999</v>
      </c>
      <c r="G222" s="532">
        <f t="shared" si="37"/>
        <v>20.8</v>
      </c>
      <c r="H222" s="487" t="s">
        <v>114</v>
      </c>
      <c r="I222" s="80">
        <f t="shared" si="40"/>
        <v>0.20799999999999999</v>
      </c>
      <c r="J222" s="518">
        <f t="shared" si="38"/>
        <v>0.20799999999999999</v>
      </c>
      <c r="K222" s="488" t="str">
        <f t="shared" si="39"/>
        <v>Incumple</v>
      </c>
    </row>
    <row r="223" spans="1:11" x14ac:dyDescent="0.25">
      <c r="A223" s="489" t="s">
        <v>425</v>
      </c>
      <c r="B223" s="476">
        <v>44620</v>
      </c>
      <c r="C223" s="285" t="s">
        <v>83</v>
      </c>
      <c r="D223" s="491">
        <v>1</v>
      </c>
      <c r="E223" s="530">
        <f t="shared" si="36"/>
        <v>100</v>
      </c>
      <c r="F223" s="491">
        <v>0.8639</v>
      </c>
      <c r="G223" s="532">
        <f t="shared" si="37"/>
        <v>86.39</v>
      </c>
      <c r="H223" s="487" t="s">
        <v>114</v>
      </c>
      <c r="I223" s="80">
        <f t="shared" si="40"/>
        <v>0.8639</v>
      </c>
      <c r="J223" s="518">
        <f t="shared" si="38"/>
        <v>0.8639</v>
      </c>
      <c r="K223" s="488" t="str">
        <f t="shared" si="39"/>
        <v>Tolerable</v>
      </c>
    </row>
    <row r="224" spans="1:11" x14ac:dyDescent="0.25">
      <c r="A224" s="489" t="s">
        <v>426</v>
      </c>
      <c r="B224" s="476">
        <v>44620</v>
      </c>
      <c r="C224" s="285" t="s">
        <v>83</v>
      </c>
      <c r="D224" s="491">
        <v>5.25</v>
      </c>
      <c r="E224" s="530">
        <f t="shared" si="36"/>
        <v>525</v>
      </c>
      <c r="F224" s="491">
        <v>15.520799999999999</v>
      </c>
      <c r="G224" s="532">
        <f t="shared" si="37"/>
        <v>1552.08</v>
      </c>
      <c r="H224" s="487" t="s">
        <v>114</v>
      </c>
      <c r="I224" s="80">
        <f t="shared" si="40"/>
        <v>2.9563428571428569</v>
      </c>
      <c r="J224" s="518">
        <f t="shared" si="38"/>
        <v>1.2</v>
      </c>
      <c r="K224" s="488" t="str">
        <f t="shared" si="39"/>
        <v>Sobresaliente</v>
      </c>
    </row>
    <row r="225" spans="1:13" x14ac:dyDescent="0.25">
      <c r="A225" s="489" t="s">
        <v>429</v>
      </c>
      <c r="B225" s="476">
        <v>44620</v>
      </c>
      <c r="C225" s="285" t="s">
        <v>83</v>
      </c>
      <c r="D225" s="491">
        <v>0.32169999999999999</v>
      </c>
      <c r="E225" s="530">
        <f t="shared" si="36"/>
        <v>32.17</v>
      </c>
      <c r="F225" s="491">
        <v>0.1236</v>
      </c>
      <c r="G225" s="532">
        <f t="shared" si="37"/>
        <v>12.36</v>
      </c>
      <c r="H225" s="487" t="s">
        <v>114</v>
      </c>
      <c r="I225" s="80">
        <f t="shared" si="40"/>
        <v>0.38420889027043831</v>
      </c>
      <c r="J225" s="518">
        <f t="shared" si="38"/>
        <v>0.38420889027043831</v>
      </c>
      <c r="K225" s="488" t="str">
        <f t="shared" si="39"/>
        <v>Incumple</v>
      </c>
    </row>
    <row r="226" spans="1:13" x14ac:dyDescent="0.25">
      <c r="A226" s="489" t="s">
        <v>356</v>
      </c>
      <c r="B226" s="476">
        <v>44620</v>
      </c>
      <c r="C226" s="285" t="s">
        <v>85</v>
      </c>
      <c r="D226" s="491">
        <v>0.33550000000000002</v>
      </c>
      <c r="E226" s="530">
        <f t="shared" si="36"/>
        <v>33.550000000000004</v>
      </c>
      <c r="F226" s="491">
        <v>3.3115999999999999</v>
      </c>
      <c r="G226" s="532">
        <f t="shared" si="37"/>
        <v>331.15999999999997</v>
      </c>
      <c r="H226" s="487" t="s">
        <v>114</v>
      </c>
      <c r="I226" s="80">
        <f t="shared" si="40"/>
        <v>9.8706408345752603</v>
      </c>
      <c r="J226" s="518">
        <f t="shared" si="38"/>
        <v>1.2</v>
      </c>
      <c r="K226" s="488" t="str">
        <f t="shared" si="39"/>
        <v>Sobresaliente</v>
      </c>
    </row>
    <row r="227" spans="1:13" x14ac:dyDescent="0.25">
      <c r="A227" s="489" t="s">
        <v>416</v>
      </c>
      <c r="B227" s="476">
        <v>44620</v>
      </c>
      <c r="C227" s="285" t="s">
        <v>85</v>
      </c>
      <c r="D227" s="491">
        <v>1</v>
      </c>
      <c r="E227" s="530">
        <f t="shared" si="36"/>
        <v>100</v>
      </c>
      <c r="F227" s="491">
        <v>1</v>
      </c>
      <c r="G227" s="532">
        <f t="shared" si="37"/>
        <v>100</v>
      </c>
      <c r="H227" s="487" t="s">
        <v>114</v>
      </c>
      <c r="I227" s="80">
        <f t="shared" si="40"/>
        <v>1</v>
      </c>
      <c r="J227" s="518">
        <f t="shared" si="38"/>
        <v>1</v>
      </c>
      <c r="K227" s="488" t="str">
        <f t="shared" si="39"/>
        <v>Sobresaliente</v>
      </c>
    </row>
    <row r="228" spans="1:13" x14ac:dyDescent="0.25">
      <c r="A228" s="489" t="s">
        <v>428</v>
      </c>
      <c r="B228" s="476">
        <v>44620</v>
      </c>
      <c r="C228" s="285" t="s">
        <v>85</v>
      </c>
      <c r="D228" s="491">
        <v>0.14030000000000001</v>
      </c>
      <c r="E228" s="530">
        <f t="shared" si="36"/>
        <v>14.030000000000001</v>
      </c>
      <c r="F228" s="491">
        <v>7.5499999999999998E-2</v>
      </c>
      <c r="G228" s="532">
        <f t="shared" si="37"/>
        <v>7.55</v>
      </c>
      <c r="H228" s="487" t="s">
        <v>114</v>
      </c>
      <c r="I228" s="80">
        <f t="shared" si="40"/>
        <v>0.53813257305773343</v>
      </c>
      <c r="J228" s="518">
        <f t="shared" si="38"/>
        <v>0.53813257305773343</v>
      </c>
      <c r="K228" s="488" t="str">
        <f t="shared" si="39"/>
        <v>Incumple</v>
      </c>
    </row>
    <row r="229" spans="1:13" x14ac:dyDescent="0.25">
      <c r="A229" s="489" t="s">
        <v>427</v>
      </c>
      <c r="B229" s="476">
        <v>44620</v>
      </c>
      <c r="C229" s="285" t="s">
        <v>85</v>
      </c>
      <c r="D229" s="491">
        <v>9.4200000000000006E-2</v>
      </c>
      <c r="E229" s="530">
        <f t="shared" si="36"/>
        <v>9.42</v>
      </c>
      <c r="F229" s="491">
        <v>2.3E-3</v>
      </c>
      <c r="G229" s="532">
        <f t="shared" si="37"/>
        <v>0.22999999999999998</v>
      </c>
      <c r="H229" s="487" t="s">
        <v>114</v>
      </c>
      <c r="I229" s="80">
        <f t="shared" si="40"/>
        <v>2.4416135881104032E-2</v>
      </c>
      <c r="J229" s="518">
        <f t="shared" si="38"/>
        <v>2.4416135881104032E-2</v>
      </c>
      <c r="K229" s="488" t="str">
        <f t="shared" si="39"/>
        <v>Incumple</v>
      </c>
    </row>
    <row r="230" spans="1:13" x14ac:dyDescent="0.25">
      <c r="A230" s="489" t="s">
        <v>64</v>
      </c>
      <c r="B230" s="476">
        <v>44620</v>
      </c>
      <c r="C230" s="285" t="s">
        <v>85</v>
      </c>
      <c r="D230" s="491">
        <v>-0.29170000000000001</v>
      </c>
      <c r="E230" s="530">
        <f t="shared" si="36"/>
        <v>-29.17</v>
      </c>
      <c r="F230" s="491">
        <v>-0.5</v>
      </c>
      <c r="G230" s="532">
        <f t="shared" si="37"/>
        <v>-50</v>
      </c>
      <c r="H230" s="487" t="s">
        <v>114</v>
      </c>
      <c r="I230" s="80">
        <f t="shared" si="40"/>
        <v>0.28591018169352078</v>
      </c>
      <c r="J230" s="518">
        <f t="shared" si="38"/>
        <v>0.28591018169352078</v>
      </c>
      <c r="K230" s="488" t="str">
        <f t="shared" si="39"/>
        <v>Incumple</v>
      </c>
      <c r="M230" s="498"/>
    </row>
    <row r="231" spans="1:13" x14ac:dyDescent="0.25">
      <c r="A231" s="489" t="s">
        <v>67</v>
      </c>
      <c r="B231" s="476">
        <v>44620</v>
      </c>
      <c r="C231" s="285" t="s">
        <v>85</v>
      </c>
      <c r="D231" s="491">
        <v>1</v>
      </c>
      <c r="E231" s="530">
        <f t="shared" si="36"/>
        <v>100</v>
      </c>
      <c r="F231" s="491">
        <v>6.4299999999999996E-2</v>
      </c>
      <c r="G231" s="532">
        <f t="shared" si="37"/>
        <v>6.43</v>
      </c>
      <c r="H231" s="487" t="s">
        <v>114</v>
      </c>
      <c r="I231" s="80">
        <f t="shared" si="40"/>
        <v>6.4299999999999996E-2</v>
      </c>
      <c r="J231" s="518">
        <f t="shared" si="38"/>
        <v>6.4299999999999996E-2</v>
      </c>
      <c r="K231" s="488" t="str">
        <f t="shared" si="39"/>
        <v>Incumple</v>
      </c>
    </row>
    <row r="232" spans="1:13" x14ac:dyDescent="0.25">
      <c r="A232" s="489" t="s">
        <v>425</v>
      </c>
      <c r="B232" s="476">
        <v>44620</v>
      </c>
      <c r="C232" s="285" t="s">
        <v>85</v>
      </c>
      <c r="D232" s="491">
        <v>1</v>
      </c>
      <c r="E232" s="530">
        <f t="shared" si="36"/>
        <v>100</v>
      </c>
      <c r="F232" s="491">
        <v>0.29409999999999997</v>
      </c>
      <c r="G232" s="532">
        <f t="shared" si="37"/>
        <v>29.409999999999997</v>
      </c>
      <c r="H232" s="487" t="s">
        <v>114</v>
      </c>
      <c r="I232" s="80">
        <f t="shared" si="40"/>
        <v>0.29409999999999997</v>
      </c>
      <c r="J232" s="518">
        <f t="shared" si="38"/>
        <v>0.29409999999999997</v>
      </c>
      <c r="K232" s="488" t="str">
        <f t="shared" si="39"/>
        <v>Incumple</v>
      </c>
    </row>
    <row r="233" spans="1:13" x14ac:dyDescent="0.25">
      <c r="A233" s="489" t="s">
        <v>426</v>
      </c>
      <c r="B233" s="476">
        <v>44620</v>
      </c>
      <c r="C233" s="285" t="s">
        <v>85</v>
      </c>
      <c r="D233" s="491">
        <v>-0.59209999999999996</v>
      </c>
      <c r="E233" s="530">
        <f t="shared" si="36"/>
        <v>-59.209999999999994</v>
      </c>
      <c r="F233" s="491">
        <v>-0.84819999999999995</v>
      </c>
      <c r="G233" s="532">
        <f t="shared" si="37"/>
        <v>-84.82</v>
      </c>
      <c r="H233" s="487" t="s">
        <v>114</v>
      </c>
      <c r="I233" s="80">
        <f t="shared" si="40"/>
        <v>0.56747171085965209</v>
      </c>
      <c r="J233" s="518">
        <f t="shared" si="38"/>
        <v>0.56747171085965209</v>
      </c>
      <c r="K233" s="488" t="str">
        <f t="shared" si="39"/>
        <v>Incumple</v>
      </c>
    </row>
    <row r="234" spans="1:13" x14ac:dyDescent="0.25">
      <c r="A234" s="489" t="s">
        <v>429</v>
      </c>
      <c r="B234" s="476">
        <v>44620</v>
      </c>
      <c r="C234" s="285" t="s">
        <v>85</v>
      </c>
      <c r="D234" s="491">
        <v>0.1449</v>
      </c>
      <c r="E234" s="530">
        <f t="shared" si="36"/>
        <v>14.49</v>
      </c>
      <c r="F234" s="491">
        <v>0.1434</v>
      </c>
      <c r="G234" s="532">
        <f t="shared" si="37"/>
        <v>14.34</v>
      </c>
      <c r="H234" s="487" t="s">
        <v>114</v>
      </c>
      <c r="I234" s="80">
        <f t="shared" si="40"/>
        <v>0.98964803312629401</v>
      </c>
      <c r="J234" s="518">
        <f t="shared" si="38"/>
        <v>0.98964803312629401</v>
      </c>
      <c r="K234" s="488" t="str">
        <f t="shared" si="39"/>
        <v>Satisfactorio</v>
      </c>
    </row>
    <row r="235" spans="1:13" x14ac:dyDescent="0.25">
      <c r="A235" s="489" t="s">
        <v>356</v>
      </c>
      <c r="B235" s="476">
        <v>44620</v>
      </c>
      <c r="C235" s="285" t="s">
        <v>87</v>
      </c>
      <c r="D235" s="491">
        <v>2.0044</v>
      </c>
      <c r="E235" s="530">
        <f t="shared" si="36"/>
        <v>200.44</v>
      </c>
      <c r="F235" s="491">
        <v>3.6705000000000001</v>
      </c>
      <c r="G235" s="532">
        <f t="shared" si="37"/>
        <v>367.05</v>
      </c>
      <c r="H235" s="487" t="s">
        <v>114</v>
      </c>
      <c r="I235" s="80">
        <f t="shared" si="40"/>
        <v>1.8312213131111554</v>
      </c>
      <c r="J235" s="518">
        <f t="shared" si="38"/>
        <v>1.2</v>
      </c>
      <c r="K235" s="488" t="str">
        <f t="shared" si="39"/>
        <v>Sobresaliente</v>
      </c>
    </row>
    <row r="236" spans="1:13" x14ac:dyDescent="0.25">
      <c r="A236" s="489" t="s">
        <v>428</v>
      </c>
      <c r="B236" s="476">
        <v>44620</v>
      </c>
      <c r="C236" s="285" t="s">
        <v>87</v>
      </c>
      <c r="D236" s="491">
        <v>0.14030000000000001</v>
      </c>
      <c r="E236" s="530">
        <f t="shared" si="36"/>
        <v>14.030000000000001</v>
      </c>
      <c r="F236" s="491">
        <v>0.114</v>
      </c>
      <c r="G236" s="532">
        <f t="shared" si="37"/>
        <v>11.4</v>
      </c>
      <c r="H236" s="487" t="s">
        <v>114</v>
      </c>
      <c r="I236" s="80">
        <f t="shared" si="40"/>
        <v>0.81254454739843196</v>
      </c>
      <c r="J236" s="518">
        <f t="shared" si="38"/>
        <v>0.81254454739843196</v>
      </c>
      <c r="K236" s="488" t="str">
        <f t="shared" si="39"/>
        <v>Tolerable</v>
      </c>
    </row>
    <row r="237" spans="1:13" x14ac:dyDescent="0.25">
      <c r="A237" s="489" t="s">
        <v>427</v>
      </c>
      <c r="B237" s="476">
        <v>44620</v>
      </c>
      <c r="C237" s="285" t="s">
        <v>87</v>
      </c>
      <c r="D237" s="491">
        <v>9.4200000000000006E-2</v>
      </c>
      <c r="E237" s="530">
        <f t="shared" si="36"/>
        <v>9.42</v>
      </c>
      <c r="F237" s="491">
        <v>0.16</v>
      </c>
      <c r="G237" s="532">
        <f t="shared" si="37"/>
        <v>16</v>
      </c>
      <c r="H237" s="487" t="s">
        <v>114</v>
      </c>
      <c r="I237" s="80">
        <f t="shared" si="40"/>
        <v>1.6985138004246283</v>
      </c>
      <c r="J237" s="518">
        <f t="shared" si="38"/>
        <v>1.2</v>
      </c>
      <c r="K237" s="488" t="str">
        <f t="shared" si="39"/>
        <v>Sobresaliente</v>
      </c>
    </row>
    <row r="238" spans="1:13" x14ac:dyDescent="0.25">
      <c r="A238" s="489" t="s">
        <v>64</v>
      </c>
      <c r="B238" s="476">
        <v>44620</v>
      </c>
      <c r="C238" s="285" t="s">
        <v>87</v>
      </c>
      <c r="D238" s="491">
        <v>0.5</v>
      </c>
      <c r="E238" s="530">
        <f t="shared" si="36"/>
        <v>50</v>
      </c>
      <c r="F238" s="491">
        <v>0.47060000000000002</v>
      </c>
      <c r="G238" s="532">
        <f t="shared" si="37"/>
        <v>47.06</v>
      </c>
      <c r="H238" s="487" t="s">
        <v>114</v>
      </c>
      <c r="I238" s="80">
        <f t="shared" si="40"/>
        <v>0.94120000000000004</v>
      </c>
      <c r="J238" s="518">
        <f t="shared" si="38"/>
        <v>0.94120000000000004</v>
      </c>
      <c r="K238" s="488" t="str">
        <f t="shared" si="39"/>
        <v>Tolerable</v>
      </c>
    </row>
    <row r="239" spans="1:13" x14ac:dyDescent="0.25">
      <c r="A239" s="489" t="s">
        <v>67</v>
      </c>
      <c r="B239" s="476">
        <v>44620</v>
      </c>
      <c r="C239" s="285" t="s">
        <v>87</v>
      </c>
      <c r="D239" s="491">
        <v>1</v>
      </c>
      <c r="E239" s="530">
        <f t="shared" si="36"/>
        <v>100</v>
      </c>
      <c r="F239" s="491">
        <v>0.56669999999999998</v>
      </c>
      <c r="G239" s="532">
        <f t="shared" si="37"/>
        <v>56.67</v>
      </c>
      <c r="H239" s="487" t="s">
        <v>114</v>
      </c>
      <c r="I239" s="80">
        <f t="shared" si="40"/>
        <v>0.56669999999999998</v>
      </c>
      <c r="J239" s="518">
        <f t="shared" si="38"/>
        <v>0.56669999999999998</v>
      </c>
      <c r="K239" s="488" t="str">
        <f t="shared" si="39"/>
        <v>Incumple</v>
      </c>
    </row>
    <row r="240" spans="1:13" x14ac:dyDescent="0.25">
      <c r="A240" s="489" t="s">
        <v>425</v>
      </c>
      <c r="B240" s="476">
        <v>44620</v>
      </c>
      <c r="C240" s="285" t="s">
        <v>87</v>
      </c>
      <c r="D240" s="491">
        <v>1</v>
      </c>
      <c r="E240" s="530">
        <f t="shared" si="36"/>
        <v>100</v>
      </c>
      <c r="F240" s="491">
        <v>1.1677</v>
      </c>
      <c r="G240" s="532">
        <f t="shared" si="37"/>
        <v>116.77</v>
      </c>
      <c r="H240" s="487" t="s">
        <v>114</v>
      </c>
      <c r="I240" s="80">
        <f t="shared" si="40"/>
        <v>1.1677</v>
      </c>
      <c r="J240" s="518">
        <f t="shared" si="38"/>
        <v>1.1677</v>
      </c>
      <c r="K240" s="488" t="str">
        <f t="shared" si="39"/>
        <v>Sobresaliente</v>
      </c>
    </row>
    <row r="241" spans="1:15" x14ac:dyDescent="0.25">
      <c r="A241" s="489" t="s">
        <v>426</v>
      </c>
      <c r="B241" s="476">
        <v>44620</v>
      </c>
      <c r="C241" s="285" t="s">
        <v>87</v>
      </c>
      <c r="D241" s="491">
        <v>0.2175</v>
      </c>
      <c r="E241" s="530">
        <f t="shared" si="36"/>
        <v>21.75</v>
      </c>
      <c r="F241" s="491">
        <v>-0.12529999999999999</v>
      </c>
      <c r="G241" s="532">
        <f t="shared" si="37"/>
        <v>-12.53</v>
      </c>
      <c r="H241" s="487" t="s">
        <v>114</v>
      </c>
      <c r="I241" s="80">
        <f t="shared" si="40"/>
        <v>-0.57609195402298852</v>
      </c>
      <c r="J241" s="518">
        <f t="shared" si="38"/>
        <v>0</v>
      </c>
      <c r="K241" s="488" t="str">
        <f t="shared" si="39"/>
        <v>Incumple</v>
      </c>
    </row>
    <row r="242" spans="1:15" x14ac:dyDescent="0.25">
      <c r="A242" s="489" t="s">
        <v>429</v>
      </c>
      <c r="B242" s="476">
        <v>44620</v>
      </c>
      <c r="C242" s="285" t="s">
        <v>87</v>
      </c>
      <c r="D242" s="491">
        <v>4.99E-2</v>
      </c>
      <c r="E242" s="530">
        <f t="shared" si="36"/>
        <v>4.99</v>
      </c>
      <c r="F242" s="491">
        <v>5.8400000000000001E-2</v>
      </c>
      <c r="G242" s="532">
        <f t="shared" si="37"/>
        <v>5.84</v>
      </c>
      <c r="H242" s="487" t="s">
        <v>114</v>
      </c>
      <c r="I242" s="80">
        <f t="shared" si="40"/>
        <v>1.1703406813627255</v>
      </c>
      <c r="J242" s="518">
        <f t="shared" si="38"/>
        <v>1.1703406813627255</v>
      </c>
      <c r="K242" s="488" t="str">
        <f t="shared" si="39"/>
        <v>Sobresaliente</v>
      </c>
    </row>
    <row r="243" spans="1:15" x14ac:dyDescent="0.25">
      <c r="A243" s="489" t="s">
        <v>356</v>
      </c>
      <c r="B243" s="476">
        <v>44620</v>
      </c>
      <c r="C243" s="285" t="s">
        <v>89</v>
      </c>
      <c r="D243" s="491">
        <v>-0.40839999999999999</v>
      </c>
      <c r="E243" s="530">
        <f t="shared" si="36"/>
        <v>-40.839999999999996</v>
      </c>
      <c r="F243" s="491">
        <v>4.7686999999999999</v>
      </c>
      <c r="G243" s="532">
        <f t="shared" si="37"/>
        <v>476.87</v>
      </c>
      <c r="H243" s="487" t="s">
        <v>114</v>
      </c>
      <c r="I243" s="80">
        <f t="shared" si="40"/>
        <v>2.0856417891668588</v>
      </c>
      <c r="J243" s="518">
        <f t="shared" si="38"/>
        <v>1.2</v>
      </c>
      <c r="K243" s="488" t="str">
        <f t="shared" si="39"/>
        <v>Sobresaliente</v>
      </c>
    </row>
    <row r="244" spans="1:15" x14ac:dyDescent="0.25">
      <c r="A244" s="489" t="s">
        <v>428</v>
      </c>
      <c r="B244" s="476">
        <v>44620</v>
      </c>
      <c r="C244" s="285" t="s">
        <v>89</v>
      </c>
      <c r="D244" s="491">
        <v>0.14030000000000001</v>
      </c>
      <c r="E244" s="530">
        <f t="shared" si="36"/>
        <v>14.030000000000001</v>
      </c>
      <c r="F244" s="491">
        <v>-2.4199999999999999E-2</v>
      </c>
      <c r="G244" s="532">
        <f t="shared" si="37"/>
        <v>-2.42</v>
      </c>
      <c r="H244" s="487" t="s">
        <v>114</v>
      </c>
      <c r="I244" s="80">
        <f t="shared" si="40"/>
        <v>-0.17248752672843903</v>
      </c>
      <c r="J244" s="518">
        <f t="shared" si="38"/>
        <v>0</v>
      </c>
      <c r="K244" s="488" t="str">
        <f t="shared" si="39"/>
        <v>Incumple</v>
      </c>
    </row>
    <row r="245" spans="1:15" x14ac:dyDescent="0.25">
      <c r="A245" s="489" t="s">
        <v>427</v>
      </c>
      <c r="B245" s="476">
        <v>44620</v>
      </c>
      <c r="C245" s="285" t="s">
        <v>89</v>
      </c>
      <c r="D245" s="491">
        <v>9.4200000000000006E-2</v>
      </c>
      <c r="E245" s="530">
        <f t="shared" si="36"/>
        <v>9.42</v>
      </c>
      <c r="F245" s="491">
        <v>-0.1113</v>
      </c>
      <c r="G245" s="532">
        <f t="shared" si="37"/>
        <v>-11.129999999999999</v>
      </c>
      <c r="H245" s="487" t="s">
        <v>114</v>
      </c>
      <c r="I245" s="80">
        <f t="shared" si="40"/>
        <v>-1.181528662420382</v>
      </c>
      <c r="J245" s="518">
        <f t="shared" si="38"/>
        <v>0</v>
      </c>
      <c r="K245" s="488" t="str">
        <f t="shared" si="39"/>
        <v>Incumple</v>
      </c>
    </row>
    <row r="246" spans="1:15" x14ac:dyDescent="0.25">
      <c r="A246" s="489" t="s">
        <v>64</v>
      </c>
      <c r="B246" s="476">
        <v>44620</v>
      </c>
      <c r="C246" s="285" t="s">
        <v>89</v>
      </c>
      <c r="D246" s="491">
        <v>-0.64290000000000003</v>
      </c>
      <c r="E246" s="530">
        <f t="shared" si="36"/>
        <v>-64.290000000000006</v>
      </c>
      <c r="F246" s="491">
        <v>-0.21879999999999999</v>
      </c>
      <c r="G246" s="532">
        <f t="shared" si="37"/>
        <v>-21.88</v>
      </c>
      <c r="H246" s="487" t="s">
        <v>114</v>
      </c>
      <c r="I246" s="80">
        <f t="shared" si="40"/>
        <v>1.6596671333022244</v>
      </c>
      <c r="J246" s="518">
        <f t="shared" si="38"/>
        <v>1.2</v>
      </c>
      <c r="K246" s="488" t="str">
        <f t="shared" si="39"/>
        <v>Sobresaliente</v>
      </c>
    </row>
    <row r="247" spans="1:15" x14ac:dyDescent="0.25">
      <c r="A247" s="489" t="s">
        <v>67</v>
      </c>
      <c r="B247" s="476">
        <v>44620</v>
      </c>
      <c r="C247" s="285" t="s">
        <v>89</v>
      </c>
      <c r="D247" s="491">
        <v>1</v>
      </c>
      <c r="E247" s="530">
        <f t="shared" si="36"/>
        <v>100</v>
      </c>
      <c r="F247" s="491">
        <v>5.7700000000000001E-2</v>
      </c>
      <c r="G247" s="532">
        <f t="shared" si="37"/>
        <v>5.7700000000000005</v>
      </c>
      <c r="H247" s="487" t="s">
        <v>114</v>
      </c>
      <c r="I247" s="80">
        <f t="shared" si="40"/>
        <v>5.7700000000000001E-2</v>
      </c>
      <c r="J247" s="518">
        <f t="shared" si="38"/>
        <v>5.7700000000000001E-2</v>
      </c>
      <c r="K247" s="488" t="str">
        <f t="shared" si="39"/>
        <v>Incumple</v>
      </c>
    </row>
    <row r="248" spans="1:15" x14ac:dyDescent="0.25">
      <c r="A248" s="489" t="s">
        <v>425</v>
      </c>
      <c r="B248" s="476">
        <v>44620</v>
      </c>
      <c r="C248" s="285" t="s">
        <v>89</v>
      </c>
      <c r="D248" s="491">
        <v>1</v>
      </c>
      <c r="E248" s="530">
        <f t="shared" ref="E248:E279" si="41">+D248*100</f>
        <v>100</v>
      </c>
      <c r="F248" s="491">
        <v>0.3014</v>
      </c>
      <c r="G248" s="532">
        <f t="shared" ref="G248:G279" si="42">+F248*100</f>
        <v>30.14</v>
      </c>
      <c r="H248" s="487" t="s">
        <v>114</v>
      </c>
      <c r="I248" s="80">
        <f t="shared" si="40"/>
        <v>0.3014</v>
      </c>
      <c r="J248" s="518">
        <f t="shared" ref="J248:J279" si="43">+IF(I248&lt;0,0%,IF(I248&gt;120%,120%,I248))</f>
        <v>0.3014</v>
      </c>
      <c r="K248" s="488" t="str">
        <f t="shared" ref="K248:K279" si="44">+IF(I248&lt;79.99999%,"Incumple",IF(AND(I248&gt;=80%,I248&lt;94.999999%),"Tolerable",IF(AND(I248&gt;=95%,I248&lt;100%),"Satisfactorio","Sobresaliente")))</f>
        <v>Incumple</v>
      </c>
    </row>
    <row r="249" spans="1:15" x14ac:dyDescent="0.25">
      <c r="A249" s="489" t="s">
        <v>426</v>
      </c>
      <c r="B249" s="476">
        <v>44620</v>
      </c>
      <c r="C249" s="285" t="s">
        <v>89</v>
      </c>
      <c r="D249" s="491">
        <v>105.125</v>
      </c>
      <c r="E249" s="530">
        <f t="shared" si="41"/>
        <v>10512.5</v>
      </c>
      <c r="F249" s="491">
        <v>120</v>
      </c>
      <c r="G249" s="532">
        <f t="shared" si="42"/>
        <v>12000</v>
      </c>
      <c r="H249" s="487" t="s">
        <v>114</v>
      </c>
      <c r="I249" s="80">
        <f t="shared" si="40"/>
        <v>1.1414982164090368</v>
      </c>
      <c r="J249" s="518">
        <f t="shared" si="43"/>
        <v>1.1414982164090368</v>
      </c>
      <c r="K249" s="488" t="str">
        <f t="shared" si="44"/>
        <v>Sobresaliente</v>
      </c>
      <c r="M249" s="291"/>
      <c r="N249" s="498"/>
      <c r="O249" s="291"/>
    </row>
    <row r="250" spans="1:15" x14ac:dyDescent="0.25">
      <c r="A250" s="489" t="s">
        <v>429</v>
      </c>
      <c r="B250" s="476">
        <v>44620</v>
      </c>
      <c r="C250" s="285" t="s">
        <v>89</v>
      </c>
      <c r="D250" s="491">
        <v>3.6900000000000002E-2</v>
      </c>
      <c r="E250" s="530">
        <f t="shared" si="41"/>
        <v>3.6900000000000004</v>
      </c>
      <c r="F250" s="491">
        <v>5.1999999999999998E-3</v>
      </c>
      <c r="G250" s="532">
        <f t="shared" si="42"/>
        <v>0.52</v>
      </c>
      <c r="H250" s="487" t="s">
        <v>114</v>
      </c>
      <c r="I250" s="80">
        <f t="shared" si="40"/>
        <v>0.14092140921409213</v>
      </c>
      <c r="J250" s="518">
        <f t="shared" si="43"/>
        <v>0.14092140921409213</v>
      </c>
      <c r="K250" s="488" t="str">
        <f t="shared" si="44"/>
        <v>Incumple</v>
      </c>
      <c r="N250" s="291"/>
      <c r="O250" s="291"/>
    </row>
    <row r="251" spans="1:15" x14ac:dyDescent="0.25">
      <c r="A251" s="489" t="s">
        <v>356</v>
      </c>
      <c r="B251" s="476">
        <v>44620</v>
      </c>
      <c r="C251" s="285" t="s">
        <v>91</v>
      </c>
      <c r="D251" s="491">
        <v>7.9252000000000002</v>
      </c>
      <c r="E251" s="530">
        <f t="shared" si="41"/>
        <v>792.52</v>
      </c>
      <c r="F251" s="491">
        <v>5.8757000000000001</v>
      </c>
      <c r="G251" s="532">
        <f t="shared" si="42"/>
        <v>587.57000000000005</v>
      </c>
      <c r="H251" s="487" t="s">
        <v>114</v>
      </c>
      <c r="I251" s="80">
        <f t="shared" si="40"/>
        <v>0.74139453893908036</v>
      </c>
      <c r="J251" s="518">
        <f t="shared" si="43"/>
        <v>0.74139453893908036</v>
      </c>
      <c r="K251" s="488" t="str">
        <f t="shared" si="44"/>
        <v>Incumple</v>
      </c>
    </row>
    <row r="252" spans="1:15" x14ac:dyDescent="0.25">
      <c r="A252" s="489" t="s">
        <v>428</v>
      </c>
      <c r="B252" s="476">
        <v>44620</v>
      </c>
      <c r="C252" s="285" t="s">
        <v>91</v>
      </c>
      <c r="D252" s="491">
        <v>0.14030000000000001</v>
      </c>
      <c r="E252" s="530">
        <f t="shared" si="41"/>
        <v>14.030000000000001</v>
      </c>
      <c r="F252" s="491">
        <v>7.8700000000000006E-2</v>
      </c>
      <c r="G252" s="532">
        <f t="shared" si="42"/>
        <v>7.870000000000001</v>
      </c>
      <c r="H252" s="487" t="s">
        <v>114</v>
      </c>
      <c r="I252" s="80">
        <f t="shared" si="40"/>
        <v>0.5609408410548824</v>
      </c>
      <c r="J252" s="518">
        <f t="shared" si="43"/>
        <v>0.5609408410548824</v>
      </c>
      <c r="K252" s="488" t="str">
        <f t="shared" si="44"/>
        <v>Incumple</v>
      </c>
    </row>
    <row r="253" spans="1:15" x14ac:dyDescent="0.25">
      <c r="A253" s="489" t="s">
        <v>427</v>
      </c>
      <c r="B253" s="476">
        <v>44620</v>
      </c>
      <c r="C253" s="285" t="s">
        <v>91</v>
      </c>
      <c r="D253" s="491">
        <v>9.4200000000000006E-2</v>
      </c>
      <c r="E253" s="530">
        <f t="shared" si="41"/>
        <v>9.42</v>
      </c>
      <c r="F253" s="491">
        <v>0.15129999999999999</v>
      </c>
      <c r="G253" s="532">
        <f t="shared" si="42"/>
        <v>15.129999999999999</v>
      </c>
      <c r="H253" s="487" t="s">
        <v>114</v>
      </c>
      <c r="I253" s="80">
        <f t="shared" si="40"/>
        <v>1.606157112526539</v>
      </c>
      <c r="J253" s="518">
        <f t="shared" si="43"/>
        <v>1.2</v>
      </c>
      <c r="K253" s="488" t="str">
        <f t="shared" si="44"/>
        <v>Sobresaliente</v>
      </c>
    </row>
    <row r="254" spans="1:15" x14ac:dyDescent="0.25">
      <c r="A254" s="489" t="s">
        <v>64</v>
      </c>
      <c r="B254" s="476">
        <v>44620</v>
      </c>
      <c r="C254" s="285" t="s">
        <v>91</v>
      </c>
      <c r="D254" s="491">
        <v>-0.72219999999999995</v>
      </c>
      <c r="E254" s="530">
        <f t="shared" si="41"/>
        <v>-72.22</v>
      </c>
      <c r="F254" s="491">
        <v>0.13639999999999999</v>
      </c>
      <c r="G254" s="532">
        <f t="shared" si="42"/>
        <v>13.639999999999999</v>
      </c>
      <c r="H254" s="487" t="s">
        <v>114</v>
      </c>
      <c r="I254" s="80">
        <f t="shared" si="40"/>
        <v>7.2947214076246327</v>
      </c>
      <c r="J254" s="518">
        <f t="shared" si="43"/>
        <v>1.2</v>
      </c>
      <c r="K254" s="488" t="str">
        <f t="shared" si="44"/>
        <v>Sobresaliente</v>
      </c>
    </row>
    <row r="255" spans="1:15" x14ac:dyDescent="0.25">
      <c r="A255" s="489" t="s">
        <v>67</v>
      </c>
      <c r="B255" s="476">
        <v>44620</v>
      </c>
      <c r="C255" s="285" t="s">
        <v>91</v>
      </c>
      <c r="D255" s="491">
        <v>1</v>
      </c>
      <c r="E255" s="530">
        <f t="shared" si="41"/>
        <v>100</v>
      </c>
      <c r="F255" s="491">
        <v>1.7543</v>
      </c>
      <c r="G255" s="532">
        <f t="shared" si="42"/>
        <v>175.43</v>
      </c>
      <c r="H255" s="487" t="s">
        <v>114</v>
      </c>
      <c r="I255" s="80">
        <f t="shared" si="40"/>
        <v>1.7543</v>
      </c>
      <c r="J255" s="518">
        <f t="shared" si="43"/>
        <v>1.2</v>
      </c>
      <c r="K255" s="488" t="str">
        <f t="shared" si="44"/>
        <v>Sobresaliente</v>
      </c>
    </row>
    <row r="256" spans="1:15" x14ac:dyDescent="0.25">
      <c r="A256" s="489" t="s">
        <v>425</v>
      </c>
      <c r="B256" s="476">
        <v>44620</v>
      </c>
      <c r="C256" s="285" t="s">
        <v>91</v>
      </c>
      <c r="D256" s="491">
        <v>1</v>
      </c>
      <c r="E256" s="530">
        <f t="shared" si="41"/>
        <v>100</v>
      </c>
      <c r="F256" s="491">
        <v>4.3784000000000001</v>
      </c>
      <c r="G256" s="532">
        <f t="shared" si="42"/>
        <v>437.84000000000003</v>
      </c>
      <c r="H256" s="487" t="s">
        <v>114</v>
      </c>
      <c r="I256" s="80">
        <f t="shared" si="40"/>
        <v>4.3784000000000001</v>
      </c>
      <c r="J256" s="518">
        <f t="shared" si="43"/>
        <v>1.2</v>
      </c>
      <c r="K256" s="488" t="str">
        <f t="shared" si="44"/>
        <v>Sobresaliente</v>
      </c>
    </row>
    <row r="257" spans="1:11" x14ac:dyDescent="0.25">
      <c r="A257" s="489" t="s">
        <v>426</v>
      </c>
      <c r="B257" s="476">
        <v>44620</v>
      </c>
      <c r="C257" s="285" t="s">
        <v>91</v>
      </c>
      <c r="D257" s="491">
        <v>9.7955000000000005</v>
      </c>
      <c r="E257" s="530">
        <f t="shared" si="41"/>
        <v>979.55000000000007</v>
      </c>
      <c r="F257" s="491">
        <v>25.75</v>
      </c>
      <c r="G257" s="532">
        <f t="shared" si="42"/>
        <v>2575</v>
      </c>
      <c r="H257" s="487" t="s">
        <v>114</v>
      </c>
      <c r="I257" s="80">
        <f t="shared" si="40"/>
        <v>2.6287581032106577</v>
      </c>
      <c r="J257" s="518">
        <f t="shared" si="43"/>
        <v>1.2</v>
      </c>
      <c r="K257" s="488" t="str">
        <f t="shared" si="44"/>
        <v>Sobresaliente</v>
      </c>
    </row>
    <row r="258" spans="1:11" x14ac:dyDescent="0.25">
      <c r="A258" s="489" t="s">
        <v>429</v>
      </c>
      <c r="B258" s="476">
        <v>44620</v>
      </c>
      <c r="C258" s="285" t="s">
        <v>91</v>
      </c>
      <c r="D258" s="491">
        <v>0.35160000000000002</v>
      </c>
      <c r="E258" s="530">
        <f t="shared" si="41"/>
        <v>35.160000000000004</v>
      </c>
      <c r="F258" s="491">
        <v>0.30840000000000001</v>
      </c>
      <c r="G258" s="532">
        <f t="shared" si="42"/>
        <v>30.84</v>
      </c>
      <c r="H258" s="487" t="s">
        <v>114</v>
      </c>
      <c r="I258" s="80">
        <f t="shared" si="40"/>
        <v>0.87713310580204773</v>
      </c>
      <c r="J258" s="518">
        <f t="shared" si="43"/>
        <v>0.87713310580204773</v>
      </c>
      <c r="K258" s="488" t="str">
        <f t="shared" si="44"/>
        <v>Tolerable</v>
      </c>
    </row>
    <row r="259" spans="1:11" x14ac:dyDescent="0.25">
      <c r="A259" s="489" t="s">
        <v>356</v>
      </c>
      <c r="B259" s="476">
        <v>44620</v>
      </c>
      <c r="C259" s="285" t="s">
        <v>93</v>
      </c>
      <c r="D259" s="491">
        <v>8.3133999999999997</v>
      </c>
      <c r="E259" s="530">
        <f t="shared" si="41"/>
        <v>831.33999999999992</v>
      </c>
      <c r="F259" s="491">
        <v>95.745699999999999</v>
      </c>
      <c r="G259" s="532">
        <f t="shared" si="42"/>
        <v>9574.57</v>
      </c>
      <c r="H259" s="487" t="s">
        <v>114</v>
      </c>
      <c r="I259" s="80">
        <f t="shared" si="40"/>
        <v>11.517032742319628</v>
      </c>
      <c r="J259" s="518">
        <f t="shared" si="43"/>
        <v>1.2</v>
      </c>
      <c r="K259" s="488" t="str">
        <f t="shared" si="44"/>
        <v>Sobresaliente</v>
      </c>
    </row>
    <row r="260" spans="1:11" x14ac:dyDescent="0.25">
      <c r="A260" s="489" t="s">
        <v>428</v>
      </c>
      <c r="B260" s="476">
        <v>44620</v>
      </c>
      <c r="C260" s="285" t="s">
        <v>93</v>
      </c>
      <c r="D260" s="491">
        <v>0.14030000000000001</v>
      </c>
      <c r="E260" s="530">
        <f t="shared" si="41"/>
        <v>14.030000000000001</v>
      </c>
      <c r="F260" s="491">
        <v>7.9799999999999996E-2</v>
      </c>
      <c r="G260" s="532">
        <f t="shared" si="42"/>
        <v>7.9799999999999995</v>
      </c>
      <c r="H260" s="487" t="s">
        <v>114</v>
      </c>
      <c r="I260" s="80">
        <f t="shared" si="40"/>
        <v>0.56878118317890225</v>
      </c>
      <c r="J260" s="518">
        <f t="shared" si="43"/>
        <v>0.56878118317890225</v>
      </c>
      <c r="K260" s="488" t="str">
        <f t="shared" si="44"/>
        <v>Incumple</v>
      </c>
    </row>
    <row r="261" spans="1:11" x14ac:dyDescent="0.25">
      <c r="A261" s="489" t="s">
        <v>427</v>
      </c>
      <c r="B261" s="476">
        <v>44620</v>
      </c>
      <c r="C261" s="285" t="s">
        <v>93</v>
      </c>
      <c r="D261" s="491">
        <v>9.4200000000000006E-2</v>
      </c>
      <c r="E261" s="530">
        <f t="shared" si="41"/>
        <v>9.42</v>
      </c>
      <c r="F261" s="491">
        <v>-1.4999999999999999E-2</v>
      </c>
      <c r="G261" s="532">
        <f t="shared" si="42"/>
        <v>-1.5</v>
      </c>
      <c r="H261" s="487" t="s">
        <v>114</v>
      </c>
      <c r="I261" s="80">
        <f t="shared" si="40"/>
        <v>-0.15923566878980891</v>
      </c>
      <c r="J261" s="518">
        <f t="shared" si="43"/>
        <v>0</v>
      </c>
      <c r="K261" s="488" t="str">
        <f t="shared" si="44"/>
        <v>Incumple</v>
      </c>
    </row>
    <row r="262" spans="1:11" x14ac:dyDescent="0.25">
      <c r="A262" s="489" t="s">
        <v>64</v>
      </c>
      <c r="B262" s="476">
        <v>44620</v>
      </c>
      <c r="C262" s="285" t="s">
        <v>93</v>
      </c>
      <c r="D262" s="491">
        <v>-0.42859999999999998</v>
      </c>
      <c r="E262" s="530">
        <f t="shared" si="41"/>
        <v>-42.86</v>
      </c>
      <c r="F262" s="491">
        <v>-0.22220000000000001</v>
      </c>
      <c r="G262" s="532">
        <f t="shared" si="42"/>
        <v>-22.220000000000002</v>
      </c>
      <c r="H262" s="487" t="s">
        <v>114</v>
      </c>
      <c r="I262" s="80">
        <f t="shared" si="40"/>
        <v>1.4815678954736351</v>
      </c>
      <c r="J262" s="518">
        <f t="shared" si="43"/>
        <v>1.2</v>
      </c>
      <c r="K262" s="488" t="str">
        <f t="shared" si="44"/>
        <v>Sobresaliente</v>
      </c>
    </row>
    <row r="263" spans="1:11" x14ac:dyDescent="0.25">
      <c r="A263" s="489" t="s">
        <v>67</v>
      </c>
      <c r="B263" s="476">
        <v>44620</v>
      </c>
      <c r="C263" s="285" t="s">
        <v>93</v>
      </c>
      <c r="D263" s="491">
        <v>1</v>
      </c>
      <c r="E263" s="530">
        <f t="shared" si="41"/>
        <v>100</v>
      </c>
      <c r="F263" s="491">
        <v>0.35539999999999999</v>
      </c>
      <c r="G263" s="532">
        <f t="shared" si="42"/>
        <v>35.54</v>
      </c>
      <c r="H263" s="487" t="s">
        <v>114</v>
      </c>
      <c r="I263" s="80">
        <f t="shared" si="40"/>
        <v>0.35539999999999999</v>
      </c>
      <c r="J263" s="518">
        <f t="shared" si="43"/>
        <v>0.35539999999999999</v>
      </c>
      <c r="K263" s="488" t="str">
        <f t="shared" si="44"/>
        <v>Incumple</v>
      </c>
    </row>
    <row r="264" spans="1:11" x14ac:dyDescent="0.25">
      <c r="A264" s="489" t="s">
        <v>425</v>
      </c>
      <c r="B264" s="476">
        <v>44620</v>
      </c>
      <c r="C264" s="285" t="s">
        <v>93</v>
      </c>
      <c r="D264" s="491">
        <v>1</v>
      </c>
      <c r="E264" s="530">
        <f t="shared" si="41"/>
        <v>100</v>
      </c>
      <c r="F264" s="491">
        <v>0.53849999999999998</v>
      </c>
      <c r="G264" s="532">
        <f t="shared" si="42"/>
        <v>53.849999999999994</v>
      </c>
      <c r="H264" s="487" t="s">
        <v>114</v>
      </c>
      <c r="I264" s="80">
        <f t="shared" si="40"/>
        <v>0.53849999999999998</v>
      </c>
      <c r="J264" s="518">
        <f t="shared" si="43"/>
        <v>0.53849999999999998</v>
      </c>
      <c r="K264" s="488" t="str">
        <f t="shared" si="44"/>
        <v>Incumple</v>
      </c>
    </row>
    <row r="265" spans="1:11" x14ac:dyDescent="0.25">
      <c r="A265" s="489" t="s">
        <v>426</v>
      </c>
      <c r="B265" s="476">
        <v>44620</v>
      </c>
      <c r="C265" s="285" t="s">
        <v>93</v>
      </c>
      <c r="D265" s="491">
        <v>2.4222000000000001</v>
      </c>
      <c r="E265" s="530">
        <f t="shared" si="41"/>
        <v>242.22000000000003</v>
      </c>
      <c r="F265" s="491">
        <v>3.0444</v>
      </c>
      <c r="G265" s="532">
        <f t="shared" si="42"/>
        <v>304.44</v>
      </c>
      <c r="H265" s="487" t="s">
        <v>114</v>
      </c>
      <c r="I265" s="80">
        <f t="shared" si="40"/>
        <v>1.2568739162744611</v>
      </c>
      <c r="J265" s="518">
        <f t="shared" si="43"/>
        <v>1.2</v>
      </c>
      <c r="K265" s="488" t="str">
        <f t="shared" si="44"/>
        <v>Sobresaliente</v>
      </c>
    </row>
    <row r="266" spans="1:11" x14ac:dyDescent="0.25">
      <c r="A266" s="489" t="s">
        <v>429</v>
      </c>
      <c r="B266" s="476">
        <v>44620</v>
      </c>
      <c r="C266" s="285" t="s">
        <v>93</v>
      </c>
      <c r="D266" s="491">
        <v>0.55189999999999995</v>
      </c>
      <c r="E266" s="530">
        <f t="shared" si="41"/>
        <v>55.19</v>
      </c>
      <c r="F266" s="491">
        <v>0.52749999999999997</v>
      </c>
      <c r="G266" s="532">
        <f t="shared" si="42"/>
        <v>52.75</v>
      </c>
      <c r="H266" s="487" t="s">
        <v>114</v>
      </c>
      <c r="I266" s="80">
        <f t="shared" si="40"/>
        <v>0.95578909222685271</v>
      </c>
      <c r="J266" s="518">
        <f t="shared" si="43"/>
        <v>0.95578909222685271</v>
      </c>
      <c r="K266" s="488" t="str">
        <f t="shared" si="44"/>
        <v>Satisfactorio</v>
      </c>
    </row>
    <row r="267" spans="1:11" x14ac:dyDescent="0.25">
      <c r="A267" s="489" t="s">
        <v>356</v>
      </c>
      <c r="B267" s="476">
        <v>44620</v>
      </c>
      <c r="C267" s="285" t="s">
        <v>95</v>
      </c>
      <c r="D267" s="491">
        <v>2.3603000000000001</v>
      </c>
      <c r="E267" s="530">
        <f t="shared" si="41"/>
        <v>236.03</v>
      </c>
      <c r="F267" s="491">
        <v>2.8868999999999998</v>
      </c>
      <c r="G267" s="532">
        <f t="shared" si="42"/>
        <v>288.69</v>
      </c>
      <c r="H267" s="487" t="s">
        <v>114</v>
      </c>
      <c r="I267" s="80">
        <f t="shared" si="40"/>
        <v>1.2231072321315086</v>
      </c>
      <c r="J267" s="518">
        <f t="shared" si="43"/>
        <v>1.2</v>
      </c>
      <c r="K267" s="488" t="str">
        <f t="shared" si="44"/>
        <v>Sobresaliente</v>
      </c>
    </row>
    <row r="268" spans="1:11" x14ac:dyDescent="0.25">
      <c r="A268" s="489" t="s">
        <v>428</v>
      </c>
      <c r="B268" s="476">
        <v>44620</v>
      </c>
      <c r="C268" s="285" t="s">
        <v>95</v>
      </c>
      <c r="D268" s="491">
        <v>0.14030000000000001</v>
      </c>
      <c r="E268" s="530">
        <f t="shared" si="41"/>
        <v>14.030000000000001</v>
      </c>
      <c r="F268" s="491">
        <v>9.4799999999999995E-2</v>
      </c>
      <c r="G268" s="532">
        <f t="shared" si="42"/>
        <v>9.48</v>
      </c>
      <c r="H268" s="487" t="s">
        <v>114</v>
      </c>
      <c r="I268" s="80">
        <f t="shared" si="40"/>
        <v>0.67569493941553804</v>
      </c>
      <c r="J268" s="518">
        <f t="shared" si="43"/>
        <v>0.67569493941553804</v>
      </c>
      <c r="K268" s="488" t="str">
        <f t="shared" si="44"/>
        <v>Incumple</v>
      </c>
    </row>
    <row r="269" spans="1:11" x14ac:dyDescent="0.25">
      <c r="A269" s="489" t="s">
        <v>427</v>
      </c>
      <c r="B269" s="476">
        <v>44620</v>
      </c>
      <c r="C269" s="285" t="s">
        <v>95</v>
      </c>
      <c r="D269" s="491">
        <v>9.4200000000000006E-2</v>
      </c>
      <c r="E269" s="530">
        <f t="shared" si="41"/>
        <v>9.42</v>
      </c>
      <c r="F269" s="491">
        <v>2.7900000000000001E-2</v>
      </c>
      <c r="G269" s="532">
        <f t="shared" si="42"/>
        <v>2.79</v>
      </c>
      <c r="H269" s="487" t="s">
        <v>114</v>
      </c>
      <c r="I269" s="80">
        <f t="shared" si="40"/>
        <v>0.29617834394904458</v>
      </c>
      <c r="J269" s="518">
        <f t="shared" si="43"/>
        <v>0.29617834394904458</v>
      </c>
      <c r="K269" s="488" t="str">
        <f t="shared" si="44"/>
        <v>Incumple</v>
      </c>
    </row>
    <row r="270" spans="1:11" x14ac:dyDescent="0.25">
      <c r="A270" s="489" t="s">
        <v>64</v>
      </c>
      <c r="B270" s="476">
        <v>44620</v>
      </c>
      <c r="C270" s="285" t="s">
        <v>95</v>
      </c>
      <c r="D270" s="491">
        <v>5</v>
      </c>
      <c r="E270" s="530">
        <f t="shared" si="41"/>
        <v>500</v>
      </c>
      <c r="F270" s="491">
        <v>2</v>
      </c>
      <c r="G270" s="532">
        <f t="shared" si="42"/>
        <v>200</v>
      </c>
      <c r="H270" s="487" t="s">
        <v>114</v>
      </c>
      <c r="I270" s="80">
        <f t="shared" si="40"/>
        <v>0.4</v>
      </c>
      <c r="J270" s="518">
        <f t="shared" si="43"/>
        <v>0.4</v>
      </c>
      <c r="K270" s="488" t="str">
        <f t="shared" si="44"/>
        <v>Incumple</v>
      </c>
    </row>
    <row r="271" spans="1:11" x14ac:dyDescent="0.25">
      <c r="A271" s="489" t="s">
        <v>67</v>
      </c>
      <c r="B271" s="476">
        <v>44620</v>
      </c>
      <c r="C271" s="285" t="s">
        <v>95</v>
      </c>
      <c r="D271" s="491">
        <v>1</v>
      </c>
      <c r="E271" s="530">
        <f t="shared" si="41"/>
        <v>100</v>
      </c>
      <c r="F271" s="491">
        <v>3.3700000000000001E-2</v>
      </c>
      <c r="G271" s="532">
        <f t="shared" si="42"/>
        <v>3.37</v>
      </c>
      <c r="H271" s="487" t="s">
        <v>114</v>
      </c>
      <c r="I271" s="80">
        <f t="shared" si="40"/>
        <v>3.3700000000000001E-2</v>
      </c>
      <c r="J271" s="518">
        <f t="shared" si="43"/>
        <v>3.3700000000000001E-2</v>
      </c>
      <c r="K271" s="488" t="str">
        <f t="shared" si="44"/>
        <v>Incumple</v>
      </c>
    </row>
    <row r="272" spans="1:11" x14ac:dyDescent="0.25">
      <c r="A272" s="489" t="s">
        <v>425</v>
      </c>
      <c r="B272" s="476">
        <v>44620</v>
      </c>
      <c r="C272" s="285" t="s">
        <v>95</v>
      </c>
      <c r="D272" s="491">
        <v>1</v>
      </c>
      <c r="E272" s="530">
        <f t="shared" si="41"/>
        <v>100</v>
      </c>
      <c r="F272" s="491">
        <v>0.1477</v>
      </c>
      <c r="G272" s="532">
        <f t="shared" si="42"/>
        <v>14.77</v>
      </c>
      <c r="H272" s="487" t="s">
        <v>114</v>
      </c>
      <c r="I272" s="80">
        <f t="shared" si="40"/>
        <v>0.1477</v>
      </c>
      <c r="J272" s="518">
        <f t="shared" si="43"/>
        <v>0.1477</v>
      </c>
      <c r="K272" s="488" t="str">
        <f t="shared" si="44"/>
        <v>Incumple</v>
      </c>
    </row>
    <row r="273" spans="1:11" x14ac:dyDescent="0.25">
      <c r="A273" s="489" t="s">
        <v>426</v>
      </c>
      <c r="B273" s="476">
        <v>44620</v>
      </c>
      <c r="C273" s="285" t="s">
        <v>95</v>
      </c>
      <c r="D273" s="491">
        <v>0.76470000000000005</v>
      </c>
      <c r="E273" s="530">
        <f t="shared" si="41"/>
        <v>76.47</v>
      </c>
      <c r="F273" s="491">
        <v>3.5882000000000001</v>
      </c>
      <c r="G273" s="532">
        <f t="shared" si="42"/>
        <v>358.82</v>
      </c>
      <c r="H273" s="487" t="s">
        <v>114</v>
      </c>
      <c r="I273" s="80">
        <f t="shared" si="40"/>
        <v>4.6922976330587156</v>
      </c>
      <c r="J273" s="518">
        <f t="shared" si="43"/>
        <v>1.2</v>
      </c>
      <c r="K273" s="488" t="str">
        <f t="shared" si="44"/>
        <v>Sobresaliente</v>
      </c>
    </row>
    <row r="274" spans="1:11" x14ac:dyDescent="0.25">
      <c r="A274" s="489" t="s">
        <v>429</v>
      </c>
      <c r="B274" s="476">
        <v>44620</v>
      </c>
      <c r="C274" s="285" t="s">
        <v>95</v>
      </c>
      <c r="D274" s="491">
        <v>0.5333</v>
      </c>
      <c r="E274" s="530">
        <f t="shared" si="41"/>
        <v>53.33</v>
      </c>
      <c r="F274" s="491">
        <v>0.43590000000000001</v>
      </c>
      <c r="G274" s="532">
        <f t="shared" si="42"/>
        <v>43.59</v>
      </c>
      <c r="H274" s="487" t="s">
        <v>114</v>
      </c>
      <c r="I274" s="80">
        <f t="shared" si="40"/>
        <v>0.81736358522407648</v>
      </c>
      <c r="J274" s="518">
        <f t="shared" si="43"/>
        <v>0.81736358522407648</v>
      </c>
      <c r="K274" s="488" t="str">
        <f t="shared" si="44"/>
        <v>Tolerable</v>
      </c>
    </row>
    <row r="275" spans="1:11" x14ac:dyDescent="0.25">
      <c r="A275" s="568" t="s">
        <v>356</v>
      </c>
      <c r="B275" s="476">
        <v>44592</v>
      </c>
      <c r="C275" s="570" t="s">
        <v>60</v>
      </c>
      <c r="D275" s="491">
        <v>1.0968</v>
      </c>
      <c r="E275" s="530">
        <f t="shared" si="41"/>
        <v>109.68</v>
      </c>
      <c r="F275" s="491">
        <v>-9.8500000000000004E-2</v>
      </c>
      <c r="G275" s="532">
        <f t="shared" si="42"/>
        <v>-9.85</v>
      </c>
      <c r="H275" s="487" t="s">
        <v>114</v>
      </c>
      <c r="I275" s="80">
        <f t="shared" si="40"/>
        <v>-8.9806710430342815E-2</v>
      </c>
      <c r="J275" s="518">
        <f t="shared" si="43"/>
        <v>0</v>
      </c>
      <c r="K275" s="488" t="str">
        <f t="shared" si="44"/>
        <v>Incumple</v>
      </c>
    </row>
    <row r="276" spans="1:11" x14ac:dyDescent="0.25">
      <c r="A276" s="489" t="s">
        <v>416</v>
      </c>
      <c r="B276" s="476">
        <v>44592</v>
      </c>
      <c r="C276" s="285" t="s">
        <v>60</v>
      </c>
      <c r="D276" s="491">
        <v>1</v>
      </c>
      <c r="E276" s="530">
        <f t="shared" si="41"/>
        <v>100</v>
      </c>
      <c r="F276" s="491">
        <v>1</v>
      </c>
      <c r="G276" s="532">
        <f t="shared" si="42"/>
        <v>100</v>
      </c>
      <c r="H276" s="487" t="s">
        <v>114</v>
      </c>
      <c r="I276" s="80">
        <f t="shared" si="40"/>
        <v>1</v>
      </c>
      <c r="J276" s="518">
        <f t="shared" si="43"/>
        <v>1</v>
      </c>
      <c r="K276" s="488" t="str">
        <f t="shared" si="44"/>
        <v>Sobresaliente</v>
      </c>
    </row>
    <row r="277" spans="1:11" x14ac:dyDescent="0.25">
      <c r="A277" s="489" t="s">
        <v>428</v>
      </c>
      <c r="B277" s="476">
        <v>44592</v>
      </c>
      <c r="C277" s="285" t="s">
        <v>60</v>
      </c>
      <c r="D277" s="491">
        <v>0.14030000000000001</v>
      </c>
      <c r="E277" s="530">
        <f t="shared" si="41"/>
        <v>14.030000000000001</v>
      </c>
      <c r="F277" s="491">
        <v>2.5499999999999998E-2</v>
      </c>
      <c r="G277" s="532">
        <f t="shared" si="42"/>
        <v>2.5499999999999998</v>
      </c>
      <c r="H277" s="487" t="s">
        <v>114</v>
      </c>
      <c r="I277" s="80">
        <f t="shared" si="40"/>
        <v>0.1817533856022808</v>
      </c>
      <c r="J277" s="518">
        <f t="shared" si="43"/>
        <v>0.1817533856022808</v>
      </c>
      <c r="K277" s="488" t="str">
        <f t="shared" si="44"/>
        <v>Incumple</v>
      </c>
    </row>
    <row r="278" spans="1:11" x14ac:dyDescent="0.25">
      <c r="A278" s="489" t="s">
        <v>427</v>
      </c>
      <c r="B278" s="476">
        <v>44592</v>
      </c>
      <c r="C278" s="285" t="s">
        <v>60</v>
      </c>
      <c r="D278" s="491">
        <v>0.11700000000000001</v>
      </c>
      <c r="E278" s="530">
        <f t="shared" si="41"/>
        <v>11.700000000000001</v>
      </c>
      <c r="F278" s="491">
        <v>-2.8999999999999998E-3</v>
      </c>
      <c r="G278" s="532">
        <f t="shared" si="42"/>
        <v>-0.28999999999999998</v>
      </c>
      <c r="H278" s="487" t="s">
        <v>114</v>
      </c>
      <c r="I278" s="80">
        <f t="shared" si="40"/>
        <v>-2.4786324786324782E-2</v>
      </c>
      <c r="J278" s="518">
        <f t="shared" si="43"/>
        <v>0</v>
      </c>
      <c r="K278" s="488" t="str">
        <f t="shared" si="44"/>
        <v>Incumple</v>
      </c>
    </row>
    <row r="279" spans="1:11" x14ac:dyDescent="0.25">
      <c r="A279" s="489" t="s">
        <v>64</v>
      </c>
      <c r="B279" s="476">
        <v>44592</v>
      </c>
      <c r="C279" s="285" t="s">
        <v>60</v>
      </c>
      <c r="D279" s="491">
        <v>0.28570000000000001</v>
      </c>
      <c r="E279" s="530">
        <f t="shared" si="41"/>
        <v>28.57</v>
      </c>
      <c r="F279" s="491">
        <v>0.1852</v>
      </c>
      <c r="G279" s="532">
        <f t="shared" si="42"/>
        <v>18.52</v>
      </c>
      <c r="H279" s="487" t="s">
        <v>114</v>
      </c>
      <c r="I279" s="80">
        <f t="shared" si="40"/>
        <v>0.64823241162058098</v>
      </c>
      <c r="J279" s="518">
        <f t="shared" si="43"/>
        <v>0.64823241162058098</v>
      </c>
      <c r="K279" s="488" t="str">
        <f t="shared" si="44"/>
        <v>Incumple</v>
      </c>
    </row>
    <row r="280" spans="1:11" x14ac:dyDescent="0.25">
      <c r="A280" s="489" t="s">
        <v>67</v>
      </c>
      <c r="B280" s="476">
        <v>44592</v>
      </c>
      <c r="C280" s="285" t="s">
        <v>60</v>
      </c>
      <c r="D280" s="491">
        <v>1</v>
      </c>
      <c r="E280" s="530">
        <f t="shared" ref="E280:E311" si="45">+D280*100</f>
        <v>100</v>
      </c>
      <c r="F280" s="491">
        <v>7.2800000000000004E-2</v>
      </c>
      <c r="G280" s="532">
        <f t="shared" ref="G280:G311" si="46">+F280*100</f>
        <v>7.28</v>
      </c>
      <c r="H280" s="487" t="s">
        <v>114</v>
      </c>
      <c r="I280" s="80">
        <f t="shared" si="40"/>
        <v>7.2800000000000004E-2</v>
      </c>
      <c r="J280" s="518">
        <f t="shared" ref="J280:J311" si="47">+IF(I280&lt;0,0%,IF(I280&gt;120%,120%,I280))</f>
        <v>7.2800000000000004E-2</v>
      </c>
      <c r="K280" s="488" t="str">
        <f t="shared" ref="K280:K311" si="48">+IF(I280&lt;79.99999%,"Incumple",IF(AND(I280&gt;=80%,I280&lt;94.999999%),"Tolerable",IF(AND(I280&gt;=95%,I280&lt;100%),"Satisfactorio","Sobresaliente")))</f>
        <v>Incumple</v>
      </c>
    </row>
    <row r="281" spans="1:11" x14ac:dyDescent="0.25">
      <c r="A281" s="489" t="s">
        <v>425</v>
      </c>
      <c r="B281" s="476">
        <v>44592</v>
      </c>
      <c r="C281" s="285" t="s">
        <v>60</v>
      </c>
      <c r="D281" s="491">
        <v>1</v>
      </c>
      <c r="E281" s="530">
        <f t="shared" si="45"/>
        <v>100</v>
      </c>
      <c r="F281" s="491">
        <v>1.8641000000000001</v>
      </c>
      <c r="G281" s="532">
        <f t="shared" si="46"/>
        <v>186.41</v>
      </c>
      <c r="H281" s="487" t="s">
        <v>114</v>
      </c>
      <c r="I281" s="80">
        <f t="shared" si="40"/>
        <v>1.8641000000000001</v>
      </c>
      <c r="J281" s="518">
        <f t="shared" si="47"/>
        <v>1.2</v>
      </c>
      <c r="K281" s="488" t="str">
        <f t="shared" si="48"/>
        <v>Sobresaliente</v>
      </c>
    </row>
    <row r="282" spans="1:11" x14ac:dyDescent="0.25">
      <c r="A282" s="489" t="s">
        <v>426</v>
      </c>
      <c r="B282" s="476">
        <v>44592</v>
      </c>
      <c r="C282" s="285" t="s">
        <v>60</v>
      </c>
      <c r="D282" s="491">
        <v>105</v>
      </c>
      <c r="E282" s="530">
        <f t="shared" si="45"/>
        <v>10500</v>
      </c>
      <c r="F282" s="491">
        <v>22.565999999999999</v>
      </c>
      <c r="G282" s="532">
        <f t="shared" si="46"/>
        <v>2256.6</v>
      </c>
      <c r="H282" s="487" t="s">
        <v>114</v>
      </c>
      <c r="I282" s="80">
        <f t="shared" si="40"/>
        <v>0.2149142857142857</v>
      </c>
      <c r="J282" s="518">
        <f t="shared" si="47"/>
        <v>0.2149142857142857</v>
      </c>
      <c r="K282" s="488" t="str">
        <f t="shared" si="48"/>
        <v>Incumple</v>
      </c>
    </row>
    <row r="283" spans="1:11" x14ac:dyDescent="0.25">
      <c r="A283" s="489" t="s">
        <v>429</v>
      </c>
      <c r="B283" s="476">
        <v>44592</v>
      </c>
      <c r="C283" s="285" t="s">
        <v>60</v>
      </c>
      <c r="D283" s="491">
        <v>7.9200000000000007E-2</v>
      </c>
      <c r="E283" s="530">
        <f t="shared" si="45"/>
        <v>7.9200000000000008</v>
      </c>
      <c r="F283" s="491">
        <v>0.2994</v>
      </c>
      <c r="G283" s="532">
        <f t="shared" si="46"/>
        <v>29.94</v>
      </c>
      <c r="H283" s="487" t="s">
        <v>114</v>
      </c>
      <c r="I283" s="80">
        <f t="shared" si="40"/>
        <v>3.7803030303030298</v>
      </c>
      <c r="J283" s="518">
        <f t="shared" si="47"/>
        <v>1.2</v>
      </c>
      <c r="K283" s="488" t="str">
        <f t="shared" si="48"/>
        <v>Sobresaliente</v>
      </c>
    </row>
    <row r="284" spans="1:11" x14ac:dyDescent="0.25">
      <c r="A284" s="489" t="s">
        <v>356</v>
      </c>
      <c r="B284" s="476">
        <v>44592</v>
      </c>
      <c r="C284" s="285" t="s">
        <v>74</v>
      </c>
      <c r="D284" s="491">
        <v>-0.45400000000000001</v>
      </c>
      <c r="E284" s="530">
        <f t="shared" si="45"/>
        <v>-45.4</v>
      </c>
      <c r="F284" s="491">
        <v>1.089</v>
      </c>
      <c r="G284" s="532">
        <f t="shared" si="46"/>
        <v>108.89999999999999</v>
      </c>
      <c r="H284" s="487" t="s">
        <v>114</v>
      </c>
      <c r="I284" s="80">
        <f t="shared" si="40"/>
        <v>2.4168962350780534</v>
      </c>
      <c r="J284" s="518">
        <f t="shared" si="47"/>
        <v>1.2</v>
      </c>
      <c r="K284" s="488" t="str">
        <f t="shared" si="48"/>
        <v>Sobresaliente</v>
      </c>
    </row>
    <row r="285" spans="1:11" x14ac:dyDescent="0.25">
      <c r="A285" s="489" t="s">
        <v>416</v>
      </c>
      <c r="B285" s="476">
        <v>44592</v>
      </c>
      <c r="C285" s="285" t="s">
        <v>74</v>
      </c>
      <c r="D285" s="491">
        <v>1</v>
      </c>
      <c r="E285" s="530">
        <f t="shared" si="45"/>
        <v>100</v>
      </c>
      <c r="F285" s="491">
        <v>1</v>
      </c>
      <c r="G285" s="532">
        <f t="shared" si="46"/>
        <v>100</v>
      </c>
      <c r="H285" s="487" t="s">
        <v>114</v>
      </c>
      <c r="I285" s="80">
        <f t="shared" ref="I285:I328" si="49">+IFERROR(IF(H285="Creciente",IF(AND(F285&lt;0,D285&lt;0),1-(F285-D285)/D285,IF(F285&lt;0,IFERROR(F285/D285,0),IF(D285&lt;0,1+((F285-D285)/F285),F285/D285))),IF(AND(F285&lt;0,D285&lt;0),(D285*-1)/(F285*-1),IF(F285&lt;0,(F285-D285)/F285,IF(D285&lt;0,-1+(F285-D285)/D285,IF(H285="Decreciente",1+(D285-F285)/D285,F285/D285))))),"N/A")</f>
        <v>1</v>
      </c>
      <c r="J285" s="518">
        <f t="shared" si="47"/>
        <v>1</v>
      </c>
      <c r="K285" s="488" t="str">
        <f t="shared" si="48"/>
        <v>Sobresaliente</v>
      </c>
    </row>
    <row r="286" spans="1:11" x14ac:dyDescent="0.25">
      <c r="A286" s="489" t="s">
        <v>428</v>
      </c>
      <c r="B286" s="476">
        <v>44592</v>
      </c>
      <c r="C286" s="285" t="s">
        <v>74</v>
      </c>
      <c r="D286" s="491">
        <v>0.14030000000000001</v>
      </c>
      <c r="E286" s="530">
        <f t="shared" si="45"/>
        <v>14.030000000000001</v>
      </c>
      <c r="F286" s="491">
        <v>0.15809999999999999</v>
      </c>
      <c r="G286" s="532">
        <f t="shared" si="46"/>
        <v>15.809999999999999</v>
      </c>
      <c r="H286" s="487" t="s">
        <v>114</v>
      </c>
      <c r="I286" s="80">
        <f t="shared" si="49"/>
        <v>1.126870990734141</v>
      </c>
      <c r="J286" s="518">
        <f t="shared" si="47"/>
        <v>1.126870990734141</v>
      </c>
      <c r="K286" s="488" t="str">
        <f t="shared" si="48"/>
        <v>Sobresaliente</v>
      </c>
    </row>
    <row r="287" spans="1:11" x14ac:dyDescent="0.25">
      <c r="A287" s="489" t="s">
        <v>427</v>
      </c>
      <c r="B287" s="476">
        <v>44592</v>
      </c>
      <c r="C287" s="285" t="s">
        <v>74</v>
      </c>
      <c r="D287" s="491">
        <v>0.11700000000000001</v>
      </c>
      <c r="E287" s="530">
        <f t="shared" si="45"/>
        <v>11.700000000000001</v>
      </c>
      <c r="F287" s="491">
        <v>0.10920000000000001</v>
      </c>
      <c r="G287" s="532">
        <f t="shared" si="46"/>
        <v>10.92</v>
      </c>
      <c r="H287" s="487" t="s">
        <v>114</v>
      </c>
      <c r="I287" s="80">
        <f t="shared" si="49"/>
        <v>0.93333333333333335</v>
      </c>
      <c r="J287" s="518">
        <f t="shared" si="47"/>
        <v>0.93333333333333335</v>
      </c>
      <c r="K287" s="488" t="str">
        <f t="shared" si="48"/>
        <v>Tolerable</v>
      </c>
    </row>
    <row r="288" spans="1:11" x14ac:dyDescent="0.25">
      <c r="A288" s="489" t="s">
        <v>64</v>
      </c>
      <c r="B288" s="476">
        <v>44592</v>
      </c>
      <c r="C288" s="285" t="s">
        <v>74</v>
      </c>
      <c r="D288" s="491">
        <v>0.40539999999999998</v>
      </c>
      <c r="E288" s="530">
        <f t="shared" si="45"/>
        <v>40.54</v>
      </c>
      <c r="F288" s="491">
        <v>0.28570000000000001</v>
      </c>
      <c r="G288" s="532">
        <f t="shared" si="46"/>
        <v>28.57</v>
      </c>
      <c r="H288" s="487" t="s">
        <v>114</v>
      </c>
      <c r="I288" s="80">
        <f t="shared" si="49"/>
        <v>0.7047360631475087</v>
      </c>
      <c r="J288" s="518">
        <f t="shared" si="47"/>
        <v>0.7047360631475087</v>
      </c>
      <c r="K288" s="488" t="str">
        <f t="shared" si="48"/>
        <v>Incumple</v>
      </c>
    </row>
    <row r="289" spans="1:11" x14ac:dyDescent="0.25">
      <c r="A289" s="489" t="s">
        <v>67</v>
      </c>
      <c r="B289" s="476">
        <v>44592</v>
      </c>
      <c r="C289" s="285" t="s">
        <v>74</v>
      </c>
      <c r="D289" s="491">
        <v>1</v>
      </c>
      <c r="E289" s="530">
        <f t="shared" si="45"/>
        <v>100</v>
      </c>
      <c r="F289" s="491">
        <v>0.24049999999999999</v>
      </c>
      <c r="G289" s="532">
        <f t="shared" si="46"/>
        <v>24.05</v>
      </c>
      <c r="H289" s="487" t="s">
        <v>114</v>
      </c>
      <c r="I289" s="80">
        <f t="shared" si="49"/>
        <v>0.24049999999999999</v>
      </c>
      <c r="J289" s="518">
        <f t="shared" si="47"/>
        <v>0.24049999999999999</v>
      </c>
      <c r="K289" s="488" t="str">
        <f t="shared" si="48"/>
        <v>Incumple</v>
      </c>
    </row>
    <row r="290" spans="1:11" x14ac:dyDescent="0.25">
      <c r="A290" s="489" t="s">
        <v>425</v>
      </c>
      <c r="B290" s="476">
        <v>44592</v>
      </c>
      <c r="C290" s="285" t="s">
        <v>74</v>
      </c>
      <c r="D290" s="491">
        <v>1</v>
      </c>
      <c r="E290" s="530">
        <f t="shared" si="45"/>
        <v>100</v>
      </c>
      <c r="F290" s="491">
        <v>0.72540000000000004</v>
      </c>
      <c r="G290" s="532">
        <f t="shared" si="46"/>
        <v>72.540000000000006</v>
      </c>
      <c r="H290" s="487" t="s">
        <v>114</v>
      </c>
      <c r="I290" s="80">
        <f t="shared" si="49"/>
        <v>0.72540000000000004</v>
      </c>
      <c r="J290" s="518">
        <f t="shared" si="47"/>
        <v>0.72540000000000004</v>
      </c>
      <c r="K290" s="488" t="str">
        <f t="shared" si="48"/>
        <v>Incumple</v>
      </c>
    </row>
    <row r="291" spans="1:11" x14ac:dyDescent="0.25">
      <c r="A291" s="489" t="s">
        <v>426</v>
      </c>
      <c r="B291" s="476">
        <v>44592</v>
      </c>
      <c r="C291" s="285" t="s">
        <v>74</v>
      </c>
      <c r="D291" s="491">
        <v>40.818199999999997</v>
      </c>
      <c r="E291" s="530">
        <f t="shared" si="45"/>
        <v>4081.8199999999997</v>
      </c>
      <c r="F291" s="491">
        <v>461.03030000000001</v>
      </c>
      <c r="G291" s="532">
        <f t="shared" si="46"/>
        <v>46103.03</v>
      </c>
      <c r="H291" s="487" t="s">
        <v>114</v>
      </c>
      <c r="I291" s="80">
        <f t="shared" si="49"/>
        <v>11.294723922171974</v>
      </c>
      <c r="J291" s="518">
        <f t="shared" si="47"/>
        <v>1.2</v>
      </c>
      <c r="K291" s="488" t="str">
        <f t="shared" si="48"/>
        <v>Sobresaliente</v>
      </c>
    </row>
    <row r="292" spans="1:11" x14ac:dyDescent="0.25">
      <c r="A292" s="489" t="s">
        <v>429</v>
      </c>
      <c r="B292" s="476">
        <v>44592</v>
      </c>
      <c r="C292" s="285" t="s">
        <v>74</v>
      </c>
      <c r="D292" s="491">
        <v>0.1152</v>
      </c>
      <c r="E292" s="530">
        <f t="shared" si="45"/>
        <v>11.52</v>
      </c>
      <c r="F292" s="491">
        <v>2.3999999999999998E-3</v>
      </c>
      <c r="G292" s="532">
        <f t="shared" si="46"/>
        <v>0.24</v>
      </c>
      <c r="H292" s="487" t="s">
        <v>114</v>
      </c>
      <c r="I292" s="80">
        <f t="shared" si="49"/>
        <v>2.0833333333333332E-2</v>
      </c>
      <c r="J292" s="518">
        <f t="shared" si="47"/>
        <v>2.0833333333333332E-2</v>
      </c>
      <c r="K292" s="488" t="str">
        <f t="shared" si="48"/>
        <v>Incumple</v>
      </c>
    </row>
    <row r="293" spans="1:11" x14ac:dyDescent="0.25">
      <c r="A293" s="563" t="s">
        <v>416</v>
      </c>
      <c r="B293" s="476">
        <v>44592</v>
      </c>
      <c r="C293" s="327" t="s">
        <v>386</v>
      </c>
      <c r="D293" s="491">
        <v>1</v>
      </c>
      <c r="E293" s="530">
        <f t="shared" si="45"/>
        <v>100</v>
      </c>
      <c r="F293" s="491">
        <v>1</v>
      </c>
      <c r="G293" s="532">
        <f t="shared" si="46"/>
        <v>100</v>
      </c>
      <c r="H293" s="487" t="s">
        <v>114</v>
      </c>
      <c r="I293" s="80">
        <f t="shared" si="49"/>
        <v>1</v>
      </c>
      <c r="J293" s="518">
        <f t="shared" si="47"/>
        <v>1</v>
      </c>
      <c r="K293" s="488" t="str">
        <f t="shared" si="48"/>
        <v>Sobresaliente</v>
      </c>
    </row>
    <row r="294" spans="1:11" x14ac:dyDescent="0.25">
      <c r="A294" s="489" t="s">
        <v>428</v>
      </c>
      <c r="B294" s="476">
        <v>44592</v>
      </c>
      <c r="C294" s="285" t="s">
        <v>386</v>
      </c>
      <c r="D294" s="491">
        <v>8.1199999999999994E-2</v>
      </c>
      <c r="E294" s="530">
        <f t="shared" si="45"/>
        <v>8.1199999999999992</v>
      </c>
      <c r="F294" s="491">
        <v>9.5899999999999999E-2</v>
      </c>
      <c r="G294" s="532">
        <f t="shared" si="46"/>
        <v>9.59</v>
      </c>
      <c r="H294" s="487" t="s">
        <v>114</v>
      </c>
      <c r="I294" s="80">
        <f t="shared" si="49"/>
        <v>1.1810344827586208</v>
      </c>
      <c r="J294" s="518">
        <f t="shared" si="47"/>
        <v>1.1810344827586208</v>
      </c>
      <c r="K294" s="488" t="str">
        <f t="shared" si="48"/>
        <v>Sobresaliente</v>
      </c>
    </row>
    <row r="295" spans="1:11" x14ac:dyDescent="0.25">
      <c r="A295" s="489" t="s">
        <v>427</v>
      </c>
      <c r="B295" s="476">
        <v>44592</v>
      </c>
      <c r="C295" s="285" t="s">
        <v>386</v>
      </c>
      <c r="D295" s="491">
        <v>0.11700000000000001</v>
      </c>
      <c r="E295" s="530">
        <f t="shared" si="45"/>
        <v>11.700000000000001</v>
      </c>
      <c r="F295" s="491">
        <v>0.1074</v>
      </c>
      <c r="G295" s="532">
        <f t="shared" si="46"/>
        <v>10.74</v>
      </c>
      <c r="H295" s="487" t="s">
        <v>114</v>
      </c>
      <c r="I295" s="80">
        <f t="shared" si="49"/>
        <v>0.91794871794871791</v>
      </c>
      <c r="J295" s="518">
        <f t="shared" si="47"/>
        <v>0.91794871794871791</v>
      </c>
      <c r="K295" s="488" t="str">
        <f t="shared" si="48"/>
        <v>Tolerable</v>
      </c>
    </row>
    <row r="296" spans="1:11" x14ac:dyDescent="0.25">
      <c r="A296" s="489" t="s">
        <v>64</v>
      </c>
      <c r="B296" s="476">
        <v>44592</v>
      </c>
      <c r="C296" s="285" t="s">
        <v>386</v>
      </c>
      <c r="D296" s="491">
        <v>0.41099999999999998</v>
      </c>
      <c r="E296" s="530">
        <f t="shared" si="45"/>
        <v>41.099999999999994</v>
      </c>
      <c r="F296" s="491">
        <v>0.2</v>
      </c>
      <c r="G296" s="532">
        <f t="shared" si="46"/>
        <v>20</v>
      </c>
      <c r="H296" s="487" t="s">
        <v>114</v>
      </c>
      <c r="I296" s="80">
        <f t="shared" si="49"/>
        <v>0.48661800486618012</v>
      </c>
      <c r="J296" s="518">
        <f t="shared" si="47"/>
        <v>0.48661800486618012</v>
      </c>
      <c r="K296" s="488" t="str">
        <f t="shared" si="48"/>
        <v>Incumple</v>
      </c>
    </row>
    <row r="297" spans="1:11" x14ac:dyDescent="0.25">
      <c r="A297" s="489" t="s">
        <v>67</v>
      </c>
      <c r="B297" s="476">
        <v>44592</v>
      </c>
      <c r="C297" s="285" t="s">
        <v>386</v>
      </c>
      <c r="D297" s="491">
        <v>1</v>
      </c>
      <c r="E297" s="530">
        <f t="shared" si="45"/>
        <v>100</v>
      </c>
      <c r="F297" s="491">
        <v>0.2326</v>
      </c>
      <c r="G297" s="532">
        <f t="shared" si="46"/>
        <v>23.26</v>
      </c>
      <c r="H297" s="487" t="s">
        <v>114</v>
      </c>
      <c r="I297" s="80">
        <f t="shared" si="49"/>
        <v>0.2326</v>
      </c>
      <c r="J297" s="518">
        <f t="shared" si="47"/>
        <v>0.2326</v>
      </c>
      <c r="K297" s="488" t="str">
        <f t="shared" si="48"/>
        <v>Incumple</v>
      </c>
    </row>
    <row r="298" spans="1:11" x14ac:dyDescent="0.25">
      <c r="A298" s="489" t="s">
        <v>425</v>
      </c>
      <c r="B298" s="476">
        <v>44592</v>
      </c>
      <c r="C298" s="285" t="s">
        <v>386</v>
      </c>
      <c r="D298" s="491">
        <v>1</v>
      </c>
      <c r="E298" s="530">
        <f t="shared" si="45"/>
        <v>100</v>
      </c>
      <c r="F298" s="491">
        <v>2.4862000000000002</v>
      </c>
      <c r="G298" s="532">
        <f t="shared" si="46"/>
        <v>248.62</v>
      </c>
      <c r="H298" s="487" t="s">
        <v>114</v>
      </c>
      <c r="I298" s="80">
        <f t="shared" si="49"/>
        <v>2.4862000000000002</v>
      </c>
      <c r="J298" s="518">
        <f t="shared" si="47"/>
        <v>1.2</v>
      </c>
      <c r="K298" s="488" t="str">
        <f t="shared" si="48"/>
        <v>Sobresaliente</v>
      </c>
    </row>
    <row r="299" spans="1:11" x14ac:dyDescent="0.25">
      <c r="A299" s="489" t="s">
        <v>356</v>
      </c>
      <c r="B299" s="476">
        <v>44592</v>
      </c>
      <c r="C299" s="285" t="s">
        <v>81</v>
      </c>
      <c r="D299" s="491">
        <v>1.4890000000000001</v>
      </c>
      <c r="E299" s="530">
        <f t="shared" si="45"/>
        <v>148.9</v>
      </c>
      <c r="F299" s="491">
        <v>0.95469999999999999</v>
      </c>
      <c r="G299" s="532">
        <f t="shared" si="46"/>
        <v>95.47</v>
      </c>
      <c r="H299" s="487" t="s">
        <v>114</v>
      </c>
      <c r="I299" s="80">
        <f t="shared" si="49"/>
        <v>0.641168569509738</v>
      </c>
      <c r="J299" s="518">
        <f t="shared" si="47"/>
        <v>0.641168569509738</v>
      </c>
      <c r="K299" s="488" t="str">
        <f t="shared" si="48"/>
        <v>Incumple</v>
      </c>
    </row>
    <row r="300" spans="1:11" x14ac:dyDescent="0.25">
      <c r="A300" s="489" t="s">
        <v>416</v>
      </c>
      <c r="B300" s="476">
        <v>44592</v>
      </c>
      <c r="C300" s="285" t="s">
        <v>81</v>
      </c>
      <c r="D300" s="491">
        <v>1</v>
      </c>
      <c r="E300" s="530">
        <f t="shared" si="45"/>
        <v>100</v>
      </c>
      <c r="F300" s="491">
        <v>1</v>
      </c>
      <c r="G300" s="532">
        <f t="shared" si="46"/>
        <v>100</v>
      </c>
      <c r="H300" s="487" t="s">
        <v>114</v>
      </c>
      <c r="I300" s="80">
        <f t="shared" si="49"/>
        <v>1</v>
      </c>
      <c r="J300" s="518">
        <f t="shared" si="47"/>
        <v>1</v>
      </c>
      <c r="K300" s="488" t="str">
        <f t="shared" si="48"/>
        <v>Sobresaliente</v>
      </c>
    </row>
    <row r="301" spans="1:11" x14ac:dyDescent="0.25">
      <c r="A301" s="489" t="s">
        <v>428</v>
      </c>
      <c r="B301" s="476">
        <v>44592</v>
      </c>
      <c r="C301" s="285" t="s">
        <v>81</v>
      </c>
      <c r="D301" s="491">
        <v>0.14030000000000001</v>
      </c>
      <c r="E301" s="530">
        <f t="shared" si="45"/>
        <v>14.030000000000001</v>
      </c>
      <c r="F301" s="491">
        <v>-3.15E-2</v>
      </c>
      <c r="G301" s="532">
        <f t="shared" si="46"/>
        <v>-3.15</v>
      </c>
      <c r="H301" s="487" t="s">
        <v>114</v>
      </c>
      <c r="I301" s="80">
        <f t="shared" si="49"/>
        <v>-0.22451888809693513</v>
      </c>
      <c r="J301" s="518">
        <f t="shared" si="47"/>
        <v>0</v>
      </c>
      <c r="K301" s="488" t="str">
        <f t="shared" si="48"/>
        <v>Incumple</v>
      </c>
    </row>
    <row r="302" spans="1:11" x14ac:dyDescent="0.25">
      <c r="A302" s="489" t="s">
        <v>427</v>
      </c>
      <c r="B302" s="476">
        <v>44592</v>
      </c>
      <c r="C302" s="285" t="s">
        <v>81</v>
      </c>
      <c r="D302" s="491">
        <v>0.11700000000000001</v>
      </c>
      <c r="E302" s="530">
        <f t="shared" si="45"/>
        <v>11.700000000000001</v>
      </c>
      <c r="F302" s="491">
        <v>0.1852</v>
      </c>
      <c r="G302" s="532">
        <f t="shared" si="46"/>
        <v>18.52</v>
      </c>
      <c r="H302" s="487" t="s">
        <v>114</v>
      </c>
      <c r="I302" s="80">
        <f t="shared" si="49"/>
        <v>1.5829059829059828</v>
      </c>
      <c r="J302" s="518">
        <f t="shared" si="47"/>
        <v>1.2</v>
      </c>
      <c r="K302" s="488" t="str">
        <f t="shared" si="48"/>
        <v>Sobresaliente</v>
      </c>
    </row>
    <row r="303" spans="1:11" x14ac:dyDescent="0.25">
      <c r="A303" s="489" t="s">
        <v>64</v>
      </c>
      <c r="B303" s="476">
        <v>44592</v>
      </c>
      <c r="C303" s="285" t="s">
        <v>81</v>
      </c>
      <c r="D303" s="491">
        <v>-0.5</v>
      </c>
      <c r="E303" s="530">
        <f t="shared" si="45"/>
        <v>-50</v>
      </c>
      <c r="F303" s="491">
        <v>0.63639999999999997</v>
      </c>
      <c r="G303" s="532">
        <f t="shared" si="46"/>
        <v>63.639999999999993</v>
      </c>
      <c r="H303" s="487" t="s">
        <v>114</v>
      </c>
      <c r="I303" s="80">
        <f t="shared" si="49"/>
        <v>2.7856693903205532</v>
      </c>
      <c r="J303" s="518">
        <f t="shared" si="47"/>
        <v>1.2</v>
      </c>
      <c r="K303" s="488" t="str">
        <f t="shared" si="48"/>
        <v>Sobresaliente</v>
      </c>
    </row>
    <row r="304" spans="1:11" x14ac:dyDescent="0.25">
      <c r="A304" s="489" t="s">
        <v>67</v>
      </c>
      <c r="B304" s="476">
        <v>44592</v>
      </c>
      <c r="C304" s="285" t="s">
        <v>81</v>
      </c>
      <c r="D304" s="491">
        <v>1</v>
      </c>
      <c r="E304" s="530">
        <f t="shared" si="45"/>
        <v>100</v>
      </c>
      <c r="F304" s="491">
        <v>0.52270000000000005</v>
      </c>
      <c r="G304" s="532">
        <f t="shared" si="46"/>
        <v>52.27</v>
      </c>
      <c r="H304" s="487" t="s">
        <v>114</v>
      </c>
      <c r="I304" s="80">
        <f t="shared" si="49"/>
        <v>0.52270000000000005</v>
      </c>
      <c r="J304" s="518">
        <f t="shared" si="47"/>
        <v>0.52270000000000005</v>
      </c>
      <c r="K304" s="488" t="str">
        <f t="shared" si="48"/>
        <v>Incumple</v>
      </c>
    </row>
    <row r="305" spans="1:11" x14ac:dyDescent="0.25">
      <c r="A305" s="489" t="s">
        <v>425</v>
      </c>
      <c r="B305" s="476">
        <v>44592</v>
      </c>
      <c r="C305" s="285" t="s">
        <v>81</v>
      </c>
      <c r="D305" s="491">
        <v>1</v>
      </c>
      <c r="E305" s="530">
        <f t="shared" si="45"/>
        <v>100</v>
      </c>
      <c r="F305" s="491">
        <v>2.1875</v>
      </c>
      <c r="G305" s="532">
        <f t="shared" si="46"/>
        <v>218.75</v>
      </c>
      <c r="H305" s="487" t="s">
        <v>114</v>
      </c>
      <c r="I305" s="80">
        <f t="shared" si="49"/>
        <v>2.1875</v>
      </c>
      <c r="J305" s="518">
        <f t="shared" si="47"/>
        <v>1.2</v>
      </c>
      <c r="K305" s="488" t="str">
        <f t="shared" si="48"/>
        <v>Sobresaliente</v>
      </c>
    </row>
    <row r="306" spans="1:11" x14ac:dyDescent="0.25">
      <c r="A306" s="489" t="s">
        <v>426</v>
      </c>
      <c r="B306" s="476">
        <v>44592</v>
      </c>
      <c r="C306" s="285" t="s">
        <v>81</v>
      </c>
      <c r="D306" s="491">
        <v>-0.61599999999999999</v>
      </c>
      <c r="E306" s="530">
        <f t="shared" si="45"/>
        <v>-61.6</v>
      </c>
      <c r="F306" s="491">
        <v>-0.67310999999999999</v>
      </c>
      <c r="G306" s="532">
        <f t="shared" si="46"/>
        <v>-67.310999999999993</v>
      </c>
      <c r="H306" s="487" t="s">
        <v>114</v>
      </c>
      <c r="I306" s="80">
        <f t="shared" si="49"/>
        <v>0.90728896103896106</v>
      </c>
      <c r="J306" s="518">
        <f t="shared" si="47"/>
        <v>0.90728896103896106</v>
      </c>
      <c r="K306" s="488" t="str">
        <f t="shared" si="48"/>
        <v>Tolerable</v>
      </c>
    </row>
    <row r="307" spans="1:11" x14ac:dyDescent="0.25">
      <c r="A307" s="489" t="s">
        <v>429</v>
      </c>
      <c r="B307" s="476">
        <v>44592</v>
      </c>
      <c r="C307" s="285" t="s">
        <v>81</v>
      </c>
      <c r="D307" s="491">
        <v>7.17E-2</v>
      </c>
      <c r="E307" s="530">
        <f t="shared" si="45"/>
        <v>7.17</v>
      </c>
      <c r="F307" s="491">
        <v>4.07E-2</v>
      </c>
      <c r="G307" s="532">
        <f t="shared" si="46"/>
        <v>4.07</v>
      </c>
      <c r="H307" s="487" t="s">
        <v>114</v>
      </c>
      <c r="I307" s="80">
        <f t="shared" si="49"/>
        <v>0.56764295676429566</v>
      </c>
      <c r="J307" s="518">
        <f t="shared" si="47"/>
        <v>0.56764295676429566</v>
      </c>
      <c r="K307" s="488" t="str">
        <f t="shared" si="48"/>
        <v>Incumple</v>
      </c>
    </row>
    <row r="308" spans="1:11" x14ac:dyDescent="0.25">
      <c r="A308" s="489" t="s">
        <v>356</v>
      </c>
      <c r="B308" s="476">
        <v>44592</v>
      </c>
      <c r="C308" s="285" t="s">
        <v>83</v>
      </c>
      <c r="D308" s="491">
        <v>1.1835</v>
      </c>
      <c r="E308" s="530">
        <f t="shared" si="45"/>
        <v>118.35</v>
      </c>
      <c r="F308" s="491">
        <v>1.5515000000000001</v>
      </c>
      <c r="G308" s="532">
        <f t="shared" si="46"/>
        <v>155.15</v>
      </c>
      <c r="H308" s="487" t="s">
        <v>114</v>
      </c>
      <c r="I308" s="80">
        <f t="shared" si="49"/>
        <v>1.3109421208280525</v>
      </c>
      <c r="J308" s="518">
        <f t="shared" si="47"/>
        <v>1.2</v>
      </c>
      <c r="K308" s="488" t="str">
        <f t="shared" si="48"/>
        <v>Sobresaliente</v>
      </c>
    </row>
    <row r="309" spans="1:11" x14ac:dyDescent="0.25">
      <c r="A309" s="489" t="s">
        <v>416</v>
      </c>
      <c r="B309" s="476">
        <v>44592</v>
      </c>
      <c r="C309" s="285" t="s">
        <v>83</v>
      </c>
      <c r="D309" s="491">
        <v>1</v>
      </c>
      <c r="E309" s="530">
        <f t="shared" si="45"/>
        <v>100</v>
      </c>
      <c r="F309" s="491">
        <v>1</v>
      </c>
      <c r="G309" s="532">
        <f t="shared" si="46"/>
        <v>100</v>
      </c>
      <c r="H309" s="487" t="s">
        <v>114</v>
      </c>
      <c r="I309" s="80">
        <f t="shared" si="49"/>
        <v>1</v>
      </c>
      <c r="J309" s="518">
        <f t="shared" si="47"/>
        <v>1</v>
      </c>
      <c r="K309" s="488" t="str">
        <f t="shared" si="48"/>
        <v>Sobresaliente</v>
      </c>
    </row>
    <row r="310" spans="1:11" x14ac:dyDescent="0.25">
      <c r="A310" s="489" t="s">
        <v>428</v>
      </c>
      <c r="B310" s="476">
        <v>44592</v>
      </c>
      <c r="C310" s="285" t="s">
        <v>83</v>
      </c>
      <c r="D310" s="491">
        <v>0.14030000000000001</v>
      </c>
      <c r="E310" s="530">
        <f t="shared" si="45"/>
        <v>14.030000000000001</v>
      </c>
      <c r="F310" s="491">
        <v>9.8699999999999996E-2</v>
      </c>
      <c r="G310" s="532">
        <f t="shared" si="46"/>
        <v>9.8699999999999992</v>
      </c>
      <c r="H310" s="487" t="s">
        <v>114</v>
      </c>
      <c r="I310" s="80">
        <f t="shared" si="49"/>
        <v>0.70349251603706342</v>
      </c>
      <c r="J310" s="518">
        <f t="shared" si="47"/>
        <v>0.70349251603706342</v>
      </c>
      <c r="K310" s="488" t="str">
        <f t="shared" si="48"/>
        <v>Incumple</v>
      </c>
    </row>
    <row r="311" spans="1:11" x14ac:dyDescent="0.25">
      <c r="A311" s="489" t="s">
        <v>427</v>
      </c>
      <c r="B311" s="476">
        <v>44592</v>
      </c>
      <c r="C311" s="285" t="s">
        <v>83</v>
      </c>
      <c r="D311" s="491">
        <v>0.11700000000000001</v>
      </c>
      <c r="E311" s="530">
        <f t="shared" si="45"/>
        <v>11.700000000000001</v>
      </c>
      <c r="F311" s="491">
        <v>2.7799999999999998E-2</v>
      </c>
      <c r="G311" s="532">
        <f t="shared" si="46"/>
        <v>2.78</v>
      </c>
      <c r="H311" s="487" t="s">
        <v>114</v>
      </c>
      <c r="I311" s="80">
        <f t="shared" si="49"/>
        <v>0.23760683760683757</v>
      </c>
      <c r="J311" s="518">
        <f t="shared" si="47"/>
        <v>0.23760683760683757</v>
      </c>
      <c r="K311" s="488" t="str">
        <f t="shared" si="48"/>
        <v>Incumple</v>
      </c>
    </row>
    <row r="312" spans="1:11" x14ac:dyDescent="0.25">
      <c r="A312" s="489" t="s">
        <v>64</v>
      </c>
      <c r="B312" s="476">
        <v>44592</v>
      </c>
      <c r="C312" s="285" t="s">
        <v>83</v>
      </c>
      <c r="D312" s="491">
        <v>-0.47620000000000001</v>
      </c>
      <c r="E312" s="530">
        <f t="shared" ref="E312:E343" si="50">+D312*100</f>
        <v>-47.620000000000005</v>
      </c>
      <c r="F312" s="491">
        <v>0.17860000000000001</v>
      </c>
      <c r="G312" s="532">
        <f t="shared" ref="G312:G343" si="51">+F312*100</f>
        <v>17.86</v>
      </c>
      <c r="H312" s="487" t="s">
        <v>114</v>
      </c>
      <c r="I312" s="80">
        <f t="shared" si="49"/>
        <v>4.6662933930571109</v>
      </c>
      <c r="J312" s="518">
        <f t="shared" ref="J312:J343" si="52">+IF(I312&lt;0,0%,IF(I312&gt;120%,120%,I312))</f>
        <v>1.2</v>
      </c>
      <c r="K312" s="488" t="str">
        <f t="shared" ref="K312:K343" si="53">+IF(I312&lt;79.99999%,"Incumple",IF(AND(I312&gt;=80%,I312&lt;94.999999%),"Tolerable",IF(AND(I312&gt;=95%,I312&lt;100%),"Satisfactorio","Sobresaliente")))</f>
        <v>Sobresaliente</v>
      </c>
    </row>
    <row r="313" spans="1:11" x14ac:dyDescent="0.25">
      <c r="A313" s="489" t="s">
        <v>67</v>
      </c>
      <c r="B313" s="476">
        <v>44592</v>
      </c>
      <c r="C313" s="285" t="s">
        <v>83</v>
      </c>
      <c r="D313" s="491">
        <v>1</v>
      </c>
      <c r="E313" s="530">
        <f t="shared" si="50"/>
        <v>100</v>
      </c>
      <c r="F313" s="491">
        <v>0.1008</v>
      </c>
      <c r="G313" s="532">
        <f t="shared" si="51"/>
        <v>10.08</v>
      </c>
      <c r="H313" s="487" t="s">
        <v>114</v>
      </c>
      <c r="I313" s="80">
        <f t="shared" si="49"/>
        <v>0.1008</v>
      </c>
      <c r="J313" s="518">
        <f t="shared" si="52"/>
        <v>0.1008</v>
      </c>
      <c r="K313" s="488" t="str">
        <f t="shared" si="53"/>
        <v>Incumple</v>
      </c>
    </row>
    <row r="314" spans="1:11" x14ac:dyDescent="0.25">
      <c r="A314" s="489" t="s">
        <v>425</v>
      </c>
      <c r="B314" s="476">
        <v>44592</v>
      </c>
      <c r="C314" s="285" t="s">
        <v>83</v>
      </c>
      <c r="D314" s="491">
        <v>1</v>
      </c>
      <c r="E314" s="530">
        <f t="shared" si="50"/>
        <v>100</v>
      </c>
      <c r="F314" s="491">
        <v>0.63949999999999996</v>
      </c>
      <c r="G314" s="532">
        <f t="shared" si="51"/>
        <v>63.949999999999996</v>
      </c>
      <c r="H314" s="487" t="s">
        <v>114</v>
      </c>
      <c r="I314" s="80">
        <f t="shared" si="49"/>
        <v>0.63949999999999996</v>
      </c>
      <c r="J314" s="518">
        <f t="shared" si="52"/>
        <v>0.63949999999999996</v>
      </c>
      <c r="K314" s="488" t="str">
        <f t="shared" si="53"/>
        <v>Incumple</v>
      </c>
    </row>
    <row r="315" spans="1:11" x14ac:dyDescent="0.25">
      <c r="A315" s="489" t="s">
        <v>426</v>
      </c>
      <c r="B315" s="476">
        <v>44592</v>
      </c>
      <c r="C315" s="285" t="s">
        <v>83</v>
      </c>
      <c r="D315" s="491">
        <v>14.4</v>
      </c>
      <c r="E315" s="530">
        <f t="shared" si="50"/>
        <v>1440</v>
      </c>
      <c r="F315" s="491">
        <v>52.866700000000002</v>
      </c>
      <c r="G315" s="532">
        <f t="shared" si="51"/>
        <v>5286.67</v>
      </c>
      <c r="H315" s="487" t="s">
        <v>114</v>
      </c>
      <c r="I315" s="80">
        <f t="shared" si="49"/>
        <v>3.6712986111111112</v>
      </c>
      <c r="J315" s="518">
        <f t="shared" si="52"/>
        <v>1.2</v>
      </c>
      <c r="K315" s="488" t="str">
        <f t="shared" si="53"/>
        <v>Sobresaliente</v>
      </c>
    </row>
    <row r="316" spans="1:11" x14ac:dyDescent="0.25">
      <c r="A316" s="489" t="s">
        <v>429</v>
      </c>
      <c r="B316" s="476">
        <v>44592</v>
      </c>
      <c r="C316" s="285" t="s">
        <v>83</v>
      </c>
      <c r="D316" s="491">
        <v>0.32029999999999997</v>
      </c>
      <c r="E316" s="530">
        <f t="shared" si="50"/>
        <v>32.029999999999994</v>
      </c>
      <c r="F316" s="491">
        <v>6.8099999999999994E-2</v>
      </c>
      <c r="G316" s="532">
        <f t="shared" si="51"/>
        <v>6.81</v>
      </c>
      <c r="H316" s="487" t="s">
        <v>114</v>
      </c>
      <c r="I316" s="80">
        <f t="shared" si="49"/>
        <v>0.21261317514829847</v>
      </c>
      <c r="J316" s="518">
        <f t="shared" si="52"/>
        <v>0.21261317514829847</v>
      </c>
      <c r="K316" s="488" t="str">
        <f t="shared" si="53"/>
        <v>Incumple</v>
      </c>
    </row>
    <row r="317" spans="1:11" x14ac:dyDescent="0.25">
      <c r="A317" s="489" t="s">
        <v>356</v>
      </c>
      <c r="B317" s="476">
        <v>44592</v>
      </c>
      <c r="C317" s="285" t="s">
        <v>85</v>
      </c>
      <c r="D317" s="491">
        <v>-0.63009999999999999</v>
      </c>
      <c r="E317" s="530">
        <f t="shared" si="50"/>
        <v>-63.01</v>
      </c>
      <c r="F317" s="491">
        <v>1.5042</v>
      </c>
      <c r="G317" s="532">
        <f t="shared" si="51"/>
        <v>150.41999999999999</v>
      </c>
      <c r="H317" s="487" t="s">
        <v>114</v>
      </c>
      <c r="I317" s="80">
        <f t="shared" si="49"/>
        <v>2.4188937641271107</v>
      </c>
      <c r="J317" s="518">
        <f t="shared" si="52"/>
        <v>1.2</v>
      </c>
      <c r="K317" s="488" t="str">
        <f t="shared" si="53"/>
        <v>Sobresaliente</v>
      </c>
    </row>
    <row r="318" spans="1:11" x14ac:dyDescent="0.25">
      <c r="A318" s="489" t="s">
        <v>416</v>
      </c>
      <c r="B318" s="476">
        <v>44592</v>
      </c>
      <c r="C318" s="285" t="s">
        <v>85</v>
      </c>
      <c r="D318" s="491">
        <v>1</v>
      </c>
      <c r="E318" s="530">
        <f t="shared" si="50"/>
        <v>100</v>
      </c>
      <c r="F318" s="491">
        <v>1</v>
      </c>
      <c r="G318" s="532">
        <f t="shared" si="51"/>
        <v>100</v>
      </c>
      <c r="H318" s="487" t="s">
        <v>114</v>
      </c>
      <c r="I318" s="80">
        <f t="shared" si="49"/>
        <v>1</v>
      </c>
      <c r="J318" s="518">
        <f t="shared" si="52"/>
        <v>1</v>
      </c>
      <c r="K318" s="488" t="str">
        <f t="shared" si="53"/>
        <v>Sobresaliente</v>
      </c>
    </row>
    <row r="319" spans="1:11" x14ac:dyDescent="0.25">
      <c r="A319" s="489" t="s">
        <v>428</v>
      </c>
      <c r="B319" s="476">
        <v>44592</v>
      </c>
      <c r="C319" s="285" t="s">
        <v>85</v>
      </c>
      <c r="D319" s="491">
        <v>0.14030000000000001</v>
      </c>
      <c r="E319" s="530">
        <f t="shared" si="50"/>
        <v>14.030000000000001</v>
      </c>
      <c r="F319" s="491">
        <v>8.3400000000000002E-2</v>
      </c>
      <c r="G319" s="532">
        <f t="shared" si="51"/>
        <v>8.34</v>
      </c>
      <c r="H319" s="487" t="s">
        <v>114</v>
      </c>
      <c r="I319" s="80">
        <f t="shared" si="49"/>
        <v>0.59444048467569488</v>
      </c>
      <c r="J319" s="518">
        <f t="shared" si="52"/>
        <v>0.59444048467569488</v>
      </c>
      <c r="K319" s="488" t="str">
        <f t="shared" si="53"/>
        <v>Incumple</v>
      </c>
    </row>
    <row r="320" spans="1:11" x14ac:dyDescent="0.25">
      <c r="A320" s="489" t="s">
        <v>427</v>
      </c>
      <c r="B320" s="476">
        <v>44592</v>
      </c>
      <c r="C320" s="285" t="s">
        <v>85</v>
      </c>
      <c r="D320" s="491">
        <v>0.11700000000000001</v>
      </c>
      <c r="E320" s="530">
        <f t="shared" si="50"/>
        <v>11.700000000000001</v>
      </c>
      <c r="F320" s="491">
        <v>7.2999999999999995E-2</v>
      </c>
      <c r="G320" s="532">
        <f t="shared" si="51"/>
        <v>7.3</v>
      </c>
      <c r="H320" s="487" t="s">
        <v>114</v>
      </c>
      <c r="I320" s="80">
        <f t="shared" si="49"/>
        <v>0.62393162393162382</v>
      </c>
      <c r="J320" s="518">
        <f t="shared" si="52"/>
        <v>0.62393162393162382</v>
      </c>
      <c r="K320" s="488" t="str">
        <f t="shared" si="53"/>
        <v>Incumple</v>
      </c>
    </row>
    <row r="321" spans="1:11" x14ac:dyDescent="0.25">
      <c r="A321" s="489" t="s">
        <v>64</v>
      </c>
      <c r="B321" s="476">
        <v>44592</v>
      </c>
      <c r="C321" s="285" t="s">
        <v>85</v>
      </c>
      <c r="D321" s="491">
        <v>-0.44440000000000002</v>
      </c>
      <c r="E321" s="530">
        <f t="shared" si="50"/>
        <v>-44.440000000000005</v>
      </c>
      <c r="F321" s="491">
        <v>-0.81820000000000004</v>
      </c>
      <c r="G321" s="532">
        <f t="shared" si="51"/>
        <v>-81.820000000000007</v>
      </c>
      <c r="H321" s="487" t="s">
        <v>114</v>
      </c>
      <c r="I321" s="80">
        <f t="shared" si="49"/>
        <v>0.15886588658865886</v>
      </c>
      <c r="J321" s="518">
        <f t="shared" si="52"/>
        <v>0.15886588658865886</v>
      </c>
      <c r="K321" s="488" t="str">
        <f t="shared" si="53"/>
        <v>Incumple</v>
      </c>
    </row>
    <row r="322" spans="1:11" x14ac:dyDescent="0.25">
      <c r="A322" s="489" t="s">
        <v>67</v>
      </c>
      <c r="B322" s="476">
        <v>44592</v>
      </c>
      <c r="C322" s="285" t="s">
        <v>85</v>
      </c>
      <c r="D322" s="491">
        <v>1</v>
      </c>
      <c r="E322" s="530">
        <f t="shared" si="50"/>
        <v>100</v>
      </c>
      <c r="F322" s="491">
        <v>6.6E-3</v>
      </c>
      <c r="G322" s="532">
        <f t="shared" si="51"/>
        <v>0.66</v>
      </c>
      <c r="H322" s="487" t="s">
        <v>114</v>
      </c>
      <c r="I322" s="80">
        <f t="shared" si="49"/>
        <v>6.6E-3</v>
      </c>
      <c r="J322" s="518">
        <f t="shared" si="52"/>
        <v>6.6E-3</v>
      </c>
      <c r="K322" s="488" t="str">
        <f t="shared" si="53"/>
        <v>Incumple</v>
      </c>
    </row>
    <row r="323" spans="1:11" x14ac:dyDescent="0.25">
      <c r="A323" s="489" t="s">
        <v>425</v>
      </c>
      <c r="B323" s="476">
        <v>44592</v>
      </c>
      <c r="C323" s="285" t="s">
        <v>85</v>
      </c>
      <c r="D323" s="491">
        <v>1</v>
      </c>
      <c r="E323" s="530">
        <f t="shared" si="50"/>
        <v>100</v>
      </c>
      <c r="F323" s="491">
        <v>6.6699999999999995E-2</v>
      </c>
      <c r="G323" s="532">
        <f t="shared" si="51"/>
        <v>6.67</v>
      </c>
      <c r="H323" s="487" t="s">
        <v>114</v>
      </c>
      <c r="I323" s="80">
        <f t="shared" si="49"/>
        <v>6.6699999999999995E-2</v>
      </c>
      <c r="J323" s="518">
        <f t="shared" si="52"/>
        <v>6.6699999999999995E-2</v>
      </c>
      <c r="K323" s="488" t="str">
        <f t="shared" si="53"/>
        <v>Incumple</v>
      </c>
    </row>
    <row r="324" spans="1:11" x14ac:dyDescent="0.25">
      <c r="A324" s="489" t="s">
        <v>426</v>
      </c>
      <c r="B324" s="476">
        <v>44592</v>
      </c>
      <c r="C324" s="285" t="s">
        <v>85</v>
      </c>
      <c r="D324" s="491">
        <v>-0.80869999999999997</v>
      </c>
      <c r="E324" s="530">
        <f t="shared" si="50"/>
        <v>-80.87</v>
      </c>
      <c r="F324" s="491">
        <v>-0.93700000000000006</v>
      </c>
      <c r="G324" s="532">
        <f t="shared" si="51"/>
        <v>-93.7</v>
      </c>
      <c r="H324" s="487" t="s">
        <v>114</v>
      </c>
      <c r="I324" s="80">
        <f t="shared" si="49"/>
        <v>0.84135031532088522</v>
      </c>
      <c r="J324" s="518">
        <f t="shared" si="52"/>
        <v>0.84135031532088522</v>
      </c>
      <c r="K324" s="488" t="str">
        <f t="shared" si="53"/>
        <v>Tolerable</v>
      </c>
    </row>
    <row r="325" spans="1:11" x14ac:dyDescent="0.25">
      <c r="A325" s="489" t="s">
        <v>429</v>
      </c>
      <c r="B325" s="476">
        <v>44592</v>
      </c>
      <c r="C325" s="285" t="s">
        <v>85</v>
      </c>
      <c r="D325" s="491">
        <v>0.11269999999999999</v>
      </c>
      <c r="E325" s="530">
        <f t="shared" si="50"/>
        <v>11.27</v>
      </c>
      <c r="F325" s="491">
        <v>0.1101</v>
      </c>
      <c r="G325" s="532">
        <f t="shared" si="51"/>
        <v>11.01</v>
      </c>
      <c r="H325" s="487" t="s">
        <v>114</v>
      </c>
      <c r="I325" s="80">
        <f t="shared" si="49"/>
        <v>0.97692990239574096</v>
      </c>
      <c r="J325" s="518">
        <f t="shared" si="52"/>
        <v>0.97692990239574096</v>
      </c>
      <c r="K325" s="488" t="str">
        <f t="shared" si="53"/>
        <v>Satisfactorio</v>
      </c>
    </row>
    <row r="326" spans="1:11" x14ac:dyDescent="0.25">
      <c r="A326" s="489" t="s">
        <v>356</v>
      </c>
      <c r="B326" s="476">
        <v>44592</v>
      </c>
      <c r="C326" s="285" t="s">
        <v>87</v>
      </c>
      <c r="D326" s="491">
        <v>2.7431000000000001</v>
      </c>
      <c r="E326" s="530">
        <f t="shared" si="50"/>
        <v>274.31</v>
      </c>
      <c r="F326" s="491">
        <v>0.4677</v>
      </c>
      <c r="G326" s="532">
        <f t="shared" si="51"/>
        <v>46.77</v>
      </c>
      <c r="H326" s="487" t="s">
        <v>114</v>
      </c>
      <c r="I326" s="80">
        <f t="shared" si="49"/>
        <v>0.17050052859903028</v>
      </c>
      <c r="J326" s="518">
        <f t="shared" si="52"/>
        <v>0.17050052859903028</v>
      </c>
      <c r="K326" s="488" t="str">
        <f t="shared" si="53"/>
        <v>Incumple</v>
      </c>
    </row>
    <row r="327" spans="1:11" x14ac:dyDescent="0.25">
      <c r="A327" s="489" t="s">
        <v>428</v>
      </c>
      <c r="B327" s="476">
        <v>44592</v>
      </c>
      <c r="C327" s="285" t="s">
        <v>87</v>
      </c>
      <c r="D327" s="491">
        <v>0.14030000000000001</v>
      </c>
      <c r="E327" s="530">
        <f t="shared" si="50"/>
        <v>14.030000000000001</v>
      </c>
      <c r="F327" s="491">
        <v>3.9600000000000003E-2</v>
      </c>
      <c r="G327" s="532">
        <f t="shared" si="51"/>
        <v>3.9600000000000004</v>
      </c>
      <c r="H327" s="487" t="s">
        <v>114</v>
      </c>
      <c r="I327" s="80">
        <f t="shared" si="49"/>
        <v>0.28225231646471849</v>
      </c>
      <c r="J327" s="518">
        <f t="shared" si="52"/>
        <v>0.28225231646471849</v>
      </c>
      <c r="K327" s="488" t="str">
        <f t="shared" si="53"/>
        <v>Incumple</v>
      </c>
    </row>
    <row r="328" spans="1:11" x14ac:dyDescent="0.25">
      <c r="A328" s="489" t="s">
        <v>427</v>
      </c>
      <c r="B328" s="476">
        <v>44592</v>
      </c>
      <c r="C328" s="285" t="s">
        <v>87</v>
      </c>
      <c r="D328" s="491">
        <v>0.11700000000000001</v>
      </c>
      <c r="E328" s="530">
        <f t="shared" si="50"/>
        <v>11.700000000000001</v>
      </c>
      <c r="F328" s="491">
        <v>9.5000000000000001E-2</v>
      </c>
      <c r="G328" s="532">
        <f t="shared" si="51"/>
        <v>9.5</v>
      </c>
      <c r="H328" s="487" t="s">
        <v>114</v>
      </c>
      <c r="I328" s="80">
        <f t="shared" si="49"/>
        <v>0.81196581196581197</v>
      </c>
      <c r="J328" s="518">
        <f t="shared" si="52"/>
        <v>0.81196581196581197</v>
      </c>
      <c r="K328" s="488" t="str">
        <f t="shared" si="53"/>
        <v>Tolerable</v>
      </c>
    </row>
    <row r="329" spans="1:11" x14ac:dyDescent="0.25">
      <c r="A329" s="489" t="s">
        <v>64</v>
      </c>
      <c r="B329" s="476">
        <v>44592</v>
      </c>
      <c r="C329" s="285" t="s">
        <v>87</v>
      </c>
      <c r="D329" s="491">
        <v>0</v>
      </c>
      <c r="E329" s="530">
        <f t="shared" si="50"/>
        <v>0</v>
      </c>
      <c r="F329" s="491">
        <v>-0.6</v>
      </c>
      <c r="G329" s="532">
        <f t="shared" si="51"/>
        <v>-60</v>
      </c>
      <c r="H329" s="487" t="s">
        <v>114</v>
      </c>
      <c r="I329" s="80">
        <f>+IFERROR(IF(H329="Creciente",IF(AND(F329&lt;0,D329&lt;0),1-(F329-D329)/D329,IF(F329&lt;0,IFERROR(F329/D329,0),IF(D329&lt;0,1+((F329-D329)/F329),F329/D329))),IF(AND(F329&lt;0,D329&lt;0),(D329*-1)/(F329*-1),IF(F329&lt;0,(F329-D329)/F329,IF(D329&lt;0,-1+(F329-D329)/D329,IF(H329="Decreciente",1+(D329-F329)/D329,F329/D329))))),"N/A")</f>
        <v>0</v>
      </c>
      <c r="J329" s="518">
        <f t="shared" si="52"/>
        <v>0</v>
      </c>
      <c r="K329" s="488" t="str">
        <f t="shared" si="53"/>
        <v>Incumple</v>
      </c>
    </row>
    <row r="330" spans="1:11" x14ac:dyDescent="0.25">
      <c r="A330" s="489" t="s">
        <v>67</v>
      </c>
      <c r="B330" s="476">
        <v>44592</v>
      </c>
      <c r="C330" s="285" t="s">
        <v>87</v>
      </c>
      <c r="D330" s="491">
        <v>1</v>
      </c>
      <c r="E330" s="530">
        <f t="shared" si="50"/>
        <v>100</v>
      </c>
      <c r="F330" s="491">
        <v>0.6048</v>
      </c>
      <c r="G330" s="532">
        <f t="shared" si="51"/>
        <v>60.480000000000004</v>
      </c>
      <c r="H330" s="487" t="s">
        <v>114</v>
      </c>
      <c r="I330" s="80">
        <f t="shared" ref="I330:I365" si="54">+IFERROR(IF(H330="Creciente",IF(AND(F330&lt;0,D330&lt;0),1-(F330-D330)/D330,IF(F330&lt;0,F330/D330,IF(D330&lt;0,1+((F330-D330)/F330),F330/D330))),IF(AND(F330&lt;0,D330&lt;0),(D330*-1)/(F330*-1),IF(F330&lt;0,(F330-D330)/F330,IF(D330&lt;0,-1+(F330-D330)/D330,IF(H330="Decreciente",1+(D330-F330)/D330,F330/D330))))),"N/A")</f>
        <v>0.6048</v>
      </c>
      <c r="J330" s="518">
        <f t="shared" si="52"/>
        <v>0.6048</v>
      </c>
      <c r="K330" s="488" t="str">
        <f t="shared" si="53"/>
        <v>Incumple</v>
      </c>
    </row>
    <row r="331" spans="1:11" x14ac:dyDescent="0.25">
      <c r="A331" s="489" t="s">
        <v>425</v>
      </c>
      <c r="B331" s="476">
        <v>44592</v>
      </c>
      <c r="C331" s="285" t="s">
        <v>87</v>
      </c>
      <c r="D331" s="491">
        <v>1</v>
      </c>
      <c r="E331" s="530">
        <f t="shared" si="50"/>
        <v>100</v>
      </c>
      <c r="F331" s="491">
        <v>1.9571000000000001</v>
      </c>
      <c r="G331" s="532">
        <f t="shared" si="51"/>
        <v>195.71</v>
      </c>
      <c r="H331" s="487" t="s">
        <v>114</v>
      </c>
      <c r="I331" s="80">
        <f t="shared" si="54"/>
        <v>1.9571000000000001</v>
      </c>
      <c r="J331" s="518">
        <f t="shared" si="52"/>
        <v>1.2</v>
      </c>
      <c r="K331" s="488" t="str">
        <f t="shared" si="53"/>
        <v>Sobresaliente</v>
      </c>
    </row>
    <row r="332" spans="1:11" x14ac:dyDescent="0.25">
      <c r="A332" s="489" t="s">
        <v>426</v>
      </c>
      <c r="B332" s="476">
        <v>44592</v>
      </c>
      <c r="C332" s="285" t="s">
        <v>87</v>
      </c>
      <c r="D332" s="491">
        <v>-0.1789</v>
      </c>
      <c r="E332" s="530">
        <f t="shared" si="50"/>
        <v>-17.89</v>
      </c>
      <c r="F332" s="491">
        <v>-0.22109999999999999</v>
      </c>
      <c r="G332" s="532">
        <f t="shared" si="51"/>
        <v>-22.11</v>
      </c>
      <c r="H332" s="487" t="s">
        <v>114</v>
      </c>
      <c r="I332" s="80">
        <f t="shared" si="54"/>
        <v>0.76411403018446067</v>
      </c>
      <c r="J332" s="518">
        <f t="shared" si="52"/>
        <v>0.76411403018446067</v>
      </c>
      <c r="K332" s="488" t="str">
        <f t="shared" si="53"/>
        <v>Incumple</v>
      </c>
    </row>
    <row r="333" spans="1:11" x14ac:dyDescent="0.25">
      <c r="A333" s="489" t="s">
        <v>429</v>
      </c>
      <c r="B333" s="476">
        <v>44592</v>
      </c>
      <c r="C333" s="285" t="s">
        <v>87</v>
      </c>
      <c r="D333" s="491">
        <v>0.1075</v>
      </c>
      <c r="E333" s="530">
        <f t="shared" si="50"/>
        <v>10.75</v>
      </c>
      <c r="F333" s="491">
        <v>4.36E-2</v>
      </c>
      <c r="G333" s="532">
        <f t="shared" si="51"/>
        <v>4.3600000000000003</v>
      </c>
      <c r="H333" s="487" t="s">
        <v>114</v>
      </c>
      <c r="I333" s="80">
        <f t="shared" si="54"/>
        <v>0.40558139534883719</v>
      </c>
      <c r="J333" s="518">
        <f t="shared" si="52"/>
        <v>0.40558139534883719</v>
      </c>
      <c r="K333" s="488" t="str">
        <f t="shared" si="53"/>
        <v>Incumple</v>
      </c>
    </row>
    <row r="334" spans="1:11" x14ac:dyDescent="0.25">
      <c r="A334" s="489" t="s">
        <v>356</v>
      </c>
      <c r="B334" s="476">
        <v>44592</v>
      </c>
      <c r="C334" s="285" t="s">
        <v>89</v>
      </c>
      <c r="D334" s="491">
        <v>-0.77090000000000003</v>
      </c>
      <c r="E334" s="530">
        <f t="shared" si="50"/>
        <v>-77.09</v>
      </c>
      <c r="F334" s="491">
        <v>-0.61380000000000001</v>
      </c>
      <c r="G334" s="532">
        <f t="shared" si="51"/>
        <v>-61.38</v>
      </c>
      <c r="H334" s="487" t="s">
        <v>114</v>
      </c>
      <c r="I334" s="80">
        <f t="shared" si="54"/>
        <v>1.2037877805162798</v>
      </c>
      <c r="J334" s="518">
        <f t="shared" si="52"/>
        <v>1.2</v>
      </c>
      <c r="K334" s="488" t="str">
        <f t="shared" si="53"/>
        <v>Sobresaliente</v>
      </c>
    </row>
    <row r="335" spans="1:11" x14ac:dyDescent="0.25">
      <c r="A335" s="489" t="s">
        <v>428</v>
      </c>
      <c r="B335" s="476">
        <v>44592</v>
      </c>
      <c r="C335" s="285" t="s">
        <v>89</v>
      </c>
      <c r="D335" s="491">
        <v>0.14030000000000001</v>
      </c>
      <c r="E335" s="530">
        <f t="shared" si="50"/>
        <v>14.030000000000001</v>
      </c>
      <c r="F335" s="491">
        <v>-4.9599999999999998E-2</v>
      </c>
      <c r="G335" s="532">
        <f t="shared" si="51"/>
        <v>-4.96</v>
      </c>
      <c r="H335" s="487" t="s">
        <v>114</v>
      </c>
      <c r="I335" s="80">
        <f t="shared" si="54"/>
        <v>-0.35352815395580894</v>
      </c>
      <c r="J335" s="518">
        <f t="shared" si="52"/>
        <v>0</v>
      </c>
      <c r="K335" s="488" t="str">
        <f t="shared" si="53"/>
        <v>Incumple</v>
      </c>
    </row>
    <row r="336" spans="1:11" x14ac:dyDescent="0.25">
      <c r="A336" s="489" t="s">
        <v>427</v>
      </c>
      <c r="B336" s="476">
        <v>44592</v>
      </c>
      <c r="C336" s="285" t="s">
        <v>89</v>
      </c>
      <c r="D336" s="491">
        <v>0.11700000000000001</v>
      </c>
      <c r="E336" s="530">
        <f t="shared" si="50"/>
        <v>11.700000000000001</v>
      </c>
      <c r="F336" s="491">
        <v>-0.10059999999999999</v>
      </c>
      <c r="G336" s="532">
        <f t="shared" si="51"/>
        <v>-10.059999999999999</v>
      </c>
      <c r="H336" s="487" t="s">
        <v>114</v>
      </c>
      <c r="I336" s="80">
        <f t="shared" si="54"/>
        <v>-0.85982905982905977</v>
      </c>
      <c r="J336" s="518">
        <f t="shared" si="52"/>
        <v>0</v>
      </c>
      <c r="K336" s="488" t="str">
        <f t="shared" si="53"/>
        <v>Incumple</v>
      </c>
    </row>
    <row r="337" spans="1:11" x14ac:dyDescent="0.25">
      <c r="A337" s="489" t="s">
        <v>64</v>
      </c>
      <c r="B337" s="476">
        <v>44592</v>
      </c>
      <c r="C337" s="285" t="s">
        <v>89</v>
      </c>
      <c r="D337" s="491">
        <v>-0.69230000000000003</v>
      </c>
      <c r="E337" s="530">
        <f t="shared" si="50"/>
        <v>-69.23</v>
      </c>
      <c r="F337" s="491">
        <v>-0.5333</v>
      </c>
      <c r="G337" s="532">
        <f t="shared" si="51"/>
        <v>-53.33</v>
      </c>
      <c r="H337" s="487" t="s">
        <v>114</v>
      </c>
      <c r="I337" s="80">
        <f t="shared" si="54"/>
        <v>1.2296692185468727</v>
      </c>
      <c r="J337" s="518">
        <f t="shared" si="52"/>
        <v>1.2</v>
      </c>
      <c r="K337" s="488" t="str">
        <f t="shared" si="53"/>
        <v>Sobresaliente</v>
      </c>
    </row>
    <row r="338" spans="1:11" x14ac:dyDescent="0.25">
      <c r="A338" s="489" t="s">
        <v>67</v>
      </c>
      <c r="B338" s="476">
        <v>44592</v>
      </c>
      <c r="C338" s="285" t="s">
        <v>89</v>
      </c>
      <c r="D338" s="491">
        <v>1</v>
      </c>
      <c r="E338" s="530">
        <f t="shared" si="50"/>
        <v>100</v>
      </c>
      <c r="F338" s="491">
        <v>1.9699999999999999E-2</v>
      </c>
      <c r="G338" s="532">
        <f t="shared" si="51"/>
        <v>1.97</v>
      </c>
      <c r="H338" s="487" t="s">
        <v>114</v>
      </c>
      <c r="I338" s="80">
        <f t="shared" si="54"/>
        <v>1.9699999999999999E-2</v>
      </c>
      <c r="J338" s="518">
        <f t="shared" si="52"/>
        <v>1.9699999999999999E-2</v>
      </c>
      <c r="K338" s="488" t="str">
        <f t="shared" si="53"/>
        <v>Incumple</v>
      </c>
    </row>
    <row r="339" spans="1:11" x14ac:dyDescent="0.25">
      <c r="A339" s="489" t="s">
        <v>425</v>
      </c>
      <c r="B339" s="476">
        <v>44592</v>
      </c>
      <c r="C339" s="285" t="s">
        <v>89</v>
      </c>
      <c r="D339" s="491">
        <v>1</v>
      </c>
      <c r="E339" s="530">
        <f t="shared" si="50"/>
        <v>100</v>
      </c>
      <c r="F339" s="491">
        <v>0.18179999999999999</v>
      </c>
      <c r="G339" s="532">
        <f t="shared" si="51"/>
        <v>18.18</v>
      </c>
      <c r="H339" s="487" t="s">
        <v>114</v>
      </c>
      <c r="I339" s="80">
        <f t="shared" si="54"/>
        <v>0.18179999999999999</v>
      </c>
      <c r="J339" s="518">
        <f t="shared" si="52"/>
        <v>0.18179999999999999</v>
      </c>
      <c r="K339" s="488" t="str">
        <f t="shared" si="53"/>
        <v>Incumple</v>
      </c>
    </row>
    <row r="340" spans="1:11" x14ac:dyDescent="0.25">
      <c r="A340" s="489" t="s">
        <v>426</v>
      </c>
      <c r="B340" s="476">
        <v>44592</v>
      </c>
      <c r="C340" s="285" t="s">
        <v>89</v>
      </c>
      <c r="D340" s="491">
        <v>126.1053</v>
      </c>
      <c r="E340" s="530">
        <f t="shared" si="50"/>
        <v>12610.53</v>
      </c>
      <c r="F340" s="491">
        <v>105.8947</v>
      </c>
      <c r="G340" s="532">
        <f t="shared" si="51"/>
        <v>10589.47</v>
      </c>
      <c r="H340" s="487" t="s">
        <v>114</v>
      </c>
      <c r="I340" s="80">
        <f t="shared" si="54"/>
        <v>0.83973235066250185</v>
      </c>
      <c r="J340" s="518">
        <f t="shared" si="52"/>
        <v>0.83973235066250185</v>
      </c>
      <c r="K340" s="488" t="str">
        <f t="shared" si="53"/>
        <v>Tolerable</v>
      </c>
    </row>
    <row r="341" spans="1:11" x14ac:dyDescent="0.25">
      <c r="A341" s="489" t="s">
        <v>429</v>
      </c>
      <c r="B341" s="476">
        <v>44592</v>
      </c>
      <c r="C341" s="285" t="s">
        <v>89</v>
      </c>
      <c r="D341" s="491">
        <v>2.1899999999999999E-2</v>
      </c>
      <c r="E341" s="530">
        <f t="shared" si="50"/>
        <v>2.19</v>
      </c>
      <c r="F341" s="491">
        <v>0</v>
      </c>
      <c r="G341" s="532">
        <f t="shared" si="51"/>
        <v>0</v>
      </c>
      <c r="H341" s="487" t="s">
        <v>114</v>
      </c>
      <c r="I341" s="80">
        <f t="shared" si="54"/>
        <v>0</v>
      </c>
      <c r="J341" s="518">
        <f t="shared" si="52"/>
        <v>0</v>
      </c>
      <c r="K341" s="488" t="str">
        <f t="shared" si="53"/>
        <v>Incumple</v>
      </c>
    </row>
    <row r="342" spans="1:11" x14ac:dyDescent="0.25">
      <c r="A342" s="489" t="s">
        <v>356</v>
      </c>
      <c r="B342" s="476">
        <v>44592</v>
      </c>
      <c r="C342" s="285" t="s">
        <v>91</v>
      </c>
      <c r="D342" s="491">
        <v>4.5358999999999998</v>
      </c>
      <c r="E342" s="530">
        <f t="shared" si="50"/>
        <v>453.59</v>
      </c>
      <c r="F342" s="491">
        <v>0.75970000000000004</v>
      </c>
      <c r="G342" s="532">
        <f t="shared" si="51"/>
        <v>75.97</v>
      </c>
      <c r="H342" s="487" t="s">
        <v>114</v>
      </c>
      <c r="I342" s="80">
        <f t="shared" si="54"/>
        <v>0.16748605568905842</v>
      </c>
      <c r="J342" s="518">
        <f t="shared" si="52"/>
        <v>0.16748605568905842</v>
      </c>
      <c r="K342" s="488" t="str">
        <f t="shared" si="53"/>
        <v>Incumple</v>
      </c>
    </row>
    <row r="343" spans="1:11" x14ac:dyDescent="0.25">
      <c r="A343" s="489" t="s">
        <v>428</v>
      </c>
      <c r="B343" s="476">
        <v>44592</v>
      </c>
      <c r="C343" s="285" t="s">
        <v>91</v>
      </c>
      <c r="D343" s="491">
        <v>0.14030000000000001</v>
      </c>
      <c r="E343" s="530">
        <f t="shared" si="50"/>
        <v>14.030000000000001</v>
      </c>
      <c r="F343" s="491">
        <v>7.3000000000000001E-3</v>
      </c>
      <c r="G343" s="532">
        <f t="shared" si="51"/>
        <v>0.73</v>
      </c>
      <c r="H343" s="487" t="s">
        <v>114</v>
      </c>
      <c r="I343" s="80">
        <f t="shared" si="54"/>
        <v>5.2031361368496079E-2</v>
      </c>
      <c r="J343" s="518">
        <f t="shared" si="52"/>
        <v>5.2031361368496079E-2</v>
      </c>
      <c r="K343" s="488" t="str">
        <f t="shared" si="53"/>
        <v>Incumple</v>
      </c>
    </row>
    <row r="344" spans="1:11" x14ac:dyDescent="0.25">
      <c r="A344" s="489" t="s">
        <v>427</v>
      </c>
      <c r="B344" s="476">
        <v>44592</v>
      </c>
      <c r="C344" s="285" t="s">
        <v>91</v>
      </c>
      <c r="D344" s="491">
        <v>0.11700000000000001</v>
      </c>
      <c r="E344" s="530">
        <f t="shared" ref="E344:E365" si="55">+D344*100</f>
        <v>11.700000000000001</v>
      </c>
      <c r="F344" s="491">
        <v>0.12889999999999999</v>
      </c>
      <c r="G344" s="532">
        <f t="shared" ref="G344:G365" si="56">+F344*100</f>
        <v>12.889999999999999</v>
      </c>
      <c r="H344" s="487" t="s">
        <v>114</v>
      </c>
      <c r="I344" s="80">
        <f t="shared" si="54"/>
        <v>1.1017094017094016</v>
      </c>
      <c r="J344" s="518">
        <f t="shared" ref="J344:J365" si="57">+IF(I344&lt;0,0%,IF(I344&gt;120%,120%,I344))</f>
        <v>1.1017094017094016</v>
      </c>
      <c r="K344" s="488" t="str">
        <f t="shared" ref="K344:K365" si="58">+IF(I344&lt;79.99999%,"Incumple",IF(AND(I344&gt;=80%,I344&lt;94.999999%),"Tolerable",IF(AND(I344&gt;=95%,I344&lt;100%),"Satisfactorio","Sobresaliente")))</f>
        <v>Sobresaliente</v>
      </c>
    </row>
    <row r="345" spans="1:11" x14ac:dyDescent="0.25">
      <c r="A345" s="489" t="s">
        <v>64</v>
      </c>
      <c r="B345" s="476">
        <v>44592</v>
      </c>
      <c r="C345" s="285" t="s">
        <v>91</v>
      </c>
      <c r="D345" s="491">
        <v>-0.66669999999999996</v>
      </c>
      <c r="E345" s="530">
        <f t="shared" si="55"/>
        <v>-66.67</v>
      </c>
      <c r="F345" s="491">
        <v>0.28570000000000001</v>
      </c>
      <c r="G345" s="532">
        <f t="shared" si="56"/>
        <v>28.57</v>
      </c>
      <c r="H345" s="487" t="s">
        <v>114</v>
      </c>
      <c r="I345" s="80">
        <f t="shared" si="54"/>
        <v>4.3335666783339164</v>
      </c>
      <c r="J345" s="518">
        <f t="shared" si="57"/>
        <v>1.2</v>
      </c>
      <c r="K345" s="488" t="str">
        <f t="shared" si="58"/>
        <v>Sobresaliente</v>
      </c>
    </row>
    <row r="346" spans="1:11" x14ac:dyDescent="0.25">
      <c r="A346" s="489" t="s">
        <v>67</v>
      </c>
      <c r="B346" s="476">
        <v>44592</v>
      </c>
      <c r="C346" s="285" t="s">
        <v>91</v>
      </c>
      <c r="D346" s="491">
        <v>1</v>
      </c>
      <c r="E346" s="530">
        <f t="shared" si="55"/>
        <v>100</v>
      </c>
      <c r="F346" s="491">
        <v>1.6203000000000001</v>
      </c>
      <c r="G346" s="532">
        <f t="shared" si="56"/>
        <v>162.03</v>
      </c>
      <c r="H346" s="487" t="s">
        <v>114</v>
      </c>
      <c r="I346" s="80">
        <f t="shared" si="54"/>
        <v>1.6203000000000001</v>
      </c>
      <c r="J346" s="518">
        <f t="shared" si="57"/>
        <v>1.2</v>
      </c>
      <c r="K346" s="488" t="str">
        <f t="shared" si="58"/>
        <v>Sobresaliente</v>
      </c>
    </row>
    <row r="347" spans="1:11" x14ac:dyDescent="0.25">
      <c r="A347" s="489" t="s">
        <v>425</v>
      </c>
      <c r="B347" s="476">
        <v>44592</v>
      </c>
      <c r="C347" s="285" t="s">
        <v>91</v>
      </c>
      <c r="D347" s="491">
        <v>1</v>
      </c>
      <c r="E347" s="530">
        <f t="shared" si="55"/>
        <v>100</v>
      </c>
      <c r="F347" s="491">
        <v>6.2941000000000003</v>
      </c>
      <c r="G347" s="532">
        <f t="shared" si="56"/>
        <v>629.41000000000008</v>
      </c>
      <c r="H347" s="487" t="s">
        <v>114</v>
      </c>
      <c r="I347" s="80">
        <f t="shared" si="54"/>
        <v>6.2941000000000003</v>
      </c>
      <c r="J347" s="518">
        <f t="shared" si="57"/>
        <v>1.2</v>
      </c>
      <c r="K347" s="488" t="str">
        <f t="shared" si="58"/>
        <v>Sobresaliente</v>
      </c>
    </row>
    <row r="348" spans="1:11" x14ac:dyDescent="0.25">
      <c r="A348" s="489" t="s">
        <v>426</v>
      </c>
      <c r="B348" s="476">
        <v>44592</v>
      </c>
      <c r="C348" s="285" t="s">
        <v>91</v>
      </c>
      <c r="D348" s="491">
        <v>4</v>
      </c>
      <c r="E348" s="530">
        <f t="shared" si="55"/>
        <v>400</v>
      </c>
      <c r="F348" s="491">
        <v>21.25</v>
      </c>
      <c r="G348" s="532">
        <f t="shared" si="56"/>
        <v>2125</v>
      </c>
      <c r="H348" s="487" t="s">
        <v>114</v>
      </c>
      <c r="I348" s="80">
        <f t="shared" si="54"/>
        <v>5.3125</v>
      </c>
      <c r="J348" s="518">
        <f t="shared" si="57"/>
        <v>1.2</v>
      </c>
      <c r="K348" s="488" t="str">
        <f t="shared" si="58"/>
        <v>Sobresaliente</v>
      </c>
    </row>
    <row r="349" spans="1:11" x14ac:dyDescent="0.25">
      <c r="A349" s="489" t="s">
        <v>429</v>
      </c>
      <c r="B349" s="476">
        <v>44592</v>
      </c>
      <c r="C349" s="285" t="s">
        <v>91</v>
      </c>
      <c r="D349" s="491">
        <v>0.29499999999999998</v>
      </c>
      <c r="E349" s="530">
        <f t="shared" si="55"/>
        <v>29.5</v>
      </c>
      <c r="F349" s="491">
        <v>0.1056</v>
      </c>
      <c r="G349" s="532">
        <f t="shared" si="56"/>
        <v>10.56</v>
      </c>
      <c r="H349" s="487" t="s">
        <v>114</v>
      </c>
      <c r="I349" s="80">
        <f t="shared" si="54"/>
        <v>0.35796610169491527</v>
      </c>
      <c r="J349" s="518">
        <f t="shared" si="57"/>
        <v>0.35796610169491527</v>
      </c>
      <c r="K349" s="488" t="str">
        <f t="shared" si="58"/>
        <v>Incumple</v>
      </c>
    </row>
    <row r="350" spans="1:11" x14ac:dyDescent="0.25">
      <c r="A350" s="489" t="s">
        <v>356</v>
      </c>
      <c r="B350" s="476">
        <v>44592</v>
      </c>
      <c r="C350" s="285" t="s">
        <v>93</v>
      </c>
      <c r="D350" s="491">
        <v>66.117199999999997</v>
      </c>
      <c r="E350" s="530">
        <f t="shared" si="55"/>
        <v>6611.7199999999993</v>
      </c>
      <c r="F350" s="491">
        <v>1377.0053</v>
      </c>
      <c r="G350" s="532">
        <f t="shared" si="56"/>
        <v>137700.53</v>
      </c>
      <c r="H350" s="487" t="s">
        <v>114</v>
      </c>
      <c r="I350" s="80">
        <f t="shared" si="54"/>
        <v>20.826733436987652</v>
      </c>
      <c r="J350" s="518">
        <f t="shared" si="57"/>
        <v>1.2</v>
      </c>
      <c r="K350" s="488" t="str">
        <f t="shared" si="58"/>
        <v>Sobresaliente</v>
      </c>
    </row>
    <row r="351" spans="1:11" x14ac:dyDescent="0.25">
      <c r="A351" s="489" t="s">
        <v>428</v>
      </c>
      <c r="B351" s="476">
        <v>44592</v>
      </c>
      <c r="C351" s="285" t="s">
        <v>93</v>
      </c>
      <c r="D351" s="491">
        <v>0.14030000000000001</v>
      </c>
      <c r="E351" s="530">
        <f t="shared" si="55"/>
        <v>14.030000000000001</v>
      </c>
      <c r="F351" s="491">
        <v>8.7099999999999997E-2</v>
      </c>
      <c r="G351" s="532">
        <f t="shared" si="56"/>
        <v>8.7099999999999991</v>
      </c>
      <c r="H351" s="487" t="s">
        <v>114</v>
      </c>
      <c r="I351" s="80">
        <f t="shared" si="54"/>
        <v>0.62081254454739843</v>
      </c>
      <c r="J351" s="518">
        <f t="shared" si="57"/>
        <v>0.62081254454739843</v>
      </c>
      <c r="K351" s="488" t="str">
        <f t="shared" si="58"/>
        <v>Incumple</v>
      </c>
    </row>
    <row r="352" spans="1:11" x14ac:dyDescent="0.25">
      <c r="A352" s="489" t="s">
        <v>427</v>
      </c>
      <c r="B352" s="476">
        <v>44592</v>
      </c>
      <c r="C352" s="285" t="s">
        <v>93</v>
      </c>
      <c r="D352" s="491">
        <v>0.11700000000000001</v>
      </c>
      <c r="E352" s="530">
        <f t="shared" si="55"/>
        <v>11.700000000000001</v>
      </c>
      <c r="F352" s="491">
        <v>-2.7099999999999999E-2</v>
      </c>
      <c r="G352" s="532">
        <f t="shared" si="56"/>
        <v>-2.71</v>
      </c>
      <c r="H352" s="487" t="s">
        <v>114</v>
      </c>
      <c r="I352" s="80">
        <f t="shared" si="54"/>
        <v>-0.23162393162393161</v>
      </c>
      <c r="J352" s="518">
        <f t="shared" si="57"/>
        <v>0</v>
      </c>
      <c r="K352" s="488" t="str">
        <f t="shared" si="58"/>
        <v>Incumple</v>
      </c>
    </row>
    <row r="353" spans="1:11" x14ac:dyDescent="0.25">
      <c r="A353" s="489" t="s">
        <v>64</v>
      </c>
      <c r="B353" s="476">
        <v>44592</v>
      </c>
      <c r="C353" s="285" t="s">
        <v>93</v>
      </c>
      <c r="D353" s="491">
        <v>1</v>
      </c>
      <c r="E353" s="530">
        <f t="shared" si="55"/>
        <v>100</v>
      </c>
      <c r="F353" s="491">
        <v>0.66669999999999996</v>
      </c>
      <c r="G353" s="532">
        <f t="shared" si="56"/>
        <v>66.67</v>
      </c>
      <c r="H353" s="487" t="s">
        <v>114</v>
      </c>
      <c r="I353" s="80">
        <f t="shared" si="54"/>
        <v>0.66669999999999996</v>
      </c>
      <c r="J353" s="518">
        <f t="shared" si="57"/>
        <v>0.66669999999999996</v>
      </c>
      <c r="K353" s="488" t="str">
        <f t="shared" si="58"/>
        <v>Incumple</v>
      </c>
    </row>
    <row r="354" spans="1:11" x14ac:dyDescent="0.25">
      <c r="A354" s="489" t="s">
        <v>67</v>
      </c>
      <c r="B354" s="476">
        <v>44592</v>
      </c>
      <c r="C354" s="285" t="s">
        <v>93</v>
      </c>
      <c r="D354" s="491">
        <v>1</v>
      </c>
      <c r="E354" s="530">
        <f t="shared" si="55"/>
        <v>100</v>
      </c>
      <c r="F354" s="491">
        <v>0.4365</v>
      </c>
      <c r="G354" s="532">
        <f t="shared" si="56"/>
        <v>43.65</v>
      </c>
      <c r="H354" s="487" t="s">
        <v>114</v>
      </c>
      <c r="I354" s="80">
        <f t="shared" si="54"/>
        <v>0.4365</v>
      </c>
      <c r="J354" s="518">
        <f t="shared" si="57"/>
        <v>0.4365</v>
      </c>
      <c r="K354" s="488" t="str">
        <f t="shared" si="58"/>
        <v>Incumple</v>
      </c>
    </row>
    <row r="355" spans="1:11" x14ac:dyDescent="0.25">
      <c r="A355" s="489" t="s">
        <v>425</v>
      </c>
      <c r="B355" s="476">
        <v>44592</v>
      </c>
      <c r="C355" s="285" t="s">
        <v>93</v>
      </c>
      <c r="D355" s="491">
        <v>1</v>
      </c>
      <c r="E355" s="530">
        <f t="shared" si="55"/>
        <v>100</v>
      </c>
      <c r="F355" s="491">
        <v>8.3299999999999999E-2</v>
      </c>
      <c r="G355" s="532">
        <f t="shared" si="56"/>
        <v>8.33</v>
      </c>
      <c r="H355" s="487" t="s">
        <v>114</v>
      </c>
      <c r="I355" s="80">
        <f t="shared" si="54"/>
        <v>8.3299999999999999E-2</v>
      </c>
      <c r="J355" s="518">
        <f t="shared" si="57"/>
        <v>8.3299999999999999E-2</v>
      </c>
      <c r="K355" s="488" t="str">
        <f t="shared" si="58"/>
        <v>Incumple</v>
      </c>
    </row>
    <row r="356" spans="1:11" x14ac:dyDescent="0.25">
      <c r="A356" s="489" t="s">
        <v>426</v>
      </c>
      <c r="B356" s="476">
        <v>44592</v>
      </c>
      <c r="C356" s="285" t="s">
        <v>93</v>
      </c>
      <c r="D356" s="491">
        <v>0.01</v>
      </c>
      <c r="E356" s="530">
        <f t="shared" si="55"/>
        <v>1</v>
      </c>
      <c r="F356" s="491">
        <v>0.01</v>
      </c>
      <c r="G356" s="532">
        <f t="shared" si="56"/>
        <v>1</v>
      </c>
      <c r="H356" s="487" t="s">
        <v>114</v>
      </c>
      <c r="I356" s="80">
        <f t="shared" si="54"/>
        <v>1</v>
      </c>
      <c r="J356" s="518">
        <f t="shared" si="57"/>
        <v>1</v>
      </c>
      <c r="K356" s="488" t="str">
        <f t="shared" si="58"/>
        <v>Sobresaliente</v>
      </c>
    </row>
    <row r="357" spans="1:11" x14ac:dyDescent="0.25">
      <c r="A357" s="489" t="s">
        <v>429</v>
      </c>
      <c r="B357" s="476">
        <v>44592</v>
      </c>
      <c r="C357" s="285" t="s">
        <v>93</v>
      </c>
      <c r="D357" s="491">
        <v>0.66020000000000001</v>
      </c>
      <c r="E357" s="530">
        <f t="shared" si="55"/>
        <v>66.02</v>
      </c>
      <c r="F357" s="491">
        <v>0</v>
      </c>
      <c r="G357" s="532">
        <f t="shared" si="56"/>
        <v>0</v>
      </c>
      <c r="H357" s="487" t="s">
        <v>114</v>
      </c>
      <c r="I357" s="80">
        <f t="shared" si="54"/>
        <v>0</v>
      </c>
      <c r="J357" s="518">
        <f t="shared" si="57"/>
        <v>0</v>
      </c>
      <c r="K357" s="488" t="str">
        <f t="shared" si="58"/>
        <v>Incumple</v>
      </c>
    </row>
    <row r="358" spans="1:11" x14ac:dyDescent="0.25">
      <c r="A358" s="489" t="s">
        <v>356</v>
      </c>
      <c r="B358" s="476">
        <v>44592</v>
      </c>
      <c r="C358" s="285" t="s">
        <v>95</v>
      </c>
      <c r="D358" s="491">
        <v>261.40230000000003</v>
      </c>
      <c r="E358" s="530">
        <f t="shared" si="55"/>
        <v>26140.230000000003</v>
      </c>
      <c r="F358" s="491">
        <v>2.7892000000000001</v>
      </c>
      <c r="G358" s="532">
        <f t="shared" si="56"/>
        <v>278.92</v>
      </c>
      <c r="H358" s="487" t="s">
        <v>114</v>
      </c>
      <c r="I358" s="80">
        <f t="shared" si="54"/>
        <v>1.0670143300192845E-2</v>
      </c>
      <c r="J358" s="518">
        <f t="shared" si="57"/>
        <v>1.0670143300192845E-2</v>
      </c>
      <c r="K358" s="488" t="str">
        <f t="shared" si="58"/>
        <v>Incumple</v>
      </c>
    </row>
    <row r="359" spans="1:11" x14ac:dyDescent="0.25">
      <c r="A359" s="489" t="s">
        <v>428</v>
      </c>
      <c r="B359" s="476">
        <v>44592</v>
      </c>
      <c r="C359" s="285" t="s">
        <v>95</v>
      </c>
      <c r="D359" s="491">
        <v>0.14030000000000001</v>
      </c>
      <c r="E359" s="530">
        <f t="shared" si="55"/>
        <v>14.030000000000001</v>
      </c>
      <c r="F359" s="491">
        <v>8.3099999999999993E-2</v>
      </c>
      <c r="G359" s="532">
        <f t="shared" si="56"/>
        <v>8.3099999999999987</v>
      </c>
      <c r="H359" s="487" t="s">
        <v>114</v>
      </c>
      <c r="I359" s="80">
        <f t="shared" si="54"/>
        <v>0.59230220955096213</v>
      </c>
      <c r="J359" s="518">
        <f t="shared" si="57"/>
        <v>0.59230220955096213</v>
      </c>
      <c r="K359" s="488" t="str">
        <f t="shared" si="58"/>
        <v>Incumple</v>
      </c>
    </row>
    <row r="360" spans="1:11" x14ac:dyDescent="0.25">
      <c r="A360" s="489" t="s">
        <v>427</v>
      </c>
      <c r="B360" s="476">
        <v>44592</v>
      </c>
      <c r="C360" s="285" t="s">
        <v>95</v>
      </c>
      <c r="D360" s="491">
        <v>0.11700000000000001</v>
      </c>
      <c r="E360" s="530">
        <f t="shared" si="55"/>
        <v>11.700000000000001</v>
      </c>
      <c r="F360" s="491">
        <v>2.0899999999999998E-2</v>
      </c>
      <c r="G360" s="532">
        <f t="shared" si="56"/>
        <v>2.09</v>
      </c>
      <c r="H360" s="487" t="s">
        <v>114</v>
      </c>
      <c r="I360" s="80">
        <f t="shared" si="54"/>
        <v>0.17863247863247861</v>
      </c>
      <c r="J360" s="518">
        <f t="shared" si="57"/>
        <v>0.17863247863247861</v>
      </c>
      <c r="K360" s="488" t="str">
        <f t="shared" si="58"/>
        <v>Incumple</v>
      </c>
    </row>
    <row r="361" spans="1:11" x14ac:dyDescent="0.25">
      <c r="A361" s="489" t="s">
        <v>64</v>
      </c>
      <c r="B361" s="476">
        <v>44592</v>
      </c>
      <c r="C361" s="285" t="s">
        <v>95</v>
      </c>
      <c r="D361" s="491">
        <v>4</v>
      </c>
      <c r="E361" s="530">
        <f t="shared" si="55"/>
        <v>400</v>
      </c>
      <c r="F361" s="491">
        <v>3</v>
      </c>
      <c r="G361" s="532">
        <f t="shared" si="56"/>
        <v>300</v>
      </c>
      <c r="H361" s="487" t="s">
        <v>114</v>
      </c>
      <c r="I361" s="80">
        <f t="shared" si="54"/>
        <v>0.75</v>
      </c>
      <c r="J361" s="518">
        <f t="shared" si="57"/>
        <v>0.75</v>
      </c>
      <c r="K361" s="488" t="str">
        <f t="shared" si="58"/>
        <v>Incumple</v>
      </c>
    </row>
    <row r="362" spans="1:11" x14ac:dyDescent="0.25">
      <c r="A362" s="489" t="s">
        <v>67</v>
      </c>
      <c r="B362" s="476">
        <v>44592</v>
      </c>
      <c r="C362" s="285" t="s">
        <v>95</v>
      </c>
      <c r="D362" s="491">
        <v>1</v>
      </c>
      <c r="E362" s="530">
        <f t="shared" si="55"/>
        <v>100</v>
      </c>
      <c r="F362" s="491">
        <v>5.7099999999999998E-2</v>
      </c>
      <c r="G362" s="532">
        <f t="shared" si="56"/>
        <v>5.71</v>
      </c>
      <c r="H362" s="487" t="s">
        <v>114</v>
      </c>
      <c r="I362" s="80">
        <f t="shared" si="54"/>
        <v>5.7099999999999998E-2</v>
      </c>
      <c r="J362" s="518">
        <f t="shared" si="57"/>
        <v>5.7099999999999998E-2</v>
      </c>
      <c r="K362" s="488" t="str">
        <f t="shared" si="58"/>
        <v>Incumple</v>
      </c>
    </row>
    <row r="363" spans="1:11" x14ac:dyDescent="0.25">
      <c r="A363" s="489" t="s">
        <v>425</v>
      </c>
      <c r="B363" s="476">
        <v>44592</v>
      </c>
      <c r="C363" s="285" t="s">
        <v>95</v>
      </c>
      <c r="D363" s="491">
        <v>1</v>
      </c>
      <c r="E363" s="530">
        <f t="shared" si="55"/>
        <v>100</v>
      </c>
      <c r="F363" s="491">
        <v>0</v>
      </c>
      <c r="G363" s="532">
        <f t="shared" si="56"/>
        <v>0</v>
      </c>
      <c r="H363" s="487" t="s">
        <v>114</v>
      </c>
      <c r="I363" s="80">
        <f t="shared" si="54"/>
        <v>0</v>
      </c>
      <c r="J363" s="518">
        <f t="shared" si="57"/>
        <v>0</v>
      </c>
      <c r="K363" s="488" t="str">
        <f t="shared" si="58"/>
        <v>Incumple</v>
      </c>
    </row>
    <row r="364" spans="1:11" x14ac:dyDescent="0.25">
      <c r="A364" s="489" t="s">
        <v>426</v>
      </c>
      <c r="B364" s="476">
        <v>44592</v>
      </c>
      <c r="C364" s="285" t="s">
        <v>95</v>
      </c>
      <c r="D364" s="491">
        <v>0.01</v>
      </c>
      <c r="E364" s="530">
        <f t="shared" si="55"/>
        <v>1</v>
      </c>
      <c r="F364" s="491">
        <v>0.01</v>
      </c>
      <c r="G364" s="532">
        <f t="shared" si="56"/>
        <v>1</v>
      </c>
      <c r="H364" s="487" t="s">
        <v>114</v>
      </c>
      <c r="I364" s="80">
        <f t="shared" si="54"/>
        <v>1</v>
      </c>
      <c r="J364" s="518">
        <f t="shared" si="57"/>
        <v>1</v>
      </c>
      <c r="K364" s="488" t="str">
        <f t="shared" si="58"/>
        <v>Sobresaliente</v>
      </c>
    </row>
    <row r="365" spans="1:11" x14ac:dyDescent="0.25">
      <c r="A365" s="489" t="s">
        <v>429</v>
      </c>
      <c r="B365" s="476">
        <v>44592</v>
      </c>
      <c r="C365" s="285" t="s">
        <v>95</v>
      </c>
      <c r="D365" s="491">
        <v>0.25</v>
      </c>
      <c r="E365" s="530">
        <f t="shared" si="55"/>
        <v>25</v>
      </c>
      <c r="F365" s="491">
        <f>+'Detalle Regiones'!AY284</f>
        <v>0</v>
      </c>
      <c r="G365" s="532">
        <f t="shared" si="56"/>
        <v>0</v>
      </c>
      <c r="H365" s="487" t="s">
        <v>114</v>
      </c>
      <c r="I365" s="80">
        <f t="shared" si="54"/>
        <v>0</v>
      </c>
      <c r="J365" s="518">
        <f t="shared" si="57"/>
        <v>0</v>
      </c>
      <c r="K365" s="488" t="str">
        <f t="shared" si="58"/>
        <v>Incumple</v>
      </c>
    </row>
    <row r="366" spans="1:11" x14ac:dyDescent="0.25">
      <c r="A366" s="489" t="s">
        <v>416</v>
      </c>
      <c r="B366" s="476">
        <v>44561</v>
      </c>
      <c r="C366" s="487" t="s">
        <v>386</v>
      </c>
      <c r="D366" s="491">
        <v>1</v>
      </c>
      <c r="E366" s="530">
        <f t="shared" si="25"/>
        <v>100</v>
      </c>
      <c r="F366" s="491">
        <v>0.97099999999999997</v>
      </c>
      <c r="G366" s="532">
        <f t="shared" si="26"/>
        <v>97.1</v>
      </c>
      <c r="H366" s="285" t="s">
        <v>114</v>
      </c>
      <c r="I366" s="80">
        <f t="shared" ref="I366:I370" si="59">+IFERROR(IF(H366="Creciente",IF(AND(F366&lt;0,D366&lt;0),1-(F366-D366)/D366,IF(F366&lt;0,F366/D366,IF(D366&lt;0,1+((F366-D366)/F366),F366/D366))),IF(AND(F366&lt;0,D366&lt;0),(D366*-1)/(F366*-1),IF(F366&lt;0,(F366-D366)/F366,IF(D366&lt;0,-1+(F366-D366)/D366,IF(H366="Decreciente",1+(D366-F366)/D366,F366/D366))))),"N/A")</f>
        <v>0.97099999999999997</v>
      </c>
      <c r="J366" s="518">
        <f t="shared" si="28"/>
        <v>0.97099999999999997</v>
      </c>
      <c r="K366" s="488" t="str">
        <f t="shared" si="29"/>
        <v>Satisfactorio</v>
      </c>
    </row>
    <row r="367" spans="1:11" x14ac:dyDescent="0.25">
      <c r="A367" s="489" t="s">
        <v>428</v>
      </c>
      <c r="B367" s="476">
        <v>44561</v>
      </c>
      <c r="C367" s="487" t="s">
        <v>386</v>
      </c>
      <c r="D367" s="491">
        <v>6.5199999999999994E-2</v>
      </c>
      <c r="E367" s="530">
        <f t="shared" si="25"/>
        <v>6.52</v>
      </c>
      <c r="F367" s="491">
        <v>7.6700000000000004E-2</v>
      </c>
      <c r="G367" s="532">
        <f t="shared" si="26"/>
        <v>7.6700000000000008</v>
      </c>
      <c r="H367" s="285" t="s">
        <v>114</v>
      </c>
      <c r="I367" s="80">
        <f t="shared" si="59"/>
        <v>1.1763803680981597</v>
      </c>
      <c r="J367" s="518">
        <f t="shared" si="28"/>
        <v>1.1763803680981597</v>
      </c>
      <c r="K367" s="488" t="str">
        <f t="shared" si="29"/>
        <v>Sobresaliente</v>
      </c>
    </row>
    <row r="368" spans="1:11" x14ac:dyDescent="0.25">
      <c r="A368" s="489" t="s">
        <v>427</v>
      </c>
      <c r="B368" s="476">
        <v>44561</v>
      </c>
      <c r="C368" s="487" t="s">
        <v>386</v>
      </c>
      <c r="D368" s="491">
        <v>6.4199999999999993E-2</v>
      </c>
      <c r="E368" s="530">
        <f t="shared" si="25"/>
        <v>6.419999999999999</v>
      </c>
      <c r="F368" s="491">
        <v>6.9699999999999998E-2</v>
      </c>
      <c r="G368" s="532">
        <f t="shared" si="26"/>
        <v>6.97</v>
      </c>
      <c r="H368" s="285" t="s">
        <v>114</v>
      </c>
      <c r="I368" s="80">
        <f t="shared" si="59"/>
        <v>1.0856697819314642</v>
      </c>
      <c r="J368" s="518">
        <f t="shared" si="28"/>
        <v>1.0856697819314642</v>
      </c>
      <c r="K368" s="488" t="str">
        <f t="shared" si="29"/>
        <v>Sobresaliente</v>
      </c>
    </row>
    <row r="369" spans="1:11" x14ac:dyDescent="0.25">
      <c r="A369" s="490" t="s">
        <v>64</v>
      </c>
      <c r="B369" s="476">
        <v>44561</v>
      </c>
      <c r="C369" s="487" t="s">
        <v>386</v>
      </c>
      <c r="D369" s="491">
        <v>-8.7900000000000006E-2</v>
      </c>
      <c r="E369" s="530">
        <f t="shared" si="25"/>
        <v>-8.7900000000000009</v>
      </c>
      <c r="F369" s="491">
        <v>4.8300000000000003E-2</v>
      </c>
      <c r="G369" s="532">
        <f t="shared" si="26"/>
        <v>4.83</v>
      </c>
      <c r="H369" s="285" t="s">
        <v>114</v>
      </c>
      <c r="I369" s="80">
        <f t="shared" si="59"/>
        <v>3.8198757763975157</v>
      </c>
      <c r="J369" s="518">
        <f t="shared" si="28"/>
        <v>1.2</v>
      </c>
      <c r="K369" s="488" t="str">
        <f t="shared" si="29"/>
        <v>Sobresaliente</v>
      </c>
    </row>
    <row r="370" spans="1:11" x14ac:dyDescent="0.25">
      <c r="A370" s="490" t="s">
        <v>67</v>
      </c>
      <c r="B370" s="476">
        <v>44561</v>
      </c>
      <c r="C370" s="487" t="s">
        <v>386</v>
      </c>
      <c r="D370" s="491">
        <v>1</v>
      </c>
      <c r="E370" s="530">
        <f t="shared" si="25"/>
        <v>100</v>
      </c>
      <c r="F370" s="491">
        <v>2.2526999999999999</v>
      </c>
      <c r="G370" s="532">
        <f t="shared" si="26"/>
        <v>225.26999999999998</v>
      </c>
      <c r="H370" s="285" t="s">
        <v>114</v>
      </c>
      <c r="I370" s="80">
        <f t="shared" si="59"/>
        <v>2.2526999999999999</v>
      </c>
      <c r="J370" s="518">
        <f t="shared" si="28"/>
        <v>1.2</v>
      </c>
      <c r="K370" s="488" t="str">
        <f t="shared" si="29"/>
        <v>Sobresaliente</v>
      </c>
    </row>
    <row r="371" spans="1:11" x14ac:dyDescent="0.25">
      <c r="A371" s="489" t="s">
        <v>425</v>
      </c>
      <c r="B371" s="476">
        <v>44561</v>
      </c>
      <c r="C371" s="487" t="s">
        <v>386</v>
      </c>
      <c r="D371" s="491">
        <v>1</v>
      </c>
      <c r="E371" s="530">
        <f t="shared" ref="E371:E402" si="60">+D371*100</f>
        <v>100</v>
      </c>
      <c r="F371" s="491">
        <v>1.4538</v>
      </c>
      <c r="G371" s="532">
        <f t="shared" ref="G371:G402" si="61">+F371*100</f>
        <v>145.38</v>
      </c>
      <c r="H371" s="285" t="s">
        <v>114</v>
      </c>
      <c r="I371" s="80">
        <f t="shared" ref="I371:I402" si="62">+IFERROR(IF(H371="Creciente",IF(AND(F371&lt;0,D371&lt;0),1-(F371-D371)/D371,IF(F371&lt;0,F371/D371,IF(D371&lt;0,1+((F371-D371)/F371),F371/D371))),IF(AND(F371&lt;0,D371&lt;0),(D371*-1)/(F371*-1),IF(F371&lt;0,(F371-D371)/F371,IF(D371&lt;0,-1+(F371-D371)/D371,IF(H371="Decreciente",1+(D371-F371)/D371,F371/D371))))),"N/A")</f>
        <v>1.4538</v>
      </c>
      <c r="J371" s="518">
        <f t="shared" ref="J371:J402" si="63">+IF(I371&lt;0,0%,IF(I371&gt;120%,120%,I371))</f>
        <v>1.2</v>
      </c>
      <c r="K371" s="488" t="str">
        <f t="shared" ref="K371:K402" si="64">+IF(J371&lt;79.99999%,"Incumple",IF(AND(J371&gt;=80%,J371&lt;94.999999%),"Tolerable",IF(AND(J371&gt;=95%,J371&lt;100%),"Satisfactorio","Sobresaliente")))</f>
        <v>Sobresaliente</v>
      </c>
    </row>
    <row r="372" spans="1:11" x14ac:dyDescent="0.25">
      <c r="A372" s="489" t="s">
        <v>356</v>
      </c>
      <c r="B372" s="476">
        <v>44561</v>
      </c>
      <c r="C372" s="285" t="str">
        <f>+'Detalle Regiones'!BF5</f>
        <v>Aburrá Norte</v>
      </c>
      <c r="D372" s="293">
        <f>+'Detalle Regiones'!AX5</f>
        <v>0.38933925483156884</v>
      </c>
      <c r="E372" s="531">
        <f t="shared" si="60"/>
        <v>38.933925483156884</v>
      </c>
      <c r="F372" s="293">
        <f>+'Detalle Regiones'!AY5</f>
        <v>1.1134821536750628</v>
      </c>
      <c r="G372" s="533">
        <f t="shared" si="61"/>
        <v>111.34821536750627</v>
      </c>
      <c r="H372" s="285" t="s">
        <v>114</v>
      </c>
      <c r="I372" s="80">
        <f t="shared" si="62"/>
        <v>2.8599277875455011</v>
      </c>
      <c r="J372" s="517">
        <f t="shared" si="63"/>
        <v>1.2</v>
      </c>
      <c r="K372" s="483" t="str">
        <f t="shared" si="64"/>
        <v>Sobresaliente</v>
      </c>
    </row>
    <row r="373" spans="1:11" x14ac:dyDescent="0.25">
      <c r="A373" s="489" t="s">
        <v>416</v>
      </c>
      <c r="B373" s="476">
        <v>44561</v>
      </c>
      <c r="C373" s="285" t="str">
        <f>+'Detalle Regiones'!BF6</f>
        <v>Aburrá Norte</v>
      </c>
      <c r="D373" s="573">
        <v>1</v>
      </c>
      <c r="E373" s="574">
        <f t="shared" si="60"/>
        <v>100</v>
      </c>
      <c r="F373" s="573">
        <v>1</v>
      </c>
      <c r="G373" s="575">
        <f t="shared" si="61"/>
        <v>100</v>
      </c>
      <c r="H373" s="285" t="s">
        <v>114</v>
      </c>
      <c r="I373" s="80">
        <f t="shared" si="62"/>
        <v>1</v>
      </c>
      <c r="J373" s="517">
        <f t="shared" si="63"/>
        <v>1</v>
      </c>
      <c r="K373" s="483" t="str">
        <f t="shared" si="64"/>
        <v>Sobresaliente</v>
      </c>
    </row>
    <row r="374" spans="1:11" x14ac:dyDescent="0.25">
      <c r="A374" s="489" t="s">
        <v>428</v>
      </c>
      <c r="B374" s="476">
        <v>44561</v>
      </c>
      <c r="C374" s="285" t="str">
        <f>+'Detalle Regiones'!BF10</f>
        <v>Aburrá Norte</v>
      </c>
      <c r="D374" s="576">
        <f>+'Detalle Regiones'!AX10</f>
        <v>4.417124557684815E-2</v>
      </c>
      <c r="E374" s="577">
        <f t="shared" si="60"/>
        <v>4.417124557684815</v>
      </c>
      <c r="F374" s="576">
        <f>+'Detalle Regiones'!AY10</f>
        <v>0.12144502199696094</v>
      </c>
      <c r="G374" s="578">
        <f t="shared" si="61"/>
        <v>12.144502199696095</v>
      </c>
      <c r="H374" s="285" t="s">
        <v>114</v>
      </c>
      <c r="I374" s="80">
        <f t="shared" si="62"/>
        <v>2.7494135700944544</v>
      </c>
      <c r="J374" s="517">
        <f t="shared" si="63"/>
        <v>1.2</v>
      </c>
      <c r="K374" s="483" t="str">
        <f t="shared" si="64"/>
        <v>Sobresaliente</v>
      </c>
    </row>
    <row r="375" spans="1:11" x14ac:dyDescent="0.25">
      <c r="A375" s="489" t="s">
        <v>427</v>
      </c>
      <c r="B375" s="476">
        <v>44561</v>
      </c>
      <c r="C375" s="285" t="str">
        <f>+'Detalle Regiones'!BF13</f>
        <v>Aburrá Norte</v>
      </c>
      <c r="D375" s="579">
        <f>+'Detalle Regiones'!AX13</f>
        <v>0.25899404710551299</v>
      </c>
      <c r="E375" s="577">
        <f t="shared" si="60"/>
        <v>25.899404710551298</v>
      </c>
      <c r="F375" s="579">
        <f>+'Detalle Regiones'!AY13</f>
        <v>0.24044517297903556</v>
      </c>
      <c r="G375" s="578">
        <f t="shared" si="61"/>
        <v>24.044517297903557</v>
      </c>
      <c r="H375" s="285" t="s">
        <v>114</v>
      </c>
      <c r="I375" s="80">
        <f t="shared" si="62"/>
        <v>0.92838107928047975</v>
      </c>
      <c r="J375" s="517">
        <f t="shared" si="63"/>
        <v>0.92838107928047975</v>
      </c>
      <c r="K375" s="483" t="str">
        <f t="shared" si="64"/>
        <v>Tolerable</v>
      </c>
    </row>
    <row r="376" spans="1:11" x14ac:dyDescent="0.25">
      <c r="A376" s="489" t="str">
        <f>+'Detalle Regiones'!BD8</f>
        <v>Crecimiento de nuevas empresas afiliadas</v>
      </c>
      <c r="B376" s="476">
        <v>44561</v>
      </c>
      <c r="C376" s="285" t="str">
        <f>+'Detalle Regiones'!BF8</f>
        <v>Aburrá Norte</v>
      </c>
      <c r="D376" s="580">
        <f>+'Detalle Regiones'!AX8</f>
        <v>0.4011976047904191</v>
      </c>
      <c r="E376" s="581">
        <f t="shared" si="60"/>
        <v>40.119760479041908</v>
      </c>
      <c r="F376" s="580">
        <f>+'Detalle Regiones'!AY8</f>
        <v>1.2814371257485031</v>
      </c>
      <c r="G376" s="582">
        <f t="shared" si="61"/>
        <v>128.1437125748503</v>
      </c>
      <c r="H376" s="285" t="s">
        <v>114</v>
      </c>
      <c r="I376" s="80">
        <f t="shared" si="62"/>
        <v>3.1940298507462694</v>
      </c>
      <c r="J376" s="517">
        <f t="shared" si="63"/>
        <v>1.2</v>
      </c>
      <c r="K376" s="483" t="str">
        <f t="shared" si="64"/>
        <v>Sobresaliente</v>
      </c>
    </row>
    <row r="377" spans="1:11" x14ac:dyDescent="0.25">
      <c r="A377" s="489" t="str">
        <f>+'Detalle Regiones'!BD11</f>
        <v>Cumplimiento de nuevos aportes</v>
      </c>
      <c r="B377" s="476">
        <v>44561</v>
      </c>
      <c r="C377" s="285" t="str">
        <f>+'Detalle Regiones'!BF11</f>
        <v>Aburrá Norte</v>
      </c>
      <c r="D377" s="573">
        <v>1</v>
      </c>
      <c r="E377" s="574">
        <f t="shared" si="60"/>
        <v>100</v>
      </c>
      <c r="F377" s="573">
        <v>0.40489999999999998</v>
      </c>
      <c r="G377" s="583">
        <f t="shared" si="61"/>
        <v>40.489999999999995</v>
      </c>
      <c r="H377" s="285" t="s">
        <v>114</v>
      </c>
      <c r="I377" s="80">
        <f t="shared" si="62"/>
        <v>0.40489999999999998</v>
      </c>
      <c r="J377" s="517">
        <f t="shared" si="63"/>
        <v>0.40489999999999998</v>
      </c>
      <c r="K377" s="483" t="str">
        <f t="shared" si="64"/>
        <v>Incumple</v>
      </c>
    </row>
    <row r="378" spans="1:11" x14ac:dyDescent="0.25">
      <c r="A378" s="489" t="s">
        <v>425</v>
      </c>
      <c r="B378" s="476">
        <v>44561</v>
      </c>
      <c r="C378" s="285" t="str">
        <f>+'Detalle Regiones'!BF14</f>
        <v>Aburrá Norte</v>
      </c>
      <c r="D378" s="573">
        <v>1</v>
      </c>
      <c r="E378" s="574">
        <f t="shared" si="60"/>
        <v>100</v>
      </c>
      <c r="F378" s="573">
        <v>0.45150000000000001</v>
      </c>
      <c r="G378" s="583">
        <f t="shared" si="61"/>
        <v>45.15</v>
      </c>
      <c r="H378" s="285" t="s">
        <v>114</v>
      </c>
      <c r="I378" s="80">
        <f t="shared" si="62"/>
        <v>0.45150000000000001</v>
      </c>
      <c r="J378" s="517">
        <f t="shared" si="63"/>
        <v>0.45150000000000001</v>
      </c>
      <c r="K378" s="483" t="str">
        <f t="shared" si="64"/>
        <v>Incumple</v>
      </c>
    </row>
    <row r="379" spans="1:11" x14ac:dyDescent="0.25">
      <c r="A379" s="489" t="s">
        <v>426</v>
      </c>
      <c r="B379" s="476">
        <v>44561</v>
      </c>
      <c r="C379" s="285" t="str">
        <f>+'Detalle Regiones'!BF15</f>
        <v>Aburrá Norte</v>
      </c>
      <c r="D379" s="77">
        <f>+'Detalle Regiones'!AX15</f>
        <v>1.8371212852646419</v>
      </c>
      <c r="E379" s="531">
        <f t="shared" si="60"/>
        <v>183.7121285264642</v>
      </c>
      <c r="F379" s="77">
        <f>+'Detalle Regiones'!AY15</f>
        <v>2.1766659586382682</v>
      </c>
      <c r="G379" s="533">
        <f t="shared" si="61"/>
        <v>217.66659586382681</v>
      </c>
      <c r="H379" s="285" t="s">
        <v>114</v>
      </c>
      <c r="I379" s="80">
        <f t="shared" si="62"/>
        <v>1.1848243096942366</v>
      </c>
      <c r="J379" s="517">
        <f t="shared" si="63"/>
        <v>1.1848243096942366</v>
      </c>
      <c r="K379" s="483" t="str">
        <f t="shared" si="64"/>
        <v>Sobresaliente</v>
      </c>
    </row>
    <row r="380" spans="1:11" x14ac:dyDescent="0.25">
      <c r="A380" s="489" t="s">
        <v>429</v>
      </c>
      <c r="B380" s="476">
        <v>44561</v>
      </c>
      <c r="C380" s="285" t="str">
        <f>+'Detalle Regiones'!BF16</f>
        <v>Aburrá Norte</v>
      </c>
      <c r="D380" s="293">
        <f>+'Detalle Regiones'!AX16</f>
        <v>1.4020663463239998E-2</v>
      </c>
      <c r="E380" s="531">
        <f t="shared" si="60"/>
        <v>1.4020663463239997</v>
      </c>
      <c r="F380" s="293">
        <f>+'Detalle Regiones'!AY16</f>
        <v>1.271655218527749E-2</v>
      </c>
      <c r="G380" s="533">
        <f t="shared" si="61"/>
        <v>1.271655218527749</v>
      </c>
      <c r="H380" s="285" t="s">
        <v>114</v>
      </c>
      <c r="I380" s="80">
        <f t="shared" si="62"/>
        <v>0.90698647882236927</v>
      </c>
      <c r="J380" s="517">
        <f t="shared" si="63"/>
        <v>0.90698647882236927</v>
      </c>
      <c r="K380" s="483" t="str">
        <f t="shared" si="64"/>
        <v>Tolerable</v>
      </c>
    </row>
    <row r="381" spans="1:11" x14ac:dyDescent="0.25">
      <c r="A381" s="489" t="s">
        <v>356</v>
      </c>
      <c r="B381" s="476">
        <v>44561</v>
      </c>
      <c r="C381" s="285" t="str">
        <f>+'Detalle Regiones'!BF18</f>
        <v>Aburrá Sur</v>
      </c>
      <c r="D381" s="293">
        <f>+'Detalle Regiones'!AX18</f>
        <v>0.93269000231165355</v>
      </c>
      <c r="E381" s="531">
        <f t="shared" si="60"/>
        <v>93.26900023116535</v>
      </c>
      <c r="F381" s="293">
        <f>+'Detalle Regiones'!AY18</f>
        <v>1.4805060378405819</v>
      </c>
      <c r="G381" s="533">
        <f t="shared" si="61"/>
        <v>148.05060378405818</v>
      </c>
      <c r="H381" s="285" t="s">
        <v>114</v>
      </c>
      <c r="I381" s="80">
        <f t="shared" si="62"/>
        <v>1.5873506032778064</v>
      </c>
      <c r="J381" s="517">
        <f t="shared" si="63"/>
        <v>1.2</v>
      </c>
      <c r="K381" s="483" t="str">
        <f t="shared" si="64"/>
        <v>Sobresaliente</v>
      </c>
    </row>
    <row r="382" spans="1:11" x14ac:dyDescent="0.25">
      <c r="A382" s="489" t="s">
        <v>416</v>
      </c>
      <c r="B382" s="476">
        <v>44561</v>
      </c>
      <c r="C382" s="285" t="str">
        <f>+'Detalle Regiones'!BF19</f>
        <v>Aburrá Sur</v>
      </c>
      <c r="D382" s="573">
        <v>1</v>
      </c>
      <c r="E382" s="574">
        <f t="shared" si="60"/>
        <v>100</v>
      </c>
      <c r="F382" s="573">
        <v>1</v>
      </c>
      <c r="G382" s="575">
        <f t="shared" si="61"/>
        <v>100</v>
      </c>
      <c r="H382" s="285" t="s">
        <v>114</v>
      </c>
      <c r="I382" s="80">
        <f t="shared" si="62"/>
        <v>1</v>
      </c>
      <c r="J382" s="517">
        <f t="shared" si="63"/>
        <v>1</v>
      </c>
      <c r="K382" s="483" t="str">
        <f t="shared" si="64"/>
        <v>Sobresaliente</v>
      </c>
    </row>
    <row r="383" spans="1:11" x14ac:dyDescent="0.25">
      <c r="A383" s="489" t="s">
        <v>428</v>
      </c>
      <c r="B383" s="476">
        <v>44561</v>
      </c>
      <c r="C383" s="285" t="str">
        <f>+'Detalle Regiones'!BF23</f>
        <v>Aburrá Sur</v>
      </c>
      <c r="D383" s="579">
        <f>+'Detalle Regiones'!AX23</f>
        <v>7.1950668769070747E-2</v>
      </c>
      <c r="E383" s="577">
        <f t="shared" si="60"/>
        <v>7.1950668769070747</v>
      </c>
      <c r="F383" s="579">
        <f>+'Detalle Regiones'!AY23</f>
        <v>0.1306866307415866</v>
      </c>
      <c r="G383" s="578">
        <f t="shared" si="61"/>
        <v>13.06866307415866</v>
      </c>
      <c r="H383" s="285" t="s">
        <v>114</v>
      </c>
      <c r="I383" s="80">
        <f t="shared" si="62"/>
        <v>1.8163365675033798</v>
      </c>
      <c r="J383" s="517">
        <f t="shared" si="63"/>
        <v>1.2</v>
      </c>
      <c r="K383" s="483" t="str">
        <f t="shared" si="64"/>
        <v>Sobresaliente</v>
      </c>
    </row>
    <row r="384" spans="1:11" x14ac:dyDescent="0.25">
      <c r="A384" s="489" t="s">
        <v>427</v>
      </c>
      <c r="B384" s="476">
        <v>44561</v>
      </c>
      <c r="C384" s="285" t="str">
        <f>+'Detalle Regiones'!BF26</f>
        <v>Aburrá Sur</v>
      </c>
      <c r="D384" s="579">
        <f>+'Detalle Regiones'!AX26</f>
        <v>9.0293502524076974E-2</v>
      </c>
      <c r="E384" s="577">
        <f t="shared" si="60"/>
        <v>9.0293502524076974</v>
      </c>
      <c r="F384" s="579">
        <f>+'Detalle Regiones'!AY26</f>
        <v>9.2525392162509768E-2</v>
      </c>
      <c r="G384" s="578">
        <f t="shared" si="61"/>
        <v>9.2525392162509768</v>
      </c>
      <c r="H384" s="285" t="s">
        <v>114</v>
      </c>
      <c r="I384" s="80">
        <f t="shared" si="62"/>
        <v>1.0247181643866086</v>
      </c>
      <c r="J384" s="517">
        <f t="shared" si="63"/>
        <v>1.0247181643866086</v>
      </c>
      <c r="K384" s="483" t="str">
        <f t="shared" si="64"/>
        <v>Sobresaliente</v>
      </c>
    </row>
    <row r="385" spans="1:11" x14ac:dyDescent="0.25">
      <c r="A385" s="489" t="str">
        <f>+'Detalle Regiones'!BD21</f>
        <v>Crecimiento de nuevas empresas afiliadas</v>
      </c>
      <c r="B385" s="476">
        <v>44561</v>
      </c>
      <c r="C385" s="285" t="str">
        <f>+'Detalle Regiones'!BF21</f>
        <v>Aburrá Sur</v>
      </c>
      <c r="D385" s="584">
        <f>+'Detalle Regiones'!AX21</f>
        <v>-1.6949152542372836E-2</v>
      </c>
      <c r="E385" s="581">
        <f t="shared" si="60"/>
        <v>-1.6949152542372836</v>
      </c>
      <c r="F385" s="584">
        <f>+'Detalle Regiones'!AY21</f>
        <v>0.19279661016949157</v>
      </c>
      <c r="G385" s="582">
        <f t="shared" si="61"/>
        <v>19.279661016949156</v>
      </c>
      <c r="H385" s="285" t="s">
        <v>114</v>
      </c>
      <c r="I385" s="80">
        <f t="shared" si="62"/>
        <v>2.0879120879120876</v>
      </c>
      <c r="J385" s="517">
        <f t="shared" si="63"/>
        <v>1.2</v>
      </c>
      <c r="K385" s="483" t="str">
        <f t="shared" si="64"/>
        <v>Sobresaliente</v>
      </c>
    </row>
    <row r="386" spans="1:11" x14ac:dyDescent="0.25">
      <c r="A386" s="489" t="str">
        <f>+'Detalle Regiones'!BD24</f>
        <v>Cumplimiento de nuevos aportes</v>
      </c>
      <c r="B386" s="476">
        <v>44561</v>
      </c>
      <c r="C386" s="285" t="str">
        <f>+'Detalle Regiones'!BF24</f>
        <v>Aburrá Sur</v>
      </c>
      <c r="D386" s="573">
        <v>1</v>
      </c>
      <c r="E386" s="574">
        <f t="shared" si="60"/>
        <v>100</v>
      </c>
      <c r="F386" s="573">
        <v>2.1122999999999998</v>
      </c>
      <c r="G386" s="583">
        <f t="shared" si="61"/>
        <v>211.23</v>
      </c>
      <c r="H386" s="285" t="s">
        <v>114</v>
      </c>
      <c r="I386" s="80">
        <f t="shared" si="62"/>
        <v>2.1122999999999998</v>
      </c>
      <c r="J386" s="517">
        <f t="shared" si="63"/>
        <v>1.2</v>
      </c>
      <c r="K386" s="483" t="str">
        <f t="shared" si="64"/>
        <v>Sobresaliente</v>
      </c>
    </row>
    <row r="387" spans="1:11" x14ac:dyDescent="0.25">
      <c r="A387" s="489" t="s">
        <v>425</v>
      </c>
      <c r="B387" s="476">
        <v>44561</v>
      </c>
      <c r="C387" s="285" t="str">
        <f>+'Detalle Regiones'!BF27</f>
        <v>Aburrá Sur</v>
      </c>
      <c r="D387" s="573">
        <v>1</v>
      </c>
      <c r="E387" s="574">
        <f t="shared" si="60"/>
        <v>100</v>
      </c>
      <c r="F387" s="573">
        <v>1.0940000000000001</v>
      </c>
      <c r="G387" s="583">
        <f t="shared" si="61"/>
        <v>109.4</v>
      </c>
      <c r="H387" s="285" t="s">
        <v>114</v>
      </c>
      <c r="I387" s="80">
        <f t="shared" si="62"/>
        <v>1.0940000000000001</v>
      </c>
      <c r="J387" s="517">
        <f t="shared" si="63"/>
        <v>1.0940000000000001</v>
      </c>
      <c r="K387" s="483" t="str">
        <f t="shared" si="64"/>
        <v>Sobresaliente</v>
      </c>
    </row>
    <row r="388" spans="1:11" x14ac:dyDescent="0.25">
      <c r="A388" s="489" t="s">
        <v>426</v>
      </c>
      <c r="B388" s="476">
        <v>44561</v>
      </c>
      <c r="C388" s="285" t="str">
        <f>+'Detalle Regiones'!BF28</f>
        <v>Aburrá Sur</v>
      </c>
      <c r="D388" s="77">
        <f>+'Detalle Regiones'!AX28</f>
        <v>0.95840090899379438</v>
      </c>
      <c r="E388" s="531">
        <f t="shared" si="60"/>
        <v>95.840090899379433</v>
      </c>
      <c r="F388" s="77">
        <f>+'Detalle Regiones'!AY28</f>
        <v>0.5093472919559876</v>
      </c>
      <c r="G388" s="533">
        <f t="shared" si="61"/>
        <v>50.934729195598763</v>
      </c>
      <c r="H388" s="285" t="s">
        <v>114</v>
      </c>
      <c r="I388" s="80">
        <f t="shared" si="62"/>
        <v>0.53145535148828371</v>
      </c>
      <c r="J388" s="517">
        <f t="shared" si="63"/>
        <v>0.53145535148828371</v>
      </c>
      <c r="K388" s="483" t="str">
        <f t="shared" si="64"/>
        <v>Incumple</v>
      </c>
    </row>
    <row r="389" spans="1:11" x14ac:dyDescent="0.25">
      <c r="A389" s="489" t="s">
        <v>429</v>
      </c>
      <c r="B389" s="476">
        <v>44561</v>
      </c>
      <c r="C389" s="285" t="str">
        <f>+'Detalle Regiones'!BF29</f>
        <v>Aburrá Sur</v>
      </c>
      <c r="D389" s="293">
        <f>+'Detalle Regiones'!AX29</f>
        <v>9.1521061596709294E-2</v>
      </c>
      <c r="E389" s="531">
        <f t="shared" si="60"/>
        <v>9.1521061596709288</v>
      </c>
      <c r="F389" s="293">
        <f>+'Detalle Regiones'!AY29</f>
        <v>0.10172179720626179</v>
      </c>
      <c r="G389" s="533">
        <f t="shared" si="61"/>
        <v>10.172179720626179</v>
      </c>
      <c r="H389" s="285" t="s">
        <v>114</v>
      </c>
      <c r="I389" s="80">
        <f t="shared" si="62"/>
        <v>1.1114577937754087</v>
      </c>
      <c r="J389" s="517">
        <f t="shared" si="63"/>
        <v>1.1114577937754087</v>
      </c>
      <c r="K389" s="483" t="str">
        <f t="shared" si="64"/>
        <v>Sobresaliente</v>
      </c>
    </row>
    <row r="390" spans="1:11" x14ac:dyDescent="0.25">
      <c r="A390" s="489" t="s">
        <v>356</v>
      </c>
      <c r="B390" s="476">
        <v>44561</v>
      </c>
      <c r="C390" s="285" t="str">
        <f>+'Detalle Regiones'!BF44</f>
        <v>Suroeste</v>
      </c>
      <c r="D390" s="77">
        <f>+'Detalle Regiones'!AX44</f>
        <v>0.74933110627626265</v>
      </c>
      <c r="E390" s="531">
        <f t="shared" si="60"/>
        <v>74.933110627626263</v>
      </c>
      <c r="F390" s="77">
        <f>+'Detalle Regiones'!AY44</f>
        <v>0.75776868997555735</v>
      </c>
      <c r="G390" s="533">
        <f t="shared" si="61"/>
        <v>75.776868997555738</v>
      </c>
      <c r="H390" s="285" t="s">
        <v>114</v>
      </c>
      <c r="I390" s="80">
        <f t="shared" si="62"/>
        <v>1.0112601540608992</v>
      </c>
      <c r="J390" s="517">
        <f t="shared" si="63"/>
        <v>1.0112601540608992</v>
      </c>
      <c r="K390" s="483" t="str">
        <f t="shared" si="64"/>
        <v>Sobresaliente</v>
      </c>
    </row>
    <row r="391" spans="1:11" x14ac:dyDescent="0.25">
      <c r="A391" s="489" t="s">
        <v>428</v>
      </c>
      <c r="B391" s="476">
        <v>44561</v>
      </c>
      <c r="C391" s="285" t="str">
        <f>+'Detalle Regiones'!BF48</f>
        <v>Suroeste</v>
      </c>
      <c r="D391" s="579">
        <f>+'Detalle Regiones'!AX48</f>
        <v>1.0074903224881471E-3</v>
      </c>
      <c r="E391" s="577">
        <f t="shared" si="60"/>
        <v>0.10074903224881471</v>
      </c>
      <c r="F391" s="579">
        <f>+'Detalle Regiones'!AY48</f>
        <v>0.2523181917667412</v>
      </c>
      <c r="G391" s="578">
        <f t="shared" si="61"/>
        <v>25.231819176674119</v>
      </c>
      <c r="H391" s="285" t="s">
        <v>114</v>
      </c>
      <c r="I391" s="80">
        <f t="shared" si="62"/>
        <v>250.44229818863562</v>
      </c>
      <c r="J391" s="517">
        <f t="shared" si="63"/>
        <v>1.2</v>
      </c>
      <c r="K391" s="483" t="str">
        <f t="shared" si="64"/>
        <v>Sobresaliente</v>
      </c>
    </row>
    <row r="392" spans="1:11" x14ac:dyDescent="0.25">
      <c r="A392" s="489" t="s">
        <v>427</v>
      </c>
      <c r="B392" s="476">
        <v>44561</v>
      </c>
      <c r="C392" s="285" t="str">
        <f>+'Detalle Regiones'!BF51</f>
        <v>Suroeste</v>
      </c>
      <c r="D392" s="579">
        <f>+'Detalle Regiones'!AX51</f>
        <v>2.3858428207992333E-3</v>
      </c>
      <c r="E392" s="577">
        <f t="shared" si="60"/>
        <v>0.23858428207992333</v>
      </c>
      <c r="F392" s="579">
        <f>+'Detalle Regiones'!AY51</f>
        <v>0.15492802988682564</v>
      </c>
      <c r="G392" s="578">
        <f t="shared" si="61"/>
        <v>15.492802988682563</v>
      </c>
      <c r="H392" s="285" t="s">
        <v>114</v>
      </c>
      <c r="I392" s="80">
        <f t="shared" si="62"/>
        <v>64.936394190010517</v>
      </c>
      <c r="J392" s="517">
        <f t="shared" si="63"/>
        <v>1.2</v>
      </c>
      <c r="K392" s="483" t="str">
        <f t="shared" si="64"/>
        <v>Sobresaliente</v>
      </c>
    </row>
    <row r="393" spans="1:11" x14ac:dyDescent="0.25">
      <c r="A393" s="489" t="str">
        <f>+'Detalle Regiones'!BD46</f>
        <v>Crecimiento de nuevas empresas afiliadas</v>
      </c>
      <c r="B393" s="476">
        <v>44561</v>
      </c>
      <c r="C393" s="285" t="str">
        <f>+'Detalle Regiones'!BF46</f>
        <v>Suroeste</v>
      </c>
      <c r="D393" s="580">
        <f>+'Detalle Regiones'!AX46</f>
        <v>-0.47448979591836737</v>
      </c>
      <c r="E393" s="581">
        <f t="shared" si="60"/>
        <v>-47.448979591836739</v>
      </c>
      <c r="F393" s="580">
        <f>+'Detalle Regiones'!AY46</f>
        <v>0.28571428571428581</v>
      </c>
      <c r="G393" s="582">
        <f t="shared" si="61"/>
        <v>28.57142857142858</v>
      </c>
      <c r="H393" s="285" t="s">
        <v>114</v>
      </c>
      <c r="I393" s="80">
        <f t="shared" si="62"/>
        <v>3.6607142857142851</v>
      </c>
      <c r="J393" s="517">
        <f t="shared" si="63"/>
        <v>1.2</v>
      </c>
      <c r="K393" s="483" t="str">
        <f t="shared" si="64"/>
        <v>Sobresaliente</v>
      </c>
    </row>
    <row r="394" spans="1:11" x14ac:dyDescent="0.25">
      <c r="A394" s="489" t="str">
        <f>+'Detalle Regiones'!BD49</f>
        <v>Cumplimiento de nuevos aportes</v>
      </c>
      <c r="B394" s="476">
        <v>44561</v>
      </c>
      <c r="C394" s="285" t="str">
        <f>+'Detalle Regiones'!BF49</f>
        <v>Suroeste</v>
      </c>
      <c r="D394" s="573">
        <v>1</v>
      </c>
      <c r="E394" s="574">
        <f t="shared" si="60"/>
        <v>100</v>
      </c>
      <c r="F394" s="573">
        <v>0.65339999999999998</v>
      </c>
      <c r="G394" s="575">
        <f t="shared" si="61"/>
        <v>65.34</v>
      </c>
      <c r="H394" s="285" t="s">
        <v>114</v>
      </c>
      <c r="I394" s="80">
        <f t="shared" si="62"/>
        <v>0.65339999999999998</v>
      </c>
      <c r="J394" s="517">
        <f t="shared" si="63"/>
        <v>0.65339999999999998</v>
      </c>
      <c r="K394" s="483" t="str">
        <f t="shared" si="64"/>
        <v>Incumple</v>
      </c>
    </row>
    <row r="395" spans="1:11" x14ac:dyDescent="0.25">
      <c r="A395" s="489" t="s">
        <v>425</v>
      </c>
      <c r="B395" s="476">
        <v>44561</v>
      </c>
      <c r="C395" s="285" t="str">
        <f>+'Detalle Regiones'!BF52</f>
        <v>Suroeste</v>
      </c>
      <c r="D395" s="585">
        <v>1</v>
      </c>
      <c r="E395" s="574">
        <f t="shared" si="60"/>
        <v>100</v>
      </c>
      <c r="F395" s="585">
        <v>0.74370000000000003</v>
      </c>
      <c r="G395" s="583">
        <f t="shared" si="61"/>
        <v>74.37</v>
      </c>
      <c r="H395" s="285" t="s">
        <v>114</v>
      </c>
      <c r="I395" s="80">
        <f t="shared" si="62"/>
        <v>0.74370000000000003</v>
      </c>
      <c r="J395" s="517">
        <f t="shared" si="63"/>
        <v>0.74370000000000003</v>
      </c>
      <c r="K395" s="483" t="str">
        <f t="shared" si="64"/>
        <v>Incumple</v>
      </c>
    </row>
    <row r="396" spans="1:11" x14ac:dyDescent="0.25">
      <c r="A396" s="489" t="s">
        <v>426</v>
      </c>
      <c r="B396" s="476">
        <v>44561</v>
      </c>
      <c r="C396" s="285" t="str">
        <f>+'Detalle Regiones'!BF53</f>
        <v>Suroeste</v>
      </c>
      <c r="D396" s="293">
        <f>+'Detalle Regiones'!AX53</f>
        <v>0.77823280717797827</v>
      </c>
      <c r="E396" s="531">
        <f t="shared" si="60"/>
        <v>77.823280717797829</v>
      </c>
      <c r="F396" s="293">
        <f>+'Detalle Regiones'!AY53</f>
        <v>0.95049898612381223</v>
      </c>
      <c r="G396" s="533">
        <f t="shared" si="61"/>
        <v>95.049898612381227</v>
      </c>
      <c r="H396" s="285" t="s">
        <v>114</v>
      </c>
      <c r="I396" s="80">
        <f t="shared" si="62"/>
        <v>1.221355585831063</v>
      </c>
      <c r="J396" s="517">
        <f t="shared" si="63"/>
        <v>1.2</v>
      </c>
      <c r="K396" s="483" t="str">
        <f t="shared" si="64"/>
        <v>Sobresaliente</v>
      </c>
    </row>
    <row r="397" spans="1:11" x14ac:dyDescent="0.25">
      <c r="A397" s="489" t="s">
        <v>429</v>
      </c>
      <c r="B397" s="476">
        <v>44561</v>
      </c>
      <c r="C397" s="285" t="str">
        <f>+'Detalle Regiones'!BF54</f>
        <v>Suroeste</v>
      </c>
      <c r="D397" s="293">
        <f>+'Detalle Regiones'!AX54</f>
        <v>0.3475885610368703</v>
      </c>
      <c r="E397" s="531">
        <f t="shared" si="60"/>
        <v>34.75885610368703</v>
      </c>
      <c r="F397" s="293">
        <f>+'Detalle Regiones'!AY54</f>
        <v>0.28564730823327966</v>
      </c>
      <c r="G397" s="533">
        <f t="shared" si="61"/>
        <v>28.564730823327967</v>
      </c>
      <c r="H397" s="285" t="s">
        <v>114</v>
      </c>
      <c r="I397" s="80">
        <f t="shared" si="62"/>
        <v>0.82179720581477866</v>
      </c>
      <c r="J397" s="517">
        <f t="shared" si="63"/>
        <v>0.82179720581477866</v>
      </c>
      <c r="K397" s="483" t="str">
        <f t="shared" si="64"/>
        <v>Tolerable</v>
      </c>
    </row>
    <row r="398" spans="1:11" x14ac:dyDescent="0.25">
      <c r="A398" s="489" t="s">
        <v>356</v>
      </c>
      <c r="B398" s="476">
        <v>44561</v>
      </c>
      <c r="C398" s="285" t="str">
        <f>+'Detalle Regiones'!BF56</f>
        <v>Urabá</v>
      </c>
      <c r="D398" s="293">
        <f>+'Detalle Regiones'!AX56</f>
        <v>0.73235020757465397</v>
      </c>
      <c r="E398" s="531">
        <f t="shared" si="60"/>
        <v>73.235020757465392</v>
      </c>
      <c r="F398" s="293">
        <f>+'Detalle Regiones'!AY56</f>
        <v>1.2829193363351186</v>
      </c>
      <c r="G398" s="533">
        <f t="shared" si="61"/>
        <v>128.29193363351186</v>
      </c>
      <c r="H398" s="285" t="s">
        <v>114</v>
      </c>
      <c r="I398" s="80">
        <f t="shared" si="62"/>
        <v>1.7517839458034712</v>
      </c>
      <c r="J398" s="517">
        <f t="shared" si="63"/>
        <v>1.2</v>
      </c>
      <c r="K398" s="483" t="str">
        <f t="shared" si="64"/>
        <v>Sobresaliente</v>
      </c>
    </row>
    <row r="399" spans="1:11" x14ac:dyDescent="0.25">
      <c r="A399" s="489" t="s">
        <v>416</v>
      </c>
      <c r="B399" s="476">
        <v>44561</v>
      </c>
      <c r="C399" s="285" t="str">
        <f>+'Detalle Regiones'!BF57</f>
        <v>Urabá</v>
      </c>
      <c r="D399" s="573">
        <v>1</v>
      </c>
      <c r="E399" s="574">
        <f t="shared" si="60"/>
        <v>100</v>
      </c>
      <c r="F399" s="573">
        <v>1</v>
      </c>
      <c r="G399" s="575">
        <f t="shared" si="61"/>
        <v>100</v>
      </c>
      <c r="H399" s="285" t="s">
        <v>114</v>
      </c>
      <c r="I399" s="80">
        <f t="shared" si="62"/>
        <v>1</v>
      </c>
      <c r="J399" s="517">
        <f t="shared" si="63"/>
        <v>1</v>
      </c>
      <c r="K399" s="483" t="str">
        <f t="shared" si="64"/>
        <v>Sobresaliente</v>
      </c>
    </row>
    <row r="400" spans="1:11" x14ac:dyDescent="0.25">
      <c r="A400" s="489" t="s">
        <v>428</v>
      </c>
      <c r="B400" s="476">
        <v>44561</v>
      </c>
      <c r="C400" s="285" t="str">
        <f>+'Detalle Regiones'!BF61</f>
        <v>Urabá</v>
      </c>
      <c r="D400" s="579">
        <f>+'Detalle Regiones'!AX61</f>
        <v>-8.3159713918420808E-2</v>
      </c>
      <c r="E400" s="577">
        <f t="shared" si="60"/>
        <v>-8.3159713918420799</v>
      </c>
      <c r="F400" s="579">
        <f>+'Detalle Regiones'!AY61</f>
        <v>0.10227118394728962</v>
      </c>
      <c r="G400" s="578">
        <f t="shared" si="61"/>
        <v>10.227118394728961</v>
      </c>
      <c r="H400" s="285" t="s">
        <v>114</v>
      </c>
      <c r="I400" s="80">
        <f t="shared" si="62"/>
        <v>2.8131294731200254</v>
      </c>
      <c r="J400" s="517">
        <f t="shared" si="63"/>
        <v>1.2</v>
      </c>
      <c r="K400" s="483" t="str">
        <f t="shared" si="64"/>
        <v>Sobresaliente</v>
      </c>
    </row>
    <row r="401" spans="1:11" x14ac:dyDescent="0.25">
      <c r="A401" s="489" t="s">
        <v>427</v>
      </c>
      <c r="B401" s="476">
        <v>44561</v>
      </c>
      <c r="C401" s="285" t="str">
        <f>+'Detalle Regiones'!BF64</f>
        <v>Urabá</v>
      </c>
      <c r="D401" s="579">
        <f>+'Detalle Regiones'!AX64</f>
        <v>6.9931747211954054E-2</v>
      </c>
      <c r="E401" s="577">
        <f t="shared" si="60"/>
        <v>6.9931747211954054</v>
      </c>
      <c r="F401" s="579">
        <f>+'Detalle Regiones'!AY64</f>
        <v>0.15147788860044642</v>
      </c>
      <c r="G401" s="578">
        <f t="shared" si="61"/>
        <v>15.147788860044642</v>
      </c>
      <c r="H401" s="285" t="s">
        <v>114</v>
      </c>
      <c r="I401" s="80">
        <f t="shared" si="62"/>
        <v>2.166081853229501</v>
      </c>
      <c r="J401" s="517">
        <f t="shared" si="63"/>
        <v>1.2</v>
      </c>
      <c r="K401" s="483" t="str">
        <f t="shared" si="64"/>
        <v>Sobresaliente</v>
      </c>
    </row>
    <row r="402" spans="1:11" x14ac:dyDescent="0.25">
      <c r="A402" s="489" t="str">
        <f>+'Detalle Regiones'!BD59</f>
        <v>Crecimiento de nuevas empresas afiliadas</v>
      </c>
      <c r="B402" s="476">
        <v>44561</v>
      </c>
      <c r="C402" s="285" t="str">
        <f>+'Detalle Regiones'!BF59</f>
        <v>Urabá</v>
      </c>
      <c r="D402" s="580">
        <f>+'Detalle Regiones'!AX59</f>
        <v>-0.66187050359712229</v>
      </c>
      <c r="E402" s="581">
        <f t="shared" si="60"/>
        <v>-66.187050359712231</v>
      </c>
      <c r="F402" s="580">
        <f>+'Detalle Regiones'!AY59</f>
        <v>-0.25179856115107913</v>
      </c>
      <c r="G402" s="582">
        <f t="shared" si="61"/>
        <v>-25.179856115107913</v>
      </c>
      <c r="H402" s="285" t="s">
        <v>114</v>
      </c>
      <c r="I402" s="80">
        <f t="shared" si="62"/>
        <v>1.6195652173913042</v>
      </c>
      <c r="J402" s="517">
        <f t="shared" si="63"/>
        <v>1.2</v>
      </c>
      <c r="K402" s="483" t="str">
        <f t="shared" si="64"/>
        <v>Sobresaliente</v>
      </c>
    </row>
    <row r="403" spans="1:11" x14ac:dyDescent="0.25">
      <c r="A403" s="489" t="str">
        <f>+'Detalle Regiones'!BD62</f>
        <v>Cumplimiento de nuevos aportes</v>
      </c>
      <c r="B403" s="476">
        <v>44561</v>
      </c>
      <c r="C403" s="285" t="str">
        <f>+'Detalle Regiones'!BF62</f>
        <v>Urabá</v>
      </c>
      <c r="D403" s="573">
        <v>1</v>
      </c>
      <c r="E403" s="574">
        <f t="shared" ref="E403:E434" si="65">+D403*100</f>
        <v>100</v>
      </c>
      <c r="F403" s="573">
        <v>0.62390000000000001</v>
      </c>
      <c r="G403" s="583">
        <f t="shared" ref="G403:G434" si="66">+F403*100</f>
        <v>62.39</v>
      </c>
      <c r="H403" s="285" t="s">
        <v>114</v>
      </c>
      <c r="I403" s="80">
        <f t="shared" ref="I403:I434" si="67">+IFERROR(IF(H403="Creciente",IF(AND(F403&lt;0,D403&lt;0),1-(F403-D403)/D403,IF(F403&lt;0,F403/D403,IF(D403&lt;0,1+((F403-D403)/F403),F403/D403))),IF(AND(F403&lt;0,D403&lt;0),(D403*-1)/(F403*-1),IF(F403&lt;0,(F403-D403)/F403,IF(D403&lt;0,-1+(F403-D403)/D403,IF(H403="Decreciente",1+(D403-F403)/D403,F403/D403))))),"N/A")</f>
        <v>0.62390000000000001</v>
      </c>
      <c r="J403" s="517">
        <f t="shared" ref="J403:J434" si="68">+IF(I403&lt;0,0%,IF(I403&gt;120%,120%,I403))</f>
        <v>0.62390000000000001</v>
      </c>
      <c r="K403" s="483" t="str">
        <f t="shared" ref="K403:K434" si="69">+IF(J403&lt;79.99999%,"Incumple",IF(AND(J403&gt;=80%,J403&lt;94.999999%),"Tolerable",IF(AND(J403&gt;=95%,J403&lt;100%),"Satisfactorio","Sobresaliente")))</f>
        <v>Incumple</v>
      </c>
    </row>
    <row r="404" spans="1:11" x14ac:dyDescent="0.25">
      <c r="A404" s="489" t="s">
        <v>425</v>
      </c>
      <c r="B404" s="476">
        <v>44561</v>
      </c>
      <c r="C404" s="285" t="str">
        <f>+'Detalle Regiones'!BF65</f>
        <v>Urabá</v>
      </c>
      <c r="D404" s="573">
        <v>1</v>
      </c>
      <c r="E404" s="574">
        <f t="shared" si="65"/>
        <v>100</v>
      </c>
      <c r="F404" s="573">
        <v>0.86199999999999999</v>
      </c>
      <c r="G404" s="583">
        <f t="shared" si="66"/>
        <v>86.2</v>
      </c>
      <c r="H404" s="285" t="s">
        <v>114</v>
      </c>
      <c r="I404" s="80">
        <f t="shared" si="67"/>
        <v>0.86199999999999999</v>
      </c>
      <c r="J404" s="517">
        <f t="shared" si="68"/>
        <v>0.86199999999999999</v>
      </c>
      <c r="K404" s="483" t="str">
        <f t="shared" si="69"/>
        <v>Tolerable</v>
      </c>
    </row>
    <row r="405" spans="1:11" x14ac:dyDescent="0.25">
      <c r="A405" s="489" t="s">
        <v>426</v>
      </c>
      <c r="B405" s="476">
        <v>44561</v>
      </c>
      <c r="C405" s="285" t="str">
        <f>+'Detalle Regiones'!BF66</f>
        <v>Urabá</v>
      </c>
      <c r="D405" s="293">
        <f>+'Detalle Regiones'!AX66</f>
        <v>0.32918285897780364</v>
      </c>
      <c r="E405" s="531">
        <f t="shared" si="65"/>
        <v>32.918285897780365</v>
      </c>
      <c r="F405" s="293">
        <f>+'Detalle Regiones'!AY66</f>
        <v>-0.11695162949807658</v>
      </c>
      <c r="G405" s="533">
        <f t="shared" si="66"/>
        <v>-11.695162949807658</v>
      </c>
      <c r="H405" s="285" t="s">
        <v>114</v>
      </c>
      <c r="I405" s="80">
        <f t="shared" si="67"/>
        <v>-0.35527861280882328</v>
      </c>
      <c r="J405" s="517">
        <f t="shared" si="68"/>
        <v>0</v>
      </c>
      <c r="K405" s="483" t="str">
        <f t="shared" si="69"/>
        <v>Incumple</v>
      </c>
    </row>
    <row r="406" spans="1:11" x14ac:dyDescent="0.25">
      <c r="A406" s="489" t="s">
        <v>429</v>
      </c>
      <c r="B406" s="476">
        <v>44561</v>
      </c>
      <c r="C406" s="285" t="str">
        <f>+'Detalle Regiones'!BF67</f>
        <v>Urabá</v>
      </c>
      <c r="D406" s="293">
        <f>+'Detalle Regiones'!AX67</f>
        <v>0.13606377943438647</v>
      </c>
      <c r="E406" s="531">
        <f t="shared" si="65"/>
        <v>13.606377943438646</v>
      </c>
      <c r="F406" s="293">
        <f>+'Detalle Regiones'!AY67</f>
        <v>0.21439438354842777</v>
      </c>
      <c r="G406" s="533">
        <f t="shared" si="66"/>
        <v>21.439438354842778</v>
      </c>
      <c r="H406" s="285" t="s">
        <v>114</v>
      </c>
      <c r="I406" s="80">
        <f t="shared" si="67"/>
        <v>1.5756903449225028</v>
      </c>
      <c r="J406" s="517">
        <f t="shared" si="68"/>
        <v>1.2</v>
      </c>
      <c r="K406" s="483" t="str">
        <f t="shared" si="69"/>
        <v>Sobresaliente</v>
      </c>
    </row>
    <row r="407" spans="1:11" x14ac:dyDescent="0.25">
      <c r="A407" s="489" t="s">
        <v>356</v>
      </c>
      <c r="B407" s="476">
        <v>44561</v>
      </c>
      <c r="C407" s="285" t="str">
        <f>+'Detalle Regiones'!BF69</f>
        <v>Occidente</v>
      </c>
      <c r="D407" s="293">
        <f>+'Detalle Regiones'!AX69</f>
        <v>-1.9806643807971258E-2</v>
      </c>
      <c r="E407" s="531">
        <f t="shared" si="65"/>
        <v>-1.9806643807971258</v>
      </c>
      <c r="F407" s="293">
        <f>+'Detalle Regiones'!AY69</f>
        <v>0.39504310144622568</v>
      </c>
      <c r="G407" s="533">
        <f t="shared" si="66"/>
        <v>39.504310144622565</v>
      </c>
      <c r="H407" s="285" t="s">
        <v>114</v>
      </c>
      <c r="I407" s="80">
        <f t="shared" si="67"/>
        <v>2.0501379311155175</v>
      </c>
      <c r="J407" s="517">
        <f t="shared" si="68"/>
        <v>1.2</v>
      </c>
      <c r="K407" s="483" t="str">
        <f t="shared" si="69"/>
        <v>Sobresaliente</v>
      </c>
    </row>
    <row r="408" spans="1:11" x14ac:dyDescent="0.25">
      <c r="A408" s="489" t="s">
        <v>416</v>
      </c>
      <c r="B408" s="476">
        <v>44561</v>
      </c>
      <c r="C408" s="285" t="str">
        <f>+'Detalle Regiones'!BF70</f>
        <v>Occidente</v>
      </c>
      <c r="D408" s="586">
        <v>1</v>
      </c>
      <c r="E408" s="574">
        <f t="shared" si="65"/>
        <v>100</v>
      </c>
      <c r="F408" s="586">
        <v>1</v>
      </c>
      <c r="G408" s="575">
        <f t="shared" si="66"/>
        <v>100</v>
      </c>
      <c r="H408" s="285" t="s">
        <v>114</v>
      </c>
      <c r="I408" s="80">
        <f t="shared" si="67"/>
        <v>1</v>
      </c>
      <c r="J408" s="517">
        <f t="shared" si="68"/>
        <v>1</v>
      </c>
      <c r="K408" s="483" t="str">
        <f t="shared" si="69"/>
        <v>Sobresaliente</v>
      </c>
    </row>
    <row r="409" spans="1:11" x14ac:dyDescent="0.25">
      <c r="A409" s="489" t="s">
        <v>428</v>
      </c>
      <c r="B409" s="476">
        <v>44561</v>
      </c>
      <c r="C409" s="285" t="str">
        <f>+'Detalle Regiones'!BF74</f>
        <v>Occidente</v>
      </c>
      <c r="D409" s="576">
        <f>+'Detalle Regiones'!AX74</f>
        <v>-0.18813838659581283</v>
      </c>
      <c r="E409" s="577">
        <f t="shared" si="65"/>
        <v>-18.813838659581283</v>
      </c>
      <c r="F409" s="576">
        <f>+'Detalle Regiones'!AY74</f>
        <v>2.1489391605944652E-2</v>
      </c>
      <c r="G409" s="578">
        <f t="shared" si="66"/>
        <v>2.1489391605944652</v>
      </c>
      <c r="H409" s="285" t="s">
        <v>114</v>
      </c>
      <c r="I409" s="80">
        <f t="shared" si="67"/>
        <v>10.754942440704918</v>
      </c>
      <c r="J409" s="517">
        <f t="shared" si="68"/>
        <v>1.2</v>
      </c>
      <c r="K409" s="483" t="str">
        <f t="shared" si="69"/>
        <v>Sobresaliente</v>
      </c>
    </row>
    <row r="410" spans="1:11" x14ac:dyDescent="0.25">
      <c r="A410" s="489" t="s">
        <v>427</v>
      </c>
      <c r="B410" s="476">
        <v>44561</v>
      </c>
      <c r="C410" s="285" t="str">
        <f>+'Detalle Regiones'!BF77</f>
        <v>Occidente</v>
      </c>
      <c r="D410" s="576">
        <f>+'Detalle Regiones'!AX77</f>
        <v>0.44220593110069628</v>
      </c>
      <c r="E410" s="577">
        <f t="shared" si="65"/>
        <v>44.220593110069629</v>
      </c>
      <c r="F410" s="576">
        <f>+'Detalle Regiones'!AY77</f>
        <v>0.1608102521703183</v>
      </c>
      <c r="G410" s="578">
        <f t="shared" si="66"/>
        <v>16.081025217031829</v>
      </c>
      <c r="H410" s="285" t="s">
        <v>114</v>
      </c>
      <c r="I410" s="80">
        <f t="shared" si="67"/>
        <v>0.3636546705062163</v>
      </c>
      <c r="J410" s="517">
        <f t="shared" si="68"/>
        <v>0.3636546705062163</v>
      </c>
      <c r="K410" s="483" t="str">
        <f t="shared" si="69"/>
        <v>Incumple</v>
      </c>
    </row>
    <row r="411" spans="1:11" x14ac:dyDescent="0.25">
      <c r="A411" s="489" t="str">
        <f>+'Detalle Regiones'!BD72</f>
        <v>Crecimiento de nuevas empresas afiliadas</v>
      </c>
      <c r="B411" s="476">
        <v>44561</v>
      </c>
      <c r="C411" s="285" t="str">
        <f>+'Detalle Regiones'!BF72</f>
        <v>Occidente</v>
      </c>
      <c r="D411" s="584">
        <f>+'Detalle Regiones'!AX72</f>
        <v>-0.52631578947368429</v>
      </c>
      <c r="E411" s="581">
        <f t="shared" si="65"/>
        <v>-52.631578947368432</v>
      </c>
      <c r="F411" s="584">
        <f>+'Detalle Regiones'!AY72</f>
        <v>0.13684210526315788</v>
      </c>
      <c r="G411" s="582">
        <f t="shared" si="66"/>
        <v>13.684210526315788</v>
      </c>
      <c r="H411" s="285" t="s">
        <v>114</v>
      </c>
      <c r="I411" s="80">
        <f t="shared" si="67"/>
        <v>5.8461538461538476</v>
      </c>
      <c r="J411" s="517">
        <f t="shared" si="68"/>
        <v>1.2</v>
      </c>
      <c r="K411" s="483" t="str">
        <f t="shared" si="69"/>
        <v>Sobresaliente</v>
      </c>
    </row>
    <row r="412" spans="1:11" x14ac:dyDescent="0.25">
      <c r="A412" s="489" t="str">
        <f>+'Detalle Regiones'!BD75</f>
        <v>Cumplimiento de nuevos aportes</v>
      </c>
      <c r="B412" s="476">
        <v>44561</v>
      </c>
      <c r="C412" s="285" t="str">
        <f>+'Detalle Regiones'!BF75</f>
        <v>Occidente</v>
      </c>
      <c r="D412" s="586">
        <v>1</v>
      </c>
      <c r="E412" s="574">
        <f t="shared" si="65"/>
        <v>100</v>
      </c>
      <c r="F412" s="586">
        <v>1.7541</v>
      </c>
      <c r="G412" s="575">
        <f t="shared" si="66"/>
        <v>175.41</v>
      </c>
      <c r="H412" s="285" t="s">
        <v>114</v>
      </c>
      <c r="I412" s="80">
        <f t="shared" si="67"/>
        <v>1.7541</v>
      </c>
      <c r="J412" s="517">
        <f t="shared" si="68"/>
        <v>1.2</v>
      </c>
      <c r="K412" s="483" t="str">
        <f t="shared" si="69"/>
        <v>Sobresaliente</v>
      </c>
    </row>
    <row r="413" spans="1:11" x14ac:dyDescent="0.25">
      <c r="A413" s="489" t="s">
        <v>425</v>
      </c>
      <c r="B413" s="476">
        <v>44561</v>
      </c>
      <c r="C413" s="285" t="str">
        <f>+'Detalle Regiones'!BF78</f>
        <v>Occidente</v>
      </c>
      <c r="D413" s="586">
        <v>1</v>
      </c>
      <c r="E413" s="574">
        <f t="shared" si="65"/>
        <v>100</v>
      </c>
      <c r="F413" s="586">
        <v>1.1973</v>
      </c>
      <c r="G413" s="575">
        <f t="shared" si="66"/>
        <v>119.73</v>
      </c>
      <c r="H413" s="285" t="s">
        <v>114</v>
      </c>
      <c r="I413" s="80">
        <f t="shared" si="67"/>
        <v>1.1973</v>
      </c>
      <c r="J413" s="517">
        <f t="shared" si="68"/>
        <v>1.1973</v>
      </c>
      <c r="K413" s="483" t="str">
        <f t="shared" si="69"/>
        <v>Sobresaliente</v>
      </c>
    </row>
    <row r="414" spans="1:11" x14ac:dyDescent="0.25">
      <c r="A414" s="489" t="s">
        <v>426</v>
      </c>
      <c r="B414" s="476">
        <v>44561</v>
      </c>
      <c r="C414" s="285" t="str">
        <f>+'Detalle Regiones'!BF79</f>
        <v>Occidente</v>
      </c>
      <c r="D414" s="293">
        <f>+'Detalle Regiones'!AX79</f>
        <v>3.5036860163204748</v>
      </c>
      <c r="E414" s="531">
        <f t="shared" si="65"/>
        <v>350.3686016320475</v>
      </c>
      <c r="F414" s="293">
        <f>+'Detalle Regiones'!AY79</f>
        <v>2.5587444362017804</v>
      </c>
      <c r="G414" s="533">
        <f t="shared" si="66"/>
        <v>255.87444362017803</v>
      </c>
      <c r="H414" s="285" t="s">
        <v>114</v>
      </c>
      <c r="I414" s="80">
        <f t="shared" si="67"/>
        <v>0.73030072451781514</v>
      </c>
      <c r="J414" s="517">
        <f t="shared" si="68"/>
        <v>0.73030072451781514</v>
      </c>
      <c r="K414" s="483" t="str">
        <f t="shared" si="69"/>
        <v>Incumple</v>
      </c>
    </row>
    <row r="415" spans="1:11" x14ac:dyDescent="0.25">
      <c r="A415" s="489" t="s">
        <v>429</v>
      </c>
      <c r="B415" s="476">
        <v>44561</v>
      </c>
      <c r="C415" s="285" t="str">
        <f>+'Detalle Regiones'!BF80</f>
        <v>Occidente</v>
      </c>
      <c r="D415" s="293">
        <f>+'Detalle Regiones'!AX80</f>
        <v>0.19048648537352458</v>
      </c>
      <c r="E415" s="531">
        <f t="shared" si="65"/>
        <v>19.048648537352459</v>
      </c>
      <c r="F415" s="293">
        <f>+'Detalle Regiones'!AY80</f>
        <v>0.12352289753110547</v>
      </c>
      <c r="G415" s="533">
        <f t="shared" si="66"/>
        <v>12.352289753110547</v>
      </c>
      <c r="H415" s="285" t="s">
        <v>114</v>
      </c>
      <c r="I415" s="80">
        <f t="shared" si="67"/>
        <v>0.64846016392653605</v>
      </c>
      <c r="J415" s="517">
        <f t="shared" si="68"/>
        <v>0.64846016392653605</v>
      </c>
      <c r="K415" s="483" t="str">
        <f t="shared" si="69"/>
        <v>Incumple</v>
      </c>
    </row>
    <row r="416" spans="1:11" x14ac:dyDescent="0.25">
      <c r="A416" s="489" t="s">
        <v>356</v>
      </c>
      <c r="B416" s="476">
        <v>44561</v>
      </c>
      <c r="C416" s="285" t="str">
        <f>+'Detalle Regiones'!BF82</f>
        <v>Oriente</v>
      </c>
      <c r="D416" s="293">
        <f>+'Detalle Regiones'!AX82</f>
        <v>0.50522471783389222</v>
      </c>
      <c r="E416" s="531">
        <f t="shared" si="65"/>
        <v>50.522471783389221</v>
      </c>
      <c r="F416" s="293">
        <f>+'Detalle Regiones'!AY82</f>
        <v>0.56558939800441599</v>
      </c>
      <c r="G416" s="533">
        <f t="shared" si="66"/>
        <v>56.5589398004416</v>
      </c>
      <c r="H416" s="285" t="s">
        <v>114</v>
      </c>
      <c r="I416" s="80">
        <f t="shared" si="67"/>
        <v>1.1194808528556008</v>
      </c>
      <c r="J416" s="517">
        <f t="shared" si="68"/>
        <v>1.1194808528556008</v>
      </c>
      <c r="K416" s="483" t="str">
        <f t="shared" si="69"/>
        <v>Sobresaliente</v>
      </c>
    </row>
    <row r="417" spans="1:11" x14ac:dyDescent="0.25">
      <c r="A417" s="489" t="s">
        <v>416</v>
      </c>
      <c r="B417" s="476">
        <v>44561</v>
      </c>
      <c r="C417" s="285" t="str">
        <f>+'Detalle Regiones'!BF83</f>
        <v>Oriente</v>
      </c>
      <c r="D417" s="586">
        <f>+'Detalle Regiones'!AX83</f>
        <v>1</v>
      </c>
      <c r="E417" s="574">
        <f t="shared" si="65"/>
        <v>100</v>
      </c>
      <c r="F417" s="586">
        <f>+'Detalle Regiones'!AY83</f>
        <v>1</v>
      </c>
      <c r="G417" s="575">
        <f t="shared" si="66"/>
        <v>100</v>
      </c>
      <c r="H417" s="285" t="s">
        <v>114</v>
      </c>
      <c r="I417" s="80">
        <f t="shared" si="67"/>
        <v>1</v>
      </c>
      <c r="J417" s="517">
        <f t="shared" si="68"/>
        <v>1</v>
      </c>
      <c r="K417" s="483" t="str">
        <f t="shared" si="69"/>
        <v>Sobresaliente</v>
      </c>
    </row>
    <row r="418" spans="1:11" x14ac:dyDescent="0.25">
      <c r="A418" s="489" t="s">
        <v>428</v>
      </c>
      <c r="B418" s="476">
        <v>44561</v>
      </c>
      <c r="C418" s="285" t="str">
        <f>+'Detalle Regiones'!BF87</f>
        <v>Oriente</v>
      </c>
      <c r="D418" s="576">
        <f>+'Detalle Regiones'!AX87</f>
        <v>8.2722921381600756E-2</v>
      </c>
      <c r="E418" s="577">
        <f t="shared" si="65"/>
        <v>8.2722921381600756</v>
      </c>
      <c r="F418" s="576">
        <f>+'Detalle Regiones'!AY87</f>
        <v>0.11945895024990505</v>
      </c>
      <c r="G418" s="578">
        <f t="shared" si="66"/>
        <v>11.945895024990506</v>
      </c>
      <c r="H418" s="285" t="s">
        <v>114</v>
      </c>
      <c r="I418" s="80">
        <f t="shared" si="67"/>
        <v>1.444085245718548</v>
      </c>
      <c r="J418" s="517">
        <f t="shared" si="68"/>
        <v>1.2</v>
      </c>
      <c r="K418" s="483" t="str">
        <f t="shared" si="69"/>
        <v>Sobresaliente</v>
      </c>
    </row>
    <row r="419" spans="1:11" x14ac:dyDescent="0.25">
      <c r="A419" s="489" t="s">
        <v>427</v>
      </c>
      <c r="B419" s="476">
        <v>44561</v>
      </c>
      <c r="C419" s="285" t="str">
        <f>+'Detalle Regiones'!BF90</f>
        <v>Oriente</v>
      </c>
      <c r="D419" s="576">
        <f>+'Detalle Regiones'!AX90</f>
        <v>-6.5833888270983132E-2</v>
      </c>
      <c r="E419" s="577">
        <f t="shared" si="65"/>
        <v>-6.5833888270983127</v>
      </c>
      <c r="F419" s="576">
        <f>+'Detalle Regiones'!AY90</f>
        <v>2.3335128343205946E-2</v>
      </c>
      <c r="G419" s="578">
        <f t="shared" si="66"/>
        <v>2.3335128343205946</v>
      </c>
      <c r="H419" s="285" t="s">
        <v>114</v>
      </c>
      <c r="I419" s="80">
        <f t="shared" si="67"/>
        <v>4.8212353196742006</v>
      </c>
      <c r="J419" s="517">
        <f t="shared" si="68"/>
        <v>1.2</v>
      </c>
      <c r="K419" s="483" t="str">
        <f t="shared" si="69"/>
        <v>Sobresaliente</v>
      </c>
    </row>
    <row r="420" spans="1:11" x14ac:dyDescent="0.25">
      <c r="A420" s="489" t="str">
        <f>+'Detalle Regiones'!BD85</f>
        <v>Crecimiento de nuevas empresas afiliadas</v>
      </c>
      <c r="B420" s="476">
        <v>44561</v>
      </c>
      <c r="C420" s="285" t="str">
        <f>+'Detalle Regiones'!BF85</f>
        <v>Oriente</v>
      </c>
      <c r="D420" s="584">
        <f>+'Detalle Regiones'!AX85</f>
        <v>0.87096774193548376</v>
      </c>
      <c r="E420" s="581">
        <f t="shared" si="65"/>
        <v>87.09677419354837</v>
      </c>
      <c r="F420" s="584">
        <f>+'Detalle Regiones'!AY85</f>
        <v>-1.0752688172043001E-2</v>
      </c>
      <c r="G420" s="582">
        <f t="shared" si="66"/>
        <v>-1.0752688172043001</v>
      </c>
      <c r="H420" s="285" t="s">
        <v>114</v>
      </c>
      <c r="I420" s="80">
        <f t="shared" si="67"/>
        <v>-1.234567901234567E-2</v>
      </c>
      <c r="J420" s="517">
        <f t="shared" si="68"/>
        <v>0</v>
      </c>
      <c r="K420" s="483" t="str">
        <f t="shared" si="69"/>
        <v>Incumple</v>
      </c>
    </row>
    <row r="421" spans="1:11" x14ac:dyDescent="0.25">
      <c r="A421" s="489" t="str">
        <f>+'Detalle Regiones'!BD88</f>
        <v>Cumplimiento de nuevos aportes</v>
      </c>
      <c r="B421" s="476">
        <v>44561</v>
      </c>
      <c r="C421" s="285" t="str">
        <f>+'Detalle Regiones'!BF88</f>
        <v>Oriente</v>
      </c>
      <c r="D421" s="586">
        <v>1</v>
      </c>
      <c r="E421" s="574">
        <f t="shared" si="65"/>
        <v>100</v>
      </c>
      <c r="F421" s="586">
        <v>1.3131999999999999</v>
      </c>
      <c r="G421" s="575">
        <f t="shared" si="66"/>
        <v>131.32</v>
      </c>
      <c r="H421" s="285" t="s">
        <v>114</v>
      </c>
      <c r="I421" s="80">
        <f t="shared" si="67"/>
        <v>1.3131999999999999</v>
      </c>
      <c r="J421" s="517">
        <f t="shared" si="68"/>
        <v>1.2</v>
      </c>
      <c r="K421" s="483" t="str">
        <f t="shared" si="69"/>
        <v>Sobresaliente</v>
      </c>
    </row>
    <row r="422" spans="1:11" x14ac:dyDescent="0.25">
      <c r="A422" s="489" t="s">
        <v>425</v>
      </c>
      <c r="B422" s="476">
        <v>44561</v>
      </c>
      <c r="C422" s="285" t="str">
        <f>+'Detalle Regiones'!BF91</f>
        <v>Oriente</v>
      </c>
      <c r="D422" s="586">
        <v>1</v>
      </c>
      <c r="E422" s="574">
        <f t="shared" si="65"/>
        <v>100</v>
      </c>
      <c r="F422" s="586">
        <v>1.2470000000000001</v>
      </c>
      <c r="G422" s="575">
        <f t="shared" si="66"/>
        <v>124.70000000000002</v>
      </c>
      <c r="H422" s="285" t="s">
        <v>114</v>
      </c>
      <c r="I422" s="80">
        <f t="shared" si="67"/>
        <v>1.2470000000000001</v>
      </c>
      <c r="J422" s="517">
        <f t="shared" si="68"/>
        <v>1.2</v>
      </c>
      <c r="K422" s="483" t="str">
        <f t="shared" si="69"/>
        <v>Sobresaliente</v>
      </c>
    </row>
    <row r="423" spans="1:11" x14ac:dyDescent="0.25">
      <c r="A423" s="489" t="s">
        <v>426</v>
      </c>
      <c r="B423" s="476">
        <v>44561</v>
      </c>
      <c r="C423" s="285" t="str">
        <f>+'Detalle Regiones'!BF92</f>
        <v>Oriente</v>
      </c>
      <c r="D423" s="293">
        <f>+'Detalle Regiones'!AX92</f>
        <v>0.96660202292336805</v>
      </c>
      <c r="E423" s="531">
        <f t="shared" si="65"/>
        <v>96.660202292336805</v>
      </c>
      <c r="F423" s="293">
        <f>+'Detalle Regiones'!AY92</f>
        <v>0.78075319638149865</v>
      </c>
      <c r="G423" s="533">
        <f t="shared" si="66"/>
        <v>78.075319638149864</v>
      </c>
      <c r="H423" s="285" t="s">
        <v>114</v>
      </c>
      <c r="I423" s="80">
        <f t="shared" si="67"/>
        <v>0.80772973557432393</v>
      </c>
      <c r="J423" s="517">
        <f t="shared" si="68"/>
        <v>0.80772973557432393</v>
      </c>
      <c r="K423" s="483" t="str">
        <f t="shared" si="69"/>
        <v>Tolerable</v>
      </c>
    </row>
    <row r="424" spans="1:11" x14ac:dyDescent="0.25">
      <c r="A424" s="489" t="s">
        <v>429</v>
      </c>
      <c r="B424" s="476">
        <v>44561</v>
      </c>
      <c r="C424" s="285" t="str">
        <f>+'Detalle Regiones'!BF93</f>
        <v>Oriente</v>
      </c>
      <c r="D424" s="293">
        <f>+'Detalle Regiones'!AX93</f>
        <v>0.14864481842338353</v>
      </c>
      <c r="E424" s="531">
        <f t="shared" si="65"/>
        <v>14.864481842338353</v>
      </c>
      <c r="F424" s="293">
        <f>+'Detalle Regiones'!AY93</f>
        <v>0.10315886948469474</v>
      </c>
      <c r="G424" s="533">
        <f t="shared" si="66"/>
        <v>10.315886948469474</v>
      </c>
      <c r="H424" s="285" t="s">
        <v>114</v>
      </c>
      <c r="I424" s="80">
        <f t="shared" si="67"/>
        <v>0.69399573142784143</v>
      </c>
      <c r="J424" s="517">
        <f t="shared" si="68"/>
        <v>0.69399573142784143</v>
      </c>
      <c r="K424" s="483" t="str">
        <f t="shared" si="69"/>
        <v>Incumple</v>
      </c>
    </row>
    <row r="425" spans="1:11" x14ac:dyDescent="0.25">
      <c r="A425" s="489" t="s">
        <v>356</v>
      </c>
      <c r="B425" s="476">
        <v>44561</v>
      </c>
      <c r="C425" s="285" t="str">
        <f>+'Detalle Regiones'!BF95</f>
        <v>Norte</v>
      </c>
      <c r="D425" s="293">
        <f>+'Detalle Regiones'!AX95</f>
        <v>0.71492571720526055</v>
      </c>
      <c r="E425" s="531">
        <f t="shared" si="65"/>
        <v>71.492571720526058</v>
      </c>
      <c r="F425" s="293">
        <f>+'Detalle Regiones'!AY95</f>
        <v>0.73595791666979182</v>
      </c>
      <c r="G425" s="533">
        <f t="shared" si="66"/>
        <v>73.595791666979181</v>
      </c>
      <c r="H425" s="285" t="s">
        <v>114</v>
      </c>
      <c r="I425" s="80">
        <f t="shared" si="67"/>
        <v>1.0294187199570173</v>
      </c>
      <c r="J425" s="517">
        <f t="shared" si="68"/>
        <v>1.0294187199570173</v>
      </c>
      <c r="K425" s="483" t="str">
        <f t="shared" si="69"/>
        <v>Sobresaliente</v>
      </c>
    </row>
    <row r="426" spans="1:11" x14ac:dyDescent="0.25">
      <c r="A426" s="489" t="s">
        <v>428</v>
      </c>
      <c r="B426" s="476">
        <v>44561</v>
      </c>
      <c r="C426" s="285" t="str">
        <f>+'Detalle Regiones'!BF99</f>
        <v>Norte</v>
      </c>
      <c r="D426" s="576">
        <f>+'Detalle Regiones'!AX99</f>
        <v>3.7392250870777355E-2</v>
      </c>
      <c r="E426" s="577">
        <f t="shared" si="65"/>
        <v>3.7392250870777355</v>
      </c>
      <c r="F426" s="576">
        <f>+'Detalle Regiones'!AY99</f>
        <v>1.0420457059407973E-3</v>
      </c>
      <c r="G426" s="578">
        <f t="shared" si="66"/>
        <v>0.10420457059407973</v>
      </c>
      <c r="H426" s="285" t="s">
        <v>114</v>
      </c>
      <c r="I426" s="80">
        <f t="shared" si="67"/>
        <v>2.7867958779533453E-2</v>
      </c>
      <c r="J426" s="517">
        <f t="shared" si="68"/>
        <v>2.7867958779533453E-2</v>
      </c>
      <c r="K426" s="483" t="str">
        <f t="shared" si="69"/>
        <v>Incumple</v>
      </c>
    </row>
    <row r="427" spans="1:11" x14ac:dyDescent="0.25">
      <c r="A427" s="489" t="s">
        <v>427</v>
      </c>
      <c r="B427" s="476">
        <v>44561</v>
      </c>
      <c r="C427" s="285" t="str">
        <f>+'Detalle Regiones'!BF102</f>
        <v>Norte</v>
      </c>
      <c r="D427" s="576">
        <f>+'Detalle Regiones'!AX102</f>
        <v>-9.7375804588215598E-3</v>
      </c>
      <c r="E427" s="577">
        <f t="shared" si="65"/>
        <v>-0.97375804588215598</v>
      </c>
      <c r="F427" s="576">
        <f>+'Detalle Regiones'!AY102</f>
        <v>-0.10843373493975905</v>
      </c>
      <c r="G427" s="578">
        <f t="shared" si="66"/>
        <v>-10.843373493975905</v>
      </c>
      <c r="H427" s="285" t="s">
        <v>114</v>
      </c>
      <c r="I427" s="80">
        <f t="shared" si="67"/>
        <v>-9.1355932203390164</v>
      </c>
      <c r="J427" s="517">
        <f t="shared" si="68"/>
        <v>0</v>
      </c>
      <c r="K427" s="483" t="str">
        <f t="shared" si="69"/>
        <v>Incumple</v>
      </c>
    </row>
    <row r="428" spans="1:11" x14ac:dyDescent="0.25">
      <c r="A428" s="489" t="str">
        <f>+'Detalle Regiones'!BD97</f>
        <v>Crecimiento de nuevas empresas afiliadas</v>
      </c>
      <c r="B428" s="476">
        <v>44561</v>
      </c>
      <c r="C428" s="285" t="str">
        <f>+'Detalle Regiones'!BF97</f>
        <v>Norte</v>
      </c>
      <c r="D428" s="584">
        <f>+'Detalle Regiones'!AX97</f>
        <v>-0.41626794258373201</v>
      </c>
      <c r="E428" s="581">
        <f t="shared" si="65"/>
        <v>-41.626794258373202</v>
      </c>
      <c r="F428" s="584">
        <f>+'Detalle Regiones'!AY97</f>
        <v>-0.16267942583732053</v>
      </c>
      <c r="G428" s="582">
        <f t="shared" si="66"/>
        <v>-16.267942583732054</v>
      </c>
      <c r="H428" s="285" t="s">
        <v>114</v>
      </c>
      <c r="I428" s="80">
        <f t="shared" si="67"/>
        <v>1.6091954022988506</v>
      </c>
      <c r="J428" s="517">
        <f t="shared" si="68"/>
        <v>1.2</v>
      </c>
      <c r="K428" s="483" t="str">
        <f t="shared" si="69"/>
        <v>Sobresaliente</v>
      </c>
    </row>
    <row r="429" spans="1:11" x14ac:dyDescent="0.25">
      <c r="A429" s="489" t="str">
        <f>+'Detalle Regiones'!BD100</f>
        <v>Cumplimiento de nuevos aportes</v>
      </c>
      <c r="B429" s="476">
        <v>44561</v>
      </c>
      <c r="C429" s="285" t="str">
        <f>+'Detalle Regiones'!BF100</f>
        <v>Norte</v>
      </c>
      <c r="D429" s="586">
        <v>1</v>
      </c>
      <c r="E429" s="574">
        <f t="shared" si="65"/>
        <v>100</v>
      </c>
      <c r="F429" s="586">
        <v>1.1568000000000001</v>
      </c>
      <c r="G429" s="575">
        <f t="shared" si="66"/>
        <v>115.68</v>
      </c>
      <c r="H429" s="285" t="s">
        <v>114</v>
      </c>
      <c r="I429" s="80">
        <f t="shared" si="67"/>
        <v>1.1568000000000001</v>
      </c>
      <c r="J429" s="517">
        <f t="shared" si="68"/>
        <v>1.1568000000000001</v>
      </c>
      <c r="K429" s="483" t="str">
        <f t="shared" si="69"/>
        <v>Sobresaliente</v>
      </c>
    </row>
    <row r="430" spans="1:11" x14ac:dyDescent="0.25">
      <c r="A430" s="489" t="s">
        <v>425</v>
      </c>
      <c r="B430" s="476">
        <v>44561</v>
      </c>
      <c r="C430" s="285" t="str">
        <f>+'Detalle Regiones'!BF103</f>
        <v>Norte</v>
      </c>
      <c r="D430" s="586">
        <v>1</v>
      </c>
      <c r="E430" s="574">
        <f t="shared" si="65"/>
        <v>100</v>
      </c>
      <c r="F430" s="586">
        <v>0.43859999999999999</v>
      </c>
      <c r="G430" s="575">
        <f t="shared" si="66"/>
        <v>43.86</v>
      </c>
      <c r="H430" s="285" t="s">
        <v>114</v>
      </c>
      <c r="I430" s="80">
        <f t="shared" si="67"/>
        <v>0.43859999999999999</v>
      </c>
      <c r="J430" s="517">
        <f t="shared" si="68"/>
        <v>0.43859999999999999</v>
      </c>
      <c r="K430" s="483" t="str">
        <f t="shared" si="69"/>
        <v>Incumple</v>
      </c>
    </row>
    <row r="431" spans="1:11" x14ac:dyDescent="0.25">
      <c r="A431" s="489" t="s">
        <v>426</v>
      </c>
      <c r="B431" s="476">
        <v>44561</v>
      </c>
      <c r="C431" s="285" t="str">
        <f>+'Detalle Regiones'!BF104</f>
        <v>Norte</v>
      </c>
      <c r="D431" s="293">
        <f>+'Detalle Regiones'!AX104</f>
        <v>0.80933544303797467</v>
      </c>
      <c r="E431" s="531">
        <f t="shared" si="65"/>
        <v>80.933544303797461</v>
      </c>
      <c r="F431" s="293">
        <f>+'Detalle Regiones'!AY104</f>
        <v>13.844145569620252</v>
      </c>
      <c r="G431" s="533">
        <f t="shared" si="66"/>
        <v>1384.4145569620252</v>
      </c>
      <c r="H431" s="285" t="s">
        <v>114</v>
      </c>
      <c r="I431" s="80">
        <f t="shared" si="67"/>
        <v>17.105571847507331</v>
      </c>
      <c r="J431" s="517">
        <f t="shared" si="68"/>
        <v>1.2</v>
      </c>
      <c r="K431" s="483" t="str">
        <f t="shared" si="69"/>
        <v>Sobresaliente</v>
      </c>
    </row>
    <row r="432" spans="1:11" x14ac:dyDescent="0.25">
      <c r="A432" s="489" t="s">
        <v>429</v>
      </c>
      <c r="B432" s="476">
        <v>44561</v>
      </c>
      <c r="C432" s="285" t="str">
        <f>+'Detalle Regiones'!BF105</f>
        <v>Norte</v>
      </c>
      <c r="D432" s="293">
        <f>+'Detalle Regiones'!AX105</f>
        <v>7.8705728027984256E-2</v>
      </c>
      <c r="E432" s="531">
        <f t="shared" si="65"/>
        <v>7.8705728027984261</v>
      </c>
      <c r="F432" s="293">
        <f>+'Detalle Regiones'!AY105</f>
        <v>1.4034713709605785E-2</v>
      </c>
      <c r="G432" s="533">
        <f t="shared" si="66"/>
        <v>1.4034713709605784</v>
      </c>
      <c r="H432" s="285" t="s">
        <v>114</v>
      </c>
      <c r="I432" s="80">
        <f t="shared" si="67"/>
        <v>0.17831883474371349</v>
      </c>
      <c r="J432" s="517">
        <f t="shared" si="68"/>
        <v>0.17831883474371349</v>
      </c>
      <c r="K432" s="483" t="str">
        <f t="shared" si="69"/>
        <v>Incumple</v>
      </c>
    </row>
    <row r="433" spans="1:11" x14ac:dyDescent="0.25">
      <c r="A433" s="489" t="s">
        <v>356</v>
      </c>
      <c r="B433" s="476">
        <v>44561</v>
      </c>
      <c r="C433" s="285" t="str">
        <f>+'Detalle Regiones'!BF107</f>
        <v>Bajo Cauca</v>
      </c>
      <c r="D433" s="293">
        <f>+'Detalle Regiones'!AX107</f>
        <v>1.4602290939477074</v>
      </c>
      <c r="E433" s="531">
        <f t="shared" si="65"/>
        <v>146.02290939477075</v>
      </c>
      <c r="F433" s="293">
        <f>+'Detalle Regiones'!AY107</f>
        <v>1.431124240392772</v>
      </c>
      <c r="G433" s="533">
        <f t="shared" si="66"/>
        <v>143.11242403927719</v>
      </c>
      <c r="H433" s="285" t="s">
        <v>114</v>
      </c>
      <c r="I433" s="80">
        <f t="shared" si="67"/>
        <v>0.98006829635461457</v>
      </c>
      <c r="J433" s="517">
        <f t="shared" si="68"/>
        <v>0.98006829635461457</v>
      </c>
      <c r="K433" s="483" t="str">
        <f t="shared" si="69"/>
        <v>Satisfactorio</v>
      </c>
    </row>
    <row r="434" spans="1:11" x14ac:dyDescent="0.25">
      <c r="A434" s="489" t="s">
        <v>428</v>
      </c>
      <c r="B434" s="476">
        <v>44561</v>
      </c>
      <c r="C434" s="285" t="str">
        <f>+'Detalle Regiones'!BF111</f>
        <v>Bajo Cauca</v>
      </c>
      <c r="D434" s="576">
        <f>+'Detalle Regiones'!AX111</f>
        <v>-7.0082230032201154E-2</v>
      </c>
      <c r="E434" s="577">
        <f t="shared" si="65"/>
        <v>-7.0082230032201149</v>
      </c>
      <c r="F434" s="576">
        <f>+'Detalle Regiones'!AY111</f>
        <v>-4.552246745666344E-3</v>
      </c>
      <c r="G434" s="578">
        <f t="shared" si="66"/>
        <v>-0.4552246745666344</v>
      </c>
      <c r="H434" s="285" t="s">
        <v>114</v>
      </c>
      <c r="I434" s="80">
        <f t="shared" si="67"/>
        <v>1.9350442081598334</v>
      </c>
      <c r="J434" s="517">
        <f t="shared" si="68"/>
        <v>1.2</v>
      </c>
      <c r="K434" s="483" t="str">
        <f t="shared" si="69"/>
        <v>Sobresaliente</v>
      </c>
    </row>
    <row r="435" spans="1:11" x14ac:dyDescent="0.25">
      <c r="A435" s="489" t="s">
        <v>427</v>
      </c>
      <c r="B435" s="476">
        <v>44561</v>
      </c>
      <c r="C435" s="285" t="str">
        <f>+'Detalle Regiones'!BF114</f>
        <v>Bajo Cauca</v>
      </c>
      <c r="D435" s="576">
        <f>+'Detalle Regiones'!AX114</f>
        <v>-7.0789865871833113E-3</v>
      </c>
      <c r="E435" s="577">
        <f t="shared" ref="E435:E456" si="70">+D435*100</f>
        <v>-0.70789865871833113</v>
      </c>
      <c r="F435" s="576">
        <f>+'Detalle Regiones'!AY114</f>
        <v>0.15126676602086442</v>
      </c>
      <c r="G435" s="578">
        <f t="shared" ref="G435:G456" si="71">+F435*100</f>
        <v>15.126676602086441</v>
      </c>
      <c r="H435" s="285" t="s">
        <v>114</v>
      </c>
      <c r="I435" s="80">
        <f t="shared" ref="I435:I456" si="72">+IFERROR(IF(H435="Creciente",IF(AND(F435&lt;0,D435&lt;0),1-(F435-D435)/D435,IF(F435&lt;0,F435/D435,IF(D435&lt;0,1+((F435-D435)/F435),F435/D435))),IF(AND(F435&lt;0,D435&lt;0),(D435*-1)/(F435*-1),IF(F435&lt;0,(F435-D435)/F435,IF(D435&lt;0,-1+(F435-D435)/D435,IF(H435="Decreciente",1+(D435-F435)/D435,F435/D435))))),"N/A")</f>
        <v>2.0467980295566504</v>
      </c>
      <c r="J435" s="517">
        <f t="shared" ref="J435:J456" si="73">+IF(I435&lt;0,0%,IF(I435&gt;120%,120%,I435))</f>
        <v>1.2</v>
      </c>
      <c r="K435" s="483" t="str">
        <f t="shared" ref="K435:K456" si="74">+IF(J435&lt;79.99999%,"Incumple",IF(AND(J435&gt;=80%,J435&lt;94.999999%),"Tolerable",IF(AND(J435&gt;=95%,J435&lt;100%),"Satisfactorio","Sobresaliente")))</f>
        <v>Sobresaliente</v>
      </c>
    </row>
    <row r="436" spans="1:11" x14ac:dyDescent="0.25">
      <c r="A436" s="489" t="str">
        <f>+'Detalle Regiones'!BD109</f>
        <v>Crecimiento de nuevas empresas afiliadas</v>
      </c>
      <c r="B436" s="476">
        <v>44561</v>
      </c>
      <c r="C436" s="285" t="str">
        <f>+'Detalle Regiones'!BF109</f>
        <v>Bajo Cauca</v>
      </c>
      <c r="D436" s="584">
        <f>+'Detalle Regiones'!AX109</f>
        <v>-0.66666666666666674</v>
      </c>
      <c r="E436" s="581">
        <f t="shared" si="70"/>
        <v>-66.666666666666671</v>
      </c>
      <c r="F436" s="584">
        <f>+'Detalle Regiones'!AY109</f>
        <v>0.56000000000000005</v>
      </c>
      <c r="G436" s="582">
        <f t="shared" si="71"/>
        <v>56.000000000000007</v>
      </c>
      <c r="H436" s="285" t="s">
        <v>114</v>
      </c>
      <c r="I436" s="80">
        <f t="shared" si="72"/>
        <v>3.1904761904761907</v>
      </c>
      <c r="J436" s="517">
        <f t="shared" si="73"/>
        <v>1.2</v>
      </c>
      <c r="K436" s="483" t="str">
        <f t="shared" si="74"/>
        <v>Sobresaliente</v>
      </c>
    </row>
    <row r="437" spans="1:11" x14ac:dyDescent="0.25">
      <c r="A437" s="489" t="str">
        <f>+'Detalle Regiones'!BD112</f>
        <v>Cumplimiento de nuevos aportes</v>
      </c>
      <c r="B437" s="476">
        <v>44561</v>
      </c>
      <c r="C437" s="285" t="str">
        <f>+'Detalle Regiones'!BF112</f>
        <v>Bajo Cauca</v>
      </c>
      <c r="D437" s="586">
        <v>1</v>
      </c>
      <c r="E437" s="574">
        <f t="shared" si="70"/>
        <v>100</v>
      </c>
      <c r="F437" s="586">
        <v>1.7605999999999999</v>
      </c>
      <c r="G437" s="575">
        <f t="shared" si="71"/>
        <v>176.06</v>
      </c>
      <c r="H437" s="285" t="s">
        <v>114</v>
      </c>
      <c r="I437" s="80">
        <f t="shared" si="72"/>
        <v>1.7605999999999999</v>
      </c>
      <c r="J437" s="517">
        <f t="shared" si="73"/>
        <v>1.2</v>
      </c>
      <c r="K437" s="483" t="str">
        <f t="shared" si="74"/>
        <v>Sobresaliente</v>
      </c>
    </row>
    <row r="438" spans="1:11" x14ac:dyDescent="0.25">
      <c r="A438" s="489" t="s">
        <v>425</v>
      </c>
      <c r="B438" s="476">
        <v>44561</v>
      </c>
      <c r="C438" s="285" t="str">
        <f>+'Detalle Regiones'!BF115</f>
        <v>Bajo Cauca</v>
      </c>
      <c r="D438" s="586">
        <v>1</v>
      </c>
      <c r="E438" s="574">
        <f t="shared" si="70"/>
        <v>100</v>
      </c>
      <c r="F438" s="586">
        <v>1.6397999999999999</v>
      </c>
      <c r="G438" s="575">
        <f t="shared" si="71"/>
        <v>163.98</v>
      </c>
      <c r="H438" s="285" t="s">
        <v>114</v>
      </c>
      <c r="I438" s="80">
        <f t="shared" si="72"/>
        <v>1.6397999999999999</v>
      </c>
      <c r="J438" s="517">
        <f t="shared" si="73"/>
        <v>1.2</v>
      </c>
      <c r="K438" s="483" t="str">
        <f t="shared" si="74"/>
        <v>Sobresaliente</v>
      </c>
    </row>
    <row r="439" spans="1:11" x14ac:dyDescent="0.25">
      <c r="A439" s="489" t="s">
        <v>426</v>
      </c>
      <c r="B439" s="476">
        <v>44561</v>
      </c>
      <c r="C439" s="285" t="str">
        <f>+'Detalle Regiones'!BF116</f>
        <v>Bajo Cauca</v>
      </c>
      <c r="D439" s="293">
        <f>+'Detalle Regiones'!AX116</f>
        <v>3.1602914389799635</v>
      </c>
      <c r="E439" s="531">
        <f t="shared" si="70"/>
        <v>316.02914389799633</v>
      </c>
      <c r="F439" s="293">
        <f>+'Detalle Regiones'!AY116</f>
        <v>3.0446265938069219</v>
      </c>
      <c r="G439" s="533">
        <f t="shared" si="71"/>
        <v>304.46265938069217</v>
      </c>
      <c r="H439" s="285" t="s">
        <v>114</v>
      </c>
      <c r="I439" s="80">
        <f t="shared" si="72"/>
        <v>0.96340057636887622</v>
      </c>
      <c r="J439" s="517">
        <f t="shared" si="73"/>
        <v>0.96340057636887622</v>
      </c>
      <c r="K439" s="483" t="str">
        <f t="shared" si="74"/>
        <v>Satisfactorio</v>
      </c>
    </row>
    <row r="440" spans="1:11" x14ac:dyDescent="0.25">
      <c r="A440" s="489" t="s">
        <v>429</v>
      </c>
      <c r="B440" s="476">
        <v>44561</v>
      </c>
      <c r="C440" s="285" t="str">
        <f>+'Detalle Regiones'!BF117</f>
        <v>Bajo Cauca</v>
      </c>
      <c r="D440" s="293">
        <f>+'Detalle Regiones'!AX117</f>
        <v>7.333625218914186E-2</v>
      </c>
      <c r="E440" s="531">
        <f t="shared" si="70"/>
        <v>7.333625218914186</v>
      </c>
      <c r="F440" s="293">
        <f>+'Detalle Regiones'!AY117</f>
        <v>0.15762215717180816</v>
      </c>
      <c r="G440" s="533">
        <f t="shared" si="71"/>
        <v>15.762215717180815</v>
      </c>
      <c r="H440" s="285" t="s">
        <v>114</v>
      </c>
      <c r="I440" s="80">
        <f t="shared" si="72"/>
        <v>2.1493075043606558</v>
      </c>
      <c r="J440" s="517">
        <f t="shared" si="73"/>
        <v>1.2</v>
      </c>
      <c r="K440" s="483" t="str">
        <f t="shared" si="74"/>
        <v>Sobresaliente</v>
      </c>
    </row>
    <row r="441" spans="1:11" x14ac:dyDescent="0.25">
      <c r="A441" s="489" t="s">
        <v>356</v>
      </c>
      <c r="B441" s="476">
        <v>44561</v>
      </c>
      <c r="C441" s="285" t="str">
        <f>+'Detalle Regiones'!BF119</f>
        <v>Nordeste</v>
      </c>
      <c r="D441" s="293">
        <f>+'Detalle Regiones'!AX119</f>
        <v>1.2386081930163679</v>
      </c>
      <c r="E441" s="531">
        <f t="shared" si="70"/>
        <v>123.86081930163679</v>
      </c>
      <c r="F441" s="293">
        <f>+'Detalle Regiones'!AY119</f>
        <v>2.3238935779772398</v>
      </c>
      <c r="G441" s="533">
        <f t="shared" si="71"/>
        <v>232.38935779772399</v>
      </c>
      <c r="H441" s="285" t="s">
        <v>114</v>
      </c>
      <c r="I441" s="80">
        <f t="shared" si="72"/>
        <v>1.8762136332377144</v>
      </c>
      <c r="J441" s="517">
        <f t="shared" si="73"/>
        <v>1.2</v>
      </c>
      <c r="K441" s="483" t="str">
        <f t="shared" si="74"/>
        <v>Sobresaliente</v>
      </c>
    </row>
    <row r="442" spans="1:11" x14ac:dyDescent="0.25">
      <c r="A442" s="489" t="s">
        <v>428</v>
      </c>
      <c r="B442" s="476">
        <v>44561</v>
      </c>
      <c r="C442" s="285" t="str">
        <f>+'Detalle Regiones'!BF123</f>
        <v>Nordeste</v>
      </c>
      <c r="D442" s="576">
        <f>+'Detalle Regiones'!AX123</f>
        <v>-4.8898837105371795E-2</v>
      </c>
      <c r="E442" s="577">
        <f t="shared" si="70"/>
        <v>-4.8898837105371795</v>
      </c>
      <c r="F442" s="576">
        <f>+'Detalle Regiones'!AY123</f>
        <v>0.1489411376150942</v>
      </c>
      <c r="G442" s="578">
        <f t="shared" si="71"/>
        <v>14.89411376150942</v>
      </c>
      <c r="H442" s="285" t="s">
        <v>114</v>
      </c>
      <c r="I442" s="80">
        <f t="shared" si="72"/>
        <v>2.3283098134495264</v>
      </c>
      <c r="J442" s="517">
        <f t="shared" si="73"/>
        <v>1.2</v>
      </c>
      <c r="K442" s="483" t="str">
        <f t="shared" si="74"/>
        <v>Sobresaliente</v>
      </c>
    </row>
    <row r="443" spans="1:11" x14ac:dyDescent="0.25">
      <c r="A443" s="489" t="s">
        <v>427</v>
      </c>
      <c r="B443" s="476">
        <v>44561</v>
      </c>
      <c r="C443" s="285" t="str">
        <f>+'Detalle Regiones'!BF126</f>
        <v>Nordeste</v>
      </c>
      <c r="D443" s="576">
        <f>+'Detalle Regiones'!AX126</f>
        <v>-0.15533980582524276</v>
      </c>
      <c r="E443" s="577">
        <f t="shared" si="70"/>
        <v>-15.533980582524276</v>
      </c>
      <c r="F443" s="576">
        <f>+'Detalle Regiones'!AY126</f>
        <v>-4.7661076787290368E-2</v>
      </c>
      <c r="G443" s="578">
        <f t="shared" si="71"/>
        <v>-4.7661076787290373</v>
      </c>
      <c r="H443" s="285" t="s">
        <v>114</v>
      </c>
      <c r="I443" s="80">
        <f t="shared" si="72"/>
        <v>1.6931818181818183</v>
      </c>
      <c r="J443" s="517">
        <f t="shared" si="73"/>
        <v>1.2</v>
      </c>
      <c r="K443" s="483" t="str">
        <f t="shared" si="74"/>
        <v>Sobresaliente</v>
      </c>
    </row>
    <row r="444" spans="1:11" x14ac:dyDescent="0.25">
      <c r="A444" s="489" t="str">
        <f>+'Detalle Regiones'!BD121</f>
        <v>Crecimiento de nuevas empresas afiliadas</v>
      </c>
      <c r="B444" s="476">
        <v>44561</v>
      </c>
      <c r="C444" s="285" t="str">
        <f>+'Detalle Regiones'!BF121</f>
        <v>Nordeste</v>
      </c>
      <c r="D444" s="584">
        <f>+'Detalle Regiones'!AX121</f>
        <v>-0.4285714285714286</v>
      </c>
      <c r="E444" s="581">
        <f t="shared" si="70"/>
        <v>-42.857142857142861</v>
      </c>
      <c r="F444" s="584">
        <f>+'Detalle Regiones'!AY121</f>
        <v>-5.3571428571428603E-2</v>
      </c>
      <c r="G444" s="582">
        <f t="shared" si="71"/>
        <v>-5.3571428571428603</v>
      </c>
      <c r="H444" s="285" t="s">
        <v>114</v>
      </c>
      <c r="I444" s="80">
        <f t="shared" si="72"/>
        <v>1.875</v>
      </c>
      <c r="J444" s="517">
        <f t="shared" si="73"/>
        <v>1.2</v>
      </c>
      <c r="K444" s="483" t="str">
        <f t="shared" si="74"/>
        <v>Sobresaliente</v>
      </c>
    </row>
    <row r="445" spans="1:11" x14ac:dyDescent="0.25">
      <c r="A445" s="489" t="str">
        <f>+'Detalle Regiones'!BD124</f>
        <v>Cumplimiento de nuevos aportes</v>
      </c>
      <c r="B445" s="476">
        <v>44561</v>
      </c>
      <c r="C445" s="285" t="str">
        <f>+'Detalle Regiones'!BF124</f>
        <v>Nordeste</v>
      </c>
      <c r="D445" s="586">
        <v>1</v>
      </c>
      <c r="E445" s="574">
        <f t="shared" si="70"/>
        <v>100</v>
      </c>
      <c r="F445" s="586">
        <v>0.2465</v>
      </c>
      <c r="G445" s="575">
        <f t="shared" si="71"/>
        <v>24.65</v>
      </c>
      <c r="H445" s="285" t="s">
        <v>114</v>
      </c>
      <c r="I445" s="80">
        <f t="shared" si="72"/>
        <v>0.2465</v>
      </c>
      <c r="J445" s="517">
        <f t="shared" si="73"/>
        <v>0.2465</v>
      </c>
      <c r="K445" s="483" t="str">
        <f t="shared" si="74"/>
        <v>Incumple</v>
      </c>
    </row>
    <row r="446" spans="1:11" x14ac:dyDescent="0.25">
      <c r="A446" s="489" t="s">
        <v>425</v>
      </c>
      <c r="B446" s="476">
        <v>44561</v>
      </c>
      <c r="C446" s="285" t="str">
        <f>+'Detalle Regiones'!BF127</f>
        <v>Nordeste</v>
      </c>
      <c r="D446" s="586">
        <v>1</v>
      </c>
      <c r="E446" s="574">
        <f t="shared" si="70"/>
        <v>100</v>
      </c>
      <c r="F446" s="586">
        <v>0.45569999999999999</v>
      </c>
      <c r="G446" s="575">
        <f t="shared" si="71"/>
        <v>45.57</v>
      </c>
      <c r="H446" s="285" t="s">
        <v>114</v>
      </c>
      <c r="I446" s="80">
        <f t="shared" si="72"/>
        <v>0.45569999999999999</v>
      </c>
      <c r="J446" s="517">
        <f t="shared" si="73"/>
        <v>0.45569999999999999</v>
      </c>
      <c r="K446" s="483" t="str">
        <f t="shared" si="74"/>
        <v>Incumple</v>
      </c>
    </row>
    <row r="447" spans="1:11" x14ac:dyDescent="0.25">
      <c r="A447" s="489" t="s">
        <v>426</v>
      </c>
      <c r="B447" s="476">
        <v>44561</v>
      </c>
      <c r="C447" s="285" t="str">
        <f>+'Detalle Regiones'!BF128</f>
        <v>Nordeste</v>
      </c>
      <c r="D447" s="293">
        <f>+'Detalle Regiones'!AX128</f>
        <v>6.2992565055762073</v>
      </c>
      <c r="E447" s="531">
        <f t="shared" si="70"/>
        <v>629.92565055762077</v>
      </c>
      <c r="F447" s="293">
        <f>+'Detalle Regiones'!AY128</f>
        <v>5.529739776951673</v>
      </c>
      <c r="G447" s="533">
        <f t="shared" si="71"/>
        <v>552.97397769516726</v>
      </c>
      <c r="H447" s="285" t="s">
        <v>114</v>
      </c>
      <c r="I447" s="80">
        <f t="shared" si="72"/>
        <v>0.87784007081735038</v>
      </c>
      <c r="J447" s="517">
        <f t="shared" si="73"/>
        <v>0.87784007081735038</v>
      </c>
      <c r="K447" s="483" t="str">
        <f t="shared" si="74"/>
        <v>Tolerable</v>
      </c>
    </row>
    <row r="448" spans="1:11" x14ac:dyDescent="0.25">
      <c r="A448" s="489" t="s">
        <v>429</v>
      </c>
      <c r="B448" s="476">
        <v>44561</v>
      </c>
      <c r="C448" s="285" t="str">
        <f>+'Detalle Regiones'!BF129</f>
        <v>Nordeste</v>
      </c>
      <c r="D448" s="293">
        <f>+'Detalle Regiones'!AX129</f>
        <v>0.20295390883626177</v>
      </c>
      <c r="E448" s="531">
        <f t="shared" si="70"/>
        <v>20.295390883626176</v>
      </c>
      <c r="F448" s="293">
        <f>+'Detalle Regiones'!AY129</f>
        <v>0.11557073726159978</v>
      </c>
      <c r="G448" s="533">
        <f t="shared" si="71"/>
        <v>11.557073726159977</v>
      </c>
      <c r="H448" s="285" t="s">
        <v>114</v>
      </c>
      <c r="I448" s="80">
        <f t="shared" si="72"/>
        <v>0.56944326879084362</v>
      </c>
      <c r="J448" s="517">
        <f t="shared" si="73"/>
        <v>0.56944326879084362</v>
      </c>
      <c r="K448" s="483" t="str">
        <f t="shared" si="74"/>
        <v>Incumple</v>
      </c>
    </row>
    <row r="449" spans="1:11" x14ac:dyDescent="0.25">
      <c r="A449" s="489" t="s">
        <v>356</v>
      </c>
      <c r="B449" s="476">
        <v>44561</v>
      </c>
      <c r="C449" s="285" t="str">
        <f>+'Detalle Regiones'!BF131</f>
        <v>Magdalena Medio</v>
      </c>
      <c r="D449" s="293">
        <f>+'Detalle Regiones'!AX131</f>
        <v>2.1566293509792152</v>
      </c>
      <c r="E449" s="531">
        <f t="shared" si="70"/>
        <v>215.66293509792152</v>
      </c>
      <c r="F449" s="293">
        <f>+'Detalle Regiones'!AY131</f>
        <v>1.5946857260564018</v>
      </c>
      <c r="G449" s="533">
        <f t="shared" si="71"/>
        <v>159.46857260564019</v>
      </c>
      <c r="H449" s="285" t="s">
        <v>114</v>
      </c>
      <c r="I449" s="80">
        <f t="shared" si="72"/>
        <v>0.73943430535819077</v>
      </c>
      <c r="J449" s="517">
        <f t="shared" si="73"/>
        <v>0.73943430535819077</v>
      </c>
      <c r="K449" s="483" t="str">
        <f t="shared" si="74"/>
        <v>Incumple</v>
      </c>
    </row>
    <row r="450" spans="1:11" x14ac:dyDescent="0.25">
      <c r="A450" s="489" t="s">
        <v>428</v>
      </c>
      <c r="B450" s="476">
        <v>44561</v>
      </c>
      <c r="C450" s="285" t="str">
        <f>+'Detalle Regiones'!BF135</f>
        <v>Magdalena Medio</v>
      </c>
      <c r="D450" s="576">
        <f>+'Detalle Regiones'!AX135</f>
        <v>0.22246655470847809</v>
      </c>
      <c r="E450" s="577">
        <f t="shared" si="70"/>
        <v>22.246655470847809</v>
      </c>
      <c r="F450" s="576">
        <f>+'Detalle Regiones'!AY135</f>
        <v>0.40690130704770588</v>
      </c>
      <c r="G450" s="578">
        <f t="shared" si="71"/>
        <v>40.690130704770588</v>
      </c>
      <c r="H450" s="285" t="s">
        <v>114</v>
      </c>
      <c r="I450" s="80">
        <f t="shared" si="72"/>
        <v>1.8290448538698885</v>
      </c>
      <c r="J450" s="517">
        <f t="shared" si="73"/>
        <v>1.2</v>
      </c>
      <c r="K450" s="483" t="str">
        <f t="shared" si="74"/>
        <v>Sobresaliente</v>
      </c>
    </row>
    <row r="451" spans="1:11" x14ac:dyDescent="0.25">
      <c r="A451" s="489" t="s">
        <v>427</v>
      </c>
      <c r="B451" s="476">
        <v>44561</v>
      </c>
      <c r="C451" s="285" t="str">
        <f>+'Detalle Regiones'!BF138</f>
        <v>Magdalena Medio</v>
      </c>
      <c r="D451" s="576">
        <f>+'Detalle Regiones'!AX138</f>
        <v>-0.23454833597464342</v>
      </c>
      <c r="E451" s="577">
        <f t="shared" si="70"/>
        <v>-23.454833597464344</v>
      </c>
      <c r="F451" s="576">
        <f>+'Detalle Regiones'!AY138</f>
        <v>5.0713153724247118E-2</v>
      </c>
      <c r="G451" s="578">
        <f t="shared" si="71"/>
        <v>5.0713153724247118</v>
      </c>
      <c r="H451" s="285" t="s">
        <v>114</v>
      </c>
      <c r="I451" s="80">
        <f t="shared" si="72"/>
        <v>6.6250000000000098</v>
      </c>
      <c r="J451" s="517">
        <f t="shared" si="73"/>
        <v>1.2</v>
      </c>
      <c r="K451" s="483" t="str">
        <f t="shared" si="74"/>
        <v>Sobresaliente</v>
      </c>
    </row>
    <row r="452" spans="1:11" x14ac:dyDescent="0.25">
      <c r="A452" s="489" t="str">
        <f>+'Detalle Regiones'!BD133</f>
        <v>Crecimiento de nuevas empresas afiliadas</v>
      </c>
      <c r="B452" s="476">
        <v>44561</v>
      </c>
      <c r="C452" s="285" t="str">
        <f>+'Detalle Regiones'!BF133</f>
        <v>Magdalena Medio</v>
      </c>
      <c r="D452" s="584">
        <f>+'Detalle Regiones'!AX133</f>
        <v>0.5</v>
      </c>
      <c r="E452" s="581">
        <f t="shared" si="70"/>
        <v>50</v>
      </c>
      <c r="F452" s="584">
        <f>+'Detalle Regiones'!AY133</f>
        <v>-0.23333333333333328</v>
      </c>
      <c r="G452" s="582">
        <f t="shared" si="71"/>
        <v>-23.333333333333329</v>
      </c>
      <c r="H452" s="285" t="s">
        <v>114</v>
      </c>
      <c r="I452" s="80">
        <f t="shared" si="72"/>
        <v>-0.46666666666666656</v>
      </c>
      <c r="J452" s="517">
        <f t="shared" si="73"/>
        <v>0</v>
      </c>
      <c r="K452" s="483" t="str">
        <f t="shared" si="74"/>
        <v>Incumple</v>
      </c>
    </row>
    <row r="453" spans="1:11" x14ac:dyDescent="0.25">
      <c r="A453" s="489" t="str">
        <f>+'Detalle Regiones'!BD136</f>
        <v>Cumplimiento de nuevos aportes</v>
      </c>
      <c r="B453" s="476">
        <v>44561</v>
      </c>
      <c r="C453" s="285" t="str">
        <f>+'Detalle Regiones'!BF136</f>
        <v>Magdalena Medio</v>
      </c>
      <c r="D453" s="586">
        <v>1</v>
      </c>
      <c r="E453" s="574">
        <f t="shared" si="70"/>
        <v>100</v>
      </c>
      <c r="F453" s="586">
        <v>1.84</v>
      </c>
      <c r="G453" s="575">
        <f t="shared" si="71"/>
        <v>184</v>
      </c>
      <c r="H453" s="285" t="s">
        <v>114</v>
      </c>
      <c r="I453" s="80">
        <f t="shared" si="72"/>
        <v>1.84</v>
      </c>
      <c r="J453" s="517">
        <f t="shared" si="73"/>
        <v>1.2</v>
      </c>
      <c r="K453" s="483" t="str">
        <f t="shared" si="74"/>
        <v>Sobresaliente</v>
      </c>
    </row>
    <row r="454" spans="1:11" x14ac:dyDescent="0.25">
      <c r="A454" s="489" t="s">
        <v>425</v>
      </c>
      <c r="B454" s="476">
        <v>44561</v>
      </c>
      <c r="C454" s="285" t="str">
        <f>+'Detalle Regiones'!BF139</f>
        <v>Magdalena Medio</v>
      </c>
      <c r="D454" s="586">
        <v>1</v>
      </c>
      <c r="E454" s="574">
        <f t="shared" si="70"/>
        <v>100</v>
      </c>
      <c r="F454" s="586">
        <v>0.19389999999999999</v>
      </c>
      <c r="G454" s="575">
        <f t="shared" si="71"/>
        <v>19.39</v>
      </c>
      <c r="H454" s="285" t="s">
        <v>114</v>
      </c>
      <c r="I454" s="80">
        <f t="shared" si="72"/>
        <v>0.19389999999999999</v>
      </c>
      <c r="J454" s="517">
        <f t="shared" si="73"/>
        <v>0.19389999999999999</v>
      </c>
      <c r="K454" s="483" t="str">
        <f t="shared" si="74"/>
        <v>Incumple</v>
      </c>
    </row>
    <row r="455" spans="1:11" x14ac:dyDescent="0.25">
      <c r="A455" s="489" t="s">
        <v>426</v>
      </c>
      <c r="B455" s="476">
        <v>44561</v>
      </c>
      <c r="C455" s="285" t="str">
        <f>+'Detalle Regiones'!BF140</f>
        <v>Magdalena Medio</v>
      </c>
      <c r="D455" s="293">
        <f>+'Detalle Regiones'!AX140</f>
        <v>4.0234986945169711</v>
      </c>
      <c r="E455" s="531">
        <f t="shared" si="70"/>
        <v>402.34986945169709</v>
      </c>
      <c r="F455" s="293">
        <f>+'Detalle Regiones'!AY140</f>
        <v>1.5169712793733683</v>
      </c>
      <c r="G455" s="533">
        <f t="shared" si="71"/>
        <v>151.69712793733683</v>
      </c>
      <c r="H455" s="285" t="s">
        <v>114</v>
      </c>
      <c r="I455" s="80">
        <f t="shared" si="72"/>
        <v>0.37702790395846858</v>
      </c>
      <c r="J455" s="517">
        <f t="shared" si="73"/>
        <v>0.37702790395846858</v>
      </c>
      <c r="K455" s="483" t="str">
        <f t="shared" si="74"/>
        <v>Incumple</v>
      </c>
    </row>
    <row r="456" spans="1:11" x14ac:dyDescent="0.25">
      <c r="A456" s="489" t="s">
        <v>429</v>
      </c>
      <c r="B456" s="476">
        <v>44561</v>
      </c>
      <c r="C456" s="487" t="str">
        <f>+'Detalle Regiones'!BF141</f>
        <v>Magdalena Medio</v>
      </c>
      <c r="D456" s="491">
        <f>+'Detalle Regiones'!AX141</f>
        <v>0.23336798336798339</v>
      </c>
      <c r="E456" s="530">
        <f t="shared" si="70"/>
        <v>23.336798336798338</v>
      </c>
      <c r="F456" s="491">
        <f>+'Detalle Regiones'!AY141</f>
        <v>0.31639004149377592</v>
      </c>
      <c r="G456" s="532">
        <f t="shared" si="71"/>
        <v>31.639004149377591</v>
      </c>
      <c r="H456" s="487" t="s">
        <v>114</v>
      </c>
      <c r="I456" s="80">
        <f t="shared" si="72"/>
        <v>1.3557559907216588</v>
      </c>
      <c r="J456" s="518">
        <f t="shared" si="73"/>
        <v>1.2</v>
      </c>
      <c r="K456" s="488" t="str">
        <f t="shared" si="74"/>
        <v>Sobresaliente</v>
      </c>
    </row>
  </sheetData>
  <conditionalFormatting sqref="J112:J141 J93:J110 J143:J328 I329:J456">
    <cfRule type="cellIs" dxfId="44" priority="85" operator="lessThan">
      <formula>0.79999999</formula>
    </cfRule>
    <cfRule type="cellIs" dxfId="43" priority="86" operator="greaterThan">
      <formula>0.999999</formula>
    </cfRule>
    <cfRule type="cellIs" dxfId="42" priority="87" operator="between">
      <formula>0.94999999</formula>
      <formula>0.9999999</formula>
    </cfRule>
    <cfRule type="cellIs" dxfId="41" priority="88" operator="between">
      <formula>0.8</formula>
      <formula>0.94999999</formula>
    </cfRule>
  </conditionalFormatting>
  <conditionalFormatting sqref="J111">
    <cfRule type="cellIs" dxfId="40" priority="61" operator="lessThan">
      <formula>0.79999999</formula>
    </cfRule>
    <cfRule type="cellIs" dxfId="39" priority="62" operator="greaterThan">
      <formula>0.999999</formula>
    </cfRule>
    <cfRule type="cellIs" dxfId="38" priority="63" operator="between">
      <formula>0.94999999</formula>
      <formula>0.9999999</formula>
    </cfRule>
    <cfRule type="cellIs" dxfId="37" priority="64" operator="between">
      <formula>0.8</formula>
      <formula>0.94999999</formula>
    </cfRule>
  </conditionalFormatting>
  <conditionalFormatting sqref="J142">
    <cfRule type="cellIs" dxfId="36" priority="41" operator="lessThan">
      <formula>0.79999999</formula>
    </cfRule>
    <cfRule type="cellIs" dxfId="35" priority="42" operator="greaterThan">
      <formula>0.999999</formula>
    </cfRule>
    <cfRule type="cellIs" dxfId="34" priority="43" operator="between">
      <formula>0.94999999</formula>
      <formula>0.9999999</formula>
    </cfRule>
    <cfRule type="cellIs" dxfId="33" priority="44" operator="between">
      <formula>0.8</formula>
      <formula>0.94999999</formula>
    </cfRule>
  </conditionalFormatting>
  <conditionalFormatting sqref="I93:I328">
    <cfRule type="cellIs" dxfId="32" priority="33" operator="lessThan">
      <formula>0.79999999</formula>
    </cfRule>
    <cfRule type="cellIs" dxfId="31" priority="34" operator="greaterThan">
      <formula>0.999999</formula>
    </cfRule>
    <cfRule type="cellIs" dxfId="30" priority="35" operator="between">
      <formula>0.94999999</formula>
      <formula>0.9999999</formula>
    </cfRule>
    <cfRule type="cellIs" dxfId="29" priority="36" operator="between">
      <formula>0.8</formula>
      <formula>0.94999999</formula>
    </cfRule>
  </conditionalFormatting>
  <conditionalFormatting sqref="J51">
    <cfRule type="cellIs" dxfId="28" priority="5" operator="lessThan">
      <formula>0.79999999</formula>
    </cfRule>
    <cfRule type="cellIs" dxfId="27" priority="6" operator="greaterThan">
      <formula>0.999999</formula>
    </cfRule>
    <cfRule type="cellIs" dxfId="26" priority="7" operator="between">
      <formula>0.94999999</formula>
      <formula>0.9999999</formula>
    </cfRule>
    <cfRule type="cellIs" dxfId="25" priority="8" operator="between">
      <formula>0.8</formula>
      <formula>0.94999999</formula>
    </cfRule>
  </conditionalFormatting>
  <conditionalFormatting sqref="I2:I92">
    <cfRule type="cellIs" dxfId="24" priority="1" operator="lessThan">
      <formula>0.79999999</formula>
    </cfRule>
    <cfRule type="cellIs" dxfId="23" priority="2" operator="greaterThan">
      <formula>0.999999</formula>
    </cfRule>
    <cfRule type="cellIs" dxfId="22" priority="3" operator="between">
      <formula>0.94999999</formula>
      <formula>0.9999999</formula>
    </cfRule>
    <cfRule type="cellIs" dxfId="21" priority="4" operator="between">
      <formula>0.8</formula>
      <formula>0.94999999</formula>
    </cfRule>
  </conditionalFormatting>
  <conditionalFormatting sqref="J21:J50 J2:J19 J52:J92">
    <cfRule type="cellIs" dxfId="20" priority="13" operator="lessThan">
      <formula>0.79999999</formula>
    </cfRule>
    <cfRule type="cellIs" dxfId="19" priority="14" operator="greaterThan">
      <formula>0.999999</formula>
    </cfRule>
    <cfRule type="cellIs" dxfId="18" priority="15" operator="between">
      <formula>0.94999999</formula>
      <formula>0.9999999</formula>
    </cfRule>
    <cfRule type="cellIs" dxfId="17" priority="16" operator="between">
      <formula>0.8</formula>
      <formula>0.94999999</formula>
    </cfRule>
  </conditionalFormatting>
  <conditionalFormatting sqref="J20">
    <cfRule type="cellIs" dxfId="16" priority="9" operator="lessThan">
      <formula>0.79999999</formula>
    </cfRule>
    <cfRule type="cellIs" dxfId="15" priority="10" operator="greaterThan">
      <formula>0.999999</formula>
    </cfRule>
    <cfRule type="cellIs" dxfId="14" priority="11" operator="between">
      <formula>0.94999999</formula>
      <formula>0.9999999</formula>
    </cfRule>
    <cfRule type="cellIs" dxfId="13" priority="12" operator="between">
      <formula>0.8</formula>
      <formula>0.94999999</formula>
    </cfRule>
  </conditionalFormatting>
  <dataValidations count="1">
    <dataValidation type="list" allowBlank="1" showInputMessage="1" showErrorMessage="1" sqref="H2:H456" xr:uid="{0D225A39-F453-44C5-90C4-F8ABF4671C8F}">
      <formula1>"Creciente,Decreciente"</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65BF-D825-4B6B-BF95-1B737016B45C}">
  <sheetPr>
    <tabColor theme="9" tint="0.59999389629810485"/>
  </sheetPr>
  <dimension ref="A1:BP189"/>
  <sheetViews>
    <sheetView showGridLines="0" zoomScaleNormal="100" workbookViewId="0">
      <pane xSplit="2" ySplit="3" topLeftCell="AO61" activePane="bottomRight" state="frozen"/>
      <selection pane="topRight" activeCell="D1" sqref="D1"/>
      <selection pane="bottomLeft" activeCell="A4" sqref="A4"/>
      <selection pane="bottomRight" activeCell="AX51" sqref="AX51"/>
    </sheetView>
  </sheetViews>
  <sheetFormatPr baseColWidth="10" defaultColWidth="11.42578125" defaultRowHeight="15" x14ac:dyDescent="0.25"/>
  <cols>
    <col min="1" max="1" width="9" customWidth="1"/>
    <col min="2" max="2" width="38.5703125" style="65" customWidth="1"/>
    <col min="3" max="4" width="14.7109375" hidden="1" customWidth="1"/>
    <col min="5" max="5" width="7.7109375" hidden="1" customWidth="1"/>
    <col min="6" max="6" width="7.85546875" hidden="1" customWidth="1"/>
    <col min="7" max="8" width="14.7109375" hidden="1" customWidth="1"/>
    <col min="9" max="10" width="7.7109375" hidden="1" customWidth="1"/>
    <col min="11" max="12" width="14.7109375" hidden="1" customWidth="1"/>
    <col min="13" max="13" width="7.7109375" hidden="1" customWidth="1"/>
    <col min="14" max="14" width="7.85546875" hidden="1" customWidth="1"/>
    <col min="15" max="15" width="11.42578125" hidden="1" customWidth="1"/>
    <col min="16" max="17" width="15.7109375" hidden="1" customWidth="1"/>
    <col min="18" max="19" width="7.7109375" hidden="1" customWidth="1"/>
    <col min="20" max="21" width="15.7109375" hidden="1" customWidth="1"/>
    <col min="22" max="23" width="7.7109375" hidden="1" customWidth="1"/>
    <col min="24" max="25" width="15.7109375" hidden="1" customWidth="1"/>
    <col min="26" max="26" width="8.85546875" hidden="1" customWidth="1"/>
    <col min="27" max="27" width="7.7109375" hidden="1" customWidth="1"/>
    <col min="28" max="28" width="11.42578125" hidden="1" customWidth="1"/>
    <col min="29" max="30" width="15.7109375" hidden="1" customWidth="1"/>
    <col min="31" max="32" width="11.5703125" hidden="1" customWidth="1"/>
    <col min="33" max="35" width="15.7109375" hidden="1" customWidth="1"/>
    <col min="36" max="36" width="11.5703125" hidden="1" customWidth="1"/>
    <col min="37" max="38" width="15.7109375" hidden="1" customWidth="1"/>
    <col min="39" max="40" width="11.42578125" hidden="1" customWidth="1"/>
    <col min="41" max="41" width="11.42578125" customWidth="1"/>
    <col min="42" max="43" width="15.7109375" hidden="1" customWidth="1"/>
    <col min="44" max="45" width="0" hidden="1" customWidth="1"/>
    <col min="46" max="46" width="15.7109375" hidden="1" customWidth="1"/>
    <col min="47" max="47" width="14.7109375" hidden="1" customWidth="1"/>
    <col min="48" max="49" width="0" hidden="1" customWidth="1"/>
    <col min="50" max="51" width="15.7109375" bestFit="1" customWidth="1"/>
    <col min="53" max="53" width="11.42578125" style="239"/>
    <col min="56" max="56" width="42.5703125" customWidth="1"/>
    <col min="57" max="59" width="11.42578125" customWidth="1"/>
    <col min="66" max="66" width="21.5703125" bestFit="1" customWidth="1"/>
  </cols>
  <sheetData>
    <row r="1" spans="1:68" ht="17.25" customHeight="1" thickBot="1" x14ac:dyDescent="0.3">
      <c r="K1" s="66" t="s">
        <v>43</v>
      </c>
      <c r="L1" s="641" t="s">
        <v>4</v>
      </c>
      <c r="M1" s="641"/>
      <c r="N1" s="641"/>
    </row>
    <row r="2" spans="1:68" ht="15" customHeight="1" x14ac:dyDescent="0.25">
      <c r="C2" s="642" t="s">
        <v>44</v>
      </c>
      <c r="D2" s="643"/>
      <c r="E2" s="643"/>
      <c r="F2" s="644"/>
      <c r="G2" s="642" t="s">
        <v>45</v>
      </c>
      <c r="H2" s="643"/>
      <c r="I2" s="643"/>
      <c r="J2" s="644"/>
      <c r="K2" s="642" t="s">
        <v>46</v>
      </c>
      <c r="L2" s="643"/>
      <c r="M2" s="643"/>
      <c r="N2" s="644"/>
      <c r="P2" s="645" t="s">
        <v>47</v>
      </c>
      <c r="Q2" s="646"/>
      <c r="R2" s="646"/>
      <c r="S2" s="647"/>
      <c r="T2" s="645" t="s">
        <v>48</v>
      </c>
      <c r="U2" s="646"/>
      <c r="V2" s="646"/>
      <c r="W2" s="647"/>
      <c r="X2" s="645" t="s">
        <v>49</v>
      </c>
      <c r="Y2" s="646"/>
      <c r="Z2" s="646"/>
      <c r="AA2" s="647"/>
      <c r="AC2" s="645" t="s">
        <v>50</v>
      </c>
      <c r="AD2" s="646"/>
      <c r="AE2" s="646"/>
      <c r="AF2" s="647"/>
      <c r="AG2" s="645" t="s">
        <v>51</v>
      </c>
      <c r="AH2" s="646"/>
      <c r="AI2" s="646"/>
      <c r="AJ2" s="647"/>
      <c r="AK2" s="645" t="s">
        <v>52</v>
      </c>
      <c r="AL2" s="646"/>
      <c r="AM2" s="646"/>
      <c r="AN2" s="647"/>
      <c r="AP2" s="645" t="s">
        <v>53</v>
      </c>
      <c r="AQ2" s="646"/>
      <c r="AR2" s="646"/>
      <c r="AS2" s="647"/>
      <c r="AT2" s="645" t="s">
        <v>54</v>
      </c>
      <c r="AU2" s="646"/>
      <c r="AV2" s="646"/>
      <c r="AW2" s="647"/>
      <c r="AX2" s="645" t="s">
        <v>55</v>
      </c>
      <c r="AY2" s="646"/>
      <c r="AZ2" s="646"/>
    </row>
    <row r="3" spans="1:68" ht="26.25" customHeight="1" thickBot="1" x14ac:dyDescent="0.3">
      <c r="C3" s="67" t="s">
        <v>56</v>
      </c>
      <c r="D3" s="68" t="s">
        <v>1</v>
      </c>
      <c r="E3" s="68" t="s">
        <v>2</v>
      </c>
      <c r="F3" s="69" t="s">
        <v>57</v>
      </c>
      <c r="G3" s="67" t="s">
        <v>56</v>
      </c>
      <c r="H3" s="68" t="s">
        <v>1</v>
      </c>
      <c r="I3" s="68" t="s">
        <v>2</v>
      </c>
      <c r="J3" s="69" t="s">
        <v>57</v>
      </c>
      <c r="K3" s="67" t="s">
        <v>56</v>
      </c>
      <c r="L3" s="68" t="s">
        <v>1</v>
      </c>
      <c r="M3" s="68" t="s">
        <v>2</v>
      </c>
      <c r="N3" s="69" t="s">
        <v>57</v>
      </c>
      <c r="P3" s="6" t="s">
        <v>56</v>
      </c>
      <c r="Q3" s="70" t="s">
        <v>1</v>
      </c>
      <c r="R3" s="70" t="s">
        <v>2</v>
      </c>
      <c r="S3" s="7" t="s">
        <v>57</v>
      </c>
      <c r="T3" s="6" t="s">
        <v>56</v>
      </c>
      <c r="U3" s="70" t="s">
        <v>1</v>
      </c>
      <c r="V3" s="70" t="s">
        <v>2</v>
      </c>
      <c r="W3" s="7" t="s">
        <v>57</v>
      </c>
      <c r="X3" s="6" t="s">
        <v>56</v>
      </c>
      <c r="Y3" s="70" t="s">
        <v>1</v>
      </c>
      <c r="Z3" s="70" t="s">
        <v>2</v>
      </c>
      <c r="AA3" s="7" t="s">
        <v>57</v>
      </c>
      <c r="AC3" s="6" t="s">
        <v>56</v>
      </c>
      <c r="AD3" s="70" t="s">
        <v>1</v>
      </c>
      <c r="AE3" s="70" t="s">
        <v>2</v>
      </c>
      <c r="AF3" s="7" t="s">
        <v>57</v>
      </c>
      <c r="AG3" s="6" t="s">
        <v>56</v>
      </c>
      <c r="AH3" s="70" t="s">
        <v>1</v>
      </c>
      <c r="AI3" s="70" t="s">
        <v>2</v>
      </c>
      <c r="AJ3" s="7" t="s">
        <v>57</v>
      </c>
      <c r="AK3" s="6" t="s">
        <v>56</v>
      </c>
      <c r="AL3" s="70" t="s">
        <v>1</v>
      </c>
      <c r="AM3" s="70" t="s">
        <v>2</v>
      </c>
      <c r="AN3" s="7" t="s">
        <v>57</v>
      </c>
      <c r="AP3" s="6" t="s">
        <v>56</v>
      </c>
      <c r="AQ3" s="70" t="s">
        <v>1</v>
      </c>
      <c r="AR3" s="70" t="s">
        <v>2</v>
      </c>
      <c r="AS3" s="7" t="s">
        <v>57</v>
      </c>
      <c r="AT3" s="6" t="s">
        <v>56</v>
      </c>
      <c r="AU3" s="70" t="s">
        <v>1</v>
      </c>
      <c r="AV3" s="70" t="s">
        <v>2</v>
      </c>
      <c r="AW3" s="7" t="s">
        <v>57</v>
      </c>
      <c r="AX3" s="6" t="s">
        <v>56</v>
      </c>
      <c r="AY3" s="70" t="s">
        <v>1</v>
      </c>
      <c r="AZ3" s="70" t="s">
        <v>2</v>
      </c>
    </row>
    <row r="4" spans="1:68" ht="12" customHeight="1" thickBot="1" x14ac:dyDescent="0.3">
      <c r="B4"/>
      <c r="C4" s="71"/>
    </row>
    <row r="5" spans="1:68" s="9" customFormat="1" ht="14.25" customHeight="1" x14ac:dyDescent="0.25">
      <c r="A5" s="651" t="s">
        <v>58</v>
      </c>
      <c r="B5" s="72" t="s">
        <v>59</v>
      </c>
      <c r="C5" s="73">
        <v>4.7027007902866291E-2</v>
      </c>
      <c r="D5" s="73">
        <v>-0.52048575560204746</v>
      </c>
      <c r="E5" s="74">
        <f>+D5/C5</f>
        <v>-11.067805051027367</v>
      </c>
      <c r="F5" s="75" t="s">
        <v>28</v>
      </c>
      <c r="G5" s="74">
        <v>-0.70826434702338747</v>
      </c>
      <c r="H5" s="74">
        <v>-0.75280141233882558</v>
      </c>
      <c r="I5" s="74">
        <f t="shared" ref="I5:I6" si="0">+H5/G5</f>
        <v>1.0628819811453356</v>
      </c>
      <c r="J5" s="74" t="s">
        <v>28</v>
      </c>
      <c r="K5" s="74">
        <v>1.6891256813343247E-2</v>
      </c>
      <c r="L5" s="74">
        <v>-0.67964425896637559</v>
      </c>
      <c r="M5" s="74">
        <f t="shared" ref="M5:M6" si="1">+L5/K5</f>
        <v>-40.236452886649069</v>
      </c>
      <c r="N5" s="74" t="s">
        <v>28</v>
      </c>
      <c r="O5" s="31"/>
      <c r="AP5" s="76">
        <v>0.38933925483156884</v>
      </c>
      <c r="AQ5" s="77">
        <v>1.1134821536750628</v>
      </c>
      <c r="AR5" s="13">
        <f>+IF(AP5&lt;0,1-(AQ5-AP5)/AP5,AQ5/AP5)</f>
        <v>2.8599277875455011</v>
      </c>
      <c r="AS5" s="78"/>
      <c r="AT5" s="78"/>
      <c r="AU5" s="78"/>
      <c r="AV5" s="78"/>
      <c r="AW5" s="79"/>
      <c r="AX5" s="240">
        <v>0.38933925483156884</v>
      </c>
      <c r="AY5" s="240">
        <v>1.1134821536750628</v>
      </c>
      <c r="AZ5" s="13">
        <f>+IF(AX5&lt;0,1-(AY5-AX5)/AX5,AY5/AX5)</f>
        <v>2.8599277875455011</v>
      </c>
      <c r="BA5" s="239" t="str">
        <f t="shared" ref="BA5:BA16" si="2">+IF(AY5&gt;=AX5,"cumple","revisar")</f>
        <v>cumple</v>
      </c>
      <c r="BD5" s="9" t="str">
        <f>+B5</f>
        <v>Crecimiento de ingresos (negocios)</v>
      </c>
      <c r="BE5" s="9" t="str">
        <f>+IF(AZ5&lt;79.99999%,"Incumple",IF(AND(AZ5&gt;=80%,AZ5&lt;94.999999%),"Tolerable",IF(AND(AZ5&gt;=95%,AZ5&lt;100%),"Satisfactorio","Sobresaliente")))</f>
        <v>Sobresaliente</v>
      </c>
      <c r="BF5" s="9" t="s">
        <v>60</v>
      </c>
      <c r="BG5" s="81">
        <f>+AZ5</f>
        <v>2.8599277875455011</v>
      </c>
      <c r="BN5" s="56" t="s">
        <v>29</v>
      </c>
      <c r="BO5" s="656" t="s">
        <v>30</v>
      </c>
      <c r="BP5" s="657"/>
    </row>
    <row r="6" spans="1:68" ht="14.25" customHeight="1" x14ac:dyDescent="0.25">
      <c r="A6" s="652"/>
      <c r="B6" s="82" t="s">
        <v>61</v>
      </c>
      <c r="C6" s="83">
        <v>5</v>
      </c>
      <c r="D6" s="83">
        <v>5</v>
      </c>
      <c r="E6" s="84">
        <f t="shared" ref="E6" si="3">+D6/C6</f>
        <v>1</v>
      </c>
      <c r="F6" s="83" t="s">
        <v>28</v>
      </c>
      <c r="G6" s="83">
        <v>5</v>
      </c>
      <c r="H6" s="83">
        <v>5</v>
      </c>
      <c r="I6" s="84">
        <f t="shared" si="0"/>
        <v>1</v>
      </c>
      <c r="J6" s="74" t="s">
        <v>28</v>
      </c>
      <c r="K6" s="83">
        <v>5</v>
      </c>
      <c r="L6" s="83">
        <v>5</v>
      </c>
      <c r="M6" s="84">
        <f t="shared" si="1"/>
        <v>1</v>
      </c>
      <c r="N6" s="74" t="s">
        <v>28</v>
      </c>
      <c r="O6" s="27"/>
      <c r="P6" s="83">
        <v>5</v>
      </c>
      <c r="Q6" s="85">
        <v>5</v>
      </c>
      <c r="R6" s="86">
        <f>+Q6/P6</f>
        <v>1</v>
      </c>
      <c r="S6" s="74" t="s">
        <v>28</v>
      </c>
      <c r="T6" s="85">
        <v>5</v>
      </c>
      <c r="U6" s="85">
        <v>5</v>
      </c>
      <c r="V6" s="74">
        <f>+U6/T6</f>
        <v>1</v>
      </c>
      <c r="W6" s="74" t="s">
        <v>28</v>
      </c>
      <c r="X6" s="85">
        <v>5</v>
      </c>
      <c r="Y6" s="85">
        <v>5</v>
      </c>
      <c r="Z6" s="74">
        <f t="shared" ref="Z6:Z7" si="4">+Y6/X6</f>
        <v>1</v>
      </c>
      <c r="AA6" s="74" t="s">
        <v>28</v>
      </c>
      <c r="AC6" s="83">
        <v>5</v>
      </c>
      <c r="AD6" s="85">
        <v>5</v>
      </c>
      <c r="AE6" s="86">
        <f>+AD6/AC6</f>
        <v>1</v>
      </c>
      <c r="AF6" s="74" t="s">
        <v>28</v>
      </c>
      <c r="AG6" s="85">
        <v>5</v>
      </c>
      <c r="AH6" s="85">
        <v>5</v>
      </c>
      <c r="AI6" s="74">
        <f>+AH6/AG6</f>
        <v>1</v>
      </c>
      <c r="AJ6" s="74" t="s">
        <v>28</v>
      </c>
      <c r="AK6" s="85">
        <v>5</v>
      </c>
      <c r="AL6" s="85">
        <v>5</v>
      </c>
      <c r="AM6" s="74">
        <f t="shared" ref="AM6:AM7" si="5">+AL6/AK6</f>
        <v>1</v>
      </c>
      <c r="AN6" s="74" t="s">
        <v>28</v>
      </c>
      <c r="AP6" s="87">
        <v>5</v>
      </c>
      <c r="AQ6" s="88">
        <v>5</v>
      </c>
      <c r="AR6" s="89">
        <f>+AQ6/AP6</f>
        <v>1</v>
      </c>
      <c r="AS6" s="90" t="s">
        <v>28</v>
      </c>
      <c r="AT6" s="88">
        <v>5</v>
      </c>
      <c r="AU6" s="88">
        <v>5</v>
      </c>
      <c r="AV6" s="90">
        <f>+AU6/AT6</f>
        <v>1</v>
      </c>
      <c r="AW6" s="91" t="s">
        <v>28</v>
      </c>
      <c r="AX6" s="83">
        <v>5</v>
      </c>
      <c r="AY6" s="83">
        <v>5</v>
      </c>
      <c r="AZ6" s="13">
        <f t="shared" ref="AZ6:AZ16" si="6">+IF(AX6&lt;0,1-(AY6-AX6)/AX6,AY6/AX6)</f>
        <v>1</v>
      </c>
      <c r="BA6" s="239" t="str">
        <f t="shared" si="2"/>
        <v>cumple</v>
      </c>
      <c r="BD6" s="9" t="str">
        <f t="shared" ref="BD6:BD29" si="7">+B6</f>
        <v>Conservación empresas pareto (97)</v>
      </c>
      <c r="BE6" s="9" t="str">
        <f t="shared" ref="BE6:BE29" si="8">+IF(AZ6&lt;79.99999%,"Incumple",IF(AND(AZ6&gt;=80%,AZ6&lt;94.999999%),"Tolerable",IF(AND(AZ6&gt;=95%,AZ6&lt;100%),"Satisfactorio","Sobresaliente")))</f>
        <v>Sobresaliente</v>
      </c>
      <c r="BF6" s="9" t="s">
        <v>60</v>
      </c>
      <c r="BG6" s="81">
        <f t="shared" ref="BG6:BG29" si="9">+AZ6</f>
        <v>1</v>
      </c>
      <c r="BN6" s="57" t="s">
        <v>31</v>
      </c>
      <c r="BO6" s="58" t="s">
        <v>32</v>
      </c>
      <c r="BP6" s="58"/>
    </row>
    <row r="7" spans="1:68" ht="14.25" customHeight="1" x14ac:dyDescent="0.25">
      <c r="A7" s="653"/>
      <c r="B7" s="82" t="s">
        <v>62</v>
      </c>
      <c r="C7" s="83">
        <v>20</v>
      </c>
      <c r="D7" s="92">
        <v>27</v>
      </c>
      <c r="E7" s="84">
        <f>+D7/C7</f>
        <v>1.35</v>
      </c>
      <c r="F7" s="93">
        <f>+D7/10-1</f>
        <v>1.7000000000000002</v>
      </c>
      <c r="G7" s="83">
        <v>42</v>
      </c>
      <c r="H7" s="83">
        <v>65</v>
      </c>
      <c r="I7" s="84">
        <f>+H7/G7</f>
        <v>1.5476190476190477</v>
      </c>
      <c r="J7" s="93">
        <f>+H7/19-1</f>
        <v>2.4210526315789473</v>
      </c>
      <c r="K7" s="94">
        <v>61</v>
      </c>
      <c r="L7" s="94">
        <v>104</v>
      </c>
      <c r="M7" s="84">
        <f>+L7/K7</f>
        <v>1.7049180327868851</v>
      </c>
      <c r="N7" s="93">
        <f>+L7/33-1</f>
        <v>2.1515151515151514</v>
      </c>
      <c r="O7" s="27"/>
      <c r="P7" s="83">
        <v>81</v>
      </c>
      <c r="Q7" s="85">
        <v>143</v>
      </c>
      <c r="R7" s="86">
        <f>+Q7/P7</f>
        <v>1.7654320987654322</v>
      </c>
      <c r="S7" s="74">
        <f>Q7/56-1</f>
        <v>1.5535714285714284</v>
      </c>
      <c r="T7" s="85">
        <v>99</v>
      </c>
      <c r="U7" s="85">
        <v>179</v>
      </c>
      <c r="V7" s="74">
        <f>+U7/T7</f>
        <v>1.8080808080808082</v>
      </c>
      <c r="W7" s="74">
        <f>U7/68-1</f>
        <v>1.6323529411764706</v>
      </c>
      <c r="X7" s="85">
        <v>115</v>
      </c>
      <c r="Y7" s="85">
        <v>203</v>
      </c>
      <c r="Z7" s="74">
        <f t="shared" si="4"/>
        <v>1.7652173913043478</v>
      </c>
      <c r="AA7" s="95">
        <f>Y7/77-1</f>
        <v>1.6363636363636362</v>
      </c>
      <c r="AB7" t="s">
        <v>63</v>
      </c>
      <c r="AC7" s="83">
        <v>133</v>
      </c>
      <c r="AD7" s="85">
        <v>237</v>
      </c>
      <c r="AE7" s="86">
        <f>+AD7/AC7</f>
        <v>1.7819548872180451</v>
      </c>
      <c r="AF7" s="74">
        <f>AD7/89-1</f>
        <v>1.6629213483146068</v>
      </c>
      <c r="AG7" s="85">
        <v>156</v>
      </c>
      <c r="AH7" s="85">
        <v>275</v>
      </c>
      <c r="AI7" s="74">
        <f>+AH7/AG7</f>
        <v>1.7628205128205128</v>
      </c>
      <c r="AJ7" s="74">
        <f>AH7/101-1</f>
        <v>1.722772277227723</v>
      </c>
      <c r="AK7" s="85">
        <v>177</v>
      </c>
      <c r="AL7" s="85">
        <v>311</v>
      </c>
      <c r="AM7" s="74">
        <f t="shared" si="5"/>
        <v>1.7570621468926553</v>
      </c>
      <c r="AN7" s="95">
        <f>AL7/113-1</f>
        <v>1.752212389380531</v>
      </c>
      <c r="AP7" s="83">
        <v>198</v>
      </c>
      <c r="AQ7" s="85">
        <v>341</v>
      </c>
      <c r="AR7" s="13">
        <f>+AQ7/AP7</f>
        <v>1.7222222222222223</v>
      </c>
      <c r="AS7" s="74">
        <f>AQ7/130-1</f>
        <v>1.6230769230769231</v>
      </c>
      <c r="AT7" s="83">
        <v>218</v>
      </c>
      <c r="AU7" s="85">
        <v>362</v>
      </c>
      <c r="AV7" s="74">
        <f>+AU7/AT7</f>
        <v>1.6605504587155964</v>
      </c>
      <c r="AW7" s="96">
        <f>AU7/148-1</f>
        <v>1.4459459459459461</v>
      </c>
      <c r="AX7" s="83">
        <v>234</v>
      </c>
      <c r="AY7" s="83">
        <v>381</v>
      </c>
      <c r="AZ7" s="13">
        <f t="shared" si="6"/>
        <v>1.6282051282051282</v>
      </c>
      <c r="BA7" s="239" t="str">
        <f t="shared" si="2"/>
        <v>cumple</v>
      </c>
      <c r="BD7" s="9" t="str">
        <f t="shared" si="7"/>
        <v>Cumplimiento de nuevas empresas afiliadas</v>
      </c>
      <c r="BE7" s="9" t="str">
        <f t="shared" si="8"/>
        <v>Sobresaliente</v>
      </c>
      <c r="BF7" s="9" t="s">
        <v>60</v>
      </c>
      <c r="BG7" s="81">
        <f t="shared" si="9"/>
        <v>1.6282051282051282</v>
      </c>
      <c r="BN7" s="59" t="s">
        <v>35</v>
      </c>
      <c r="BO7" s="60">
        <v>95</v>
      </c>
      <c r="BP7" s="60">
        <v>100</v>
      </c>
    </row>
    <row r="8" spans="1:68" ht="14.25" customHeight="1" x14ac:dyDescent="0.25">
      <c r="A8" s="653"/>
      <c r="B8" s="82" t="s">
        <v>64</v>
      </c>
      <c r="C8" s="97">
        <f>C7/10-1</f>
        <v>1</v>
      </c>
      <c r="D8" s="97">
        <f>D7/10-1</f>
        <v>1.7000000000000002</v>
      </c>
      <c r="E8" s="84">
        <f>+D8/C8</f>
        <v>1.7000000000000002</v>
      </c>
      <c r="F8" s="83" t="s">
        <v>28</v>
      </c>
      <c r="G8" s="97">
        <f>(G7)/19-1</f>
        <v>1.2105263157894739</v>
      </c>
      <c r="H8" s="97">
        <f>(H7)/19-1</f>
        <v>2.4210526315789473</v>
      </c>
      <c r="I8" s="84">
        <f>+H8/G8</f>
        <v>1.9999999999999996</v>
      </c>
      <c r="J8" s="83" t="s">
        <v>28</v>
      </c>
      <c r="K8" s="97">
        <f>(K7)/33-1</f>
        <v>0.8484848484848484</v>
      </c>
      <c r="L8" s="97">
        <f>(L7)/33-1</f>
        <v>2.1515151515151514</v>
      </c>
      <c r="M8" s="84">
        <f>+L8/K8</f>
        <v>2.535714285714286</v>
      </c>
      <c r="N8" s="83" t="s">
        <v>28</v>
      </c>
      <c r="O8" s="27"/>
      <c r="P8" s="97">
        <f>P7/56-1</f>
        <v>0.4464285714285714</v>
      </c>
      <c r="Q8" s="97">
        <f>Q7/56-1</f>
        <v>1.5535714285714284</v>
      </c>
      <c r="R8" s="84">
        <f>+Q8/P8</f>
        <v>3.48</v>
      </c>
      <c r="S8" s="83" t="s">
        <v>28</v>
      </c>
      <c r="T8" s="97">
        <f>T7/68-1</f>
        <v>0.45588235294117641</v>
      </c>
      <c r="U8" s="97">
        <f>U7/68-1</f>
        <v>1.6323529411764706</v>
      </c>
      <c r="V8" s="84">
        <f>+U8/T8</f>
        <v>3.580645161290323</v>
      </c>
      <c r="W8" s="83" t="s">
        <v>28</v>
      </c>
      <c r="X8" s="98">
        <f>X7/77-1</f>
        <v>0.49350649350649345</v>
      </c>
      <c r="Y8" s="98">
        <f>Y7/77-1</f>
        <v>1.6363636363636362</v>
      </c>
      <c r="Z8" s="95">
        <f>+Y8/X8</f>
        <v>3.3157894736842106</v>
      </c>
      <c r="AA8" s="83" t="s">
        <v>28</v>
      </c>
      <c r="AC8" s="97">
        <f>AC7/89-1</f>
        <v>0.49438202247191021</v>
      </c>
      <c r="AD8" s="97">
        <f>AD7/89-1</f>
        <v>1.6629213483146068</v>
      </c>
      <c r="AE8" s="84">
        <f>+AD8/AC8</f>
        <v>3.3636363636363633</v>
      </c>
      <c r="AF8" s="83" t="s">
        <v>28</v>
      </c>
      <c r="AG8" s="97">
        <f>AG7/101-1</f>
        <v>0.54455445544554459</v>
      </c>
      <c r="AH8" s="97">
        <f>AH7/101-1</f>
        <v>1.722772277227723</v>
      </c>
      <c r="AI8" s="84">
        <f>+AH8/AG8</f>
        <v>3.1636363636363636</v>
      </c>
      <c r="AJ8" s="83" t="s">
        <v>28</v>
      </c>
      <c r="AK8" s="98">
        <f>AK7/113-1</f>
        <v>0.5663716814159292</v>
      </c>
      <c r="AL8" s="98">
        <f>AL7/113-1</f>
        <v>1.752212389380531</v>
      </c>
      <c r="AM8" s="95">
        <f>+AL8/AK8</f>
        <v>3.09375</v>
      </c>
      <c r="AN8" s="83" t="s">
        <v>28</v>
      </c>
      <c r="AP8" s="97">
        <f>AP7/130-1</f>
        <v>0.52307692307692299</v>
      </c>
      <c r="AQ8" s="97">
        <f>AQ7/130-1</f>
        <v>1.6230769230769231</v>
      </c>
      <c r="AR8" s="13">
        <f>+AQ8/AP8</f>
        <v>3.1029411764705888</v>
      </c>
      <c r="AS8" s="83" t="s">
        <v>28</v>
      </c>
      <c r="AT8" s="97">
        <f>AT7/148-1</f>
        <v>0.47297297297297303</v>
      </c>
      <c r="AU8" s="97">
        <f>AU7/148-1</f>
        <v>1.4459459459459461</v>
      </c>
      <c r="AV8" s="84">
        <f>+AU8/AT8</f>
        <v>3.0571428571428569</v>
      </c>
      <c r="AW8" s="99" t="s">
        <v>28</v>
      </c>
      <c r="AX8" s="97">
        <f>AX7/167-1</f>
        <v>0.4011976047904191</v>
      </c>
      <c r="AY8" s="97">
        <f>AY7/167-1</f>
        <v>1.2814371257485031</v>
      </c>
      <c r="AZ8" s="13">
        <f t="shared" si="6"/>
        <v>3.1940298507462694</v>
      </c>
      <c r="BA8" s="239" t="str">
        <f t="shared" si="2"/>
        <v>cumple</v>
      </c>
      <c r="BD8" s="9" t="str">
        <f t="shared" si="7"/>
        <v>Crecimiento de nuevas empresas afiliadas</v>
      </c>
      <c r="BE8" s="9" t="str">
        <f t="shared" si="8"/>
        <v>Sobresaliente</v>
      </c>
      <c r="BF8" s="9" t="s">
        <v>60</v>
      </c>
      <c r="BG8" s="81">
        <f t="shared" si="9"/>
        <v>3.1940298507462694</v>
      </c>
      <c r="BN8" s="61" t="s">
        <v>36</v>
      </c>
      <c r="BO8" s="62">
        <v>80</v>
      </c>
      <c r="BP8" s="62" t="s">
        <v>37</v>
      </c>
    </row>
    <row r="9" spans="1:68" ht="14.25" customHeight="1" x14ac:dyDescent="0.25">
      <c r="A9" s="653"/>
      <c r="B9" s="82" t="s">
        <v>65</v>
      </c>
      <c r="C9" s="100">
        <v>977105760</v>
      </c>
      <c r="D9" s="100">
        <v>1280686380</v>
      </c>
      <c r="E9" s="84">
        <f>+D9/C9</f>
        <v>1.3106937165123251</v>
      </c>
      <c r="F9" s="101">
        <f>D9/1209424536-1</f>
        <v>5.8922108720969479E-2</v>
      </c>
      <c r="G9" s="100">
        <v>2243159184.9786654</v>
      </c>
      <c r="H9" s="100">
        <v>2601785339</v>
      </c>
      <c r="I9" s="102">
        <f>+H9/G9</f>
        <v>1.1598754811619603</v>
      </c>
      <c r="J9" s="101">
        <f>H9/2424539360-1</f>
        <v>7.310501199700048E-2</v>
      </c>
      <c r="K9" s="100">
        <v>3408886366.8953137</v>
      </c>
      <c r="L9" s="100">
        <v>3868032876</v>
      </c>
      <c r="M9" s="93">
        <f>+L9/K9</f>
        <v>1.1346910573387226</v>
      </c>
      <c r="N9" s="101">
        <f>L9/3643164688-1</f>
        <v>6.1723311257566804E-2</v>
      </c>
      <c r="O9" s="27"/>
      <c r="P9" s="100">
        <v>4682939219.5452957</v>
      </c>
      <c r="Q9" s="100">
        <v>5215317137</v>
      </c>
      <c r="R9" s="93">
        <f>+Q9/P9</f>
        <v>1.1136845669985862</v>
      </c>
      <c r="S9" s="101">
        <f>Q9/3643164688-1</f>
        <v>0.43153482854574698</v>
      </c>
      <c r="T9" s="100">
        <v>5944597369.3012724</v>
      </c>
      <c r="U9" s="100">
        <v>6565355724</v>
      </c>
      <c r="V9" s="93">
        <f>+U9/T9</f>
        <v>1.1044239527313338</v>
      </c>
      <c r="W9" s="101">
        <f>U9/3643164688-1</f>
        <v>0.80210237149729413</v>
      </c>
      <c r="X9" s="100">
        <v>7209237492.6429796</v>
      </c>
      <c r="Y9" s="100">
        <v>7922478248</v>
      </c>
      <c r="Z9" s="93">
        <f>+Y9/X9</f>
        <v>1.0989342848095769</v>
      </c>
      <c r="AA9" s="101">
        <f>Y9/7378568225-1</f>
        <v>7.3714846351508712E-2</v>
      </c>
      <c r="AC9" s="100">
        <v>8678251895.7064209</v>
      </c>
      <c r="AD9" s="100">
        <v>9423797028</v>
      </c>
      <c r="AE9" s="93">
        <f>+AD9/AC9</f>
        <v>1.0859095980680671</v>
      </c>
      <c r="AF9" s="101">
        <f>AD9/8692546416-1</f>
        <v>8.4123866241774481E-2</v>
      </c>
      <c r="AG9" s="100">
        <v>10128869976.611565</v>
      </c>
      <c r="AH9" s="100">
        <v>10811642962</v>
      </c>
      <c r="AI9" s="93">
        <f>+AH9/AG9</f>
        <v>1.0674086040165405</v>
      </c>
      <c r="AJ9" s="101">
        <f>AH9/9822485418-1</f>
        <v>0.10070338635345166</v>
      </c>
      <c r="AK9" s="100">
        <v>11438428553.178596</v>
      </c>
      <c r="AL9" s="100">
        <v>12198510130</v>
      </c>
      <c r="AM9" s="93">
        <f>+AL9/AK9</f>
        <v>1.0664498251038326</v>
      </c>
      <c r="AN9" s="101">
        <f>AL9/10964401482-1</f>
        <v>0.11255595209879976</v>
      </c>
      <c r="AP9" s="100">
        <v>12731093566.914158</v>
      </c>
      <c r="AQ9" s="100">
        <v>13670059449.395233</v>
      </c>
      <c r="AR9" s="13">
        <f>+AQ9/AP9</f>
        <v>1.0737537492396789</v>
      </c>
      <c r="AS9" s="101">
        <f>AQ9/12126522395-1</f>
        <v>0.12728604327912363</v>
      </c>
      <c r="AT9" s="100">
        <v>14021399541.121439</v>
      </c>
      <c r="AU9" s="100">
        <v>15038880754.19318</v>
      </c>
      <c r="AV9" s="93">
        <f>+AU9/AT9</f>
        <v>1.0725663090968709</v>
      </c>
      <c r="AW9" s="103">
        <f>AU9/13368370253-1</f>
        <v>0.12495992178390636</v>
      </c>
      <c r="AX9" s="100">
        <v>15448761344.483477</v>
      </c>
      <c r="AY9" s="100">
        <v>16592045202.527082</v>
      </c>
      <c r="AZ9" s="13">
        <f t="shared" si="6"/>
        <v>1.0740048883240634</v>
      </c>
      <c r="BA9" s="239" t="str">
        <f t="shared" si="2"/>
        <v>cumple</v>
      </c>
      <c r="BD9" s="9" t="str">
        <f t="shared" si="7"/>
        <v>Cumplimiento de aportes totales región</v>
      </c>
      <c r="BE9" s="9" t="str">
        <f t="shared" si="8"/>
        <v>Sobresaliente</v>
      </c>
      <c r="BF9" s="9" t="s">
        <v>60</v>
      </c>
      <c r="BG9" s="81">
        <f t="shared" si="9"/>
        <v>1.0740048883240634</v>
      </c>
      <c r="BN9" s="63" t="s">
        <v>38</v>
      </c>
      <c r="BO9" s="64" t="s">
        <v>39</v>
      </c>
      <c r="BP9" s="64"/>
    </row>
    <row r="10" spans="1:68" ht="14.25" customHeight="1" x14ac:dyDescent="0.25">
      <c r="A10" s="653"/>
      <c r="B10" s="82" t="s">
        <v>66</v>
      </c>
      <c r="C10" s="105">
        <f>C9/1209424536-1</f>
        <v>-0.19209034469265973</v>
      </c>
      <c r="D10" s="105">
        <f>D9/1209424536-1</f>
        <v>5.8922108720969479E-2</v>
      </c>
      <c r="E10" s="84">
        <f>1-(D10-C10)/C10</f>
        <v>2.3067416470892566</v>
      </c>
      <c r="F10" s="101" t="s">
        <v>28</v>
      </c>
      <c r="G10" s="101">
        <f>G9/2424539360-1</f>
        <v>-7.4810158999165322E-2</v>
      </c>
      <c r="H10" s="101">
        <f>H9/2424539360-1</f>
        <v>7.310501199700048E-2</v>
      </c>
      <c r="I10" s="84">
        <f>1-(H10-G10)/G10</f>
        <v>2.9772070127242496</v>
      </c>
      <c r="J10" s="106" t="s">
        <v>28</v>
      </c>
      <c r="K10" s="101">
        <f>K9/3643164688-1</f>
        <v>-6.4306266987150362E-2</v>
      </c>
      <c r="L10" s="101">
        <f>L9/3643164688-1</f>
        <v>6.1723311257566804E-2</v>
      </c>
      <c r="M10" s="84">
        <f>1-(L10-K10)/K10</f>
        <v>2.9598335302203176</v>
      </c>
      <c r="N10" s="106" t="s">
        <v>28</v>
      </c>
      <c r="O10" s="27"/>
      <c r="P10" s="101">
        <f>P9/4938303652-1</f>
        <v>-5.1710961992238458E-2</v>
      </c>
      <c r="Q10" s="101">
        <f>Q9/4938303652-1</f>
        <v>5.6094866683179756E-2</v>
      </c>
      <c r="R10" s="84">
        <f>1-(Q10-P10)/P10</f>
        <v>3.0847770863670898</v>
      </c>
      <c r="S10" s="106" t="s">
        <v>28</v>
      </c>
      <c r="T10" s="101">
        <f>T9/6164499007-1</f>
        <v>-3.5672264274683396E-2</v>
      </c>
      <c r="U10" s="101">
        <f>U9/6164499007-1</f>
        <v>6.5026649618211252E-2</v>
      </c>
      <c r="V10" s="84">
        <f>1-(U10-T10)/T10</f>
        <v>3.8228910034275749</v>
      </c>
      <c r="W10" s="74" t="s">
        <v>28</v>
      </c>
      <c r="X10" s="101">
        <f>X9/7378568225-1</f>
        <v>-2.2948995956057594E-2</v>
      </c>
      <c r="Y10" s="101">
        <f>Y9/7378568225-1</f>
        <v>7.3714846351508712E-2</v>
      </c>
      <c r="Z10" s="84">
        <f>1-(Y10-X10)/X10</f>
        <v>5.2121164033780314</v>
      </c>
      <c r="AA10" s="74" t="s">
        <v>28</v>
      </c>
      <c r="AC10" s="101">
        <f>AC9/8692546416-1</f>
        <v>-1.6444571716370815E-3</v>
      </c>
      <c r="AD10" s="101">
        <f>AD9/8692546416-1</f>
        <v>8.4123866241774481E-2</v>
      </c>
      <c r="AE10" s="84">
        <f>1-(AD10-AC10)/AC10</f>
        <v>53.156009224629379</v>
      </c>
      <c r="AF10" s="106" t="s">
        <v>28</v>
      </c>
      <c r="AG10" s="101">
        <f>AG9/9822485418-1</f>
        <v>3.1192162225062381E-2</v>
      </c>
      <c r="AH10" s="101">
        <f>AH9/9822485418-1</f>
        <v>0.10070338635345166</v>
      </c>
      <c r="AI10" s="84">
        <f>1-(AH10-AG10)/AG10</f>
        <v>-1.2284836692897865</v>
      </c>
      <c r="AJ10" s="74" t="s">
        <v>28</v>
      </c>
      <c r="AK10" s="101">
        <f>AK9/10964401482-1</f>
        <v>4.3233282907124027E-2</v>
      </c>
      <c r="AL10" s="101">
        <f>AL9/10964401482-1</f>
        <v>0.11255595209879976</v>
      </c>
      <c r="AM10" s="84">
        <f>1-(AL10-AK10)/AK10</f>
        <v>-0.60345605353630627</v>
      </c>
      <c r="AN10" s="74" t="s">
        <v>28</v>
      </c>
      <c r="AP10" s="101">
        <f>AP9/12126522395-1</f>
        <v>4.9855280204936125E-2</v>
      </c>
      <c r="AQ10" s="101">
        <f>AQ9/12126522395-1</f>
        <v>0.12728604327912363</v>
      </c>
      <c r="AR10" s="13">
        <f>1-(AQ10-AP10)/AP10</f>
        <v>-0.55311057837603239</v>
      </c>
      <c r="AS10" s="106" t="s">
        <v>28</v>
      </c>
      <c r="AT10" s="101">
        <f>AT9/13368370253-1</f>
        <v>4.8848833160862748E-2</v>
      </c>
      <c r="AU10" s="101">
        <f>AU9/13368370253-1</f>
        <v>0.12495992178390636</v>
      </c>
      <c r="AV10" s="84">
        <f>1-(AU10-AT10)/AT10</f>
        <v>-0.55809430232251978</v>
      </c>
      <c r="AW10" s="96" t="s">
        <v>28</v>
      </c>
      <c r="AX10" s="101">
        <f>AX9/14795237285-1</f>
        <v>4.417124557684815E-2</v>
      </c>
      <c r="AY10" s="101">
        <f>AY9/14795237285-1</f>
        <v>0.12144502199696094</v>
      </c>
      <c r="AZ10" s="13">
        <f t="shared" si="6"/>
        <v>2.7494135700944544</v>
      </c>
      <c r="BA10" s="239" t="str">
        <f t="shared" si="2"/>
        <v>cumple</v>
      </c>
      <c r="BD10" s="9" t="str">
        <f t="shared" si="7"/>
        <v>Crecimiento de aportes totales región</v>
      </c>
      <c r="BE10" s="9" t="str">
        <f t="shared" si="8"/>
        <v>Sobresaliente</v>
      </c>
      <c r="BF10" s="9" t="s">
        <v>60</v>
      </c>
      <c r="BG10" s="81">
        <f t="shared" si="9"/>
        <v>2.7494135700944544</v>
      </c>
    </row>
    <row r="11" spans="1:68" ht="14.25" customHeight="1" x14ac:dyDescent="0.25">
      <c r="A11" s="653"/>
      <c r="B11" s="82" t="s">
        <v>67</v>
      </c>
      <c r="C11" s="100">
        <v>11593000</v>
      </c>
      <c r="D11" s="100">
        <v>594600</v>
      </c>
      <c r="E11" s="102">
        <f>+D11/C11</f>
        <v>5.1289571293021648E-2</v>
      </c>
      <c r="F11" s="93">
        <f>+D11/948000-1</f>
        <v>-0.37278481012658227</v>
      </c>
      <c r="G11" s="100">
        <v>36130000</v>
      </c>
      <c r="H11" s="100">
        <v>4214900</v>
      </c>
      <c r="I11" s="84">
        <f>+H11/G11</f>
        <v>0.1166592859119845</v>
      </c>
      <c r="J11" s="93">
        <f>+H11/2633900-1</f>
        <v>0.60025057898933132</v>
      </c>
      <c r="K11" s="100">
        <v>71620000</v>
      </c>
      <c r="L11" s="100">
        <v>15387600</v>
      </c>
      <c r="M11" s="84">
        <f>+L11/K11</f>
        <v>0.21485060039095225</v>
      </c>
      <c r="N11" s="93">
        <f>+L11/6986200-1</f>
        <v>1.2025707823995879</v>
      </c>
      <c r="O11" s="27"/>
      <c r="P11" s="100">
        <v>118908000</v>
      </c>
      <c r="Q11" s="100">
        <v>28981200</v>
      </c>
      <c r="R11" s="93">
        <f>+Q11/P11</f>
        <v>0.24372792410939551</v>
      </c>
      <c r="S11" s="101">
        <f>+Q11/6986800-1</f>
        <v>3.1479933589053646</v>
      </c>
      <c r="T11" s="100">
        <v>176937000</v>
      </c>
      <c r="U11" s="100">
        <v>46155300</v>
      </c>
      <c r="V11" s="93">
        <f>+U11/T11</f>
        <v>0.260857254276946</v>
      </c>
      <c r="W11" s="101">
        <f>+U11/6986800-1</f>
        <v>5.6060714490181489</v>
      </c>
      <c r="X11" s="100">
        <v>244238000</v>
      </c>
      <c r="Y11" s="100">
        <v>68712400</v>
      </c>
      <c r="Z11" s="93">
        <f t="shared" ref="Z11:Z14" si="10">+Y11/X11</f>
        <v>0.28133378098412204</v>
      </c>
      <c r="AA11" s="101">
        <f>+Y11/24752040-1</f>
        <v>1.776029773707541</v>
      </c>
      <c r="AC11" s="100">
        <v>321796000</v>
      </c>
      <c r="AD11" s="100">
        <v>97608300</v>
      </c>
      <c r="AE11" s="93">
        <f>+AD11/AC11</f>
        <v>0.30332353416450175</v>
      </c>
      <c r="AF11" s="101">
        <f>+AD11/33819140-1</f>
        <v>1.8861851602376642</v>
      </c>
      <c r="AG11" s="100">
        <v>412469000</v>
      </c>
      <c r="AH11" s="100">
        <v>134093800</v>
      </c>
      <c r="AI11" s="93">
        <f>+AH11/AG11</f>
        <v>0.32510031056879424</v>
      </c>
      <c r="AJ11" s="101">
        <f>+AH11/40722940-1</f>
        <v>2.2928320008329459</v>
      </c>
      <c r="AK11" s="100">
        <v>515327000</v>
      </c>
      <c r="AL11" s="100">
        <v>182186200</v>
      </c>
      <c r="AM11" s="93">
        <f t="shared" ref="AM11" si="11">+AL11/AK11</f>
        <v>0.35353513400229369</v>
      </c>
      <c r="AN11" s="101">
        <f>+AL11/24752040-1</f>
        <v>6.3604519061863183</v>
      </c>
      <c r="AP11" s="100">
        <v>630497000</v>
      </c>
      <c r="AQ11" s="100">
        <v>238483200</v>
      </c>
      <c r="AR11" s="13">
        <f>+AQ11/AP11</f>
        <v>0.37824636754814062</v>
      </c>
      <c r="AS11" s="101">
        <f>+AQ11/56796040-1</f>
        <v>3.1989406303678916</v>
      </c>
      <c r="AT11" s="100">
        <v>757154000</v>
      </c>
      <c r="AU11" s="100">
        <v>296626800</v>
      </c>
      <c r="AV11" s="93">
        <f>+AU11/AT11</f>
        <v>0.39176547967784625</v>
      </c>
      <c r="AW11" s="103">
        <f>+AU11/66438440-1</f>
        <v>3.464686407447255</v>
      </c>
      <c r="AX11" s="100">
        <v>893264000</v>
      </c>
      <c r="AY11" s="100">
        <v>361649100</v>
      </c>
      <c r="AZ11" s="13">
        <f t="shared" si="6"/>
        <v>0.40486250425406151</v>
      </c>
      <c r="BA11" s="239" t="str">
        <f t="shared" si="2"/>
        <v>revisar</v>
      </c>
      <c r="BD11" s="9" t="str">
        <f t="shared" si="7"/>
        <v>Cumplimiento de nuevos aportes</v>
      </c>
      <c r="BE11" s="9" t="str">
        <f t="shared" si="8"/>
        <v>Incumple</v>
      </c>
      <c r="BF11" s="9" t="s">
        <v>60</v>
      </c>
      <c r="BG11" s="81">
        <f t="shared" si="9"/>
        <v>0.40486250425406151</v>
      </c>
    </row>
    <row r="12" spans="1:68" ht="14.25" customHeight="1" x14ac:dyDescent="0.25">
      <c r="A12" s="653"/>
      <c r="B12" s="107" t="s">
        <v>68</v>
      </c>
      <c r="C12" s="108">
        <v>11617</v>
      </c>
      <c r="D12" s="108">
        <v>14705</v>
      </c>
      <c r="E12" s="84">
        <f>+D12/C12</f>
        <v>1.2658173366617889</v>
      </c>
      <c r="F12" s="101">
        <f>D12/14529-1</f>
        <v>1.2113703627228301E-2</v>
      </c>
      <c r="G12" s="108">
        <v>14323.397734607523</v>
      </c>
      <c r="H12" s="108">
        <v>14882</v>
      </c>
      <c r="I12" s="84">
        <f>+H12/G12</f>
        <v>1.0389992846489775</v>
      </c>
      <c r="J12" s="101">
        <f>H12/14697-1</f>
        <v>1.2587602912158991E-2</v>
      </c>
      <c r="K12" s="108">
        <v>14505.070769120879</v>
      </c>
      <c r="L12" s="108">
        <v>14831</v>
      </c>
      <c r="M12" s="84">
        <f>+L12/K12</f>
        <v>1.0224700200410588</v>
      </c>
      <c r="N12" s="101">
        <f>L12/14840-1</f>
        <v>-6.0646900269545334E-4</v>
      </c>
      <c r="O12" s="27"/>
      <c r="P12" s="108">
        <v>14653.094754031807</v>
      </c>
      <c r="Q12" s="108">
        <v>15185</v>
      </c>
      <c r="R12" s="86">
        <f>+Q12/P12</f>
        <v>1.0362998571221167</v>
      </c>
      <c r="S12" s="95">
        <f>+Q12/14401-1</f>
        <v>5.4440663842788783E-2</v>
      </c>
      <c r="T12" s="109">
        <v>14673</v>
      </c>
      <c r="U12" s="109">
        <v>15112</v>
      </c>
      <c r="V12" s="86">
        <f>+U12/T12</f>
        <v>1.0299188986573979</v>
      </c>
      <c r="W12" s="95">
        <f>+U12/11426-1</f>
        <v>0.32259758445650277</v>
      </c>
      <c r="X12" s="108">
        <v>15072</v>
      </c>
      <c r="Y12" s="108">
        <v>15043</v>
      </c>
      <c r="Z12" s="86">
        <f>+Y12/X12</f>
        <v>0.99807590233545651</v>
      </c>
      <c r="AA12" s="95">
        <f>+Y12/11423-1</f>
        <v>0.31690449093933282</v>
      </c>
      <c r="AC12" s="108">
        <v>14895</v>
      </c>
      <c r="AD12" s="108">
        <v>15078</v>
      </c>
      <c r="AE12" s="86">
        <f>+AD12/AC12</f>
        <v>1.0122860020140987</v>
      </c>
      <c r="AF12" s="95">
        <f>+AD12/11398-1</f>
        <v>0.32286366029127911</v>
      </c>
      <c r="AG12" s="109">
        <v>14809.409712419951</v>
      </c>
      <c r="AH12" s="109">
        <v>15057</v>
      </c>
      <c r="AI12" s="86">
        <f>+AH12/AG12</f>
        <v>1.0167184440425339</v>
      </c>
      <c r="AJ12" s="95">
        <f>+AH12/11552-1</f>
        <v>0.30341066481994461</v>
      </c>
      <c r="AK12" s="108">
        <v>14800.67087794635</v>
      </c>
      <c r="AL12" s="108">
        <v>14887</v>
      </c>
      <c r="AM12" s="86">
        <f>+AL12/AK12</f>
        <v>1.0058327843896782</v>
      </c>
      <c r="AN12" s="95">
        <f>+AL12/11581-1</f>
        <v>0.28546757620240037</v>
      </c>
      <c r="AP12" s="108">
        <v>14878.035919167569</v>
      </c>
      <c r="AQ12" s="108">
        <v>14917</v>
      </c>
      <c r="AR12" s="13">
        <f>+AQ12/AP12</f>
        <v>1.0026188995001843</v>
      </c>
      <c r="AS12" s="95">
        <f>+AQ12/11696-1</f>
        <v>0.27539329685362524</v>
      </c>
      <c r="AT12" s="109">
        <v>14917</v>
      </c>
      <c r="AU12" s="109">
        <v>14930</v>
      </c>
      <c r="AV12" s="86">
        <f>+AU12/AT12</f>
        <v>1.0008714889052759</v>
      </c>
      <c r="AW12" s="110">
        <f>+AU12/11677-1</f>
        <v>0.27858182752419292</v>
      </c>
      <c r="AX12" s="109">
        <v>14593</v>
      </c>
      <c r="AY12" s="109">
        <v>14378</v>
      </c>
      <c r="AZ12" s="13">
        <f t="shared" si="6"/>
        <v>0.9852669087918865</v>
      </c>
      <c r="BA12" s="239" t="str">
        <f t="shared" si="2"/>
        <v>revisar</v>
      </c>
      <c r="BD12" s="9" t="str">
        <f t="shared" si="7"/>
        <v>Cumplimiento afiliados totales región</v>
      </c>
      <c r="BE12" s="9" t="str">
        <f t="shared" si="8"/>
        <v>Satisfactorio</v>
      </c>
      <c r="BF12" s="9" t="s">
        <v>60</v>
      </c>
      <c r="BG12" s="81">
        <f t="shared" si="9"/>
        <v>0.9852669087918865</v>
      </c>
    </row>
    <row r="13" spans="1:68" ht="14.25" customHeight="1" x14ac:dyDescent="0.25">
      <c r="A13" s="653"/>
      <c r="B13" s="107" t="s">
        <v>69</v>
      </c>
      <c r="C13" s="97">
        <f>C12/14529-1</f>
        <v>-0.20042673274141376</v>
      </c>
      <c r="D13" s="111">
        <f>D12/14529-1</f>
        <v>1.2113703627228301E-2</v>
      </c>
      <c r="E13" s="84">
        <f>1-(D13-C13)/C13</f>
        <v>2.0604395604395602</v>
      </c>
      <c r="F13" s="106" t="s">
        <v>28</v>
      </c>
      <c r="G13" s="101">
        <f>G12/14697-1</f>
        <v>-2.5420307912667695E-2</v>
      </c>
      <c r="H13" s="101">
        <f>H12/14697-1</f>
        <v>1.2587602912158991E-2</v>
      </c>
      <c r="I13" s="84">
        <f>1-(H13-G13)/G13</f>
        <v>2.4951790102387474</v>
      </c>
      <c r="J13" s="106" t="s">
        <v>28</v>
      </c>
      <c r="K13" s="101">
        <f>K12/14840-1</f>
        <v>-2.2569355180533712E-2</v>
      </c>
      <c r="L13" s="101">
        <f>L12/14840-1</f>
        <v>-6.0646900269545334E-4</v>
      </c>
      <c r="M13" s="84">
        <f>1-(L13-K13)/K13</f>
        <v>1.9731286517561415</v>
      </c>
      <c r="N13" s="106" t="s">
        <v>28</v>
      </c>
      <c r="O13" s="27"/>
      <c r="P13" s="101">
        <f>P12/14401-1</f>
        <v>1.750536449078588E-2</v>
      </c>
      <c r="Q13" s="101">
        <f>Q12/14401-1</f>
        <v>5.4440663842788783E-2</v>
      </c>
      <c r="R13" s="84">
        <f>+Q13/P13</f>
        <v>3.1099417479392768</v>
      </c>
      <c r="S13" s="106" t="s">
        <v>28</v>
      </c>
      <c r="T13" s="95">
        <f>T12/11426-1</f>
        <v>0.28417643969893236</v>
      </c>
      <c r="U13" s="95">
        <f>U12/11426-1</f>
        <v>0.32259758445650277</v>
      </c>
      <c r="V13" s="84">
        <f>+U13/T13</f>
        <v>1.135201724668925</v>
      </c>
      <c r="W13" s="106" t="s">
        <v>28</v>
      </c>
      <c r="X13" s="101">
        <f>X12/11423-1</f>
        <v>0.31944322857392971</v>
      </c>
      <c r="Y13" s="101">
        <f>Y12/11423-1</f>
        <v>0.31690449093933282</v>
      </c>
      <c r="Z13" s="84">
        <f>+Y13/X13</f>
        <v>0.99205261715538495</v>
      </c>
      <c r="AA13" s="106" t="s">
        <v>28</v>
      </c>
      <c r="AC13" s="101">
        <f>AC12/11398-1</f>
        <v>0.30680821196701169</v>
      </c>
      <c r="AD13" s="101">
        <f>AD12/11398-1</f>
        <v>0.32286366029127911</v>
      </c>
      <c r="AE13" s="84">
        <f>+AD13/AC13</f>
        <v>1.0523305690591935</v>
      </c>
      <c r="AF13" s="106" t="s">
        <v>28</v>
      </c>
      <c r="AG13" s="95">
        <f>AG12/11552-1</f>
        <v>0.28197798757097914</v>
      </c>
      <c r="AH13" s="95">
        <f>AH12/11552-1</f>
        <v>0.30341066481994461</v>
      </c>
      <c r="AI13" s="84">
        <f>+AH13/AG13</f>
        <v>1.0760083346703453</v>
      </c>
      <c r="AJ13" s="106" t="s">
        <v>28</v>
      </c>
      <c r="AK13" s="101">
        <f>AK12/11581-1</f>
        <v>0.27801320075523273</v>
      </c>
      <c r="AL13" s="101">
        <f>AL12/11581-1</f>
        <v>0.28546757620240037</v>
      </c>
      <c r="AM13" s="84">
        <f>+AL13/AK13</f>
        <v>1.026813026960294</v>
      </c>
      <c r="AN13" s="106" t="s">
        <v>28</v>
      </c>
      <c r="AP13" s="101">
        <f>AP12/11696-1</f>
        <v>0.27206189459367036</v>
      </c>
      <c r="AQ13" s="101">
        <f>AQ12/11696-1</f>
        <v>0.27539329685362524</v>
      </c>
      <c r="AR13" s="13">
        <f>+AQ13/AP13</f>
        <v>1.012245016028174</v>
      </c>
      <c r="AS13" s="106" t="s">
        <v>28</v>
      </c>
      <c r="AT13" s="101">
        <f>AT12/11677-1</f>
        <v>0.2774685278753104</v>
      </c>
      <c r="AU13" s="101">
        <f>AU12/11677-1</f>
        <v>0.27858182752419292</v>
      </c>
      <c r="AV13" s="84">
        <f>+AU13/AT13</f>
        <v>1.0040123456790127</v>
      </c>
      <c r="AW13" s="112" t="s">
        <v>28</v>
      </c>
      <c r="AX13" s="101">
        <f>AX12/11591-1</f>
        <v>0.25899404710551299</v>
      </c>
      <c r="AY13" s="101">
        <f>AY12/11591-1</f>
        <v>0.24044517297903556</v>
      </c>
      <c r="AZ13" s="13">
        <f t="shared" si="6"/>
        <v>0.92838107928047975</v>
      </c>
      <c r="BA13" s="239" t="str">
        <f t="shared" si="2"/>
        <v>revisar</v>
      </c>
      <c r="BD13" s="9" t="str">
        <f t="shared" si="7"/>
        <v>Crecimiento afiliados totales región</v>
      </c>
      <c r="BE13" s="9" t="str">
        <f t="shared" si="8"/>
        <v>Tolerable</v>
      </c>
      <c r="BF13" s="9" t="s">
        <v>60</v>
      </c>
      <c r="BG13" s="81">
        <f t="shared" si="9"/>
        <v>0.92838107928047975</v>
      </c>
    </row>
    <row r="14" spans="1:68" ht="14.25" customHeight="1" x14ac:dyDescent="0.25">
      <c r="A14" s="653"/>
      <c r="B14" s="82" t="s">
        <v>70</v>
      </c>
      <c r="C14" s="83">
        <v>191</v>
      </c>
      <c r="D14" s="83">
        <v>25</v>
      </c>
      <c r="E14" s="84">
        <f>+D14/C14</f>
        <v>0.13089005235602094</v>
      </c>
      <c r="F14" s="101">
        <f>+D14/35-1</f>
        <v>-0.2857142857142857</v>
      </c>
      <c r="G14" s="83">
        <v>404</v>
      </c>
      <c r="H14" s="83">
        <v>175</v>
      </c>
      <c r="I14" s="84">
        <f>+H14/G14</f>
        <v>0.43316831683168316</v>
      </c>
      <c r="J14" s="101">
        <f>+H14/113-1</f>
        <v>0.54867256637168138</v>
      </c>
      <c r="K14" s="83">
        <v>584</v>
      </c>
      <c r="L14" s="83">
        <v>246</v>
      </c>
      <c r="M14" s="84">
        <f>+L14/K14</f>
        <v>0.42123287671232879</v>
      </c>
      <c r="N14" s="101">
        <f>+L14/146-1</f>
        <v>0.68493150684931514</v>
      </c>
      <c r="O14" s="27"/>
      <c r="P14" s="83">
        <v>778</v>
      </c>
      <c r="Q14" s="85">
        <v>256</v>
      </c>
      <c r="R14" s="84">
        <f>+Q14/P14</f>
        <v>0.32904884318766064</v>
      </c>
      <c r="S14" s="101">
        <f>+Q14/141-1</f>
        <v>0.81560283687943258</v>
      </c>
      <c r="T14" s="85">
        <v>955</v>
      </c>
      <c r="U14" s="85">
        <v>365</v>
      </c>
      <c r="V14" s="84">
        <f>+U14/T14</f>
        <v>0.38219895287958117</v>
      </c>
      <c r="W14" s="101">
        <f>+U14/164-1</f>
        <v>1.225609756097561</v>
      </c>
      <c r="X14" s="85">
        <v>1107</v>
      </c>
      <c r="Y14" s="85">
        <v>436</v>
      </c>
      <c r="Z14" s="84">
        <f t="shared" si="10"/>
        <v>0.39385727190605241</v>
      </c>
      <c r="AA14" s="101">
        <f>+Y14/178-1</f>
        <v>1.4494382022471912</v>
      </c>
      <c r="AC14" s="83">
        <v>1276</v>
      </c>
      <c r="AD14" s="85">
        <v>512</v>
      </c>
      <c r="AE14" s="84">
        <f>+AD14/AC14</f>
        <v>0.40125391849529779</v>
      </c>
      <c r="AF14" s="101">
        <f>+AD14/195-1</f>
        <v>1.6256410256410256</v>
      </c>
      <c r="AG14" s="85">
        <v>1492</v>
      </c>
      <c r="AH14" s="85">
        <v>569</v>
      </c>
      <c r="AI14" s="84">
        <f>+AH14/AG14</f>
        <v>0.38136729222520105</v>
      </c>
      <c r="AJ14" s="101">
        <f>+AH14/206-1</f>
        <v>1.762135922330097</v>
      </c>
      <c r="AK14" s="85">
        <v>1692</v>
      </c>
      <c r="AL14" s="85">
        <v>721</v>
      </c>
      <c r="AM14" s="84">
        <f t="shared" ref="AM14" si="12">+AL14/AK14</f>
        <v>0.42612293144208035</v>
      </c>
      <c r="AN14" s="101">
        <f>+AL14/232-1</f>
        <v>2.1077586206896552</v>
      </c>
      <c r="AP14" s="108">
        <v>1894</v>
      </c>
      <c r="AQ14" s="108">
        <v>858</v>
      </c>
      <c r="AR14" s="13">
        <f>+AQ14/AP14</f>
        <v>0.45300950369588172</v>
      </c>
      <c r="AS14" s="101">
        <f>+AQ14/301-1</f>
        <v>1.8504983388704317</v>
      </c>
      <c r="AT14" s="85">
        <v>2083</v>
      </c>
      <c r="AU14" s="85">
        <v>971</v>
      </c>
      <c r="AV14" s="84">
        <f>+AU14/AT14</f>
        <v>0.46615458473355736</v>
      </c>
      <c r="AW14" s="103">
        <f>+AU14/370-1</f>
        <v>1.6243243243243244</v>
      </c>
      <c r="AX14" s="83">
        <v>2239</v>
      </c>
      <c r="AY14" s="83">
        <v>1011</v>
      </c>
      <c r="AZ14" s="13">
        <f t="shared" si="6"/>
        <v>0.45154086645824026</v>
      </c>
      <c r="BA14" s="239" t="str">
        <f t="shared" si="2"/>
        <v>revisar</v>
      </c>
      <c r="BD14" s="9" t="str">
        <f t="shared" si="7"/>
        <v>Cumplimiento de nuevos afiliados región</v>
      </c>
      <c r="BE14" s="9" t="str">
        <f t="shared" si="8"/>
        <v>Incumple</v>
      </c>
      <c r="BF14" s="9" t="s">
        <v>60</v>
      </c>
      <c r="BG14" s="81">
        <f t="shared" si="9"/>
        <v>0.45154086645824026</v>
      </c>
    </row>
    <row r="15" spans="1:68" s="9" customFormat="1" ht="14.25" customHeight="1" x14ac:dyDescent="0.25">
      <c r="A15" s="654"/>
      <c r="B15" s="113" t="s">
        <v>71</v>
      </c>
      <c r="C15" s="114">
        <v>631</v>
      </c>
      <c r="D15" s="114">
        <v>53</v>
      </c>
      <c r="E15" s="115">
        <f>+D15/C15</f>
        <v>8.3993660855784469E-2</v>
      </c>
      <c r="F15" s="74">
        <v>-0.99134693877551017</v>
      </c>
      <c r="G15" s="114">
        <v>3997</v>
      </c>
      <c r="H15" s="114">
        <v>697</v>
      </c>
      <c r="I15" s="74">
        <f>H15/G15</f>
        <v>0.1743807855891919</v>
      </c>
      <c r="J15" s="74">
        <v>-0.94925373134328361</v>
      </c>
      <c r="K15" s="114">
        <v>9370</v>
      </c>
      <c r="L15" s="114">
        <v>5361</v>
      </c>
      <c r="M15" s="74">
        <f>L15/K15</f>
        <v>0.57214514407684103</v>
      </c>
      <c r="N15" s="74">
        <v>0.26558073654390935</v>
      </c>
      <c r="O15" s="31"/>
      <c r="AX15" s="242">
        <v>1.8371212852646419</v>
      </c>
      <c r="AY15" s="242">
        <v>2.1766659586382682</v>
      </c>
      <c r="AZ15" s="13">
        <f t="shared" si="6"/>
        <v>1.1848243096942366</v>
      </c>
      <c r="BA15" s="239" t="str">
        <f t="shared" si="2"/>
        <v>cumple</v>
      </c>
      <c r="BD15" s="9" t="str">
        <f t="shared" si="7"/>
        <v>Crecimiento Coberturas Región</v>
      </c>
      <c r="BE15" s="9" t="str">
        <f t="shared" si="8"/>
        <v>Sobresaliente</v>
      </c>
      <c r="BF15" s="9" t="s">
        <v>60</v>
      </c>
      <c r="BG15" s="81">
        <f t="shared" si="9"/>
        <v>1.1848243096942366</v>
      </c>
    </row>
    <row r="16" spans="1:68" s="9" customFormat="1" ht="14.25" customHeight="1" thickBot="1" x14ac:dyDescent="0.3">
      <c r="A16" s="655"/>
      <c r="B16" s="113" t="s">
        <v>72</v>
      </c>
      <c r="C16" s="114">
        <v>328</v>
      </c>
      <c r="D16" s="114">
        <v>20</v>
      </c>
      <c r="E16" s="115">
        <f>+D16/C16</f>
        <v>6.097560975609756E-2</v>
      </c>
      <c r="F16" s="74">
        <v>-0.97134670487106012</v>
      </c>
      <c r="G16" s="114">
        <v>147</v>
      </c>
      <c r="H16" s="114">
        <v>81</v>
      </c>
      <c r="I16" s="74">
        <f>H16/G16</f>
        <v>0.55102040816326525</v>
      </c>
      <c r="J16" s="74">
        <v>-0.55494505494505497</v>
      </c>
      <c r="K16" s="114">
        <v>261</v>
      </c>
      <c r="L16" s="114">
        <v>194</v>
      </c>
      <c r="M16" s="74">
        <f>L16/K16</f>
        <v>0.74329501915708818</v>
      </c>
      <c r="N16" s="116">
        <v>0.16167664670658688</v>
      </c>
      <c r="O16" s="31"/>
      <c r="AX16" s="243">
        <v>1.4020663463239998E-2</v>
      </c>
      <c r="AY16" s="243">
        <v>1.271655218527749E-2</v>
      </c>
      <c r="AZ16" s="13">
        <f t="shared" si="6"/>
        <v>0.90698647882236927</v>
      </c>
      <c r="BA16" s="239" t="str">
        <f t="shared" si="2"/>
        <v>revisar</v>
      </c>
      <c r="BD16" s="9" t="str">
        <f t="shared" si="7"/>
        <v xml:space="preserve">Penetración de Uso en Población A y B Región </v>
      </c>
      <c r="BE16" s="9" t="str">
        <f t="shared" si="8"/>
        <v>Tolerable</v>
      </c>
      <c r="BF16" s="9" t="s">
        <v>60</v>
      </c>
      <c r="BG16" s="81">
        <f t="shared" si="9"/>
        <v>0.90698647882236927</v>
      </c>
    </row>
    <row r="17" spans="1:59" ht="14.25" customHeight="1" thickBot="1" x14ac:dyDescent="0.3">
      <c r="B17"/>
      <c r="C17" s="18"/>
      <c r="D17" s="18"/>
      <c r="E17" s="18"/>
      <c r="F17" s="18"/>
      <c r="G17" s="18"/>
      <c r="H17" s="18"/>
      <c r="I17" s="18"/>
      <c r="J17" s="18"/>
      <c r="K17" s="18"/>
      <c r="L17" s="18"/>
      <c r="M17" s="18"/>
      <c r="N17" s="27"/>
      <c r="O17" s="27"/>
    </row>
    <row r="18" spans="1:59" s="9" customFormat="1" ht="14.25" customHeight="1" x14ac:dyDescent="0.25">
      <c r="A18" s="648" t="s">
        <v>73</v>
      </c>
      <c r="B18" s="72" t="s">
        <v>59</v>
      </c>
      <c r="C18" s="73">
        <v>0.21240264812367671</v>
      </c>
      <c r="D18" s="73">
        <v>0.16555046922476935</v>
      </c>
      <c r="E18" s="74">
        <f>+D18/C18</f>
        <v>0.7794181037157949</v>
      </c>
      <c r="F18" s="74" t="s">
        <v>28</v>
      </c>
      <c r="G18" s="74">
        <v>0.38229894595416614</v>
      </c>
      <c r="H18" s="74">
        <v>-0.48436050459741831</v>
      </c>
      <c r="I18" s="74">
        <f>+H18/G18</f>
        <v>-1.2669679310480975</v>
      </c>
      <c r="J18" s="74" t="s">
        <v>28</v>
      </c>
      <c r="K18" s="74">
        <v>0.53792079091403866</v>
      </c>
      <c r="L18" s="74">
        <v>-0.24676472816347772</v>
      </c>
      <c r="M18" s="74">
        <f>+L18/K18</f>
        <v>-0.45873803788876316</v>
      </c>
      <c r="N18" s="74" t="s">
        <v>28</v>
      </c>
      <c r="O18" s="31"/>
      <c r="AR18" s="13" t="e">
        <f t="shared" ref="AR18" si="13">+IF(AP18&lt;0,1-(AQ18-AP18)/AP18,AQ18/AP18)</f>
        <v>#DIV/0!</v>
      </c>
      <c r="AX18" s="240">
        <v>0.93269000231165355</v>
      </c>
      <c r="AY18" s="240">
        <v>1.4805060378405819</v>
      </c>
      <c r="AZ18" s="13">
        <f t="shared" ref="AZ18:AZ29" si="14">+IF(AX18&lt;0,1-(AY18-AX18)/AX18,AY18/AX18)</f>
        <v>1.5873506032778064</v>
      </c>
      <c r="BA18" s="239"/>
      <c r="BD18" s="9" t="str">
        <f t="shared" si="7"/>
        <v>Crecimiento de ingresos (negocios)</v>
      </c>
      <c r="BE18" s="9" t="str">
        <f t="shared" si="8"/>
        <v>Sobresaliente</v>
      </c>
      <c r="BF18" s="9" t="s">
        <v>74</v>
      </c>
      <c r="BG18" s="81">
        <f t="shared" si="9"/>
        <v>1.5873506032778064</v>
      </c>
    </row>
    <row r="19" spans="1:59" ht="14.25" customHeight="1" x14ac:dyDescent="0.25">
      <c r="A19" s="658"/>
      <c r="B19" s="82" t="s">
        <v>61</v>
      </c>
      <c r="C19" s="83">
        <v>16</v>
      </c>
      <c r="D19" s="83">
        <v>16</v>
      </c>
      <c r="E19" s="84">
        <f t="shared" ref="E19:E25" si="15">+D19/C19</f>
        <v>1</v>
      </c>
      <c r="F19" s="74" t="s">
        <v>28</v>
      </c>
      <c r="G19" s="83">
        <v>16</v>
      </c>
      <c r="H19" s="83">
        <v>16</v>
      </c>
      <c r="I19" s="84">
        <f t="shared" ref="I19:I25" si="16">+H19/G19</f>
        <v>1</v>
      </c>
      <c r="J19" s="74" t="s">
        <v>28</v>
      </c>
      <c r="K19" s="83">
        <v>16</v>
      </c>
      <c r="L19" s="83">
        <v>16</v>
      </c>
      <c r="M19" s="84">
        <f t="shared" ref="M19:M29" si="17">+L19/K19</f>
        <v>1</v>
      </c>
      <c r="N19" s="74" t="s">
        <v>28</v>
      </c>
      <c r="O19" s="27"/>
      <c r="P19" s="83">
        <v>16</v>
      </c>
      <c r="Q19" s="85">
        <v>16</v>
      </c>
      <c r="R19" s="84">
        <f t="shared" ref="R19" si="18">+Q19/P19</f>
        <v>1</v>
      </c>
      <c r="S19" s="101" t="s">
        <v>28</v>
      </c>
      <c r="T19" s="85">
        <v>16</v>
      </c>
      <c r="U19" s="85">
        <v>16</v>
      </c>
      <c r="V19" s="84">
        <f>+U19/T19</f>
        <v>1</v>
      </c>
      <c r="W19" s="101" t="s">
        <v>28</v>
      </c>
      <c r="X19" s="85">
        <v>16</v>
      </c>
      <c r="Y19" s="85">
        <v>16</v>
      </c>
      <c r="Z19" s="84">
        <f t="shared" ref="Z19:Z27" si="19">+Y19/X19</f>
        <v>1</v>
      </c>
      <c r="AA19" s="74" t="s">
        <v>28</v>
      </c>
      <c r="AC19" s="83">
        <v>16</v>
      </c>
      <c r="AD19" s="85">
        <v>16</v>
      </c>
      <c r="AE19" s="84">
        <f t="shared" ref="AE19" si="20">+AD19/AC19</f>
        <v>1</v>
      </c>
      <c r="AF19" s="101" t="s">
        <v>28</v>
      </c>
      <c r="AG19" s="85">
        <v>16</v>
      </c>
      <c r="AH19" s="85">
        <v>16</v>
      </c>
      <c r="AI19" s="84">
        <f>+AH19/AG19</f>
        <v>1</v>
      </c>
      <c r="AJ19" s="101" t="s">
        <v>28</v>
      </c>
      <c r="AK19" s="85">
        <v>16</v>
      </c>
      <c r="AL19" s="85">
        <v>16</v>
      </c>
      <c r="AM19" s="84">
        <f t="shared" ref="AM19" si="21">+AL19/AK19</f>
        <v>1</v>
      </c>
      <c r="AN19" s="74" t="s">
        <v>28</v>
      </c>
      <c r="AP19" s="83">
        <v>16</v>
      </c>
      <c r="AQ19" s="85">
        <v>16</v>
      </c>
      <c r="AR19" s="13">
        <f t="shared" ref="AR19" si="22">+AQ19/AP19</f>
        <v>1</v>
      </c>
      <c r="AS19" s="101" t="s">
        <v>28</v>
      </c>
      <c r="AT19" s="85">
        <v>16</v>
      </c>
      <c r="AU19" s="85">
        <v>16</v>
      </c>
      <c r="AV19" s="84">
        <f>+AU19/AT19</f>
        <v>1</v>
      </c>
      <c r="AW19" s="103" t="s">
        <v>28</v>
      </c>
      <c r="AX19" s="244">
        <v>16</v>
      </c>
      <c r="AY19" s="244">
        <v>16</v>
      </c>
      <c r="AZ19" s="13">
        <f t="shared" si="14"/>
        <v>1</v>
      </c>
      <c r="BA19" s="239" t="str">
        <f t="shared" ref="BA19:BA29" si="23">+IF(AY19&gt;=AX19,"cumple","revisar")</f>
        <v>cumple</v>
      </c>
      <c r="BD19" s="9" t="str">
        <f t="shared" si="7"/>
        <v>Conservación empresas pareto (97)</v>
      </c>
      <c r="BE19" s="9" t="str">
        <f t="shared" si="8"/>
        <v>Sobresaliente</v>
      </c>
      <c r="BF19" s="9" t="s">
        <v>74</v>
      </c>
      <c r="BG19" s="81">
        <f t="shared" si="9"/>
        <v>1</v>
      </c>
    </row>
    <row r="20" spans="1:59" ht="14.25" customHeight="1" x14ac:dyDescent="0.25">
      <c r="A20" s="658"/>
      <c r="B20" s="82" t="s">
        <v>62</v>
      </c>
      <c r="C20" s="83">
        <v>40</v>
      </c>
      <c r="D20" s="92">
        <v>49</v>
      </c>
      <c r="E20" s="84">
        <f>+D20/C20</f>
        <v>1.2250000000000001</v>
      </c>
      <c r="F20" s="93">
        <f>+D20/39-1</f>
        <v>0.25641025641025639</v>
      </c>
      <c r="G20" s="83">
        <v>84</v>
      </c>
      <c r="H20" s="83">
        <v>101</v>
      </c>
      <c r="I20" s="84">
        <f>+H20/G20</f>
        <v>1.2023809523809523</v>
      </c>
      <c r="J20" s="101">
        <f>+H20/92-1</f>
        <v>9.7826086956521729E-2</v>
      </c>
      <c r="K20" s="83">
        <v>121</v>
      </c>
      <c r="L20" s="83">
        <v>155</v>
      </c>
      <c r="M20" s="84">
        <f>+L20/K20</f>
        <v>1.28099173553719</v>
      </c>
      <c r="N20" s="101">
        <f>+L20/127-1</f>
        <v>0.22047244094488194</v>
      </c>
      <c r="O20" s="27"/>
      <c r="P20" s="83">
        <v>161</v>
      </c>
      <c r="Q20" s="85">
        <v>200</v>
      </c>
      <c r="R20" s="84">
        <f>+Q20/P20</f>
        <v>1.2422360248447204</v>
      </c>
      <c r="S20" s="101">
        <f>+Q20/165-1</f>
        <v>0.21212121212121215</v>
      </c>
      <c r="T20" s="85">
        <v>198</v>
      </c>
      <c r="U20" s="85">
        <v>255</v>
      </c>
      <c r="V20" s="84">
        <f>+U20/T20</f>
        <v>1.2878787878787878</v>
      </c>
      <c r="W20" s="93">
        <f>+U20/194-1</f>
        <v>0.31443298969072164</v>
      </c>
      <c r="X20" s="85">
        <v>230</v>
      </c>
      <c r="Y20" s="85">
        <v>297</v>
      </c>
      <c r="Z20" s="84">
        <f>+Y20/X20</f>
        <v>1.2913043478260871</v>
      </c>
      <c r="AA20" s="95">
        <f>Y20/232-1</f>
        <v>0.28017241379310343</v>
      </c>
      <c r="AB20" t="s">
        <v>63</v>
      </c>
      <c r="AC20" s="83">
        <v>265</v>
      </c>
      <c r="AD20" s="85">
        <v>346</v>
      </c>
      <c r="AE20" s="84">
        <f>+AD20/AC20</f>
        <v>1.3056603773584905</v>
      </c>
      <c r="AF20" s="101">
        <f>+AD20/264-1</f>
        <v>0.31060606060606055</v>
      </c>
      <c r="AG20" s="85">
        <v>309</v>
      </c>
      <c r="AH20" s="85">
        <v>408</v>
      </c>
      <c r="AI20" s="84">
        <f>+AH20/AG20</f>
        <v>1.3203883495145632</v>
      </c>
      <c r="AJ20" s="101">
        <f>+AH20/292-1</f>
        <v>0.39726027397260277</v>
      </c>
      <c r="AK20" s="85">
        <v>351</v>
      </c>
      <c r="AL20" s="85">
        <v>458</v>
      </c>
      <c r="AM20" s="84">
        <f>+AL20/AK20</f>
        <v>1.3048433048433048</v>
      </c>
      <c r="AN20" s="95">
        <f>AL20/344-1</f>
        <v>0.33139534883720922</v>
      </c>
      <c r="AP20" s="83">
        <v>393</v>
      </c>
      <c r="AQ20" s="85">
        <v>504</v>
      </c>
      <c r="AR20" s="13">
        <f>+AQ20/AP20</f>
        <v>1.282442748091603</v>
      </c>
      <c r="AS20" s="101">
        <f>+AQ20/387-1</f>
        <v>0.30232558139534893</v>
      </c>
      <c r="AT20" s="83">
        <v>432</v>
      </c>
      <c r="AU20" s="85">
        <v>533</v>
      </c>
      <c r="AV20" s="84">
        <f>+AU20/AT20</f>
        <v>1.2337962962962963</v>
      </c>
      <c r="AW20" s="103">
        <f>+AU20/433-1</f>
        <v>0.23094688221709014</v>
      </c>
      <c r="AX20" s="83">
        <v>464</v>
      </c>
      <c r="AY20" s="83">
        <v>563</v>
      </c>
      <c r="AZ20" s="13">
        <f t="shared" si="14"/>
        <v>1.2133620689655173</v>
      </c>
      <c r="BA20" s="239" t="str">
        <f t="shared" si="23"/>
        <v>cumple</v>
      </c>
      <c r="BD20" s="9" t="str">
        <f t="shared" si="7"/>
        <v>Cumplimiento de nuevas empresas afiliadas</v>
      </c>
      <c r="BE20" s="9" t="str">
        <f t="shared" si="8"/>
        <v>Sobresaliente</v>
      </c>
      <c r="BF20" s="9" t="s">
        <v>74</v>
      </c>
      <c r="BG20" s="81">
        <f t="shared" si="9"/>
        <v>1.2133620689655173</v>
      </c>
    </row>
    <row r="21" spans="1:59" ht="14.25" customHeight="1" x14ac:dyDescent="0.25">
      <c r="A21" s="658"/>
      <c r="B21" s="82" t="s">
        <v>64</v>
      </c>
      <c r="C21" s="93">
        <f>+C20/39-1</f>
        <v>2.564102564102555E-2</v>
      </c>
      <c r="D21" s="93">
        <f>+D20/39-1</f>
        <v>0.25641025641025639</v>
      </c>
      <c r="E21" s="84">
        <f>+D21/C21</f>
        <v>10.000000000000036</v>
      </c>
      <c r="F21" s="83" t="s">
        <v>28</v>
      </c>
      <c r="G21" s="101">
        <f>G20/92-1</f>
        <v>-8.6956521739130488E-2</v>
      </c>
      <c r="H21" s="101">
        <f>H20/92-1</f>
        <v>9.7826086956521729E-2</v>
      </c>
      <c r="I21" s="84">
        <f>+H21/G21</f>
        <v>-1.1249999999999991</v>
      </c>
      <c r="J21" s="83" t="s">
        <v>28</v>
      </c>
      <c r="K21" s="101">
        <f>K20/127-1</f>
        <v>-4.7244094488189003E-2</v>
      </c>
      <c r="L21" s="101">
        <f>L20/127-1</f>
        <v>0.22047244094488194</v>
      </c>
      <c r="M21" s="84">
        <f>+L21/K21</f>
        <v>-4.6666666666666652</v>
      </c>
      <c r="N21" s="83" t="s">
        <v>28</v>
      </c>
      <c r="O21" s="27"/>
      <c r="P21" s="101">
        <f>P20/165-1</f>
        <v>-2.4242424242424288E-2</v>
      </c>
      <c r="Q21" s="101">
        <f>Q20/165-1</f>
        <v>0.21212121212121215</v>
      </c>
      <c r="R21" s="84">
        <f>+Q21/P21</f>
        <v>-8.7499999999999858</v>
      </c>
      <c r="S21" s="83" t="s">
        <v>28</v>
      </c>
      <c r="T21" s="101">
        <f>T20/194-1</f>
        <v>2.0618556701030855E-2</v>
      </c>
      <c r="U21" s="101">
        <f>U20/194-1</f>
        <v>0.31443298969072164</v>
      </c>
      <c r="V21" s="84">
        <f>U21/T21</f>
        <v>15.250000000000053</v>
      </c>
      <c r="W21" s="83" t="s">
        <v>28</v>
      </c>
      <c r="X21" s="101">
        <f>+X20/232-1</f>
        <v>-8.6206896551723755E-3</v>
      </c>
      <c r="Y21" s="101">
        <f>+Y20/232-1</f>
        <v>0.28017241379310343</v>
      </c>
      <c r="Z21" s="84">
        <f t="shared" si="19"/>
        <v>-32.500000000000142</v>
      </c>
      <c r="AA21" s="83" t="s">
        <v>28</v>
      </c>
      <c r="AC21" s="101">
        <f>AC20/264</f>
        <v>1.0037878787878789</v>
      </c>
      <c r="AD21" s="101">
        <f>AD20/264</f>
        <v>1.3106060606060606</v>
      </c>
      <c r="AE21" s="84">
        <f>+AD21/AC21</f>
        <v>1.3056603773584903</v>
      </c>
      <c r="AF21" s="83" t="s">
        <v>28</v>
      </c>
      <c r="AG21" s="101">
        <f>AG20/292-1</f>
        <v>5.821917808219168E-2</v>
      </c>
      <c r="AH21" s="101">
        <f>AH20/292-1</f>
        <v>0.39726027397260277</v>
      </c>
      <c r="AI21" s="84">
        <f>AH21/AG21</f>
        <v>6.8235294117647181</v>
      </c>
      <c r="AJ21" s="83" t="s">
        <v>28</v>
      </c>
      <c r="AK21" s="101">
        <f>+AK20/344-1</f>
        <v>2.0348837209302362E-2</v>
      </c>
      <c r="AL21" s="101">
        <f>+AL20/344-1</f>
        <v>0.33139534883720922</v>
      </c>
      <c r="AM21" s="84">
        <f t="shared" ref="AM21" si="24">+AL21/AK21</f>
        <v>16.285714285714253</v>
      </c>
      <c r="AN21" s="83" t="s">
        <v>28</v>
      </c>
      <c r="AP21" s="101">
        <f>AP20/387-1</f>
        <v>1.5503875968992276E-2</v>
      </c>
      <c r="AQ21" s="101">
        <f>AQ20/387-1</f>
        <v>0.30232558139534893</v>
      </c>
      <c r="AR21" s="13">
        <f>+AQ21/AP21</f>
        <v>19.499999999999972</v>
      </c>
      <c r="AS21" s="83" t="s">
        <v>28</v>
      </c>
      <c r="AT21" s="97">
        <f>AT20/433-1</f>
        <v>-2.3094688221708681E-3</v>
      </c>
      <c r="AU21" s="97">
        <f>AU20/433-1</f>
        <v>0.23094688221709014</v>
      </c>
      <c r="AV21" s="84">
        <f>AU21/AT21</f>
        <v>-100.00000000000144</v>
      </c>
      <c r="AW21" s="99" t="s">
        <v>28</v>
      </c>
      <c r="AX21" s="97">
        <f>AX20/472-1</f>
        <v>-1.6949152542372836E-2</v>
      </c>
      <c r="AY21" s="97">
        <f>AY20/472-1</f>
        <v>0.19279661016949157</v>
      </c>
      <c r="AZ21" s="13">
        <f t="shared" si="14"/>
        <v>13.375000000000032</v>
      </c>
      <c r="BA21" s="239" t="str">
        <f t="shared" si="23"/>
        <v>cumple</v>
      </c>
      <c r="BD21" s="9" t="str">
        <f t="shared" si="7"/>
        <v>Crecimiento de nuevas empresas afiliadas</v>
      </c>
      <c r="BE21" s="9" t="str">
        <f t="shared" si="8"/>
        <v>Sobresaliente</v>
      </c>
      <c r="BF21" s="9" t="s">
        <v>74</v>
      </c>
      <c r="BG21" s="81">
        <f t="shared" si="9"/>
        <v>13.375000000000032</v>
      </c>
    </row>
    <row r="22" spans="1:59" ht="14.25" customHeight="1" x14ac:dyDescent="0.25">
      <c r="A22" s="658"/>
      <c r="B22" s="82" t="s">
        <v>65</v>
      </c>
      <c r="C22" s="100">
        <v>4573847565.7255573</v>
      </c>
      <c r="D22" s="100">
        <v>4482469813</v>
      </c>
      <c r="E22" s="84">
        <f>+D22/C22</f>
        <v>0.98002168821490621</v>
      </c>
      <c r="F22" s="101">
        <f>D22/4438038693-1</f>
        <v>1.0011431416783179E-2</v>
      </c>
      <c r="G22" s="100">
        <v>8677446960.509346</v>
      </c>
      <c r="H22" s="100">
        <v>8624066513</v>
      </c>
      <c r="I22" s="84">
        <f>+H22/G22</f>
        <v>0.99384836948560129</v>
      </c>
      <c r="J22" s="101">
        <f>H22/8570125099-1</f>
        <v>6.294122125042767E-3</v>
      </c>
      <c r="K22" s="100">
        <v>12858231646.652201</v>
      </c>
      <c r="L22" s="100">
        <v>12871461460</v>
      </c>
      <c r="M22" s="84">
        <f>+L22/K22</f>
        <v>1.0010288983517608</v>
      </c>
      <c r="N22" s="117">
        <f>L22/12753225659
-1</f>
        <v>9.2710506472188925E-3</v>
      </c>
      <c r="O22" s="27"/>
      <c r="P22" s="118">
        <v>17297514964.722225</v>
      </c>
      <c r="Q22" s="118">
        <v>17351137791</v>
      </c>
      <c r="R22" s="84">
        <f>+Q22/P22</f>
        <v>1.0031000306337146</v>
      </c>
      <c r="S22" s="101">
        <f>Q22/17122993958-1</f>
        <v>1.3323828388867032E-2</v>
      </c>
      <c r="T22" s="118">
        <v>21623820587.676933</v>
      </c>
      <c r="U22" s="118">
        <v>21928425871</v>
      </c>
      <c r="V22" s="84">
        <f>+U22/T22</f>
        <v>1.0140865617196555</v>
      </c>
      <c r="W22" s="101">
        <f>U22/21140524864-1</f>
        <v>3.7269699407591839E-2</v>
      </c>
      <c r="X22" s="118">
        <v>26012463871.545616</v>
      </c>
      <c r="Y22" s="118">
        <v>26548416378</v>
      </c>
      <c r="Z22" s="84">
        <f>+Y22/X22</f>
        <v>1.0206036809546768</v>
      </c>
      <c r="AA22" s="101">
        <f>Y22/24996970083-1</f>
        <v>6.2065373917261635E-2</v>
      </c>
      <c r="AC22" s="118">
        <v>30407146801.690422</v>
      </c>
      <c r="AD22" s="118">
        <v>31275311592</v>
      </c>
      <c r="AE22" s="84">
        <f>+AD22/AC22</f>
        <v>1.0285513401165713</v>
      </c>
      <c r="AF22" s="101">
        <f>AD22/28953551153-1</f>
        <v>8.0189142490020071E-2</v>
      </c>
      <c r="AG22" s="118">
        <v>34948245609.672791</v>
      </c>
      <c r="AH22" s="118">
        <v>36185998534</v>
      </c>
      <c r="AI22" s="84">
        <f>+AH22/AG22</f>
        <v>1.0354167398887866</v>
      </c>
      <c r="AJ22" s="101">
        <f>AH22/33045412352-1</f>
        <v>9.5038492742848923E-2</v>
      </c>
      <c r="AK22" s="118">
        <v>39338632063.462021</v>
      </c>
      <c r="AL22" s="118">
        <v>41007169854</v>
      </c>
      <c r="AM22" s="84">
        <f>+AL22/AK22</f>
        <v>1.0424147384648823</v>
      </c>
      <c r="AN22" s="101">
        <f>AL22/37028139243-1</f>
        <v>0.10745964264872465</v>
      </c>
      <c r="AP22" s="118">
        <v>43980860629.90123</v>
      </c>
      <c r="AQ22" s="118">
        <v>45886629343.783012</v>
      </c>
      <c r="AR22" s="13">
        <f>+AQ22/AP22</f>
        <v>1.0433317740168575</v>
      </c>
      <c r="AS22" s="101">
        <f>AQ22/41020757998-1</f>
        <v>0.11861973262464454</v>
      </c>
      <c r="AT22" s="100">
        <v>48527292446.41674</v>
      </c>
      <c r="AU22" s="100">
        <v>50848406859.425301</v>
      </c>
      <c r="AV22" s="84">
        <f>+AU22/AT22</f>
        <v>1.0478311130910818</v>
      </c>
      <c r="AW22" s="103">
        <f>AU22/45213448247-1</f>
        <v>0.12463014503210768</v>
      </c>
      <c r="AX22" s="100">
        <v>53136213436.282356</v>
      </c>
      <c r="AY22" s="100">
        <v>56047734183.166016</v>
      </c>
      <c r="AZ22" s="13">
        <f t="shared" si="14"/>
        <v>1.0547935307880938</v>
      </c>
      <c r="BA22" s="239" t="str">
        <f t="shared" si="23"/>
        <v>cumple</v>
      </c>
      <c r="BD22" s="9" t="str">
        <f t="shared" si="7"/>
        <v>Cumplimiento de aportes totales región</v>
      </c>
      <c r="BE22" s="9" t="str">
        <f t="shared" si="8"/>
        <v>Sobresaliente</v>
      </c>
      <c r="BF22" s="9" t="s">
        <v>74</v>
      </c>
      <c r="BG22" s="81">
        <f t="shared" si="9"/>
        <v>1.0547935307880938</v>
      </c>
    </row>
    <row r="23" spans="1:59" ht="14.25" customHeight="1" x14ac:dyDescent="0.25">
      <c r="A23" s="658"/>
      <c r="B23" s="82" t="s">
        <v>66</v>
      </c>
      <c r="C23" s="101">
        <f>C22/4438038693-1</f>
        <v>3.0601101549602383E-2</v>
      </c>
      <c r="D23" s="101">
        <f>D22/4438038693-1</f>
        <v>1.0011431416783179E-2</v>
      </c>
      <c r="E23" s="84">
        <f>1-(D23-C23)/C23</f>
        <v>1.6728408158590207</v>
      </c>
      <c r="F23" s="106" t="s">
        <v>28</v>
      </c>
      <c r="G23" s="101">
        <f>G22/8570125099-1</f>
        <v>1.2522788205491686E-2</v>
      </c>
      <c r="H23" s="101">
        <f>H22/8570125099-1</f>
        <v>6.294122125042767E-3</v>
      </c>
      <c r="I23" s="84">
        <f>1-(H23-G23)/G23</f>
        <v>1.4973865227328071</v>
      </c>
      <c r="J23" s="106" t="s">
        <v>28</v>
      </c>
      <c r="K23" s="101">
        <f>K22/12753225659-1</f>
        <v>8.2336806749825353E-3</v>
      </c>
      <c r="L23" s="101">
        <f>L22/12753225659-1</f>
        <v>9.2710506472188925E-3</v>
      </c>
      <c r="M23" s="84">
        <f>1-(L23-K23)/K23</f>
        <v>0.87400896231155367</v>
      </c>
      <c r="N23" s="83" t="s">
        <v>28</v>
      </c>
      <c r="O23" s="27"/>
      <c r="P23" s="101">
        <f>P22/17122993958-1</f>
        <v>1.01922016179119E-2</v>
      </c>
      <c r="Q23" s="101">
        <f>Q22/17122993958-1</f>
        <v>1.3323828388867032E-2</v>
      </c>
      <c r="R23" s="84">
        <f>-Q23/P23</f>
        <v>-1.3072571450560371</v>
      </c>
      <c r="S23" s="106" t="s">
        <v>28</v>
      </c>
      <c r="T23" s="101">
        <f>T22/21140524864-1</f>
        <v>2.2861103344691935E-2</v>
      </c>
      <c r="U23" s="101">
        <f>U22/21140524864-1</f>
        <v>3.7269699407591839E-2</v>
      </c>
      <c r="V23" s="84">
        <f>-U23/T23</f>
        <v>-1.6302668705727801</v>
      </c>
      <c r="W23" s="106" t="s">
        <v>28</v>
      </c>
      <c r="X23" s="101">
        <f>X22/24996970083-1</f>
        <v>4.0624675117574949E-2</v>
      </c>
      <c r="Y23" s="101">
        <f>Y22/24996970083-1</f>
        <v>6.2065373917261635E-2</v>
      </c>
      <c r="Z23" s="84">
        <f>-Y23/X23</f>
        <v>-1.5277752680515853</v>
      </c>
      <c r="AA23" s="74" t="s">
        <v>28</v>
      </c>
      <c r="AC23" s="101">
        <f>AC22/28953551153-1</f>
        <v>5.0204399488309681E-2</v>
      </c>
      <c r="AD23" s="101">
        <f>AD22/28953551153-1</f>
        <v>8.0189142490020071E-2</v>
      </c>
      <c r="AE23" s="84">
        <f>-AD23/AC23</f>
        <v>-1.5972532946777398</v>
      </c>
      <c r="AF23" s="106" t="s">
        <v>28</v>
      </c>
      <c r="AG23" s="101">
        <f>AG22/33045412352-1</f>
        <v>5.7582372929827486E-2</v>
      </c>
      <c r="AH23" s="101">
        <f>AH22/33045412352-1</f>
        <v>9.5038492742848923E-2</v>
      </c>
      <c r="AI23" s="84">
        <f>-AH23/AG23</f>
        <v>-1.6504789210174993</v>
      </c>
      <c r="AJ23" s="106" t="s">
        <v>28</v>
      </c>
      <c r="AK23" s="101">
        <f>AK22/37028139243-1</f>
        <v>6.239829674667785E-2</v>
      </c>
      <c r="AL23" s="101">
        <f>AL22/37028139243-1</f>
        <v>0.10745964264872465</v>
      </c>
      <c r="AM23" s="84">
        <f>-AL23/AK23</f>
        <v>-1.7221566653491374</v>
      </c>
      <c r="AN23" s="74" t="s">
        <v>28</v>
      </c>
      <c r="AP23" s="101">
        <f>AP22/41020757998-1</f>
        <v>7.2161090539710537E-2</v>
      </c>
      <c r="AQ23" s="101">
        <f>AQ22/41020757998-1</f>
        <v>0.11861973262464454</v>
      </c>
      <c r="AR23" s="13">
        <f>-AQ23/AP23</f>
        <v>-1.6438184586382827</v>
      </c>
      <c r="AS23" s="106" t="s">
        <v>28</v>
      </c>
      <c r="AT23" s="101">
        <f>AT22/45213448274-1</f>
        <v>7.3293329726464851E-2</v>
      </c>
      <c r="AU23" s="101">
        <f>AU22/45213448274-1</f>
        <v>0.12463014436051512</v>
      </c>
      <c r="AV23" s="84">
        <f>-AU23/AT23</f>
        <v>-1.7004295592196776</v>
      </c>
      <c r="AW23" s="112" t="s">
        <v>28</v>
      </c>
      <c r="AX23" s="101">
        <f>AX22/49569644373-1</f>
        <v>7.1950668769070747E-2</v>
      </c>
      <c r="AY23" s="101">
        <f>AY22/49569644373-1</f>
        <v>0.1306866307415866</v>
      </c>
      <c r="AZ23" s="13">
        <f t="shared" si="14"/>
        <v>1.8163365675033798</v>
      </c>
      <c r="BA23" s="239" t="str">
        <f t="shared" si="23"/>
        <v>cumple</v>
      </c>
      <c r="BD23" s="9" t="str">
        <f t="shared" si="7"/>
        <v>Crecimiento de aportes totales región</v>
      </c>
      <c r="BE23" s="9" t="str">
        <f t="shared" si="8"/>
        <v>Sobresaliente</v>
      </c>
      <c r="BF23" s="9" t="s">
        <v>74</v>
      </c>
      <c r="BG23" s="81">
        <f t="shared" si="9"/>
        <v>1.8163365675033798</v>
      </c>
    </row>
    <row r="24" spans="1:59" ht="14.25" customHeight="1" x14ac:dyDescent="0.25">
      <c r="A24" s="658"/>
      <c r="B24" s="82" t="s">
        <v>67</v>
      </c>
      <c r="C24" s="100">
        <v>18094000</v>
      </c>
      <c r="D24" s="100">
        <v>52647600</v>
      </c>
      <c r="E24" s="84">
        <f t="shared" si="15"/>
        <v>2.9096717143804578</v>
      </c>
      <c r="F24" s="93">
        <f>+D24/368700-1</f>
        <v>141.79251423921889</v>
      </c>
      <c r="G24" s="100">
        <v>56393000</v>
      </c>
      <c r="H24" s="100">
        <v>110301700</v>
      </c>
      <c r="I24" s="84">
        <f t="shared" si="16"/>
        <v>1.9559466600464597</v>
      </c>
      <c r="J24" s="93">
        <f>+H24/2691300-1</f>
        <v>39.984542786014195</v>
      </c>
      <c r="K24" s="119">
        <v>111787000</v>
      </c>
      <c r="L24" s="120">
        <v>231453500</v>
      </c>
      <c r="M24" s="84">
        <f>+L24/K24</f>
        <v>2.0704867292261175</v>
      </c>
      <c r="N24" s="101">
        <f>+L24/12526300-1</f>
        <v>17.477403542945641</v>
      </c>
      <c r="O24" s="27"/>
      <c r="P24" s="118">
        <v>185596000</v>
      </c>
      <c r="Q24" s="118">
        <v>365102800</v>
      </c>
      <c r="R24" s="84">
        <f t="shared" ref="R24" si="25">+Q24/P24</f>
        <v>1.9671911032565357</v>
      </c>
      <c r="S24" s="101">
        <f>+Q24/29584800-1</f>
        <v>11.340891268489225</v>
      </c>
      <c r="T24" s="118">
        <v>276170000</v>
      </c>
      <c r="U24" s="118">
        <v>634773500</v>
      </c>
      <c r="V24" s="84">
        <f t="shared" ref="V24" si="26">+U24/T24</f>
        <v>2.2984882499909478</v>
      </c>
      <c r="W24" s="101">
        <f>+U24/45779700-1</f>
        <v>12.865829177561233</v>
      </c>
      <c r="X24" s="118">
        <v>381217000</v>
      </c>
      <c r="Y24" s="118">
        <v>911258600</v>
      </c>
      <c r="Z24" s="84">
        <f t="shared" si="19"/>
        <v>2.3903933979859242</v>
      </c>
      <c r="AA24" s="101">
        <f>+Y24/64080800-1</f>
        <v>13.220462291357162</v>
      </c>
      <c r="AC24" s="118">
        <v>502274000</v>
      </c>
      <c r="AD24" s="118">
        <v>1198848200</v>
      </c>
      <c r="AE24" s="84">
        <f t="shared" ref="AE24" si="27">+AD24/AC24</f>
        <v>2.3868410469186143</v>
      </c>
      <c r="AF24" s="101">
        <f>+AD24/88644700-1</f>
        <v>12.524194903925446</v>
      </c>
      <c r="AG24" s="118">
        <v>643802000</v>
      </c>
      <c r="AH24" s="118">
        <v>1554241900</v>
      </c>
      <c r="AI24" s="84">
        <f t="shared" ref="AI24" si="28">+AH24/AG24</f>
        <v>2.4141613415304706</v>
      </c>
      <c r="AJ24" s="101">
        <f>+AH24/121380200-1</f>
        <v>11.804739982303539</v>
      </c>
      <c r="AK24" s="118">
        <v>804349000</v>
      </c>
      <c r="AL24" s="118">
        <v>1884827400</v>
      </c>
      <c r="AM24" s="84">
        <f t="shared" ref="AM24:AM27" si="29">+AL24/AK24</f>
        <v>2.3432955097849315</v>
      </c>
      <c r="AN24" s="101">
        <f>+AL24/64080800-1</f>
        <v>28.413293841525075</v>
      </c>
      <c r="AP24" s="118">
        <v>984112000</v>
      </c>
      <c r="AQ24" s="118">
        <v>2257153700</v>
      </c>
      <c r="AR24" s="13">
        <f t="shared" ref="AR24" si="30">+AQ24/AP24</f>
        <v>2.293594326662006</v>
      </c>
      <c r="AS24" s="101">
        <f>+AQ24/193253100-1</f>
        <v>10.679780039750979</v>
      </c>
      <c r="AT24" s="100">
        <v>1181805000</v>
      </c>
      <c r="AU24" s="100">
        <v>2608740300</v>
      </c>
      <c r="AV24" s="84">
        <f t="shared" ref="AV24" si="31">+AU24/AT24</f>
        <v>2.2074202596875119</v>
      </c>
      <c r="AW24" s="103">
        <f>+AU24/241729000-1</f>
        <v>9.7920038555572564</v>
      </c>
      <c r="AX24" s="118">
        <v>1394253000</v>
      </c>
      <c r="AY24" s="118">
        <v>2945103700</v>
      </c>
      <c r="AZ24" s="13">
        <f t="shared" si="14"/>
        <v>2.1123165594766515</v>
      </c>
      <c r="BA24" s="239" t="str">
        <f t="shared" si="23"/>
        <v>cumple</v>
      </c>
      <c r="BD24" s="9" t="str">
        <f t="shared" si="7"/>
        <v>Cumplimiento de nuevos aportes</v>
      </c>
      <c r="BE24" s="9" t="str">
        <f t="shared" si="8"/>
        <v>Sobresaliente</v>
      </c>
      <c r="BF24" s="9" t="s">
        <v>74</v>
      </c>
      <c r="BG24" s="81">
        <f t="shared" si="9"/>
        <v>2.1123165594766515</v>
      </c>
    </row>
    <row r="25" spans="1:59" ht="14.25" customHeight="1" x14ac:dyDescent="0.25">
      <c r="A25" s="658"/>
      <c r="B25" s="82" t="s">
        <v>68</v>
      </c>
      <c r="C25" s="108">
        <v>52870</v>
      </c>
      <c r="D25" s="108">
        <v>50550</v>
      </c>
      <c r="E25" s="84">
        <f t="shared" si="15"/>
        <v>0.95611878191791189</v>
      </c>
      <c r="F25" s="101">
        <f>D25/53760-1</f>
        <v>-5.9709821428571397E-2</v>
      </c>
      <c r="G25" s="108">
        <v>54062.540431025205</v>
      </c>
      <c r="H25" s="108">
        <v>51886</v>
      </c>
      <c r="I25" s="84">
        <f t="shared" si="16"/>
        <v>0.95974032271380016</v>
      </c>
      <c r="J25" s="101">
        <f>H25/53805-1</f>
        <v>-3.5665830313167945E-2</v>
      </c>
      <c r="K25" s="108">
        <v>54240.771748475105</v>
      </c>
      <c r="L25" s="108">
        <v>52818</v>
      </c>
      <c r="M25" s="84">
        <f t="shared" si="17"/>
        <v>0.97376933066010252</v>
      </c>
      <c r="N25" s="101">
        <f>L25/54612-1</f>
        <v>-3.2849923093825506E-2</v>
      </c>
      <c r="O25" s="27"/>
      <c r="P25" s="118">
        <v>54099.134131680192</v>
      </c>
      <c r="Q25" s="118">
        <v>53679</v>
      </c>
      <c r="R25" s="84">
        <f>+P25/Q25</f>
        <v>1.007826787601859</v>
      </c>
      <c r="S25" s="95">
        <f>+Q25/52102-1</f>
        <v>3.0267552109324081E-2</v>
      </c>
      <c r="T25" s="118">
        <v>53880.217361974203</v>
      </c>
      <c r="U25" s="118">
        <v>54574</v>
      </c>
      <c r="V25" s="84">
        <f>+U25/T25</f>
        <v>1.0128763889975587</v>
      </c>
      <c r="W25" s="95">
        <f>+U25/50586-1</f>
        <v>7.8836041592535544E-2</v>
      </c>
      <c r="X25" s="118">
        <v>54977.453650144751</v>
      </c>
      <c r="Y25" s="118">
        <v>54993</v>
      </c>
      <c r="Z25" s="84">
        <f t="shared" si="19"/>
        <v>1.000282776826191</v>
      </c>
      <c r="AA25" s="95">
        <f>+Y25/50600-1</f>
        <v>8.6818181818181905E-2</v>
      </c>
      <c r="AC25" s="118">
        <v>55453.631738838245</v>
      </c>
      <c r="AD25" s="118">
        <v>55545</v>
      </c>
      <c r="AE25" s="84">
        <f>+AC25/AD25</f>
        <v>0.99835505876025288</v>
      </c>
      <c r="AF25" s="95">
        <f>+AD25/50403-1</f>
        <v>0.10201773703946193</v>
      </c>
      <c r="AG25" s="118">
        <v>56183.946550488094</v>
      </c>
      <c r="AH25" s="118">
        <v>56193</v>
      </c>
      <c r="AI25" s="84">
        <f>+AH25/AG25</f>
        <v>1.0001611394369345</v>
      </c>
      <c r="AJ25" s="95">
        <f>+AH25/49962-1</f>
        <v>0.12471478323525886</v>
      </c>
      <c r="AK25" s="118">
        <v>56479.207257991307</v>
      </c>
      <c r="AL25" s="118">
        <v>56717</v>
      </c>
      <c r="AM25" s="84">
        <f t="shared" si="29"/>
        <v>1.0042102705323479</v>
      </c>
      <c r="AN25" s="95">
        <f>+AL25/50685-1</f>
        <v>0.11900956890598802</v>
      </c>
      <c r="AP25" s="118">
        <v>57297.677550737826</v>
      </c>
      <c r="AQ25" s="118">
        <v>56854</v>
      </c>
      <c r="AR25" s="13">
        <f>+AP25/AQ25</f>
        <v>1.0078038053740779</v>
      </c>
      <c r="AS25" s="95">
        <f>+AQ25/51480-1</f>
        <v>0.10439005439005444</v>
      </c>
      <c r="AT25" s="109">
        <v>56880.830734397576</v>
      </c>
      <c r="AU25" s="109">
        <v>57492</v>
      </c>
      <c r="AV25" s="84">
        <f>+AU25/AT25</f>
        <v>1.0107447317085829</v>
      </c>
      <c r="AW25" s="110">
        <f>+AU25/51750-1</f>
        <v>0.1109565217391304</v>
      </c>
      <c r="AX25" s="118">
        <v>56785.756491961503</v>
      </c>
      <c r="AY25" s="118">
        <v>56902</v>
      </c>
      <c r="AZ25" s="13">
        <f t="shared" si="14"/>
        <v>1.002047053965988</v>
      </c>
      <c r="BA25" s="239" t="str">
        <f t="shared" si="23"/>
        <v>cumple</v>
      </c>
      <c r="BD25" s="9" t="str">
        <f t="shared" si="7"/>
        <v>Cumplimiento afiliados totales región</v>
      </c>
      <c r="BE25" s="9" t="str">
        <f t="shared" si="8"/>
        <v>Sobresaliente</v>
      </c>
      <c r="BF25" s="9" t="s">
        <v>74</v>
      </c>
      <c r="BG25" s="81">
        <f t="shared" si="9"/>
        <v>1.002047053965988</v>
      </c>
    </row>
    <row r="26" spans="1:59" ht="14.25" customHeight="1" x14ac:dyDescent="0.25">
      <c r="A26" s="658"/>
      <c r="B26" s="82" t="s">
        <v>69</v>
      </c>
      <c r="C26" s="101">
        <f>C25/53760-1</f>
        <v>-1.6555059523809534E-2</v>
      </c>
      <c r="D26" s="101">
        <f>D25/53760-1</f>
        <v>-5.9709821428571397E-2</v>
      </c>
      <c r="E26" s="84">
        <f>+D26/C26</f>
        <v>3.6067415730337036</v>
      </c>
      <c r="F26" s="106" t="s">
        <v>28</v>
      </c>
      <c r="G26" s="101">
        <f>G25/53805-1</f>
        <v>4.7865520123633321E-3</v>
      </c>
      <c r="H26" s="101">
        <f>H25/53805-1</f>
        <v>-3.5665830313167945E-2</v>
      </c>
      <c r="I26" s="84">
        <f>-H26/G26</f>
        <v>7.4512572350714201</v>
      </c>
      <c r="J26" s="102" t="s">
        <v>28</v>
      </c>
      <c r="K26" s="101">
        <f>K25/54612-1</f>
        <v>-6.7975582568829962E-3</v>
      </c>
      <c r="L26" s="101">
        <f>L25/54612-1</f>
        <v>-3.2849923093825506E-2</v>
      </c>
      <c r="M26" s="84">
        <f>+L26/K26</f>
        <v>4.8326063348648312</v>
      </c>
      <c r="N26" s="83" t="s">
        <v>28</v>
      </c>
      <c r="O26" s="27"/>
      <c r="P26" s="101">
        <f>P25/52102-1</f>
        <v>3.8331237412770891E-2</v>
      </c>
      <c r="Q26" s="101">
        <f>Q25/52102-1</f>
        <v>3.0267552109324081E-2</v>
      </c>
      <c r="R26" s="84">
        <f>+Q26/P26</f>
        <v>0.78963148993566756</v>
      </c>
      <c r="S26" s="106" t="s">
        <v>28</v>
      </c>
      <c r="T26" s="101">
        <f>T25/50586-1</f>
        <v>6.5121127623733788E-2</v>
      </c>
      <c r="U26" s="101">
        <f>U25/50586-1</f>
        <v>7.8836041592535544E-2</v>
      </c>
      <c r="V26" s="84">
        <f>+U26/T26</f>
        <v>1.2106062113673117</v>
      </c>
      <c r="W26" s="106" t="s">
        <v>28</v>
      </c>
      <c r="X26" s="101">
        <f>X25/50600-1</f>
        <v>8.6510941702465427E-2</v>
      </c>
      <c r="Y26" s="101">
        <f>Y25/50600-1</f>
        <v>8.6818181818181905E-2</v>
      </c>
      <c r="Z26" s="84">
        <f t="shared" si="19"/>
        <v>1.0035514596150525</v>
      </c>
      <c r="AA26" s="106" t="s">
        <v>28</v>
      </c>
      <c r="AC26" s="101">
        <f>AC25/50403-1</f>
        <v>0.10020498261687294</v>
      </c>
      <c r="AD26" s="101">
        <f>AD25/50403-1</f>
        <v>0.10201773703946193</v>
      </c>
      <c r="AE26" s="84">
        <f>+AD26/AC26</f>
        <v>1.0180904619236344</v>
      </c>
      <c r="AF26" s="106" t="s">
        <v>28</v>
      </c>
      <c r="AG26" s="101">
        <f>AG25/49962-1</f>
        <v>0.12453357652792318</v>
      </c>
      <c r="AH26" s="101">
        <f>AH25/49962-1</f>
        <v>0.12471478323525886</v>
      </c>
      <c r="AI26" s="84">
        <f>+AH26/AG26</f>
        <v>1.001455083138121</v>
      </c>
      <c r="AJ26" s="106" t="s">
        <v>28</v>
      </c>
      <c r="AK26" s="101">
        <f>AK25/50685-1</f>
        <v>0.11431798871443832</v>
      </c>
      <c r="AL26" s="101">
        <f>AL25/50685-1</f>
        <v>0.11900956890598802</v>
      </c>
      <c r="AM26" s="84">
        <f t="shared" si="29"/>
        <v>1.0410397370029758</v>
      </c>
      <c r="AN26" s="106" t="s">
        <v>28</v>
      </c>
      <c r="AP26" s="101">
        <f>AP25/51480-1</f>
        <v>0.11300849943158164</v>
      </c>
      <c r="AQ26" s="101">
        <f>AQ25/51480-1</f>
        <v>0.10439005439005444</v>
      </c>
      <c r="AR26" s="13">
        <f>+AQ26/AP26</f>
        <v>0.92373631111927967</v>
      </c>
      <c r="AS26" s="106" t="s">
        <v>28</v>
      </c>
      <c r="AT26" s="101">
        <f>AT25/51750-1</f>
        <v>9.9146487621209145E-2</v>
      </c>
      <c r="AU26" s="101">
        <f>AU25/51750-1</f>
        <v>0.1109565217391304</v>
      </c>
      <c r="AV26" s="84">
        <f>+AU26/AT26</f>
        <v>1.119117019687492</v>
      </c>
      <c r="AW26" s="112" t="s">
        <v>28</v>
      </c>
      <c r="AX26" s="101">
        <f>AX25/52083-1</f>
        <v>9.0293502524076974E-2</v>
      </c>
      <c r="AY26" s="101">
        <f>AY25/52083-1</f>
        <v>9.2525392162509768E-2</v>
      </c>
      <c r="AZ26" s="13">
        <f t="shared" si="14"/>
        <v>1.0247181643866086</v>
      </c>
      <c r="BA26" s="239" t="str">
        <f t="shared" si="23"/>
        <v>cumple</v>
      </c>
      <c r="BD26" s="9" t="str">
        <f t="shared" si="7"/>
        <v>Crecimiento afiliados totales región</v>
      </c>
      <c r="BE26" s="9" t="str">
        <f t="shared" si="8"/>
        <v>Sobresaliente</v>
      </c>
      <c r="BF26" s="9" t="s">
        <v>74</v>
      </c>
      <c r="BG26" s="81">
        <f t="shared" si="9"/>
        <v>1.0247181643866086</v>
      </c>
    </row>
    <row r="27" spans="1:59" ht="14.25" customHeight="1" x14ac:dyDescent="0.25">
      <c r="A27" s="658"/>
      <c r="B27" s="82" t="s">
        <v>70</v>
      </c>
      <c r="C27" s="83">
        <v>311</v>
      </c>
      <c r="D27" s="83">
        <v>552</v>
      </c>
      <c r="E27" s="84">
        <f>+D27/C27</f>
        <v>1.77491961414791</v>
      </c>
      <c r="F27" s="101">
        <f>D27/53-1</f>
        <v>9.415094339622641</v>
      </c>
      <c r="G27" s="83">
        <v>658</v>
      </c>
      <c r="H27" s="108">
        <v>1203</v>
      </c>
      <c r="I27" s="84">
        <f>+H27/G27</f>
        <v>1.8282674772036474</v>
      </c>
      <c r="J27" s="93">
        <f>H27/171-1</f>
        <v>6.0350877192982457</v>
      </c>
      <c r="K27" s="83">
        <v>951</v>
      </c>
      <c r="L27" s="108">
        <v>1308</v>
      </c>
      <c r="M27" s="84">
        <f t="shared" si="17"/>
        <v>1.3753943217665616</v>
      </c>
      <c r="N27" s="101">
        <f>L27/246-1</f>
        <v>4.3170731707317076</v>
      </c>
      <c r="O27" s="27"/>
      <c r="P27" s="118">
        <v>1268</v>
      </c>
      <c r="Q27" s="118">
        <v>1606</v>
      </c>
      <c r="R27" s="84">
        <f>+Q27/P27</f>
        <v>1.2665615141955835</v>
      </c>
      <c r="S27" s="101">
        <f>+Q27/282-1</f>
        <v>4.6950354609929077</v>
      </c>
      <c r="T27" s="118">
        <v>1555</v>
      </c>
      <c r="U27" s="118">
        <v>2711</v>
      </c>
      <c r="V27" s="84">
        <f>+U27/T27</f>
        <v>1.7434083601286174</v>
      </c>
      <c r="W27" s="101">
        <f>+U27/309-1</f>
        <v>7.7734627831715208</v>
      </c>
      <c r="X27" s="118">
        <v>1804.0085516396152</v>
      </c>
      <c r="Y27" s="118">
        <v>2897</v>
      </c>
      <c r="Z27" s="84">
        <f t="shared" si="19"/>
        <v>1.6058682190652556</v>
      </c>
      <c r="AA27" s="101">
        <f>+Y27/422-1</f>
        <v>5.8649289099526065</v>
      </c>
      <c r="AC27" s="118">
        <v>2078.9448438749237</v>
      </c>
      <c r="AD27" s="118">
        <v>3108</v>
      </c>
      <c r="AE27" s="84">
        <f>+AD27/AC27</f>
        <v>1.4949891571952583</v>
      </c>
      <c r="AF27" s="101">
        <f>+AD27/528-1</f>
        <v>4.8863636363636367</v>
      </c>
      <c r="AG27" s="118">
        <v>2431</v>
      </c>
      <c r="AH27" s="118">
        <v>3360</v>
      </c>
      <c r="AI27" s="84">
        <f>+AH27/AG27</f>
        <v>1.3821472645002058</v>
      </c>
      <c r="AJ27" s="101">
        <f>+AH27/545-1</f>
        <v>5.1651376146788994</v>
      </c>
      <c r="AK27" s="118">
        <v>2757</v>
      </c>
      <c r="AL27" s="118">
        <v>3457</v>
      </c>
      <c r="AM27" s="84">
        <f t="shared" si="29"/>
        <v>1.2538991657598839</v>
      </c>
      <c r="AN27" s="101">
        <f>+AL27/722-1</f>
        <v>3.7880886426592797</v>
      </c>
      <c r="AP27" s="118">
        <v>3087.1264740503257</v>
      </c>
      <c r="AQ27" s="118">
        <v>3605</v>
      </c>
      <c r="AR27" s="13">
        <f>+AQ27/AP27</f>
        <v>1.1677526108187661</v>
      </c>
      <c r="AS27" s="101">
        <f>+AQ27/673-1</f>
        <v>4.3566121842496282</v>
      </c>
      <c r="AT27" s="122">
        <v>3395</v>
      </c>
      <c r="AU27" s="122">
        <v>4402</v>
      </c>
      <c r="AV27" s="84">
        <f>+AU27/AT27</f>
        <v>1.2966126656848307</v>
      </c>
      <c r="AW27" s="103">
        <f>+AU27/1003-1</f>
        <v>3.3888334995014953</v>
      </c>
      <c r="AX27" s="118">
        <v>3648</v>
      </c>
      <c r="AY27" s="118">
        <v>3991</v>
      </c>
      <c r="AZ27" s="13">
        <f t="shared" si="14"/>
        <v>1.0940241228070176</v>
      </c>
      <c r="BA27" s="239" t="str">
        <f t="shared" si="23"/>
        <v>cumple</v>
      </c>
      <c r="BD27" s="9" t="str">
        <f t="shared" si="7"/>
        <v>Cumplimiento de nuevos afiliados región</v>
      </c>
      <c r="BE27" s="9" t="str">
        <f t="shared" si="8"/>
        <v>Sobresaliente</v>
      </c>
      <c r="BF27" s="9" t="s">
        <v>74</v>
      </c>
      <c r="BG27" s="81">
        <f t="shared" si="9"/>
        <v>1.0940241228070176</v>
      </c>
    </row>
    <row r="28" spans="1:59" s="9" customFormat="1" ht="14.25" customHeight="1" x14ac:dyDescent="0.25">
      <c r="A28" s="658"/>
      <c r="B28" s="113" t="s">
        <v>71</v>
      </c>
      <c r="C28" s="109">
        <v>24456</v>
      </c>
      <c r="D28" s="109">
        <v>9609</v>
      </c>
      <c r="E28" s="115">
        <f t="shared" ref="E28:E29" si="32">+D28/C28</f>
        <v>0.39290971540726199</v>
      </c>
      <c r="F28" s="115">
        <v>-0.76</v>
      </c>
      <c r="G28" s="109">
        <v>17460</v>
      </c>
      <c r="H28" s="109">
        <v>17218</v>
      </c>
      <c r="I28" s="115">
        <f t="shared" ref="I28:I29" si="33">+H28/G28</f>
        <v>0.98613974799541815</v>
      </c>
      <c r="J28" s="115">
        <v>-0.24</v>
      </c>
      <c r="K28" s="109">
        <v>21985</v>
      </c>
      <c r="L28" s="109">
        <v>19489</v>
      </c>
      <c r="M28" s="115">
        <f t="shared" si="17"/>
        <v>0.88646804639526955</v>
      </c>
      <c r="N28" s="115">
        <v>0.28000000000000003</v>
      </c>
      <c r="O28" s="31"/>
      <c r="AX28" s="245">
        <v>0.95840090899379438</v>
      </c>
      <c r="AY28" s="245">
        <v>0.5093472919559876</v>
      </c>
      <c r="AZ28" s="13">
        <f t="shared" si="14"/>
        <v>0.53145535148828371</v>
      </c>
      <c r="BA28" s="239" t="str">
        <f t="shared" si="23"/>
        <v>revisar</v>
      </c>
      <c r="BD28" s="9" t="str">
        <f t="shared" si="7"/>
        <v>Crecimiento Coberturas Región</v>
      </c>
      <c r="BE28" s="9" t="str">
        <f t="shared" si="8"/>
        <v>Incumple</v>
      </c>
      <c r="BF28" s="9" t="s">
        <v>74</v>
      </c>
      <c r="BG28" s="81">
        <f t="shared" si="9"/>
        <v>0.53145535148828371</v>
      </c>
    </row>
    <row r="29" spans="1:59" s="9" customFormat="1" ht="14.25" customHeight="1" thickBot="1" x14ac:dyDescent="0.3">
      <c r="A29" s="659"/>
      <c r="B29" s="113" t="s">
        <v>72</v>
      </c>
      <c r="C29" s="109">
        <v>6045</v>
      </c>
      <c r="D29" s="109">
        <v>1782</v>
      </c>
      <c r="E29" s="115">
        <f t="shared" si="32"/>
        <v>0.29478908188585606</v>
      </c>
      <c r="F29" s="115">
        <v>-0.67</v>
      </c>
      <c r="G29" s="109">
        <v>1520</v>
      </c>
      <c r="H29" s="109">
        <v>1326</v>
      </c>
      <c r="I29" s="115">
        <f t="shared" si="33"/>
        <v>0.87236842105263157</v>
      </c>
      <c r="J29" s="115">
        <v>-0.28000000000000003</v>
      </c>
      <c r="K29" s="109">
        <v>2411</v>
      </c>
      <c r="L29" s="109">
        <v>1419</v>
      </c>
      <c r="M29" s="115">
        <f t="shared" si="17"/>
        <v>0.58855246785566151</v>
      </c>
      <c r="N29" s="20">
        <v>0.16</v>
      </c>
      <c r="O29" s="31"/>
      <c r="AX29" s="245">
        <v>9.1521061596709294E-2</v>
      </c>
      <c r="AY29" s="245">
        <v>0.10172179720626179</v>
      </c>
      <c r="AZ29" s="13">
        <f t="shared" si="14"/>
        <v>1.1114577937754087</v>
      </c>
      <c r="BA29" s="239" t="str">
        <f t="shared" si="23"/>
        <v>cumple</v>
      </c>
      <c r="BD29" s="9" t="str">
        <f t="shared" si="7"/>
        <v xml:space="preserve">Penetración de Uso en Población A y B Región </v>
      </c>
      <c r="BE29" s="9" t="str">
        <f t="shared" si="8"/>
        <v>Sobresaliente</v>
      </c>
      <c r="BF29" s="9" t="s">
        <v>74</v>
      </c>
      <c r="BG29" s="81">
        <f t="shared" si="9"/>
        <v>1.1114577937754087</v>
      </c>
    </row>
    <row r="30" spans="1:59" ht="14.25" customHeight="1" thickBot="1" x14ac:dyDescent="0.3">
      <c r="B30"/>
      <c r="C30" s="18"/>
      <c r="D30" s="18"/>
      <c r="E30" s="18"/>
      <c r="F30" s="18"/>
      <c r="G30" s="18"/>
      <c r="H30" s="18"/>
      <c r="I30" s="18"/>
      <c r="J30" s="18"/>
      <c r="K30" s="18"/>
      <c r="L30" s="18"/>
      <c r="M30" s="18"/>
      <c r="N30" s="27"/>
      <c r="O30" s="27"/>
    </row>
    <row r="31" spans="1:59" ht="14.25" customHeight="1" x14ac:dyDescent="0.25">
      <c r="A31" s="660" t="s">
        <v>75</v>
      </c>
      <c r="B31" s="124" t="s">
        <v>76</v>
      </c>
      <c r="C31" s="125">
        <v>90.000769320000003</v>
      </c>
      <c r="D31" s="125">
        <v>109.07241677</v>
      </c>
      <c r="E31" s="93">
        <f>+D31/C31</f>
        <v>1.211905382521679</v>
      </c>
      <c r="F31" s="93">
        <v>-0.40369753266233122</v>
      </c>
      <c r="G31" s="126">
        <v>101.52777581337605</v>
      </c>
      <c r="H31" s="126">
        <v>190.23044346000003</v>
      </c>
      <c r="I31" s="93">
        <f t="shared" ref="I31:I40" si="34">+H31/G31</f>
        <v>1.8736788227260426</v>
      </c>
      <c r="J31" s="93">
        <v>-0.33931603235536767</v>
      </c>
      <c r="K31" s="126">
        <v>294.00010607519999</v>
      </c>
      <c r="L31" s="126">
        <v>217.69315629000002</v>
      </c>
      <c r="M31" s="93">
        <f t="shared" ref="M31:M38" si="35">+L31/K31</f>
        <v>0.74045264539570599</v>
      </c>
      <c r="N31" s="93">
        <v>0.3778919949996844</v>
      </c>
      <c r="O31" s="27"/>
      <c r="AR31" s="13" t="e">
        <f t="shared" ref="AR31" si="36">+IF(AP31&lt;0,1-(AQ31-AP31)/AP31,AQ31/AP31)</f>
        <v>#DIV/0!</v>
      </c>
      <c r="AX31" s="246"/>
      <c r="AY31" s="246"/>
      <c r="AZ31" s="13" t="e">
        <f t="shared" ref="AZ31:AZ40" si="37">+IF(AX31&lt;0,1-(AY31-AX31)/AX31,AY31/AX31)</f>
        <v>#DIV/0!</v>
      </c>
    </row>
    <row r="32" spans="1:59" ht="14.25" customHeight="1" x14ac:dyDescent="0.25">
      <c r="A32" s="652"/>
      <c r="B32" s="82" t="s">
        <v>61</v>
      </c>
      <c r="C32" s="127">
        <v>69</v>
      </c>
      <c r="D32" s="127">
        <v>69</v>
      </c>
      <c r="E32" s="128">
        <f t="shared" ref="E32:E38" si="38">+D32/C32</f>
        <v>1</v>
      </c>
      <c r="F32" s="129" t="s">
        <v>28</v>
      </c>
      <c r="G32" s="127">
        <v>69</v>
      </c>
      <c r="H32" s="127">
        <v>69</v>
      </c>
      <c r="I32" s="128">
        <f t="shared" si="34"/>
        <v>1</v>
      </c>
      <c r="J32" s="129" t="s">
        <v>28</v>
      </c>
      <c r="K32" s="127">
        <v>69</v>
      </c>
      <c r="L32" s="127">
        <v>69</v>
      </c>
      <c r="M32" s="128">
        <f t="shared" si="35"/>
        <v>1</v>
      </c>
      <c r="N32" s="129" t="s">
        <v>28</v>
      </c>
      <c r="O32" s="27"/>
      <c r="P32" s="83">
        <v>69</v>
      </c>
      <c r="Q32" s="85">
        <v>68</v>
      </c>
      <c r="R32" s="84">
        <f t="shared" ref="R32:R40" si="39">+Q32/P32</f>
        <v>0.98550724637681164</v>
      </c>
      <c r="S32" s="101" t="s">
        <v>28</v>
      </c>
      <c r="T32" s="85">
        <v>69</v>
      </c>
      <c r="U32" s="85">
        <v>68</v>
      </c>
      <c r="V32" s="115">
        <f>+T32/U32</f>
        <v>1.0147058823529411</v>
      </c>
      <c r="W32" s="101" t="s">
        <v>28</v>
      </c>
      <c r="X32" s="85">
        <v>69</v>
      </c>
      <c r="Y32" s="85">
        <v>68</v>
      </c>
      <c r="Z32" s="115">
        <f>+X32/Y32</f>
        <v>1.0147058823529411</v>
      </c>
      <c r="AA32" s="101" t="s">
        <v>28</v>
      </c>
      <c r="AC32" s="83">
        <v>69</v>
      </c>
      <c r="AD32" s="85">
        <v>68</v>
      </c>
      <c r="AE32" s="84">
        <f t="shared" ref="AE32:AE40" si="40">+AD32/AC32</f>
        <v>0.98550724637681164</v>
      </c>
      <c r="AF32" s="101" t="s">
        <v>28</v>
      </c>
      <c r="AG32" s="85">
        <v>69</v>
      </c>
      <c r="AH32" s="85">
        <v>67</v>
      </c>
      <c r="AI32" s="115">
        <f>+AG32/AH32</f>
        <v>1.0298507462686568</v>
      </c>
      <c r="AJ32" s="101" t="s">
        <v>28</v>
      </c>
      <c r="AK32" s="85">
        <v>69</v>
      </c>
      <c r="AL32" s="85">
        <v>67</v>
      </c>
      <c r="AM32" s="115">
        <f>+AK32/AL32</f>
        <v>1.0298507462686568</v>
      </c>
      <c r="AN32" s="101" t="s">
        <v>28</v>
      </c>
      <c r="AP32" s="83">
        <v>69</v>
      </c>
      <c r="AQ32" s="85">
        <v>67</v>
      </c>
      <c r="AR32" s="13">
        <f t="shared" ref="AR32:AR40" si="41">+AQ32/AP32</f>
        <v>0.97101449275362317</v>
      </c>
      <c r="AS32" s="101" t="s">
        <v>28</v>
      </c>
      <c r="AT32" s="85">
        <v>69</v>
      </c>
      <c r="AU32" s="85">
        <v>67</v>
      </c>
      <c r="AV32" s="115">
        <f>+AT32/AU32</f>
        <v>1.0298507462686568</v>
      </c>
      <c r="AW32" s="103" t="s">
        <v>28</v>
      </c>
      <c r="AX32" s="83">
        <v>69</v>
      </c>
      <c r="AY32" s="83">
        <v>67</v>
      </c>
      <c r="AZ32" s="13">
        <f t="shared" si="37"/>
        <v>0.97101449275362317</v>
      </c>
      <c r="BA32" s="239" t="str">
        <f t="shared" ref="BA32:BA40" si="42">+IF(AY32&gt;=AX32,"cumple","revisar")</f>
        <v>revisar</v>
      </c>
    </row>
    <row r="33" spans="1:59" ht="14.25" customHeight="1" x14ac:dyDescent="0.25">
      <c r="A33" s="653"/>
      <c r="B33" s="82" t="s">
        <v>62</v>
      </c>
      <c r="C33" s="130">
        <v>133</v>
      </c>
      <c r="D33" s="131">
        <v>119</v>
      </c>
      <c r="E33" s="93">
        <f t="shared" si="38"/>
        <v>0.89473684210526316</v>
      </c>
      <c r="F33" s="93">
        <f>+D33/167-1</f>
        <v>-0.28742514970059885</v>
      </c>
      <c r="G33" s="132">
        <v>282</v>
      </c>
      <c r="H33" s="132">
        <v>288</v>
      </c>
      <c r="I33" s="93">
        <f t="shared" si="34"/>
        <v>1.0212765957446808</v>
      </c>
      <c r="J33" s="93">
        <f>+H33/339-1</f>
        <v>-0.15044247787610621</v>
      </c>
      <c r="K33" s="132">
        <v>408</v>
      </c>
      <c r="L33" s="132">
        <v>456</v>
      </c>
      <c r="M33" s="93">
        <f t="shared" si="35"/>
        <v>1.1176470588235294</v>
      </c>
      <c r="N33" s="93">
        <f>+L33/451-1</f>
        <v>1.1086474501108556E-2</v>
      </c>
      <c r="O33" s="27"/>
      <c r="P33" s="83">
        <v>544</v>
      </c>
      <c r="Q33" s="85">
        <v>598</v>
      </c>
      <c r="R33" s="84">
        <f t="shared" si="39"/>
        <v>1.099264705882353</v>
      </c>
      <c r="S33" s="101">
        <f>+Q33/612-1</f>
        <v>-2.2875816993464082E-2</v>
      </c>
      <c r="T33" s="85">
        <v>667</v>
      </c>
      <c r="U33" s="85">
        <v>741</v>
      </c>
      <c r="V33" s="84">
        <f t="shared" ref="V33:V40" si="43">+U33/T33</f>
        <v>1.1109445277361318</v>
      </c>
      <c r="W33" s="101">
        <f>+U33/730-1</f>
        <v>1.5068493150685036E-2</v>
      </c>
      <c r="X33" s="85">
        <v>773</v>
      </c>
      <c r="Y33" s="85">
        <v>858</v>
      </c>
      <c r="Z33" s="84">
        <f>+X33/Y33</f>
        <v>0.9009324009324009</v>
      </c>
      <c r="AA33" s="101">
        <f>+Y33/860-1</f>
        <v>-2.3255813953488857E-3</v>
      </c>
      <c r="AB33" t="s">
        <v>77</v>
      </c>
      <c r="AC33" s="83">
        <v>891</v>
      </c>
      <c r="AD33" s="85">
        <v>1008</v>
      </c>
      <c r="AE33" s="84">
        <f t="shared" si="40"/>
        <v>1.1313131313131313</v>
      </c>
      <c r="AF33" s="101">
        <f>+AD33/1029-1</f>
        <v>-2.0408163265306145E-2</v>
      </c>
      <c r="AG33" s="85">
        <v>1043</v>
      </c>
      <c r="AH33" s="85">
        <v>1173</v>
      </c>
      <c r="AI33" s="84">
        <f t="shared" ref="AI33:AI40" si="44">+AH33/AG33</f>
        <v>1.1246404602109301</v>
      </c>
      <c r="AJ33" s="101">
        <f>+AH33/1148-1</f>
        <v>2.1777003484320545E-2</v>
      </c>
      <c r="AK33" s="85">
        <v>1184</v>
      </c>
      <c r="AL33" s="85">
        <v>1324</v>
      </c>
      <c r="AM33" s="84">
        <f>+AK33/AL33</f>
        <v>0.89425981873111782</v>
      </c>
      <c r="AN33" s="101">
        <f>+AL33/1298-1</f>
        <v>2.003081664098616E-2</v>
      </c>
      <c r="AP33" s="83">
        <v>1326</v>
      </c>
      <c r="AQ33" s="85">
        <v>1456</v>
      </c>
      <c r="AR33" s="13">
        <f t="shared" si="41"/>
        <v>1.0980392156862746</v>
      </c>
      <c r="AS33" s="101">
        <f>+AQ33/1468-1</f>
        <v>-8.1743869209809361E-3</v>
      </c>
      <c r="AT33" s="85">
        <v>1458</v>
      </c>
      <c r="AU33" s="85">
        <v>1700</v>
      </c>
      <c r="AV33" s="84">
        <f t="shared" ref="AV33:AV40" si="45">+AU33/AT33</f>
        <v>1.1659807956104253</v>
      </c>
      <c r="AW33" s="103">
        <f>+AU33/1618-1</f>
        <v>5.0679851668726794E-2</v>
      </c>
      <c r="AX33" s="83">
        <v>1567</v>
      </c>
      <c r="AY33" s="83">
        <v>1801</v>
      </c>
      <c r="AZ33" s="13">
        <f t="shared" si="37"/>
        <v>1.1493299298021697</v>
      </c>
      <c r="BA33" s="239" t="str">
        <f t="shared" si="42"/>
        <v>cumple</v>
      </c>
    </row>
    <row r="34" spans="1:59" ht="14.25" customHeight="1" x14ac:dyDescent="0.25">
      <c r="A34" s="653"/>
      <c r="B34" s="82" t="s">
        <v>64</v>
      </c>
      <c r="C34" s="93">
        <f>C33/167-1</f>
        <v>-0.20359281437125754</v>
      </c>
      <c r="D34" s="93">
        <f>D33/167-1</f>
        <v>-0.28742514970059885</v>
      </c>
      <c r="E34" s="93">
        <f>+D34/C34</f>
        <v>1.4117647058823528</v>
      </c>
      <c r="F34" s="133" t="s">
        <v>28</v>
      </c>
      <c r="G34" s="93">
        <f>G33/339-1</f>
        <v>-0.16814159292035402</v>
      </c>
      <c r="H34" s="93">
        <f>H33/339-1</f>
        <v>-0.15044247787610621</v>
      </c>
      <c r="I34" s="93">
        <f t="shared" si="34"/>
        <v>0.89473684210526305</v>
      </c>
      <c r="J34" s="133" t="s">
        <v>28</v>
      </c>
      <c r="K34" s="93">
        <f>K33/451-1</f>
        <v>-9.5343680709534362E-2</v>
      </c>
      <c r="L34" s="93">
        <f>L33/451-1</f>
        <v>1.1086474501108556E-2</v>
      </c>
      <c r="M34" s="93">
        <f t="shared" si="35"/>
        <v>-0.11627906976744092</v>
      </c>
      <c r="N34" s="133" t="s">
        <v>28</v>
      </c>
      <c r="O34" s="27"/>
      <c r="P34" s="101">
        <f>P33/612-1</f>
        <v>-0.11111111111111116</v>
      </c>
      <c r="Q34" s="101">
        <f>Q33/612-1</f>
        <v>-2.2875816993464082E-2</v>
      </c>
      <c r="R34" s="84">
        <f t="shared" si="39"/>
        <v>0.20588235294117666</v>
      </c>
      <c r="S34" s="83" t="s">
        <v>28</v>
      </c>
      <c r="T34" s="101">
        <f>T33/730-1</f>
        <v>-8.6301369863013733E-2</v>
      </c>
      <c r="U34" s="101">
        <f>U33/730-1</f>
        <v>1.5068493150685036E-2</v>
      </c>
      <c r="V34" s="84">
        <f t="shared" si="43"/>
        <v>-0.17460317460317576</v>
      </c>
      <c r="W34" s="83" t="s">
        <v>28</v>
      </c>
      <c r="X34" s="101">
        <f>X33/860-1</f>
        <v>-0.10116279069767442</v>
      </c>
      <c r="Y34" s="101">
        <f>Y33/860-1</f>
        <v>-2.3255813953488857E-3</v>
      </c>
      <c r="Z34" s="84">
        <f t="shared" ref="Z34:Z40" si="46">+Y34/X34</f>
        <v>2.2988505747126915E-2</v>
      </c>
      <c r="AA34" s="83" t="s">
        <v>28</v>
      </c>
      <c r="AC34" s="101">
        <f>AC33/1029-1</f>
        <v>-0.13411078717201164</v>
      </c>
      <c r="AD34" s="101">
        <f>AD33/1029-1</f>
        <v>-2.0408163265306145E-2</v>
      </c>
      <c r="AE34" s="84">
        <f t="shared" si="40"/>
        <v>0.15217391304347846</v>
      </c>
      <c r="AF34" s="83" t="s">
        <v>28</v>
      </c>
      <c r="AG34" s="101">
        <f>AG33/1148-1</f>
        <v>-9.1463414634146312E-2</v>
      </c>
      <c r="AH34" s="101">
        <f>AH33/1148-1</f>
        <v>2.1777003484320545E-2</v>
      </c>
      <c r="AI34" s="84">
        <f t="shared" si="44"/>
        <v>-0.23809523809523803</v>
      </c>
      <c r="AJ34" s="83" t="s">
        <v>28</v>
      </c>
      <c r="AK34" s="101">
        <f>AK33/1298-1</f>
        <v>-8.7827426810477616E-2</v>
      </c>
      <c r="AL34" s="101">
        <f>AL33/1298-1</f>
        <v>2.003081664098616E-2</v>
      </c>
      <c r="AM34" s="84">
        <f t="shared" ref="AM34:AM40" si="47">+AL34/AK34</f>
        <v>-0.22807017543859692</v>
      </c>
      <c r="AN34" s="83" t="s">
        <v>28</v>
      </c>
      <c r="AP34" s="101">
        <f>AP33/1468-1</f>
        <v>-9.673024523160767E-2</v>
      </c>
      <c r="AQ34" s="101">
        <f>AQ33/1468-1</f>
        <v>-8.1743869209809361E-3</v>
      </c>
      <c r="AR34" s="13">
        <f t="shared" si="41"/>
        <v>8.4507042253521195E-2</v>
      </c>
      <c r="AS34" s="83" t="s">
        <v>28</v>
      </c>
      <c r="AT34" s="101">
        <f>AT33/1618-1</f>
        <v>-9.8887515451174246E-2</v>
      </c>
      <c r="AU34" s="101">
        <f>AU33/1618-1</f>
        <v>5.0679851668726794E-2</v>
      </c>
      <c r="AV34" s="84">
        <f t="shared" si="45"/>
        <v>-0.51249999999999996</v>
      </c>
      <c r="AW34" s="99" t="s">
        <v>28</v>
      </c>
      <c r="AX34" s="101">
        <f>AX33/1718-1</f>
        <v>-8.789289871944117E-2</v>
      </c>
      <c r="AY34" s="101">
        <f>AY33/1718-1</f>
        <v>4.8311990686845219E-2</v>
      </c>
      <c r="AZ34" s="13">
        <f t="shared" si="37"/>
        <v>2.5496688741721862</v>
      </c>
      <c r="BA34" s="239" t="str">
        <f t="shared" si="42"/>
        <v>cumple</v>
      </c>
    </row>
    <row r="35" spans="1:59" ht="14.25" customHeight="1" x14ac:dyDescent="0.25">
      <c r="A35" s="653"/>
      <c r="B35" s="82" t="s">
        <v>65</v>
      </c>
      <c r="C35" s="134">
        <v>22753247073.150127</v>
      </c>
      <c r="D35" s="134">
        <v>23351566252</v>
      </c>
      <c r="E35" s="93">
        <f t="shared" si="38"/>
        <v>1.0262959909381864</v>
      </c>
      <c r="F35" s="101">
        <f>D35/21230834323-1</f>
        <v>9.9889241126174033E-2</v>
      </c>
      <c r="G35" s="134">
        <v>42882425827</v>
      </c>
      <c r="H35" s="134">
        <v>47043623093</v>
      </c>
      <c r="I35" s="93">
        <f t="shared" si="34"/>
        <v>1.0970373570466248</v>
      </c>
      <c r="J35" s="101">
        <f>H35/41271554157-1</f>
        <v>0.13985586571425523</v>
      </c>
      <c r="K35" s="120">
        <v>63682172453.797401</v>
      </c>
      <c r="L35" s="120">
        <v>68985235439</v>
      </c>
      <c r="M35" s="93">
        <f t="shared" si="35"/>
        <v>1.0832739019550577</v>
      </c>
      <c r="N35" s="101">
        <f>L35/61638326471-1</f>
        <v>0.11919384234834185</v>
      </c>
      <c r="O35" s="27"/>
      <c r="P35" s="118">
        <v>85020274517</v>
      </c>
      <c r="Q35" s="118">
        <v>91599775329</v>
      </c>
      <c r="R35" s="84">
        <f t="shared" si="39"/>
        <v>1.0773874331667139</v>
      </c>
      <c r="S35" s="101">
        <f>Q35/82812154554-1</f>
        <v>0.10611510861331097</v>
      </c>
      <c r="T35" s="118">
        <v>106521504197</v>
      </c>
      <c r="U35" s="118">
        <v>113206634776</v>
      </c>
      <c r="V35" s="84">
        <f t="shared" si="43"/>
        <v>1.06275850711455</v>
      </c>
      <c r="W35" s="101">
        <f>U35/102631396472-1</f>
        <v>0.10304096667811735</v>
      </c>
      <c r="X35" s="118">
        <v>128125307382.25922</v>
      </c>
      <c r="Y35" s="118">
        <v>134771937540</v>
      </c>
      <c r="Z35" s="84">
        <f t="shared" si="46"/>
        <v>1.0518760133617528</v>
      </c>
      <c r="AA35" s="101">
        <f>Y35/121618859697-1</f>
        <v>0.10814998492642869</v>
      </c>
      <c r="AC35" s="118">
        <v>150688828988.84824</v>
      </c>
      <c r="AD35" s="118">
        <v>157515260290</v>
      </c>
      <c r="AE35" s="84">
        <f t="shared" si="40"/>
        <v>1.0453015087246909</v>
      </c>
      <c r="AF35" s="101">
        <f>AD35/141601965156-1</f>
        <v>0.1123804681415872</v>
      </c>
      <c r="AG35" s="118">
        <v>173802620954.79395</v>
      </c>
      <c r="AH35" s="118">
        <v>181245380962</v>
      </c>
      <c r="AI35" s="84">
        <f t="shared" si="44"/>
        <v>1.0428230596657222</v>
      </c>
      <c r="AJ35" s="101">
        <f>AH35/162684053705-1</f>
        <v>0.11409432476189596</v>
      </c>
      <c r="AK35" s="118">
        <v>196320680034.44302</v>
      </c>
      <c r="AL35" s="118">
        <v>203864278244</v>
      </c>
      <c r="AM35" s="84">
        <f t="shared" si="47"/>
        <v>1.038424878154627</v>
      </c>
      <c r="AN35" s="101">
        <f>AL35/183510977019-1</f>
        <v>0.11091053819027241</v>
      </c>
      <c r="AP35" s="118">
        <v>218425330591.19568</v>
      </c>
      <c r="AQ35" s="118">
        <v>227889096320.42273</v>
      </c>
      <c r="AR35" s="13">
        <f t="shared" si="41"/>
        <v>1.0433272354612544</v>
      </c>
      <c r="AS35" s="101">
        <f>AQ35/204616848563-1</f>
        <v>0.11373573545317006</v>
      </c>
      <c r="AT35" s="118">
        <v>241314901221.79584</v>
      </c>
      <c r="AU35" s="118">
        <v>251540357791.84464</v>
      </c>
      <c r="AV35" s="84">
        <f t="shared" si="45"/>
        <v>1.042373912751664</v>
      </c>
      <c r="AW35" s="103">
        <f>AU35/226723332608-1</f>
        <v>0.10945951128352882</v>
      </c>
      <c r="AX35" s="118">
        <v>264752614567.76807</v>
      </c>
      <c r="AY35" s="118">
        <v>267620357937.02267</v>
      </c>
      <c r="AZ35" s="13">
        <f t="shared" si="37"/>
        <v>1.0108317848869461</v>
      </c>
      <c r="BA35" s="239" t="str">
        <f t="shared" si="42"/>
        <v>cumple</v>
      </c>
    </row>
    <row r="36" spans="1:59" ht="14.25" customHeight="1" x14ac:dyDescent="0.25">
      <c r="A36" s="653"/>
      <c r="B36" s="82" t="s">
        <v>66</v>
      </c>
      <c r="C36" s="93">
        <f>C35/21230834323-1</f>
        <v>7.1707627076193159E-2</v>
      </c>
      <c r="D36" s="101">
        <f>D35/21230834323-1</f>
        <v>9.9889241126174033E-2</v>
      </c>
      <c r="E36" s="93">
        <f t="shared" si="38"/>
        <v>1.3930072043805941</v>
      </c>
      <c r="F36" s="133" t="s">
        <v>28</v>
      </c>
      <c r="G36" s="101">
        <f>G35/41271554157-1</f>
        <v>3.9031039729498174E-2</v>
      </c>
      <c r="H36" s="101">
        <f>H35/41271554157-1</f>
        <v>0.13985586571425523</v>
      </c>
      <c r="I36" s="93">
        <f t="shared" si="34"/>
        <v>3.5831960071654843</v>
      </c>
      <c r="J36" s="133" t="s">
        <v>28</v>
      </c>
      <c r="K36" s="101">
        <f>K35/61638326471-1</f>
        <v>3.3158687132088138E-2</v>
      </c>
      <c r="L36" s="101">
        <f>L35/61638326471-1</f>
        <v>0.11919384234834185</v>
      </c>
      <c r="M36" s="93">
        <f t="shared" si="35"/>
        <v>3.5946490243576701</v>
      </c>
      <c r="N36" s="133" t="s">
        <v>28</v>
      </c>
      <c r="O36" s="27"/>
      <c r="P36" s="101">
        <f>P35/82812154554-1</f>
        <v>2.6664201346918714E-2</v>
      </c>
      <c r="Q36" s="101">
        <f>Q35/82812154554-1</f>
        <v>0.10611510861331097</v>
      </c>
      <c r="R36" s="84">
        <f t="shared" si="39"/>
        <v>3.9796844928030635</v>
      </c>
      <c r="S36" s="106" t="s">
        <v>28</v>
      </c>
      <c r="T36" s="101">
        <f>T35/102631396472-1</f>
        <v>3.7903681122192445E-2</v>
      </c>
      <c r="U36" s="101">
        <f>U35/102631396472-1</f>
        <v>0.10304096667811735</v>
      </c>
      <c r="V36" s="84">
        <f t="shared" si="43"/>
        <v>2.7184949753544467</v>
      </c>
      <c r="W36" s="106" t="s">
        <v>28</v>
      </c>
      <c r="X36" s="101">
        <f>X35/121618859698-1</f>
        <v>5.3498673646635186E-2</v>
      </c>
      <c r="Y36" s="101">
        <f>Y35/121618859698-1</f>
        <v>0.10814998491731709</v>
      </c>
      <c r="Z36" s="84">
        <f t="shared" si="46"/>
        <v>2.0215451626270218</v>
      </c>
      <c r="AA36" s="106" t="s">
        <v>28</v>
      </c>
      <c r="AC36" s="101">
        <f>AC35/141601965156-1</f>
        <v>6.4171876589688814E-2</v>
      </c>
      <c r="AD36" s="101">
        <f>AD35/141601965156-1</f>
        <v>0.1123804681415872</v>
      </c>
      <c r="AE36" s="84">
        <f t="shared" si="40"/>
        <v>1.7512417294594838</v>
      </c>
      <c r="AF36" s="106" t="s">
        <v>28</v>
      </c>
      <c r="AG36" s="101">
        <f>AG35/162684053705-1</f>
        <v>6.8344542667688746E-2</v>
      </c>
      <c r="AH36" s="101">
        <f>AH35/162684053705-1</f>
        <v>0.11409432476189596</v>
      </c>
      <c r="AI36" s="84">
        <f t="shared" si="44"/>
        <v>1.6693991986552035</v>
      </c>
      <c r="AJ36" s="106" t="s">
        <v>28</v>
      </c>
      <c r="AK36" s="101">
        <f>AK35/183510977019-1</f>
        <v>6.9803470198497974E-2</v>
      </c>
      <c r="AL36" s="101">
        <f>AL35/183510977019-1</f>
        <v>0.11091053819027241</v>
      </c>
      <c r="AM36" s="84">
        <f t="shared" si="47"/>
        <v>1.5888971977307078</v>
      </c>
      <c r="AN36" s="106" t="s">
        <v>28</v>
      </c>
      <c r="AP36" s="101">
        <f>AP35/204616848563-1</f>
        <v>6.7484579716533766E-2</v>
      </c>
      <c r="AQ36" s="101">
        <f>AQ35/204616848563-1</f>
        <v>0.11373573545317006</v>
      </c>
      <c r="AR36" s="13">
        <f t="shared" si="41"/>
        <v>1.6853588765153817</v>
      </c>
      <c r="AS36" s="106" t="s">
        <v>28</v>
      </c>
      <c r="AT36" s="101">
        <f>AT35/226723332608-1</f>
        <v>6.4358478000252184E-2</v>
      </c>
      <c r="AU36" s="101">
        <f>AU35/226723332608-1</f>
        <v>0.10945951128352882</v>
      </c>
      <c r="AV36" s="84">
        <f t="shared" si="45"/>
        <v>1.7007784317568839</v>
      </c>
      <c r="AW36" s="112" t="s">
        <v>28</v>
      </c>
      <c r="AX36" s="101">
        <f>AX35/248545198540-1</f>
        <v>6.5209129458035697E-2</v>
      </c>
      <c r="AY36" s="101">
        <f>AY35/248545198540-1</f>
        <v>7.6747245607936332E-2</v>
      </c>
      <c r="AZ36" s="13">
        <f t="shared" si="37"/>
        <v>1.1769401960399701</v>
      </c>
      <c r="BA36" s="239" t="str">
        <f t="shared" si="42"/>
        <v>cumple</v>
      </c>
    </row>
    <row r="37" spans="1:59" ht="14.25" customHeight="1" x14ac:dyDescent="0.25">
      <c r="A37" s="653"/>
      <c r="B37" s="82" t="s">
        <v>67</v>
      </c>
      <c r="C37" s="135">
        <v>41350113.289726742</v>
      </c>
      <c r="D37" s="134">
        <v>34322800</v>
      </c>
      <c r="E37" s="93">
        <f t="shared" si="38"/>
        <v>0.83005334857274382</v>
      </c>
      <c r="F37" s="101">
        <f>D37/5420100-1</f>
        <v>5.3325030903488866</v>
      </c>
      <c r="G37" s="134">
        <v>128873646.42648298</v>
      </c>
      <c r="H37" s="134">
        <v>224336400</v>
      </c>
      <c r="I37" s="93">
        <f t="shared" si="34"/>
        <v>1.7407468960535273</v>
      </c>
      <c r="J37" s="101">
        <f>H37/41104600-1</f>
        <v>4.4576957323511239</v>
      </c>
      <c r="K37" s="134">
        <v>255463507.78657585</v>
      </c>
      <c r="L37" s="134">
        <v>476280500</v>
      </c>
      <c r="M37" s="93">
        <f t="shared" si="35"/>
        <v>1.8643778288596242</v>
      </c>
      <c r="N37" s="101">
        <f>L37/166578100-1</f>
        <v>1.8592023801448088</v>
      </c>
      <c r="O37" s="27"/>
      <c r="P37" s="118">
        <v>424135709.14681351</v>
      </c>
      <c r="Q37" s="118">
        <v>775927300</v>
      </c>
      <c r="R37" s="84">
        <f t="shared" si="39"/>
        <v>1.8294316730860658</v>
      </c>
      <c r="S37" s="101">
        <f>+Q37/320039200-1</f>
        <v>1.4244758142127592</v>
      </c>
      <c r="T37" s="118">
        <v>631120324.75694156</v>
      </c>
      <c r="U37" s="118">
        <v>1093143700</v>
      </c>
      <c r="V37" s="84">
        <f t="shared" si="43"/>
        <v>1.7320686042253415</v>
      </c>
      <c r="W37" s="101">
        <f>+U37/472455600-1</f>
        <v>1.3137490591708514</v>
      </c>
      <c r="X37" s="118">
        <v>871179727.49574804</v>
      </c>
      <c r="Y37" s="118">
        <v>1536215000</v>
      </c>
      <c r="Z37" s="84">
        <f t="shared" si="46"/>
        <v>1.7633732185388782</v>
      </c>
      <c r="AA37" s="101">
        <f>+Y37/652258300-1</f>
        <v>1.3552249162640018</v>
      </c>
      <c r="AC37" s="118">
        <v>1147824900.3215332</v>
      </c>
      <c r="AD37" s="118">
        <v>2139996600</v>
      </c>
      <c r="AE37" s="84">
        <f t="shared" si="40"/>
        <v>1.8643929047022205</v>
      </c>
      <c r="AF37" s="101">
        <f>+AD37/869490000-1</f>
        <v>1.4612089845771661</v>
      </c>
      <c r="AG37" s="118">
        <v>1471252133.0694952</v>
      </c>
      <c r="AH37" s="118">
        <v>2658042000</v>
      </c>
      <c r="AI37" s="84">
        <f t="shared" si="44"/>
        <v>1.8066529456473837</v>
      </c>
      <c r="AJ37" s="101">
        <f>+AH37/1162946900-1</f>
        <v>1.285609084989177</v>
      </c>
      <c r="AK37" s="118">
        <v>1838142106.7607765</v>
      </c>
      <c r="AL37" s="118">
        <v>3423809900</v>
      </c>
      <c r="AM37" s="84">
        <f t="shared" si="47"/>
        <v>1.8626470104825192</v>
      </c>
      <c r="AN37" s="101">
        <f>+AL37/652258300-1</f>
        <v>4.2491626400154665</v>
      </c>
      <c r="AP37" s="118">
        <v>2248946000.6038065</v>
      </c>
      <c r="AQ37" s="118">
        <v>4610175000</v>
      </c>
      <c r="AR37" s="13">
        <f t="shared" si="41"/>
        <v>2.0499269430045191</v>
      </c>
      <c r="AS37" s="101">
        <f>+AQ37/2051227400-1</f>
        <v>1.2475201920567169</v>
      </c>
      <c r="AT37" s="118">
        <v>2700725169.6669207</v>
      </c>
      <c r="AU37" s="118">
        <v>5909156300</v>
      </c>
      <c r="AV37" s="84">
        <f t="shared" si="45"/>
        <v>2.1879887544161978</v>
      </c>
      <c r="AW37" s="103">
        <f>+AU37/2656271419-1</f>
        <v>1.224605609853155</v>
      </c>
      <c r="AX37" s="118">
        <v>3186222716.9949727</v>
      </c>
      <c r="AY37" s="118">
        <v>7177451700</v>
      </c>
      <c r="AZ37" s="13">
        <f t="shared" si="37"/>
        <v>2.2526522272646656</v>
      </c>
      <c r="BA37" s="239" t="str">
        <f t="shared" si="42"/>
        <v>cumple</v>
      </c>
    </row>
    <row r="38" spans="1:59" ht="14.25" customHeight="1" x14ac:dyDescent="0.25">
      <c r="A38" s="653"/>
      <c r="B38" s="82" t="s">
        <v>68</v>
      </c>
      <c r="C38" s="132">
        <v>274472.23010238726</v>
      </c>
      <c r="D38" s="132">
        <v>252314</v>
      </c>
      <c r="E38" s="93">
        <f t="shared" si="38"/>
        <v>0.91926968315110968</v>
      </c>
      <c r="F38" s="101">
        <f>D38/269426-1</f>
        <v>-6.3512801288665544E-2</v>
      </c>
      <c r="G38" s="132">
        <v>271827.00899612723</v>
      </c>
      <c r="H38" s="132">
        <v>258369</v>
      </c>
      <c r="I38" s="93">
        <f t="shared" si="34"/>
        <v>0.95049053791296001</v>
      </c>
      <c r="J38" s="101">
        <f>H38/270906-1</f>
        <v>-4.6278044783061301E-2</v>
      </c>
      <c r="K38" s="132">
        <v>273655.75691402698</v>
      </c>
      <c r="L38" s="132">
        <v>263808</v>
      </c>
      <c r="M38" s="93">
        <f t="shared" si="35"/>
        <v>0.96401406999407357</v>
      </c>
      <c r="N38" s="101">
        <f>L38/269112-1</f>
        <v>-1.9709266030500272E-2</v>
      </c>
      <c r="O38" s="27"/>
      <c r="P38" s="118">
        <v>275636.86260053387</v>
      </c>
      <c r="Q38" s="118">
        <v>264304</v>
      </c>
      <c r="R38" s="84">
        <f t="shared" si="39"/>
        <v>0.95888480773720752</v>
      </c>
      <c r="S38" s="95">
        <f>+Q38/254149-1</f>
        <v>3.9956875691031568E-2</v>
      </c>
      <c r="T38" s="118">
        <v>277726.90222585277</v>
      </c>
      <c r="U38" s="118">
        <v>265311</v>
      </c>
      <c r="V38" s="84">
        <f t="shared" si="43"/>
        <v>0.9552945640975179</v>
      </c>
      <c r="W38" s="95">
        <f>+U38/252608-1</f>
        <v>5.0287401824170352E-2</v>
      </c>
      <c r="X38" s="118">
        <v>277708.1659854785</v>
      </c>
      <c r="Y38" s="118">
        <v>267637</v>
      </c>
      <c r="Z38" s="84">
        <f t="shared" si="46"/>
        <v>0.96373471428274415</v>
      </c>
      <c r="AA38" s="95">
        <f>+Y38/248565-1</f>
        <v>7.6728421137328251E-2</v>
      </c>
      <c r="AB38" t="s">
        <v>77</v>
      </c>
      <c r="AC38" s="118">
        <v>278783.0939957698</v>
      </c>
      <c r="AD38" s="118">
        <v>271065</v>
      </c>
      <c r="AE38" s="84">
        <f t="shared" si="40"/>
        <v>0.9723150572542002</v>
      </c>
      <c r="AF38" s="95">
        <f>+AD38/250496-1</f>
        <v>8.211308763413383E-2</v>
      </c>
      <c r="AG38" s="118">
        <v>278109.53748625616</v>
      </c>
      <c r="AH38" s="118">
        <v>273938</v>
      </c>
      <c r="AI38" s="84">
        <f t="shared" si="44"/>
        <v>0.98500037962034181</v>
      </c>
      <c r="AJ38" s="95">
        <f>+AH38/252687-1</f>
        <v>8.4100092208938326E-2</v>
      </c>
      <c r="AK38" s="118">
        <v>280803.57176946563</v>
      </c>
      <c r="AL38" s="118">
        <v>279173</v>
      </c>
      <c r="AM38" s="84">
        <f t="shared" si="47"/>
        <v>0.99419319434154385</v>
      </c>
      <c r="AN38" s="95">
        <f>+AL38/259133-1</f>
        <v>7.7334804907132737E-2</v>
      </c>
      <c r="AP38" s="118">
        <v>281876.50823222834</v>
      </c>
      <c r="AQ38" s="118">
        <v>279709</v>
      </c>
      <c r="AR38" s="13">
        <f t="shared" si="41"/>
        <v>0.99231043322545132</v>
      </c>
      <c r="AS38" s="95">
        <f>+AQ38/261626-1</f>
        <v>6.9117748236031673E-2</v>
      </c>
      <c r="AT38" s="118">
        <v>281518</v>
      </c>
      <c r="AU38" s="118">
        <v>286959</v>
      </c>
      <c r="AV38" s="84">
        <f t="shared" si="45"/>
        <v>1.0193273609502767</v>
      </c>
      <c r="AW38" s="110">
        <f>+AU38/264947-1</f>
        <v>8.3080767096815666E-2</v>
      </c>
      <c r="AX38" s="118">
        <v>281543.8459440656</v>
      </c>
      <c r="AY38" s="118">
        <v>282989</v>
      </c>
      <c r="AZ38" s="13">
        <f t="shared" si="37"/>
        <v>1.0051329626868191</v>
      </c>
      <c r="BA38" s="239" t="str">
        <f t="shared" si="42"/>
        <v>cumple</v>
      </c>
    </row>
    <row r="39" spans="1:59" ht="14.25" customHeight="1" x14ac:dyDescent="0.25">
      <c r="A39" s="653"/>
      <c r="B39" s="82" t="s">
        <v>69</v>
      </c>
      <c r="C39" s="101">
        <f>C38/269426-1</f>
        <v>1.872955877453264E-2</v>
      </c>
      <c r="D39" s="101">
        <f>D38/269426-1</f>
        <v>-6.3512801288665544E-2</v>
      </c>
      <c r="E39" s="136">
        <f>+D39/C39</f>
        <v>-3.3910463163193434</v>
      </c>
      <c r="F39" s="133" t="s">
        <v>28</v>
      </c>
      <c r="G39" s="101">
        <f>G38/270906-1</f>
        <v>3.3997364256503904E-3</v>
      </c>
      <c r="H39" s="101">
        <f>H38/270906-1</f>
        <v>-4.6278044783061301E-2</v>
      </c>
      <c r="I39" s="93">
        <f t="shared" si="34"/>
        <v>-13.612244888721934</v>
      </c>
      <c r="J39" s="133" t="s">
        <v>28</v>
      </c>
      <c r="K39" s="101">
        <f>K38/269112-1</f>
        <v>1.6884259765550969E-2</v>
      </c>
      <c r="L39" s="101">
        <f>L38/269112-1</f>
        <v>-1.9709266030500272E-2</v>
      </c>
      <c r="M39" s="93">
        <f>+L39/K39</f>
        <v>-1.1673159679000662</v>
      </c>
      <c r="N39" s="133" t="s">
        <v>28</v>
      </c>
      <c r="O39" s="27"/>
      <c r="P39" s="101">
        <f>P38/254149-1</f>
        <v>8.4548287030576041E-2</v>
      </c>
      <c r="Q39" s="101">
        <f>Q38/254149-1</f>
        <v>3.9956875691031568E-2</v>
      </c>
      <c r="R39" s="84">
        <f t="shared" si="39"/>
        <v>0.47259237406644988</v>
      </c>
      <c r="S39" s="106" t="s">
        <v>28</v>
      </c>
      <c r="T39" s="101">
        <f>T38/252608-1</f>
        <v>9.943826888242957E-2</v>
      </c>
      <c r="U39" s="101">
        <f>U38/252608-1</f>
        <v>5.0287401824170352E-2</v>
      </c>
      <c r="V39" s="84">
        <f t="shared" si="43"/>
        <v>0.50571477550184885</v>
      </c>
      <c r="W39" s="106" t="s">
        <v>28</v>
      </c>
      <c r="X39" s="101">
        <f>X38/248565-1</f>
        <v>0.11724565399585019</v>
      </c>
      <c r="Y39" s="101">
        <f>Y38/248565-1</f>
        <v>7.6728421137328251E-2</v>
      </c>
      <c r="Z39" s="84">
        <f t="shared" si="46"/>
        <v>0.65442443725926069</v>
      </c>
      <c r="AA39" s="106" t="s">
        <v>28</v>
      </c>
      <c r="AC39" s="101">
        <f>AC38/250496-1</f>
        <v>0.11292433410421654</v>
      </c>
      <c r="AD39" s="101">
        <f>AD38/250496-1</f>
        <v>8.211308763413383E-2</v>
      </c>
      <c r="AE39" s="84">
        <f t="shared" si="40"/>
        <v>0.72715139996621658</v>
      </c>
      <c r="AF39" s="106" t="s">
        <v>28</v>
      </c>
      <c r="AG39" s="101">
        <f>AG38/252687-1</f>
        <v>0.10060880649283965</v>
      </c>
      <c r="AH39" s="101">
        <f>AH38/252687-1</f>
        <v>8.4100092208938326E-2</v>
      </c>
      <c r="AI39" s="84">
        <f t="shared" si="44"/>
        <v>0.83591183655402712</v>
      </c>
      <c r="AJ39" s="106" t="s">
        <v>28</v>
      </c>
      <c r="AK39" s="101">
        <f>AK38/259133-1</f>
        <v>8.3627217565750644E-2</v>
      </c>
      <c r="AL39" s="101">
        <f>AL38/259133-1</f>
        <v>7.7334804907132737E-2</v>
      </c>
      <c r="AM39" s="84">
        <f t="shared" si="47"/>
        <v>0.92475640297764794</v>
      </c>
      <c r="AN39" s="106" t="s">
        <v>28</v>
      </c>
      <c r="AP39" s="101">
        <f>AP38/261626-1</f>
        <v>7.7402506754788769E-2</v>
      </c>
      <c r="AQ39" s="101">
        <f>AQ38/261626-1</f>
        <v>6.9117748236031673E-2</v>
      </c>
      <c r="AR39" s="13">
        <f t="shared" si="41"/>
        <v>0.89296524277949785</v>
      </c>
      <c r="AS39" s="106" t="s">
        <v>28</v>
      </c>
      <c r="AT39" s="101">
        <f>AT38/264947-1</f>
        <v>6.2544584388575908E-2</v>
      </c>
      <c r="AU39" s="101">
        <f>AU38/264947-1</f>
        <v>8.3080767096815666E-2</v>
      </c>
      <c r="AV39" s="84">
        <f t="shared" si="45"/>
        <v>1.3283446985697902</v>
      </c>
      <c r="AW39" s="112" t="s">
        <v>28</v>
      </c>
      <c r="AX39" s="101">
        <f>AX38/264555-1</f>
        <v>6.421668818984938E-2</v>
      </c>
      <c r="AY39" s="101">
        <f>AY38/264555-1</f>
        <v>6.9679272741018039E-2</v>
      </c>
      <c r="AZ39" s="13">
        <f t="shared" si="37"/>
        <v>1.0850648749592808</v>
      </c>
      <c r="BA39" s="239" t="str">
        <f t="shared" si="42"/>
        <v>cumple</v>
      </c>
    </row>
    <row r="40" spans="1:59" ht="14.25" customHeight="1" x14ac:dyDescent="0.25">
      <c r="A40" s="653"/>
      <c r="B40" s="82" t="s">
        <v>70</v>
      </c>
      <c r="C40" s="137">
        <v>917</v>
      </c>
      <c r="D40" s="132">
        <v>1971</v>
      </c>
      <c r="E40" s="93">
        <f>+D40/C40</f>
        <v>2.149400218102508</v>
      </c>
      <c r="F40" s="101">
        <f>+D40/1990-1</f>
        <v>-9.5477386934673669E-3</v>
      </c>
      <c r="G40" s="132">
        <v>1941</v>
      </c>
      <c r="H40" s="132">
        <v>4401</v>
      </c>
      <c r="I40" s="93">
        <f t="shared" si="34"/>
        <v>2.2673879443585783</v>
      </c>
      <c r="J40" s="101">
        <f>+H40/2689-1</f>
        <v>0.63666790628486436</v>
      </c>
      <c r="K40" s="132">
        <v>2808</v>
      </c>
      <c r="L40" s="132">
        <v>5294</v>
      </c>
      <c r="M40" s="93">
        <f>+L40/K40</f>
        <v>1.8853276353276354</v>
      </c>
      <c r="N40" s="101">
        <f>+L40/3001-1</f>
        <v>0.7640786404531823</v>
      </c>
      <c r="O40" s="27"/>
      <c r="P40" s="118">
        <v>3741</v>
      </c>
      <c r="Q40" s="118">
        <v>5598</v>
      </c>
      <c r="R40" s="84">
        <f t="shared" si="39"/>
        <v>1.4963913392141139</v>
      </c>
      <c r="S40" s="101">
        <f>+Q40/3184-1</f>
        <v>0.75816582914572872</v>
      </c>
      <c r="T40" s="118">
        <v>4591</v>
      </c>
      <c r="U40" s="118">
        <v>6759</v>
      </c>
      <c r="V40" s="84">
        <f t="shared" si="43"/>
        <v>1.4722282727074711</v>
      </c>
      <c r="W40" s="101">
        <f>+U40/3146-1</f>
        <v>1.1484424666242847</v>
      </c>
      <c r="X40" s="118">
        <v>5324</v>
      </c>
      <c r="Y40" s="118">
        <v>7657</v>
      </c>
      <c r="Z40" s="84">
        <f t="shared" si="46"/>
        <v>1.4382043576258452</v>
      </c>
      <c r="AA40" s="101">
        <f>+Y40/3409-1</f>
        <v>1.246113229686125</v>
      </c>
      <c r="AB40" t="s">
        <v>77</v>
      </c>
      <c r="AC40" s="118">
        <v>6135.6206344720076</v>
      </c>
      <c r="AD40" s="118">
        <v>9320</v>
      </c>
      <c r="AE40" s="84">
        <f t="shared" si="40"/>
        <v>1.5189987379006231</v>
      </c>
      <c r="AF40" s="101">
        <f>+AD40/4554-1</f>
        <v>1.0465524813350902</v>
      </c>
      <c r="AG40" s="118">
        <v>7173</v>
      </c>
      <c r="AH40" s="118">
        <v>11060</v>
      </c>
      <c r="AI40" s="84">
        <f t="shared" si="44"/>
        <v>1.5418932106510526</v>
      </c>
      <c r="AJ40" s="101">
        <f>+AH40/5170-1</f>
        <v>1.1392649903288201</v>
      </c>
      <c r="AK40" s="118">
        <v>8137.1298481999092</v>
      </c>
      <c r="AL40" s="118">
        <v>14970</v>
      </c>
      <c r="AM40" s="84">
        <f t="shared" si="47"/>
        <v>1.8397150198250374</v>
      </c>
      <c r="AN40" s="101">
        <f>+AL40/5754-1</f>
        <v>1.6016684045881124</v>
      </c>
      <c r="AP40" s="118">
        <v>9111.0819756541714</v>
      </c>
      <c r="AQ40" s="118">
        <v>15828</v>
      </c>
      <c r="AR40" s="13">
        <f t="shared" si="41"/>
        <v>1.7372250674831138</v>
      </c>
      <c r="AS40" s="101">
        <f>+AQ40/6227-1</f>
        <v>1.5418339489320698</v>
      </c>
      <c r="AT40" s="118">
        <v>10020</v>
      </c>
      <c r="AU40" s="118">
        <v>16885</v>
      </c>
      <c r="AV40" s="84">
        <f t="shared" si="45"/>
        <v>1.685129740518962</v>
      </c>
      <c r="AW40" s="103">
        <f>+AU40/6695-1</f>
        <v>1.5220313666915608</v>
      </c>
      <c r="AX40" s="118">
        <v>10767.687499999998</v>
      </c>
      <c r="AY40" s="118">
        <v>15654</v>
      </c>
      <c r="AZ40" s="13">
        <f t="shared" si="37"/>
        <v>1.4537940481649381</v>
      </c>
      <c r="BA40" s="239" t="str">
        <f t="shared" si="42"/>
        <v>cumple</v>
      </c>
    </row>
    <row r="41" spans="1:59" s="9" customFormat="1" ht="14.25" customHeight="1" x14ac:dyDescent="0.25">
      <c r="A41" s="654"/>
      <c r="B41" s="107" t="s">
        <v>78</v>
      </c>
      <c r="C41" s="114">
        <v>172352</v>
      </c>
      <c r="D41" s="114">
        <v>176324</v>
      </c>
      <c r="E41" s="74">
        <f>D41/C41</f>
        <v>1.0230458596360936</v>
      </c>
      <c r="F41" s="74">
        <v>-0.54928785415580306</v>
      </c>
      <c r="G41" s="114">
        <v>233640</v>
      </c>
      <c r="H41" s="114">
        <v>298742</v>
      </c>
      <c r="I41" s="74">
        <f>H41/G41</f>
        <v>1.2786423557609998</v>
      </c>
      <c r="J41" s="74">
        <v>-0.22563972295952228</v>
      </c>
      <c r="K41" s="114">
        <v>248448</v>
      </c>
      <c r="L41" s="114">
        <v>236029</v>
      </c>
      <c r="M41" s="74">
        <f>L41/K41</f>
        <v>0.95001368495620819</v>
      </c>
      <c r="N41" s="74">
        <v>-9.2238050551513018E-2</v>
      </c>
      <c r="O41" s="31"/>
      <c r="AX41" s="241"/>
      <c r="AY41" s="241"/>
      <c r="AZ41" s="13" t="e">
        <f t="shared" ref="AZ41:AZ42" si="48">+IF(AX41&lt;0,1-(AY41-AX41)/AX41,AY41/AX41)</f>
        <v>#DIV/0!</v>
      </c>
      <c r="BA41" s="239"/>
    </row>
    <row r="42" spans="1:59" s="9" customFormat="1" ht="14.25" customHeight="1" thickBot="1" x14ac:dyDescent="0.3">
      <c r="A42" s="655"/>
      <c r="B42" s="107" t="s">
        <v>79</v>
      </c>
      <c r="C42" s="114">
        <v>5779</v>
      </c>
      <c r="D42" s="114">
        <v>3685</v>
      </c>
      <c r="E42" s="74">
        <f>D42/C42</f>
        <v>0.63765357328257488</v>
      </c>
      <c r="F42" s="74">
        <v>-0.74116738076842026</v>
      </c>
      <c r="G42" s="114">
        <v>10394</v>
      </c>
      <c r="H42" s="114">
        <v>10286</v>
      </c>
      <c r="I42" s="74">
        <f>H42/G42</f>
        <v>0.9896093900327112</v>
      </c>
      <c r="J42" s="74">
        <v>-0.2869818383474283</v>
      </c>
      <c r="K42" s="114">
        <v>6723</v>
      </c>
      <c r="L42" s="114">
        <v>5608</v>
      </c>
      <c r="M42" s="74">
        <f>L42/K42</f>
        <v>0.83415142049680202</v>
      </c>
      <c r="N42" s="116">
        <v>-0.20465182243653379</v>
      </c>
      <c r="O42" s="31"/>
      <c r="AX42" s="241"/>
      <c r="AY42" s="241"/>
      <c r="AZ42" s="13" t="e">
        <f t="shared" si="48"/>
        <v>#DIV/0!</v>
      </c>
      <c r="BA42" s="239"/>
    </row>
    <row r="43" spans="1:59" ht="14.25" customHeight="1" thickBot="1" x14ac:dyDescent="0.3">
      <c r="B43"/>
      <c r="C43" s="18"/>
      <c r="D43" s="18"/>
      <c r="E43" s="18"/>
      <c r="F43" s="18"/>
      <c r="G43" s="18"/>
      <c r="H43" s="18"/>
      <c r="I43" s="18"/>
      <c r="J43" s="18"/>
      <c r="K43" s="18"/>
      <c r="L43" s="18"/>
      <c r="M43" s="18"/>
      <c r="N43" s="27"/>
      <c r="O43" s="27"/>
    </row>
    <row r="44" spans="1:59" ht="14.25" customHeight="1" x14ac:dyDescent="0.25">
      <c r="A44" s="648" t="s">
        <v>80</v>
      </c>
      <c r="B44" s="138" t="s">
        <v>59</v>
      </c>
      <c r="C44" s="74">
        <v>7.3569655159065883E-2</v>
      </c>
      <c r="D44" s="74">
        <v>-0.80085322495649414</v>
      </c>
      <c r="E44" s="93">
        <f t="shared" ref="E44:E54" si="49">+D44/C44</f>
        <v>-10.885646034699485</v>
      </c>
      <c r="F44" s="74" t="s">
        <v>28</v>
      </c>
      <c r="G44" s="74">
        <v>8.6061268863649287E-2</v>
      </c>
      <c r="H44" s="74">
        <v>-0.7297063798870278</v>
      </c>
      <c r="I44" s="93">
        <f>+H44/G44</f>
        <v>-8.4789172820950878</v>
      </c>
      <c r="J44" s="74" t="s">
        <v>28</v>
      </c>
      <c r="K44" s="74">
        <v>0.18783086885190747</v>
      </c>
      <c r="L44" s="74">
        <v>-0.58693690290596612</v>
      </c>
      <c r="M44" s="93">
        <f>+L44/K44</f>
        <v>-3.124815992672259</v>
      </c>
      <c r="N44" s="74" t="s">
        <v>28</v>
      </c>
      <c r="O44" s="27"/>
      <c r="AR44" s="13" t="e">
        <f t="shared" ref="AR44" si="50">+IF(AP44&lt;0,1-(AQ44-AP44)/AP44,AQ44/AP44)</f>
        <v>#DIV/0!</v>
      </c>
      <c r="AX44" s="139">
        <v>0.74933110627626265</v>
      </c>
      <c r="AY44" s="139">
        <v>0.75776868997555735</v>
      </c>
      <c r="AZ44" s="80">
        <f t="shared" ref="AZ44:AZ107" si="51">+IF(AX44&lt;0,1-(AY44-AX44)/AX44,AY44/AX44)</f>
        <v>1.0112601540608992</v>
      </c>
      <c r="BA44" s="239" t="str">
        <f t="shared" ref="BA44:BA54" si="52">+IF(AY44&gt;=AX44,"cumple","revisar")</f>
        <v>cumple</v>
      </c>
      <c r="BD44" s="9" t="str">
        <f t="shared" ref="BD44:BD54" si="53">+B44</f>
        <v>Crecimiento de ingresos (negocios)</v>
      </c>
      <c r="BE44" s="9" t="str">
        <f t="shared" ref="BE44:BE54" si="54">+IF(AZ44&lt;79.99999%,"Incumple",IF(AND(AZ44&gt;=80%,AZ44&lt;94.999999%),"Tolerable",IF(AND(AZ44&gt;=95%,AZ44&lt;100%),"Satisfactorio","Sobresaliente")))</f>
        <v>Sobresaliente</v>
      </c>
      <c r="BF44" t="s">
        <v>81</v>
      </c>
      <c r="BG44" s="81">
        <f t="shared" ref="BG44:BG67" si="55">+AZ44</f>
        <v>1.0112601540608992</v>
      </c>
    </row>
    <row r="45" spans="1:59" ht="14.25" customHeight="1" x14ac:dyDescent="0.25">
      <c r="A45" s="649"/>
      <c r="B45" s="82" t="s">
        <v>62</v>
      </c>
      <c r="C45" s="83">
        <v>9</v>
      </c>
      <c r="D45" s="92">
        <v>11</v>
      </c>
      <c r="E45" s="84">
        <f t="shared" si="49"/>
        <v>1.2222222222222223</v>
      </c>
      <c r="F45" s="101">
        <f>+D45/17-1</f>
        <v>-0.3529411764705882</v>
      </c>
      <c r="G45" s="83">
        <v>19</v>
      </c>
      <c r="H45" s="83">
        <v>35</v>
      </c>
      <c r="I45" s="84">
        <f>+H45/G45</f>
        <v>1.8421052631578947</v>
      </c>
      <c r="J45" s="101">
        <f>+H45/35-1</f>
        <v>0</v>
      </c>
      <c r="K45" s="83">
        <v>27</v>
      </c>
      <c r="L45" s="83">
        <v>74</v>
      </c>
      <c r="M45" s="84">
        <f>+L45/K45</f>
        <v>2.7407407407407409</v>
      </c>
      <c r="N45" s="93">
        <f>+L45/47-1</f>
        <v>0.57446808510638303</v>
      </c>
      <c r="O45" s="27"/>
      <c r="P45" s="140">
        <v>36</v>
      </c>
      <c r="Q45" s="140">
        <v>96</v>
      </c>
      <c r="R45" s="74">
        <f>+Q45/P45</f>
        <v>2.6666666666666665</v>
      </c>
      <c r="S45" s="141">
        <f>+Q45/59-1</f>
        <v>0.62711864406779672</v>
      </c>
      <c r="T45" s="140">
        <v>44</v>
      </c>
      <c r="U45" s="140">
        <v>117</v>
      </c>
      <c r="V45" s="74">
        <f>+U45/T45</f>
        <v>2.6590909090909092</v>
      </c>
      <c r="W45" s="101">
        <f>+U45/79-1</f>
        <v>0.481012658227848</v>
      </c>
      <c r="X45" s="140">
        <v>51</v>
      </c>
      <c r="Y45" s="140">
        <v>132</v>
      </c>
      <c r="Z45" s="74">
        <f>+Y45/X45</f>
        <v>2.5882352941176472</v>
      </c>
      <c r="AA45" s="101">
        <f>+Y45/99-1</f>
        <v>0.33333333333333326</v>
      </c>
      <c r="AB45" t="s">
        <v>63</v>
      </c>
      <c r="AC45" s="140">
        <v>59</v>
      </c>
      <c r="AD45" s="140">
        <v>151</v>
      </c>
      <c r="AE45" s="74">
        <f>+AD45/AC45</f>
        <v>2.5593220338983049</v>
      </c>
      <c r="AF45" s="141">
        <f>+AD45/123-1</f>
        <v>0.22764227642276413</v>
      </c>
      <c r="AG45" s="140">
        <v>69</v>
      </c>
      <c r="AH45" s="140">
        <v>173</v>
      </c>
      <c r="AI45" s="74">
        <f>+AH45/AG45</f>
        <v>2.5072463768115942</v>
      </c>
      <c r="AJ45" s="101">
        <f>+AH45/139-1</f>
        <v>0.24460431654676262</v>
      </c>
      <c r="AK45" s="140">
        <v>78</v>
      </c>
      <c r="AL45" s="140">
        <v>202</v>
      </c>
      <c r="AM45" s="74">
        <f>+AL45/AK45</f>
        <v>2.5897435897435899</v>
      </c>
      <c r="AN45" s="101">
        <f>+AL45/158-1</f>
        <v>0.27848101265822778</v>
      </c>
      <c r="AP45" s="140">
        <v>87</v>
      </c>
      <c r="AQ45" s="140">
        <v>218</v>
      </c>
      <c r="AR45" s="13">
        <f>+AQ45/AP45</f>
        <v>2.5057471264367814</v>
      </c>
      <c r="AS45" s="141">
        <f>+AQ45/176-1</f>
        <v>0.23863636363636354</v>
      </c>
      <c r="AT45" s="140">
        <v>96</v>
      </c>
      <c r="AU45" s="140">
        <v>226</v>
      </c>
      <c r="AV45" s="74">
        <f>+AU45/AT45</f>
        <v>2.3541666666666665</v>
      </c>
      <c r="AW45" s="103">
        <f>+AU45/187-1</f>
        <v>0.20855614973262027</v>
      </c>
      <c r="AX45" s="142">
        <v>103</v>
      </c>
      <c r="AY45" s="142">
        <v>252</v>
      </c>
      <c r="AZ45" s="80">
        <f t="shared" si="51"/>
        <v>2.4466019417475726</v>
      </c>
      <c r="BA45" s="239" t="str">
        <f t="shared" si="52"/>
        <v>cumple</v>
      </c>
      <c r="BD45" s="9" t="str">
        <f t="shared" si="53"/>
        <v>Cumplimiento de nuevas empresas afiliadas</v>
      </c>
      <c r="BE45" s="9" t="str">
        <f t="shared" si="54"/>
        <v>Sobresaliente</v>
      </c>
      <c r="BF45" t="s">
        <v>81</v>
      </c>
      <c r="BG45" s="81">
        <f t="shared" si="55"/>
        <v>2.4466019417475726</v>
      </c>
    </row>
    <row r="46" spans="1:59" ht="14.25" customHeight="1" x14ac:dyDescent="0.25">
      <c r="A46" s="649"/>
      <c r="B46" s="82" t="s">
        <v>64</v>
      </c>
      <c r="C46" s="101">
        <f>C45/17-1</f>
        <v>-0.47058823529411764</v>
      </c>
      <c r="D46" s="101">
        <f>+D45/17-1</f>
        <v>-0.3529411764705882</v>
      </c>
      <c r="E46" s="84">
        <f t="shared" si="49"/>
        <v>0.74999999999999989</v>
      </c>
      <c r="F46" s="83" t="s">
        <v>28</v>
      </c>
      <c r="G46" s="101">
        <f>+G45/35-1</f>
        <v>-0.45714285714285718</v>
      </c>
      <c r="H46" s="101">
        <f>+H45/35-1</f>
        <v>0</v>
      </c>
      <c r="I46" s="84">
        <f>+H46/G46</f>
        <v>0</v>
      </c>
      <c r="J46" s="83" t="s">
        <v>28</v>
      </c>
      <c r="K46" s="93">
        <f>+K45/47-1</f>
        <v>-0.42553191489361697</v>
      </c>
      <c r="L46" s="93">
        <f>+L45/47-1</f>
        <v>0.57446808510638303</v>
      </c>
      <c r="M46" s="84">
        <f>-L46/K46</f>
        <v>1.3500000000000003</v>
      </c>
      <c r="N46" s="83" t="s">
        <v>28</v>
      </c>
      <c r="O46" s="27"/>
      <c r="P46" s="101">
        <f>P45/59-1</f>
        <v>-0.38983050847457623</v>
      </c>
      <c r="Q46" s="101">
        <f>Q45/59-1</f>
        <v>0.62711864406779672</v>
      </c>
      <c r="R46" s="84">
        <f>-Q46/P46</f>
        <v>1.6086956521739135</v>
      </c>
      <c r="S46" s="85" t="s">
        <v>28</v>
      </c>
      <c r="T46" s="101">
        <f>T45/79-1</f>
        <v>-0.44303797468354433</v>
      </c>
      <c r="U46" s="101">
        <f>U45/79-1</f>
        <v>0.481012658227848</v>
      </c>
      <c r="V46" s="84">
        <f>-U46/T46</f>
        <v>1.0857142857142854</v>
      </c>
      <c r="W46" s="83" t="s">
        <v>28</v>
      </c>
      <c r="X46" s="101">
        <f>X45/99-1</f>
        <v>-0.48484848484848486</v>
      </c>
      <c r="Y46" s="101">
        <f>Y45/99-1</f>
        <v>0.33333333333333326</v>
      </c>
      <c r="Z46" s="84">
        <f>-Y46/X46</f>
        <v>0.68749999999999978</v>
      </c>
      <c r="AA46" s="83" t="s">
        <v>28</v>
      </c>
      <c r="AC46" s="101">
        <f>AC45/123-1</f>
        <v>-0.52032520325203246</v>
      </c>
      <c r="AD46" s="101">
        <f>AD45/123-1</f>
        <v>0.22764227642276413</v>
      </c>
      <c r="AE46" s="84">
        <f>-AD46/AC46</f>
        <v>0.43749999999999989</v>
      </c>
      <c r="AF46" s="85" t="s">
        <v>28</v>
      </c>
      <c r="AG46" s="101">
        <f>AG45/139-1</f>
        <v>-0.50359712230215825</v>
      </c>
      <c r="AH46" s="101">
        <f>AH45/139-1</f>
        <v>0.24460431654676262</v>
      </c>
      <c r="AI46" s="84">
        <f>-AH46/AG46</f>
        <v>0.48571428571428582</v>
      </c>
      <c r="AJ46" s="83" t="s">
        <v>28</v>
      </c>
      <c r="AK46" s="101">
        <f>AK45/158-1</f>
        <v>-0.50632911392405067</v>
      </c>
      <c r="AL46" s="101">
        <f>AL45/158-1</f>
        <v>0.27848101265822778</v>
      </c>
      <c r="AM46" s="84">
        <f>-AL46/AK46</f>
        <v>0.54999999999999982</v>
      </c>
      <c r="AN46" s="83" t="s">
        <v>28</v>
      </c>
      <c r="AP46" s="101">
        <f>AP45/176-1</f>
        <v>-0.50568181818181812</v>
      </c>
      <c r="AQ46" s="101">
        <f>AQ45/176-1</f>
        <v>0.23863636363636354</v>
      </c>
      <c r="AR46" s="13">
        <f>-AQ46/AP46</f>
        <v>0.47191011235955044</v>
      </c>
      <c r="AS46" s="85" t="s">
        <v>28</v>
      </c>
      <c r="AT46" s="101">
        <f>AT45/187-1</f>
        <v>-0.4866310160427807</v>
      </c>
      <c r="AU46" s="101">
        <f>AU45/187-1</f>
        <v>0.20855614973262027</v>
      </c>
      <c r="AV46" s="84">
        <f>-AU46/AT46</f>
        <v>0.42857142857142849</v>
      </c>
      <c r="AW46" s="99" t="s">
        <v>28</v>
      </c>
      <c r="AX46" s="104">
        <f>AX45/196-1</f>
        <v>-0.47448979591836737</v>
      </c>
      <c r="AY46" s="104">
        <f>AY45/196-1</f>
        <v>0.28571428571428581</v>
      </c>
      <c r="AZ46" s="80">
        <f t="shared" si="51"/>
        <v>2.602150537634409</v>
      </c>
      <c r="BA46" s="239" t="str">
        <f t="shared" si="52"/>
        <v>cumple</v>
      </c>
      <c r="BD46" s="9" t="str">
        <f t="shared" si="53"/>
        <v>Crecimiento de nuevas empresas afiliadas</v>
      </c>
      <c r="BE46" s="9" t="str">
        <f t="shared" si="54"/>
        <v>Sobresaliente</v>
      </c>
      <c r="BF46" t="s">
        <v>81</v>
      </c>
      <c r="BG46" s="81">
        <f t="shared" si="55"/>
        <v>2.602150537634409</v>
      </c>
    </row>
    <row r="47" spans="1:59" ht="14.25" customHeight="1" x14ac:dyDescent="0.25">
      <c r="A47" s="649"/>
      <c r="B47" s="82" t="s">
        <v>65</v>
      </c>
      <c r="C47" s="100">
        <v>496486402</v>
      </c>
      <c r="D47" s="100">
        <v>514389229</v>
      </c>
      <c r="E47" s="115">
        <f t="shared" si="49"/>
        <v>1.0360590479978544</v>
      </c>
      <c r="F47" s="101">
        <f>D47/475368626-1</f>
        <v>8.208493549172502E-2</v>
      </c>
      <c r="G47" s="100">
        <v>965675924</v>
      </c>
      <c r="H47" s="100">
        <v>1028879284</v>
      </c>
      <c r="I47" s="84">
        <f>+H47/G47</f>
        <v>1.0654498661809859</v>
      </c>
      <c r="J47" s="101">
        <f>H47/953370220-1</f>
        <v>7.9202247370386614E-2</v>
      </c>
      <c r="K47" s="100">
        <v>1444231038</v>
      </c>
      <c r="L47" s="100">
        <v>1622651535</v>
      </c>
      <c r="M47" s="84">
        <f t="shared" ref="M47:M54" si="56">+L47/K47</f>
        <v>1.1235401347190823</v>
      </c>
      <c r="N47" s="101">
        <f>L47/1367906591-1</f>
        <v>0.18622978036370896</v>
      </c>
      <c r="O47" s="27"/>
      <c r="P47" s="118">
        <v>1929675393</v>
      </c>
      <c r="Q47" s="118">
        <v>2218048018</v>
      </c>
      <c r="R47" s="74">
        <f>+Q47/P47</f>
        <v>1.1494410023810673</v>
      </c>
      <c r="S47" s="141">
        <f>Q47/1878483865-1</f>
        <v>0.18076500912612303</v>
      </c>
      <c r="T47" s="118">
        <v>2406320158</v>
      </c>
      <c r="U47" s="118">
        <v>2833091257</v>
      </c>
      <c r="V47" s="74">
        <f>U47/T47</f>
        <v>1.1773542467244711</v>
      </c>
      <c r="W47" s="101">
        <f>U47/2352373934-1</f>
        <v>0.20435412756958393</v>
      </c>
      <c r="X47" s="118">
        <v>2892853045.0105176</v>
      </c>
      <c r="Y47" s="118">
        <v>3449724526</v>
      </c>
      <c r="Z47" s="74">
        <f>Y47/X47</f>
        <v>1.1924990562344511</v>
      </c>
      <c r="AA47" s="101">
        <f>Y47/2828554853-1</f>
        <v>0.21960672685600557</v>
      </c>
      <c r="AC47" s="118">
        <v>3398998778.4641733</v>
      </c>
      <c r="AD47" s="118">
        <v>4076236518</v>
      </c>
      <c r="AE47" s="74">
        <f>+AD47/AC47</f>
        <v>1.1992462438723894</v>
      </c>
      <c r="AF47" s="141">
        <f>AD47/3321875579-1</f>
        <v>0.22708886021164254</v>
      </c>
      <c r="AG47" s="118">
        <v>3889513546.7530456</v>
      </c>
      <c r="AH47" s="118">
        <v>4705345056</v>
      </c>
      <c r="AI47" s="74">
        <f>AH47/AG47</f>
        <v>1.2097515536172918</v>
      </c>
      <c r="AJ47" s="101">
        <f>AH47/3817865460-1</f>
        <v>0.23245439246044053</v>
      </c>
      <c r="AK47" s="118">
        <v>4365198208.5359955</v>
      </c>
      <c r="AL47" s="118">
        <v>5342135578</v>
      </c>
      <c r="AM47" s="74">
        <f>AL47/AK47</f>
        <v>1.2238013768890579</v>
      </c>
      <c r="AN47" s="101">
        <f>AL47/4303063141-1</f>
        <v>0.24147273766439015</v>
      </c>
      <c r="AP47" s="118">
        <v>4856994909.3765326</v>
      </c>
      <c r="AQ47" s="118">
        <v>5981000531.1980972</v>
      </c>
      <c r="AR47" s="13">
        <f>+AQ47/AP47</f>
        <v>1.2314199711536957</v>
      </c>
      <c r="AS47" s="141">
        <f>AQ47/4788497192-1</f>
        <v>0.24903498767637933</v>
      </c>
      <c r="AT47" s="118">
        <v>5341312518.2032032</v>
      </c>
      <c r="AU47" s="118">
        <v>6620644464.1685448</v>
      </c>
      <c r="AV47" s="74">
        <f>AU47/AT47</f>
        <v>1.239516400061853</v>
      </c>
      <c r="AW47" s="103">
        <f>AU47/5302788754-1</f>
        <v>0.24852125387315493</v>
      </c>
      <c r="AX47" s="121">
        <v>5825472546.0967569</v>
      </c>
      <c r="AY47" s="121">
        <v>7288002652.9715471</v>
      </c>
      <c r="AZ47" s="80">
        <f t="shared" si="51"/>
        <v>1.2510577631774662</v>
      </c>
      <c r="BA47" s="239" t="str">
        <f t="shared" si="52"/>
        <v>cumple</v>
      </c>
      <c r="BD47" s="9" t="str">
        <f t="shared" si="53"/>
        <v>Cumplimiento de aportes totales región</v>
      </c>
      <c r="BE47" s="9" t="str">
        <f t="shared" si="54"/>
        <v>Sobresaliente</v>
      </c>
      <c r="BF47" t="s">
        <v>81</v>
      </c>
      <c r="BG47" s="81">
        <f t="shared" si="55"/>
        <v>1.2510577631774662</v>
      </c>
    </row>
    <row r="48" spans="1:59" ht="14.25" customHeight="1" x14ac:dyDescent="0.25">
      <c r="A48" s="649"/>
      <c r="B48" s="82" t="s">
        <v>66</v>
      </c>
      <c r="C48" s="101">
        <f>C47/475368626-1</f>
        <v>4.4424000333585401E-2</v>
      </c>
      <c r="D48" s="101">
        <f>D47/475368626-1</f>
        <v>8.208493549172502E-2</v>
      </c>
      <c r="E48" s="84">
        <f t="shared" si="49"/>
        <v>1.8477610047573141</v>
      </c>
      <c r="F48" s="83" t="s">
        <v>28</v>
      </c>
      <c r="G48" s="101">
        <f>G47/953370220-1</f>
        <v>1.2907581694758585E-2</v>
      </c>
      <c r="H48" s="101">
        <f>H47/953370220-1</f>
        <v>7.9202247370386614E-2</v>
      </c>
      <c r="I48" s="84">
        <f>H48/G48</f>
        <v>6.1361027373972359</v>
      </c>
      <c r="J48" s="83" t="s">
        <v>28</v>
      </c>
      <c r="K48" s="101">
        <f>K47/1367906591-1</f>
        <v>5.579653428250797E-2</v>
      </c>
      <c r="L48" s="101">
        <f>L47/1367906591-1</f>
        <v>0.18622978036370896</v>
      </c>
      <c r="M48" s="84">
        <f t="shared" si="56"/>
        <v>3.337658561744961</v>
      </c>
      <c r="N48" s="83" t="s">
        <v>28</v>
      </c>
      <c r="O48" s="27"/>
      <c r="P48" s="101">
        <f>P47/1878483865-1</f>
        <v>2.725151328355957E-2</v>
      </c>
      <c r="Q48" s="101">
        <f>Q47/1878483865-1</f>
        <v>0.18076500912612303</v>
      </c>
      <c r="R48" s="84">
        <f>Q48/P48</f>
        <v>6.6332099522405557</v>
      </c>
      <c r="S48" s="85" t="s">
        <v>28</v>
      </c>
      <c r="T48" s="101">
        <f>T47/2352373934-1</f>
        <v>2.2932673764272327E-2</v>
      </c>
      <c r="U48" s="101">
        <f>U47/2352373934-1</f>
        <v>0.20435412756958393</v>
      </c>
      <c r="V48" s="84">
        <f>+U48/T48</f>
        <v>8.9110467305367109</v>
      </c>
      <c r="W48" s="83" t="s">
        <v>28</v>
      </c>
      <c r="X48" s="101">
        <f>X47/2828544853-1</f>
        <v>2.2735433006236816E-2</v>
      </c>
      <c r="Y48" s="101">
        <f>Y47/2828544853-1</f>
        <v>0.21961103863747011</v>
      </c>
      <c r="Z48" s="84">
        <f>+Y48/X48</f>
        <v>9.6594174642385795</v>
      </c>
      <c r="AA48" s="83" t="s">
        <v>28</v>
      </c>
      <c r="AC48" s="101">
        <f>AC47/3321875579-1</f>
        <v>2.3216763430793597E-2</v>
      </c>
      <c r="AD48" s="101">
        <f>AD47/3321875579-1</f>
        <v>0.22708886021164254</v>
      </c>
      <c r="AE48" s="84">
        <f>AD48/AC48</f>
        <v>9.7812453871344882</v>
      </c>
      <c r="AF48" s="85" t="s">
        <v>28</v>
      </c>
      <c r="AG48" s="101">
        <f>AG47/3817865460-1</f>
        <v>1.8766530016237182E-2</v>
      </c>
      <c r="AH48" s="101">
        <f>AH47/3817865460-1</f>
        <v>0.23245439246044053</v>
      </c>
      <c r="AI48" s="84">
        <f>+AH48/AG48</f>
        <v>12.386647518711039</v>
      </c>
      <c r="AJ48" s="83" t="s">
        <v>28</v>
      </c>
      <c r="AK48" s="101">
        <f>AK47/4303063141-1</f>
        <v>1.4439729443885385E-2</v>
      </c>
      <c r="AL48" s="101">
        <f>AL47/4303063141-1</f>
        <v>0.24147273766439015</v>
      </c>
      <c r="AM48" s="84">
        <f>+AL48/AK48</f>
        <v>16.722802085924375</v>
      </c>
      <c r="AN48" s="83" t="s">
        <v>28</v>
      </c>
      <c r="AP48" s="101">
        <f>AP47/4788497192-1</f>
        <v>1.4304637682772237E-2</v>
      </c>
      <c r="AQ48" s="101">
        <f>AQ47/4788497192-1</f>
        <v>0.24903498767637933</v>
      </c>
      <c r="AR48" s="13">
        <f>AQ48/AP48</f>
        <v>17.409388004025026</v>
      </c>
      <c r="AS48" s="85" t="s">
        <v>28</v>
      </c>
      <c r="AT48" s="101">
        <f>AT47/5302788754-1</f>
        <v>7.2648121564609092E-3</v>
      </c>
      <c r="AU48" s="101">
        <f>AU47/5302788754-1</f>
        <v>0.24852125387315493</v>
      </c>
      <c r="AV48" s="84">
        <f>+AU48/AT48</f>
        <v>34.208902931114928</v>
      </c>
      <c r="AW48" s="99" t="s">
        <v>28</v>
      </c>
      <c r="AX48" s="104">
        <f>AX47/5819609346-1</f>
        <v>1.0074903224881471E-3</v>
      </c>
      <c r="AY48" s="104">
        <f>AY47/5819609346-1</f>
        <v>0.2523181917667412</v>
      </c>
      <c r="AZ48" s="80">
        <f t="shared" si="51"/>
        <v>250.44229818863562</v>
      </c>
      <c r="BA48" s="239" t="str">
        <f t="shared" si="52"/>
        <v>cumple</v>
      </c>
      <c r="BD48" s="9" t="str">
        <f t="shared" si="53"/>
        <v>Crecimiento de aportes totales región</v>
      </c>
      <c r="BE48" s="9" t="str">
        <f t="shared" si="54"/>
        <v>Sobresaliente</v>
      </c>
      <c r="BF48" t="s">
        <v>81</v>
      </c>
      <c r="BG48" s="81">
        <f t="shared" si="55"/>
        <v>250.44229818863562</v>
      </c>
    </row>
    <row r="49" spans="1:59" ht="14.25" customHeight="1" x14ac:dyDescent="0.25">
      <c r="A49" s="649"/>
      <c r="B49" s="82" t="s">
        <v>67</v>
      </c>
      <c r="C49" s="100">
        <v>2916829</v>
      </c>
      <c r="D49" s="100">
        <v>38800</v>
      </c>
      <c r="E49" s="102">
        <f t="shared" si="49"/>
        <v>1.3302116785042936E-2</v>
      </c>
      <c r="F49" s="101">
        <f>D49/311100-1</f>
        <v>-0.87528126004500162</v>
      </c>
      <c r="G49" s="100">
        <v>9090722</v>
      </c>
      <c r="H49" s="100">
        <v>326300</v>
      </c>
      <c r="I49" s="106">
        <f>+H49/G49</f>
        <v>3.5893738693142302E-2</v>
      </c>
      <c r="J49" s="101">
        <f>H49/10238600-1</f>
        <v>-0.96813040845428089</v>
      </c>
      <c r="K49" s="100">
        <v>18020347</v>
      </c>
      <c r="L49" s="100">
        <v>3126300</v>
      </c>
      <c r="M49" s="84">
        <f t="shared" si="56"/>
        <v>0.17348722530148836</v>
      </c>
      <c r="N49" s="101">
        <f>L49/21094300-1</f>
        <v>-0.85179408655418765</v>
      </c>
      <c r="O49" s="27"/>
      <c r="P49" s="118">
        <v>29918452</v>
      </c>
      <c r="Q49" s="118">
        <v>6897000</v>
      </c>
      <c r="R49" s="74">
        <f>+Q49/P49</f>
        <v>0.23052663286188738</v>
      </c>
      <c r="S49" s="141">
        <f>Q49/33805500-1</f>
        <v>-0.79597994409193773</v>
      </c>
      <c r="T49" s="118">
        <v>44519106</v>
      </c>
      <c r="U49" s="118">
        <v>12177500</v>
      </c>
      <c r="V49" s="74">
        <f>U49/T49</f>
        <v>0.27353424392664127</v>
      </c>
      <c r="W49" s="101">
        <f>U49/43998100-1</f>
        <v>-0.72322668478866126</v>
      </c>
      <c r="X49" s="118">
        <v>61452852.056126505</v>
      </c>
      <c r="Y49" s="118">
        <v>19546500</v>
      </c>
      <c r="Z49" s="74">
        <f>Y49/X49</f>
        <v>0.31807311371240621</v>
      </c>
      <c r="AA49" s="101">
        <f>Y49/56527040-1</f>
        <v>-0.65420973749908007</v>
      </c>
      <c r="AC49" s="118">
        <v>80967349.858518824</v>
      </c>
      <c r="AD49" s="118">
        <v>34552500</v>
      </c>
      <c r="AE49" s="74">
        <f>+AD49/AC49</f>
        <v>0.42674609037317557</v>
      </c>
      <c r="AF49" s="141">
        <f>AD49/68926540-1</f>
        <v>-0.49870543334976625</v>
      </c>
      <c r="AG49" s="118">
        <v>103781845.25789657</v>
      </c>
      <c r="AH49" s="118">
        <v>52846700</v>
      </c>
      <c r="AI49" s="74">
        <f>AH49/AG49</f>
        <v>0.50920948523006715</v>
      </c>
      <c r="AJ49" s="101">
        <f>AH49/85349040-1</f>
        <v>-0.38081670280064073</v>
      </c>
      <c r="AK49" s="118">
        <v>129662194.12567541</v>
      </c>
      <c r="AL49" s="118">
        <v>73409300</v>
      </c>
      <c r="AM49" s="74">
        <f>AL49/AK49</f>
        <v>0.56615808867809103</v>
      </c>
      <c r="AN49" s="101">
        <f>AL49/56527040-1</f>
        <v>0.29865812892378596</v>
      </c>
      <c r="AP49" s="118">
        <v>158640222.55728814</v>
      </c>
      <c r="AQ49" s="118">
        <v>95927800</v>
      </c>
      <c r="AR49" s="13">
        <f>+AQ49/AP49</f>
        <v>0.60468775480542813</v>
      </c>
      <c r="AS49" s="141">
        <f>AQ49/124756540-1</f>
        <v>-0.23107998987467915</v>
      </c>
      <c r="AT49" s="118">
        <v>190508639.09893778</v>
      </c>
      <c r="AU49" s="118">
        <v>122244000</v>
      </c>
      <c r="AV49" s="74">
        <f>AU49/AT49</f>
        <v>0.64167168784673556</v>
      </c>
      <c r="AW49" s="103">
        <f>AU49/152328340-1</f>
        <v>-0.19749667067861432</v>
      </c>
      <c r="AX49" s="121">
        <v>224755543.62152797</v>
      </c>
      <c r="AY49" s="121">
        <v>146859300</v>
      </c>
      <c r="AZ49" s="80">
        <f t="shared" si="51"/>
        <v>0.65341792079353733</v>
      </c>
      <c r="BA49" s="239" t="str">
        <f t="shared" si="52"/>
        <v>revisar</v>
      </c>
      <c r="BD49" s="9" t="str">
        <f t="shared" si="53"/>
        <v>Cumplimiento de nuevos aportes</v>
      </c>
      <c r="BE49" s="9" t="str">
        <f t="shared" si="54"/>
        <v>Incumple</v>
      </c>
      <c r="BF49" t="s">
        <v>81</v>
      </c>
      <c r="BG49" s="81">
        <f t="shared" si="55"/>
        <v>0.65341792079353733</v>
      </c>
    </row>
    <row r="50" spans="1:59" ht="14.25" customHeight="1" x14ac:dyDescent="0.25">
      <c r="A50" s="649"/>
      <c r="B50" s="82" t="s">
        <v>68</v>
      </c>
      <c r="C50" s="108">
        <v>8144</v>
      </c>
      <c r="D50" s="108">
        <v>8697</v>
      </c>
      <c r="E50" s="84">
        <f t="shared" si="49"/>
        <v>1.0679027504911591</v>
      </c>
      <c r="F50" s="101">
        <f>D50/8475-1</f>
        <v>2.619469026548682E-2</v>
      </c>
      <c r="G50" s="108">
        <v>8276.0937443970306</v>
      </c>
      <c r="H50" s="108">
        <v>9530</v>
      </c>
      <c r="I50" s="84">
        <f>+H50/G50</f>
        <v>1.1515094311796399</v>
      </c>
      <c r="J50" s="101">
        <f>H50/8626-1</f>
        <v>0.1047994435427777</v>
      </c>
      <c r="K50" s="108">
        <v>8276.6513891829691</v>
      </c>
      <c r="L50" s="108">
        <v>9834</v>
      </c>
      <c r="M50" s="84">
        <f t="shared" si="56"/>
        <v>1.188161677662585</v>
      </c>
      <c r="N50" s="101">
        <f>L50/7302-1</f>
        <v>0.34675431388660649</v>
      </c>
      <c r="O50" s="27"/>
      <c r="P50" s="118">
        <v>8368.6404703660337</v>
      </c>
      <c r="Q50" s="118">
        <v>10189</v>
      </c>
      <c r="R50" s="74">
        <f>+Q50/P50</f>
        <v>1.2175215360344362</v>
      </c>
      <c r="S50" s="141">
        <f>Q50/8408-1</f>
        <v>0.21182207421503341</v>
      </c>
      <c r="T50" s="118">
        <v>8579.7661781039278</v>
      </c>
      <c r="U50" s="118">
        <v>10247</v>
      </c>
      <c r="V50" s="74">
        <f>+U50/T50</f>
        <v>1.1943215919043286</v>
      </c>
      <c r="W50" s="101">
        <f>U50/8535-1</f>
        <v>0.20058582308142947</v>
      </c>
      <c r="X50" s="118">
        <v>8655.0271407246564</v>
      </c>
      <c r="Y50" s="118">
        <v>10543</v>
      </c>
      <c r="Z50" s="74">
        <f>+Y50/X50</f>
        <v>1.2181359836980556</v>
      </c>
      <c r="AA50" s="101">
        <f>Y50/8642-1</f>
        <v>0.21997222865077526</v>
      </c>
      <c r="AC50" s="118">
        <v>8678.6293613202743</v>
      </c>
      <c r="AD50" s="118">
        <v>10440</v>
      </c>
      <c r="AE50" s="74">
        <f>+AD50/AC50</f>
        <v>1.202954932783507</v>
      </c>
      <c r="AF50" s="141">
        <f>AD50/8820-1</f>
        <v>0.18367346938775508</v>
      </c>
      <c r="AG50" s="118">
        <v>8455.5342650494767</v>
      </c>
      <c r="AH50" s="118">
        <v>10518</v>
      </c>
      <c r="AI50" s="74">
        <f>+AH50/AG50</f>
        <v>1.2439190322337905</v>
      </c>
      <c r="AJ50" s="101">
        <f>AH50/8864-1</f>
        <v>0.18659747292418771</v>
      </c>
      <c r="AK50" s="118">
        <v>8482.0853278924988</v>
      </c>
      <c r="AL50" s="118">
        <v>10451</v>
      </c>
      <c r="AM50" s="74">
        <f>+AL50/AK50</f>
        <v>1.2321262515047944</v>
      </c>
      <c r="AN50" s="101">
        <f>AL50/8973-1</f>
        <v>0.16471637133623096</v>
      </c>
      <c r="AP50" s="118">
        <v>8676.9276436899163</v>
      </c>
      <c r="AQ50" s="118">
        <v>10473</v>
      </c>
      <c r="AR50" s="13">
        <f>+AQ50/AP50</f>
        <v>1.2069940455958779</v>
      </c>
      <c r="AS50" s="141">
        <f>AQ50/9121-1</f>
        <v>0.14822936081569993</v>
      </c>
      <c r="AT50" s="118">
        <v>8787</v>
      </c>
      <c r="AU50" s="118">
        <v>10588</v>
      </c>
      <c r="AV50" s="74">
        <f>+AU50/AT50</f>
        <v>1.2049618754978946</v>
      </c>
      <c r="AW50" s="103">
        <f>AU50/9153-1</f>
        <v>0.15677919807713314</v>
      </c>
      <c r="AX50" s="121">
        <v>9122.7135555120931</v>
      </c>
      <c r="AY50" s="121">
        <v>10511</v>
      </c>
      <c r="AZ50" s="80">
        <f t="shared" si="51"/>
        <v>1.1521791116250801</v>
      </c>
      <c r="BA50" s="239" t="str">
        <f t="shared" si="52"/>
        <v>cumple</v>
      </c>
      <c r="BD50" s="9" t="str">
        <f t="shared" si="53"/>
        <v>Cumplimiento afiliados totales región</v>
      </c>
      <c r="BE50" s="9" t="str">
        <f t="shared" si="54"/>
        <v>Sobresaliente</v>
      </c>
      <c r="BF50" t="s">
        <v>81</v>
      </c>
      <c r="BG50" s="81">
        <f t="shared" si="55"/>
        <v>1.1521791116250801</v>
      </c>
    </row>
    <row r="51" spans="1:59" ht="14.25" customHeight="1" x14ac:dyDescent="0.25">
      <c r="A51" s="649"/>
      <c r="B51" s="82" t="s">
        <v>69</v>
      </c>
      <c r="C51" s="101">
        <f>C50/8475-1</f>
        <v>-3.9056047197640109E-2</v>
      </c>
      <c r="D51" s="101">
        <f>D50/8475-1</f>
        <v>2.619469026548682E-2</v>
      </c>
      <c r="E51" s="84">
        <f>-D51/C51</f>
        <v>0.67069486404834089</v>
      </c>
      <c r="F51" s="83" t="s">
        <v>28</v>
      </c>
      <c r="G51" s="101">
        <f>G50/8626-1</f>
        <v>-4.0564138140849693E-2</v>
      </c>
      <c r="H51" s="101">
        <f>H50/8626-1</f>
        <v>0.1047994435427777</v>
      </c>
      <c r="I51" s="84">
        <f>-H51/G51</f>
        <v>2.5835491235851138</v>
      </c>
      <c r="J51" s="83" t="s">
        <v>28</v>
      </c>
      <c r="K51" s="101">
        <f>K50/7302-1</f>
        <v>0.13347731980046129</v>
      </c>
      <c r="L51" s="101">
        <f>L50/7302-1</f>
        <v>0.34675431388660649</v>
      </c>
      <c r="M51" s="84">
        <f t="shared" si="56"/>
        <v>2.5978519377297844</v>
      </c>
      <c r="N51" s="83" t="s">
        <v>28</v>
      </c>
      <c r="O51" s="27"/>
      <c r="P51" s="101">
        <f>P50/8408-1</f>
        <v>-4.6812000040397095E-3</v>
      </c>
      <c r="Q51" s="101">
        <f>Q50/8408-1</f>
        <v>0.21182207421503341</v>
      </c>
      <c r="R51" s="84">
        <f>-Q51/P51</f>
        <v>45.249524487789131</v>
      </c>
      <c r="S51" s="85" t="s">
        <v>28</v>
      </c>
      <c r="T51" s="101">
        <f>T50/8535-1</f>
        <v>5.245012080132172E-3</v>
      </c>
      <c r="U51" s="101">
        <f>U50/8535-1</f>
        <v>0.20058582308142947</v>
      </c>
      <c r="V51" s="84">
        <f>+U51/T51</f>
        <v>38.243157502198699</v>
      </c>
      <c r="W51" s="83" t="s">
        <v>28</v>
      </c>
      <c r="X51" s="101">
        <f>X50/8642-1</f>
        <v>1.5074219769330988E-3</v>
      </c>
      <c r="Y51" s="101">
        <f>Y50/8642-1</f>
        <v>0.21997222865077526</v>
      </c>
      <c r="Z51" s="84">
        <f>+Y51/X51</f>
        <v>145.92611227435879</v>
      </c>
      <c r="AA51" s="83" t="s">
        <v>28</v>
      </c>
      <c r="AC51" s="101">
        <f>AC50/8820-1</f>
        <v>-1.6028417083869151E-2</v>
      </c>
      <c r="AD51" s="101">
        <f>AD50/8820-1</f>
        <v>0.18367346938775508</v>
      </c>
      <c r="AE51" s="84">
        <f>-AD51/AC51</f>
        <v>11.459239451199604</v>
      </c>
      <c r="AF51" s="85" t="s">
        <v>28</v>
      </c>
      <c r="AG51" s="101">
        <f>AG50/8864-1</f>
        <v>-4.6081423166800861E-2</v>
      </c>
      <c r="AH51" s="101">
        <f>AH50/8864-1</f>
        <v>0.18659747292418771</v>
      </c>
      <c r="AI51" s="84">
        <f>+AH51/AG51</f>
        <v>-4.0492992642341168</v>
      </c>
      <c r="AJ51" s="83" t="s">
        <v>28</v>
      </c>
      <c r="AK51" s="101">
        <f>AK50/8973-1</f>
        <v>-5.4710205294494774E-2</v>
      </c>
      <c r="AL51" s="101">
        <f>AL50/8973-1</f>
        <v>0.16471637133623096</v>
      </c>
      <c r="AM51" s="84">
        <f>+AL51/AK51</f>
        <v>-3.0107065116936345</v>
      </c>
      <c r="AN51" s="83" t="s">
        <v>28</v>
      </c>
      <c r="AP51" s="101">
        <f>AP50/9121-1</f>
        <v>-4.8686805866690497E-2</v>
      </c>
      <c r="AQ51" s="101">
        <f>AQ50/9121-1</f>
        <v>0.14822936081569993</v>
      </c>
      <c r="AR51" s="13">
        <f>-AQ51/AP51</f>
        <v>3.0445488911629823</v>
      </c>
      <c r="AS51" s="85" t="s">
        <v>28</v>
      </c>
      <c r="AT51" s="101">
        <f>AT50/9153-1</f>
        <v>-3.9986889544411652E-2</v>
      </c>
      <c r="AU51" s="101">
        <f>AU50/9153-1</f>
        <v>0.15677919807713314</v>
      </c>
      <c r="AV51" s="84">
        <f>+AU51/AT51</f>
        <v>-3.9207650273224051</v>
      </c>
      <c r="AW51" s="99" t="s">
        <v>28</v>
      </c>
      <c r="AX51" s="104">
        <f>AX50/9101-1</f>
        <v>2.3858428207992333E-3</v>
      </c>
      <c r="AY51" s="104">
        <f>AY50/9101-1</f>
        <v>0.15492802988682564</v>
      </c>
      <c r="AZ51" s="80">
        <f t="shared" si="51"/>
        <v>64.936394190010517</v>
      </c>
      <c r="BA51" s="239" t="str">
        <f t="shared" si="52"/>
        <v>cumple</v>
      </c>
      <c r="BD51" s="9" t="str">
        <f t="shared" si="53"/>
        <v>Crecimiento afiliados totales región</v>
      </c>
      <c r="BE51" s="9" t="str">
        <f t="shared" si="54"/>
        <v>Sobresaliente</v>
      </c>
      <c r="BF51" t="s">
        <v>81</v>
      </c>
      <c r="BG51" s="81">
        <f t="shared" si="55"/>
        <v>64.936394190010517</v>
      </c>
    </row>
    <row r="52" spans="1:59" ht="14.25" customHeight="1" x14ac:dyDescent="0.25">
      <c r="A52" s="649"/>
      <c r="B52" s="82" t="s">
        <v>70</v>
      </c>
      <c r="C52" s="83">
        <v>88</v>
      </c>
      <c r="D52" s="83">
        <v>13</v>
      </c>
      <c r="E52" s="84">
        <f>+D52/C52</f>
        <v>0.14772727272727273</v>
      </c>
      <c r="F52" s="101">
        <f>D52/177-1</f>
        <v>-0.92655367231638419</v>
      </c>
      <c r="G52" s="83">
        <v>187</v>
      </c>
      <c r="H52" s="83">
        <v>33</v>
      </c>
      <c r="I52" s="84">
        <f>+H52/G52</f>
        <v>0.17647058823529413</v>
      </c>
      <c r="J52" s="101">
        <f>H52/200-1</f>
        <v>-0.83499999999999996</v>
      </c>
      <c r="K52" s="83">
        <v>271</v>
      </c>
      <c r="L52" s="83">
        <v>90</v>
      </c>
      <c r="M52" s="84">
        <f t="shared" si="56"/>
        <v>0.33210332103321033</v>
      </c>
      <c r="N52" s="101">
        <f>L52/207-1</f>
        <v>-0.56521739130434789</v>
      </c>
      <c r="O52" s="27"/>
      <c r="P52" s="140">
        <v>360</v>
      </c>
      <c r="Q52" s="140">
        <v>76</v>
      </c>
      <c r="R52" s="74">
        <f>+Q52/P52</f>
        <v>0.21111111111111111</v>
      </c>
      <c r="S52" s="141">
        <f>Q52/215-1</f>
        <v>-0.64651162790697669</v>
      </c>
      <c r="T52" s="140">
        <v>442</v>
      </c>
      <c r="U52" s="140">
        <v>161</v>
      </c>
      <c r="V52" s="74">
        <f>+U52/T52</f>
        <v>0.36425339366515835</v>
      </c>
      <c r="W52" s="101">
        <f>U52/216-1</f>
        <v>-0.25462962962962965</v>
      </c>
      <c r="X52" s="140">
        <v>513</v>
      </c>
      <c r="Y52" s="140">
        <v>373</v>
      </c>
      <c r="Z52" s="74">
        <f>+Y52/X52</f>
        <v>0.72709551656920079</v>
      </c>
      <c r="AA52" s="101">
        <f>Y52/221-1</f>
        <v>0.68778280542986425</v>
      </c>
      <c r="AC52" s="140">
        <v>591</v>
      </c>
      <c r="AD52" s="140">
        <v>393</v>
      </c>
      <c r="AE52" s="74">
        <f>+AD52/AC52</f>
        <v>0.6649746192893401</v>
      </c>
      <c r="AF52" s="141">
        <f>AD52/277-1</f>
        <v>0.41877256317689526</v>
      </c>
      <c r="AG52" s="140">
        <v>691</v>
      </c>
      <c r="AH52" s="140">
        <v>504</v>
      </c>
      <c r="AI52" s="74">
        <f>+AH52/AG52</f>
        <v>0.72937771345875546</v>
      </c>
      <c r="AJ52" s="101">
        <f>AH52/318-1</f>
        <v>0.58490566037735858</v>
      </c>
      <c r="AK52" s="140">
        <v>784</v>
      </c>
      <c r="AL52" s="140">
        <v>567</v>
      </c>
      <c r="AM52" s="74">
        <f>+AL52/AK52</f>
        <v>0.7232142857142857</v>
      </c>
      <c r="AN52" s="101">
        <f>AL52/369-1</f>
        <v>0.53658536585365857</v>
      </c>
      <c r="AP52" s="140">
        <v>878</v>
      </c>
      <c r="AQ52" s="140">
        <v>596</v>
      </c>
      <c r="AR52" s="13">
        <f>+AQ52/AP52</f>
        <v>0.67881548974943051</v>
      </c>
      <c r="AS52" s="141">
        <f>AQ52/417-1</f>
        <v>0.42925659472422062</v>
      </c>
      <c r="AT52" s="140">
        <v>966</v>
      </c>
      <c r="AU52" s="140">
        <v>684</v>
      </c>
      <c r="AV52" s="74">
        <f>+AU52/AT52</f>
        <v>0.70807453416149069</v>
      </c>
      <c r="AW52" s="103">
        <f>AU52/463-1</f>
        <v>0.47732181425485964</v>
      </c>
      <c r="AX52" s="142">
        <v>1038</v>
      </c>
      <c r="AY52" s="142">
        <v>772</v>
      </c>
      <c r="AZ52" s="80">
        <f t="shared" si="51"/>
        <v>0.74373795761078998</v>
      </c>
      <c r="BA52" s="239" t="str">
        <f t="shared" si="52"/>
        <v>revisar</v>
      </c>
      <c r="BD52" s="9" t="str">
        <f t="shared" si="53"/>
        <v>Cumplimiento de nuevos afiliados región</v>
      </c>
      <c r="BE52" s="9" t="str">
        <f t="shared" si="54"/>
        <v>Incumple</v>
      </c>
      <c r="BF52" t="s">
        <v>81</v>
      </c>
      <c r="BG52" s="81">
        <f t="shared" si="55"/>
        <v>0.74373795761078998</v>
      </c>
    </row>
    <row r="53" spans="1:59" ht="14.25" customHeight="1" x14ac:dyDescent="0.25">
      <c r="A53" s="649"/>
      <c r="B53" s="82" t="s">
        <v>78</v>
      </c>
      <c r="C53" s="108">
        <v>10624</v>
      </c>
      <c r="D53" s="108">
        <v>13324</v>
      </c>
      <c r="E53" s="84">
        <f t="shared" si="49"/>
        <v>1.2541415662650603</v>
      </c>
      <c r="F53" s="84">
        <v>-0.38</v>
      </c>
      <c r="G53" s="108">
        <v>5337</v>
      </c>
      <c r="H53" s="108">
        <v>7699</v>
      </c>
      <c r="I53" s="84">
        <f>+H53/G53</f>
        <v>1.4425707326213228</v>
      </c>
      <c r="J53" s="84">
        <v>-0.01</v>
      </c>
      <c r="K53" s="108">
        <v>9279</v>
      </c>
      <c r="L53" s="108">
        <v>9728</v>
      </c>
      <c r="M53" s="84">
        <f t="shared" si="56"/>
        <v>1.048388835003772</v>
      </c>
      <c r="N53" s="84">
        <v>1.53</v>
      </c>
      <c r="O53" s="27"/>
      <c r="P53" s="143"/>
      <c r="Q53" s="143"/>
      <c r="R53" s="143"/>
      <c r="S53" s="143"/>
      <c r="T53" s="143"/>
      <c r="U53" s="143"/>
      <c r="V53" s="143"/>
      <c r="W53" s="143"/>
      <c r="X53" s="143"/>
      <c r="Y53" s="143"/>
      <c r="Z53" s="143"/>
      <c r="AA53" s="143"/>
      <c r="AC53" s="143"/>
      <c r="AD53" s="143"/>
      <c r="AE53" s="143"/>
      <c r="AF53" s="143"/>
      <c r="AG53" s="143"/>
      <c r="AH53" s="143"/>
      <c r="AI53" s="143"/>
      <c r="AJ53" s="143"/>
      <c r="AK53" s="143"/>
      <c r="AL53" s="143"/>
      <c r="AM53" s="143"/>
      <c r="AN53" s="143"/>
      <c r="AP53" s="143"/>
      <c r="AQ53" s="143"/>
      <c r="AR53" s="143"/>
      <c r="AS53" s="143"/>
      <c r="AT53" s="143"/>
      <c r="AU53" s="143"/>
      <c r="AV53" s="143"/>
      <c r="AW53" s="143"/>
      <c r="AX53" s="144">
        <v>0.77823280717797827</v>
      </c>
      <c r="AY53" s="144">
        <v>0.95049898612381223</v>
      </c>
      <c r="AZ53" s="80">
        <f t="shared" si="51"/>
        <v>1.221355585831063</v>
      </c>
      <c r="BA53" s="239" t="str">
        <f t="shared" si="52"/>
        <v>cumple</v>
      </c>
      <c r="BD53" s="9" t="str">
        <f t="shared" si="53"/>
        <v xml:space="preserve">Cumplimiento cobertura región </v>
      </c>
      <c r="BE53" s="9" t="str">
        <f t="shared" si="54"/>
        <v>Sobresaliente</v>
      </c>
      <c r="BF53" t="s">
        <v>81</v>
      </c>
      <c r="BG53" s="81">
        <f t="shared" si="55"/>
        <v>1.221355585831063</v>
      </c>
    </row>
    <row r="54" spans="1:59" ht="14.25" customHeight="1" thickBot="1" x14ac:dyDescent="0.3">
      <c r="A54" s="650"/>
      <c r="B54" s="82" t="s">
        <v>79</v>
      </c>
      <c r="C54" s="109">
        <v>4717</v>
      </c>
      <c r="D54" s="109">
        <v>4213</v>
      </c>
      <c r="E54" s="84">
        <f t="shared" si="49"/>
        <v>0.89315242739029044</v>
      </c>
      <c r="F54" s="115">
        <v>-0.59</v>
      </c>
      <c r="G54" s="109">
        <v>2298</v>
      </c>
      <c r="H54" s="109">
        <v>2639</v>
      </c>
      <c r="I54" s="84">
        <f>+H54/G54</f>
        <v>1.148389904264578</v>
      </c>
      <c r="J54" s="115">
        <v>-0.08</v>
      </c>
      <c r="K54" s="109">
        <v>3265</v>
      </c>
      <c r="L54" s="109">
        <v>3298</v>
      </c>
      <c r="M54" s="84">
        <f t="shared" si="56"/>
        <v>1.0101071975497702</v>
      </c>
      <c r="N54" s="20">
        <v>2</v>
      </c>
      <c r="O54" s="27"/>
      <c r="P54" s="143"/>
      <c r="Q54" s="143"/>
      <c r="R54" s="143"/>
      <c r="S54" s="143"/>
      <c r="T54" s="143"/>
      <c r="U54" s="143"/>
      <c r="V54" s="143"/>
      <c r="W54" s="143"/>
      <c r="X54" s="143"/>
      <c r="Y54" s="143"/>
      <c r="Z54" s="143"/>
      <c r="AA54" s="143"/>
      <c r="AC54" s="143"/>
      <c r="AD54" s="143"/>
      <c r="AE54" s="143"/>
      <c r="AF54" s="143"/>
      <c r="AG54" s="143"/>
      <c r="AH54" s="143"/>
      <c r="AI54" s="143"/>
      <c r="AJ54" s="143"/>
      <c r="AK54" s="143"/>
      <c r="AL54" s="143"/>
      <c r="AM54" s="143"/>
      <c r="AN54" s="143"/>
      <c r="AP54" s="143"/>
      <c r="AQ54" s="143"/>
      <c r="AR54" s="143"/>
      <c r="AS54" s="143"/>
      <c r="AT54" s="143"/>
      <c r="AU54" s="143"/>
      <c r="AV54" s="143"/>
      <c r="AW54" s="143"/>
      <c r="AX54" s="144">
        <v>0.3475885610368703</v>
      </c>
      <c r="AY54" s="144">
        <v>0.28564730823327966</v>
      </c>
      <c r="AZ54" s="80">
        <f t="shared" si="51"/>
        <v>0.82179720581477866</v>
      </c>
      <c r="BA54" s="239" t="str">
        <f t="shared" si="52"/>
        <v>revisar</v>
      </c>
      <c r="BD54" s="9" t="str">
        <f t="shared" si="53"/>
        <v xml:space="preserve">Penetración de Uso en Población A y B región </v>
      </c>
      <c r="BE54" s="9" t="str">
        <f t="shared" si="54"/>
        <v>Tolerable</v>
      </c>
      <c r="BF54" t="s">
        <v>81</v>
      </c>
      <c r="BG54" s="81">
        <f t="shared" si="55"/>
        <v>0.82179720581477866</v>
      </c>
    </row>
    <row r="55" spans="1:59" ht="14.25" customHeight="1" thickBot="1" x14ac:dyDescent="0.3">
      <c r="B55"/>
      <c r="C55" s="18"/>
      <c r="D55" s="18"/>
      <c r="E55" s="18"/>
      <c r="F55" s="18"/>
      <c r="G55" s="18"/>
      <c r="H55" s="18"/>
      <c r="I55" s="18"/>
      <c r="J55" s="18"/>
      <c r="K55" s="18"/>
      <c r="L55" s="18"/>
      <c r="M55" s="18"/>
      <c r="N55" s="27"/>
      <c r="O55" s="27"/>
      <c r="P55" s="143"/>
      <c r="Q55" s="143"/>
      <c r="R55" s="143"/>
      <c r="S55" s="143"/>
      <c r="T55" s="143"/>
      <c r="U55" s="143"/>
      <c r="V55" s="143"/>
      <c r="W55" s="143"/>
      <c r="X55" s="143"/>
      <c r="Y55" s="143"/>
      <c r="Z55" s="143"/>
      <c r="AA55" s="143"/>
      <c r="AC55" s="143"/>
      <c r="AD55" s="143"/>
      <c r="AE55" s="143"/>
      <c r="AF55" s="143"/>
      <c r="AG55" s="143"/>
      <c r="AH55" s="143"/>
      <c r="AI55" s="143"/>
      <c r="AJ55" s="143"/>
      <c r="AK55" s="143"/>
      <c r="AL55" s="143"/>
      <c r="AM55" s="143"/>
      <c r="AN55" s="143"/>
      <c r="AP55" s="143"/>
      <c r="AQ55" s="143"/>
      <c r="AR55" s="143"/>
      <c r="AS55" s="143"/>
      <c r="AT55" s="143"/>
      <c r="AU55" s="143"/>
      <c r="AV55" s="143"/>
      <c r="AW55" s="143"/>
      <c r="AX55" s="143"/>
      <c r="AY55" s="143"/>
      <c r="AZ55" s="143"/>
      <c r="BD55" s="9"/>
      <c r="BE55" s="9"/>
    </row>
    <row r="56" spans="1:59" ht="14.25" customHeight="1" x14ac:dyDescent="0.25">
      <c r="A56" s="648" t="s">
        <v>82</v>
      </c>
      <c r="B56" s="138" t="s">
        <v>59</v>
      </c>
      <c r="C56" s="74">
        <v>-0.34603567184458306</v>
      </c>
      <c r="D56" s="74">
        <v>-0.65714431320971167</v>
      </c>
      <c r="E56" s="93">
        <f>+D56/C56</f>
        <v>1.8990652313581664</v>
      </c>
      <c r="F56" s="74" t="s">
        <v>28</v>
      </c>
      <c r="G56" s="74">
        <v>-0.32822536151511061</v>
      </c>
      <c r="H56" s="74">
        <v>-0.82740330834377818</v>
      </c>
      <c r="I56" s="93">
        <f>+H56/G56</f>
        <v>2.5208390495007094</v>
      </c>
      <c r="J56" s="74" t="s">
        <v>28</v>
      </c>
      <c r="K56" s="74">
        <v>-0.30140469362769029</v>
      </c>
      <c r="L56" s="74">
        <v>-0.38799481489130039</v>
      </c>
      <c r="M56" s="93">
        <f>+L56/K56</f>
        <v>1.2872885628336312</v>
      </c>
      <c r="N56" s="74" t="s">
        <v>28</v>
      </c>
      <c r="O56" s="27"/>
      <c r="P56" s="143"/>
      <c r="Q56" s="143"/>
      <c r="R56" s="143"/>
      <c r="S56" s="143"/>
      <c r="T56" s="143"/>
      <c r="U56" s="143"/>
      <c r="V56" s="143"/>
      <c r="W56" s="143"/>
      <c r="X56" s="143"/>
      <c r="Y56" s="143"/>
      <c r="Z56" s="143"/>
      <c r="AA56" s="143"/>
      <c r="AC56" s="143"/>
      <c r="AD56" s="143"/>
      <c r="AE56" s="143"/>
      <c r="AF56" s="143"/>
      <c r="AG56" s="143"/>
      <c r="AH56" s="143"/>
      <c r="AI56" s="143"/>
      <c r="AJ56" s="143"/>
      <c r="AK56" s="143"/>
      <c r="AL56" s="143"/>
      <c r="AM56" s="143"/>
      <c r="AN56" s="143"/>
      <c r="AP56" s="143"/>
      <c r="AQ56" s="143"/>
      <c r="AR56" s="13" t="e">
        <f t="shared" ref="AR56" si="57">+IF(AP56&lt;0,1-(AQ56-AP56)/AP56,AQ56/AP56)</f>
        <v>#DIV/0!</v>
      </c>
      <c r="AS56" s="143"/>
      <c r="AT56" s="143"/>
      <c r="AU56" s="143"/>
      <c r="AV56" s="143"/>
      <c r="AW56" s="143"/>
      <c r="AX56" s="144">
        <v>0.73235020757465397</v>
      </c>
      <c r="AY56" s="144">
        <v>1.2829193363351186</v>
      </c>
      <c r="AZ56" s="80">
        <f t="shared" si="51"/>
        <v>1.7517839458034712</v>
      </c>
      <c r="BA56" s="239" t="str">
        <f t="shared" ref="BA56:BA67" si="58">+IF(AY56&gt;=AX56,"cumple","revisar")</f>
        <v>cumple</v>
      </c>
      <c r="BD56" s="9" t="str">
        <f t="shared" ref="BD56:BD67" si="59">+B56</f>
        <v>Crecimiento de ingresos (negocios)</v>
      </c>
      <c r="BE56" s="9" t="str">
        <f t="shared" ref="BE56:BE67" si="60">+IF(AZ56&lt;79.99999%,"Incumple",IF(AND(AZ56&gt;=80%,AZ56&lt;94.999999%),"Tolerable",IF(AND(AZ56&gt;=95%,AZ56&lt;100%),"Satisfactorio","Sobresaliente")))</f>
        <v>Sobresaliente</v>
      </c>
      <c r="BF56" t="s">
        <v>83</v>
      </c>
      <c r="BG56" s="81">
        <f t="shared" si="55"/>
        <v>1.7517839458034712</v>
      </c>
    </row>
    <row r="57" spans="1:59" ht="14.25" customHeight="1" x14ac:dyDescent="0.25">
      <c r="A57" s="649"/>
      <c r="B57" s="82" t="s">
        <v>61</v>
      </c>
      <c r="C57" s="83">
        <v>4</v>
      </c>
      <c r="D57" s="83">
        <v>4</v>
      </c>
      <c r="E57" s="84">
        <f>+D57/C57</f>
        <v>1</v>
      </c>
      <c r="F57" s="74" t="s">
        <v>28</v>
      </c>
      <c r="G57" s="83">
        <v>4</v>
      </c>
      <c r="H57" s="83">
        <v>4</v>
      </c>
      <c r="I57" s="84">
        <f>+H57/G57</f>
        <v>1</v>
      </c>
      <c r="J57" s="74" t="s">
        <v>28</v>
      </c>
      <c r="K57" s="83">
        <v>4</v>
      </c>
      <c r="L57" s="83">
        <v>4</v>
      </c>
      <c r="M57" s="84">
        <f>+L57/K57</f>
        <v>1</v>
      </c>
      <c r="N57" s="74" t="s">
        <v>28</v>
      </c>
      <c r="O57" s="27"/>
      <c r="P57" s="140">
        <v>4</v>
      </c>
      <c r="Q57" s="140">
        <v>4</v>
      </c>
      <c r="R57" s="90">
        <f>+Q57/P57</f>
        <v>1</v>
      </c>
      <c r="S57" s="96" t="s">
        <v>28</v>
      </c>
      <c r="T57" s="145">
        <v>4</v>
      </c>
      <c r="U57" s="145">
        <v>4</v>
      </c>
      <c r="V57" s="146">
        <f>+U57/T57</f>
        <v>1</v>
      </c>
      <c r="W57" s="147" t="s">
        <v>28</v>
      </c>
      <c r="X57" s="145">
        <v>4</v>
      </c>
      <c r="Y57" s="145">
        <v>4</v>
      </c>
      <c r="Z57" s="146">
        <f>+Y57/X57</f>
        <v>1</v>
      </c>
      <c r="AA57" s="74" t="s">
        <v>28</v>
      </c>
      <c r="AC57" s="140">
        <v>4</v>
      </c>
      <c r="AD57" s="140">
        <v>4</v>
      </c>
      <c r="AE57" s="90">
        <f>+AD57/AC57</f>
        <v>1</v>
      </c>
      <c r="AF57" s="96" t="s">
        <v>28</v>
      </c>
      <c r="AG57" s="145">
        <v>4</v>
      </c>
      <c r="AH57" s="145">
        <v>4</v>
      </c>
      <c r="AI57" s="146">
        <f>+AH57/AG57</f>
        <v>1</v>
      </c>
      <c r="AJ57" s="147" t="s">
        <v>28</v>
      </c>
      <c r="AK57" s="145">
        <v>4</v>
      </c>
      <c r="AL57" s="145">
        <v>4</v>
      </c>
      <c r="AM57" s="146">
        <f>+AL57/AK57</f>
        <v>1</v>
      </c>
      <c r="AN57" s="74" t="s">
        <v>28</v>
      </c>
      <c r="AP57" s="140">
        <v>4</v>
      </c>
      <c r="AQ57" s="140">
        <v>4</v>
      </c>
      <c r="AR57" s="13">
        <f>+AQ57/AP57</f>
        <v>1</v>
      </c>
      <c r="AS57" s="96" t="s">
        <v>28</v>
      </c>
      <c r="AT57" s="140">
        <v>4</v>
      </c>
      <c r="AU57" s="140">
        <v>4</v>
      </c>
      <c r="AV57" s="146">
        <f>+AU57/AT57</f>
        <v>1</v>
      </c>
      <c r="AW57" s="148" t="s">
        <v>28</v>
      </c>
      <c r="AX57" s="142">
        <v>4</v>
      </c>
      <c r="AY57" s="142">
        <v>4</v>
      </c>
      <c r="AZ57" s="80">
        <f t="shared" si="51"/>
        <v>1</v>
      </c>
      <c r="BA57" s="239" t="str">
        <f t="shared" si="58"/>
        <v>cumple</v>
      </c>
      <c r="BD57" s="9" t="str">
        <f t="shared" si="59"/>
        <v>Conservación empresas pareto (97)</v>
      </c>
      <c r="BE57" s="9" t="str">
        <f t="shared" si="60"/>
        <v>Sobresaliente</v>
      </c>
      <c r="BF57" t="s">
        <v>83</v>
      </c>
      <c r="BG57" s="81">
        <f t="shared" si="55"/>
        <v>1</v>
      </c>
    </row>
    <row r="58" spans="1:59" ht="14.25" customHeight="1" x14ac:dyDescent="0.25">
      <c r="A58" s="649"/>
      <c r="B58" s="82" t="s">
        <v>62</v>
      </c>
      <c r="C58" s="83">
        <v>16</v>
      </c>
      <c r="D58" s="92">
        <v>28</v>
      </c>
      <c r="E58" s="84">
        <f>+D58/C58</f>
        <v>1.75</v>
      </c>
      <c r="F58" s="93">
        <f>+D58/38-1</f>
        <v>-0.26315789473684215</v>
      </c>
      <c r="G58" s="83">
        <v>34</v>
      </c>
      <c r="H58" s="83">
        <v>76</v>
      </c>
      <c r="I58" s="84">
        <f>+H58/G58</f>
        <v>2.2352941176470589</v>
      </c>
      <c r="J58" s="93">
        <f>+H58/74-1</f>
        <v>2.7027027027026973E-2</v>
      </c>
      <c r="K58" s="83">
        <v>49</v>
      </c>
      <c r="L58" s="83">
        <v>121</v>
      </c>
      <c r="M58" s="84">
        <f>+L58/K58</f>
        <v>2.4693877551020407</v>
      </c>
      <c r="N58" s="93">
        <f>+L58/137-1</f>
        <v>-0.11678832116788318</v>
      </c>
      <c r="O58" s="27"/>
      <c r="P58" s="149">
        <v>65</v>
      </c>
      <c r="Q58" s="149">
        <v>161</v>
      </c>
      <c r="R58" s="150">
        <f>+Q58/P58</f>
        <v>2.476923076923077</v>
      </c>
      <c r="S58" s="103">
        <f>+Q58/170-1</f>
        <v>-5.2941176470588269E-2</v>
      </c>
      <c r="T58" s="145">
        <v>80</v>
      </c>
      <c r="U58" s="145">
        <v>199</v>
      </c>
      <c r="V58" s="146">
        <f>+U58/T58</f>
        <v>2.4874999999999998</v>
      </c>
      <c r="W58" s="141">
        <f>+U58/207-1</f>
        <v>-3.8647342995169032E-2</v>
      </c>
      <c r="X58" s="145">
        <v>93</v>
      </c>
      <c r="Y58" s="145">
        <v>231</v>
      </c>
      <c r="Z58" s="146">
        <f>+Y58/X58</f>
        <v>2.4838709677419355</v>
      </c>
      <c r="AA58" s="93">
        <f>+Y58/258-1</f>
        <v>-0.10465116279069764</v>
      </c>
      <c r="AB58" t="s">
        <v>63</v>
      </c>
      <c r="AC58" s="149">
        <v>107</v>
      </c>
      <c r="AD58" s="149">
        <v>265</v>
      </c>
      <c r="AE58" s="150">
        <f>+AD58/AC58</f>
        <v>2.4766355140186915</v>
      </c>
      <c r="AF58" s="103">
        <f>+AD58/308-1</f>
        <v>-0.13961038961038963</v>
      </c>
      <c r="AG58" s="145">
        <v>125</v>
      </c>
      <c r="AH58" s="145">
        <v>299</v>
      </c>
      <c r="AI58" s="146">
        <f>+AH58/AG58</f>
        <v>2.3919999999999999</v>
      </c>
      <c r="AJ58" s="141">
        <f>+AH58/363-1</f>
        <v>-0.17630853994490359</v>
      </c>
      <c r="AK58" s="145">
        <v>142</v>
      </c>
      <c r="AL58" s="145">
        <v>328</v>
      </c>
      <c r="AM58" s="146">
        <f>+AL58/AK58</f>
        <v>2.3098591549295775</v>
      </c>
      <c r="AN58" s="93">
        <f>+AL58/419-1</f>
        <v>-0.21718377088305485</v>
      </c>
      <c r="AP58" s="149">
        <v>159</v>
      </c>
      <c r="AQ58" s="149">
        <v>370</v>
      </c>
      <c r="AR58" s="13">
        <f>+AQ58/AP58</f>
        <v>2.3270440251572326</v>
      </c>
      <c r="AS58" s="103">
        <f>+AQ58/464-1</f>
        <v>-0.20258620689655171</v>
      </c>
      <c r="AT58" s="149">
        <v>175</v>
      </c>
      <c r="AU58" s="149">
        <v>396</v>
      </c>
      <c r="AV58" s="146">
        <f>+AU58/AT58</f>
        <v>2.2628571428571429</v>
      </c>
      <c r="AW58" s="151">
        <f>+AU58/508-1</f>
        <v>-0.22047244094488194</v>
      </c>
      <c r="AX58" s="142">
        <v>188</v>
      </c>
      <c r="AY58" s="142">
        <v>416</v>
      </c>
      <c r="AZ58" s="80">
        <f t="shared" si="51"/>
        <v>2.2127659574468086</v>
      </c>
      <c r="BA58" s="239" t="str">
        <f t="shared" si="58"/>
        <v>cumple</v>
      </c>
      <c r="BD58" s="9" t="str">
        <f t="shared" si="59"/>
        <v>Cumplimiento de nuevas empresas afiliadas</v>
      </c>
      <c r="BE58" s="9" t="str">
        <f t="shared" si="60"/>
        <v>Sobresaliente</v>
      </c>
      <c r="BF58" t="s">
        <v>83</v>
      </c>
      <c r="BG58" s="81">
        <f t="shared" si="55"/>
        <v>2.2127659574468086</v>
      </c>
    </row>
    <row r="59" spans="1:59" ht="14.25" customHeight="1" x14ac:dyDescent="0.25">
      <c r="A59" s="649"/>
      <c r="B59" s="82" t="s">
        <v>64</v>
      </c>
      <c r="C59" s="93">
        <f>+C58/38-1</f>
        <v>-0.57894736842105265</v>
      </c>
      <c r="D59" s="93">
        <f>+D58/38-1</f>
        <v>-0.26315789473684215</v>
      </c>
      <c r="E59" s="84">
        <f>+D59/C59</f>
        <v>0.45454545454545459</v>
      </c>
      <c r="F59" s="74" t="s">
        <v>28</v>
      </c>
      <c r="G59" s="93">
        <f>+G58/74-1</f>
        <v>-0.54054054054054057</v>
      </c>
      <c r="H59" s="93">
        <f>+H58/74-1</f>
        <v>2.7027027027026973E-2</v>
      </c>
      <c r="I59" s="84">
        <f>-H59/G59</f>
        <v>4.9999999999999899E-2</v>
      </c>
      <c r="J59" s="74" t="s">
        <v>28</v>
      </c>
      <c r="K59" s="93">
        <f>+K58/137-1</f>
        <v>-0.64233576642335766</v>
      </c>
      <c r="L59" s="93">
        <f>+L58/137-1</f>
        <v>-0.11678832116788318</v>
      </c>
      <c r="M59" s="84">
        <f>+L59/K59</f>
        <v>0.18181818181818177</v>
      </c>
      <c r="N59" s="74" t="s">
        <v>28</v>
      </c>
      <c r="O59" s="27"/>
      <c r="P59" s="152">
        <f>P58/170-1</f>
        <v>-0.61764705882352944</v>
      </c>
      <c r="Q59" s="152">
        <f>Q58/170-1</f>
        <v>-5.2941176470588269E-2</v>
      </c>
      <c r="R59" s="153">
        <f>Q59/P59</f>
        <v>8.5714285714285771E-2</v>
      </c>
      <c r="S59" s="148" t="s">
        <v>28</v>
      </c>
      <c r="T59" s="152">
        <f>T58/207-1</f>
        <v>-0.61352657004830924</v>
      </c>
      <c r="U59" s="152">
        <f>U58/207-1</f>
        <v>-3.8647342995169032E-2</v>
      </c>
      <c r="V59" s="153">
        <f>+U59/T59</f>
        <v>6.2992125984251884E-2</v>
      </c>
      <c r="W59" s="147" t="s">
        <v>28</v>
      </c>
      <c r="X59" s="152">
        <f>X58/258-1</f>
        <v>-0.63953488372093026</v>
      </c>
      <c r="Y59" s="152">
        <f>Y58/258-1</f>
        <v>-0.10465116279069764</v>
      </c>
      <c r="Z59" s="153">
        <f>+Y59/X59</f>
        <v>0.16363636363636358</v>
      </c>
      <c r="AA59" s="147" t="s">
        <v>28</v>
      </c>
      <c r="AC59" s="152">
        <f>AC58/308-1</f>
        <v>-0.65259740259740262</v>
      </c>
      <c r="AD59" s="152">
        <f>AD58/308-1</f>
        <v>-0.13961038961038963</v>
      </c>
      <c r="AE59" s="153">
        <f>AD59/AC59</f>
        <v>0.21393034825870649</v>
      </c>
      <c r="AF59" s="148" t="s">
        <v>28</v>
      </c>
      <c r="AG59" s="152">
        <f>AG58/363-1</f>
        <v>-0.65564738292011016</v>
      </c>
      <c r="AH59" s="152">
        <f>AH58/363-1</f>
        <v>-0.17630853994490359</v>
      </c>
      <c r="AI59" s="153">
        <f>+AH59/AG59</f>
        <v>0.26890756302521013</v>
      </c>
      <c r="AJ59" s="147" t="s">
        <v>28</v>
      </c>
      <c r="AK59" s="152">
        <f>AK58/419-1</f>
        <v>-0.66109785202863969</v>
      </c>
      <c r="AL59" s="152">
        <f>AL58/419-1</f>
        <v>-0.21718377088305485</v>
      </c>
      <c r="AM59" s="153">
        <f>+AL59/AK59</f>
        <v>0.32851985559566776</v>
      </c>
      <c r="AN59" s="147" t="s">
        <v>28</v>
      </c>
      <c r="AP59" s="152">
        <f>AP58/464-1</f>
        <v>-0.65732758620689657</v>
      </c>
      <c r="AQ59" s="152">
        <f>AQ58/464-1</f>
        <v>-0.20258620689655171</v>
      </c>
      <c r="AR59" s="13">
        <f>AQ59/AP59</f>
        <v>0.30819672131147541</v>
      </c>
      <c r="AS59" s="148" t="s">
        <v>28</v>
      </c>
      <c r="AT59" s="152">
        <f>AT58/508-1</f>
        <v>-0.65551181102362199</v>
      </c>
      <c r="AU59" s="152">
        <f>AU58/508-1</f>
        <v>-0.22047244094488194</v>
      </c>
      <c r="AV59" s="153">
        <f>+AU59/AT59</f>
        <v>0.33633633633633642</v>
      </c>
      <c r="AW59" s="148" t="s">
        <v>28</v>
      </c>
      <c r="AX59" s="104">
        <f>AX58/556-1</f>
        <v>-0.66187050359712229</v>
      </c>
      <c r="AY59" s="104">
        <f>AY58/556-1</f>
        <v>-0.25179856115107913</v>
      </c>
      <c r="AZ59" s="80">
        <f t="shared" si="51"/>
        <v>1.6195652173913042</v>
      </c>
      <c r="BA59" s="239" t="str">
        <f t="shared" si="58"/>
        <v>cumple</v>
      </c>
      <c r="BD59" s="9" t="str">
        <f t="shared" si="59"/>
        <v>Crecimiento de nuevas empresas afiliadas</v>
      </c>
      <c r="BE59" s="9" t="str">
        <f t="shared" si="60"/>
        <v>Sobresaliente</v>
      </c>
      <c r="BF59" t="s">
        <v>83</v>
      </c>
      <c r="BG59" s="81">
        <f t="shared" si="55"/>
        <v>1.6195652173913042</v>
      </c>
    </row>
    <row r="60" spans="1:59" ht="14.25" customHeight="1" x14ac:dyDescent="0.25">
      <c r="A60" s="649"/>
      <c r="B60" s="82" t="s">
        <v>65</v>
      </c>
      <c r="C60" s="100">
        <v>1382252166</v>
      </c>
      <c r="D60" s="100">
        <v>1550322058</v>
      </c>
      <c r="E60" s="84">
        <f>+D60/C60</f>
        <v>1.1215913392173336</v>
      </c>
      <c r="F60" s="101">
        <f>D60/1470457526-1</f>
        <v>5.4312709199599185E-2</v>
      </c>
      <c r="G60" s="100">
        <v>2644132095</v>
      </c>
      <c r="H60" s="100">
        <v>2928073365</v>
      </c>
      <c r="I60" s="84">
        <f>+H60/G60</f>
        <v>1.1073854330261816</v>
      </c>
      <c r="J60" s="101">
        <f>H60/2821230862-1</f>
        <v>3.7870882684254425E-2</v>
      </c>
      <c r="K60" s="100">
        <v>3906888358</v>
      </c>
      <c r="L60" s="100">
        <v>4646307186</v>
      </c>
      <c r="M60" s="84">
        <f>+L60/K60</f>
        <v>1.1892602911178451</v>
      </c>
      <c r="N60" s="101">
        <f>L60/4297437604-1</f>
        <v>8.1180837081910484E-2</v>
      </c>
      <c r="O60" s="27"/>
      <c r="P60" s="154">
        <v>5213484187</v>
      </c>
      <c r="Q60" s="154">
        <v>6264928429</v>
      </c>
      <c r="R60" s="146">
        <f>+Q60/P60</f>
        <v>1.2016778423576717</v>
      </c>
      <c r="S60" s="151">
        <f>Q60/5802762668-1</f>
        <v>7.9645814837244089E-2</v>
      </c>
      <c r="T60" s="154">
        <v>6520687602</v>
      </c>
      <c r="U60" s="154">
        <v>7943335565</v>
      </c>
      <c r="V60" s="146">
        <f>+U60/T60</f>
        <v>1.2181745315576307</v>
      </c>
      <c r="W60" s="141">
        <f>U60/7245376884-1</f>
        <v>9.6331590774981768E-2</v>
      </c>
      <c r="X60" s="154">
        <v>7814625171.620492</v>
      </c>
      <c r="Y60" s="154">
        <v>9570125456</v>
      </c>
      <c r="Z60" s="146">
        <f>+Y60/X60</f>
        <v>1.2246429285891745</v>
      </c>
      <c r="AA60" s="141">
        <f>Y60/8712010449-1</f>
        <v>9.8497931335527422E-2</v>
      </c>
      <c r="AC60" s="154">
        <v>9237336213.9199944</v>
      </c>
      <c r="AD60" s="154">
        <v>11353260539</v>
      </c>
      <c r="AE60" s="146">
        <f>+AD60/AC60</f>
        <v>1.2290621750772113</v>
      </c>
      <c r="AF60" s="151">
        <f>AD60/10336400685-1</f>
        <v>9.8376590167953637E-2</v>
      </c>
      <c r="AG60" s="154">
        <v>10675110789.244474</v>
      </c>
      <c r="AH60" s="154">
        <v>13032232159</v>
      </c>
      <c r="AI60" s="146">
        <f>+AH60/AG60</f>
        <v>1.220805330857119</v>
      </c>
      <c r="AJ60" s="141">
        <f>AH60/11831232007-1</f>
        <v>0.10151099659692431</v>
      </c>
      <c r="AK60" s="154">
        <v>12105586129.900785</v>
      </c>
      <c r="AL60" s="154">
        <v>14684477668</v>
      </c>
      <c r="AM60" s="146">
        <f>+AL60/AK60</f>
        <v>1.2130331824024081</v>
      </c>
      <c r="AN60" s="141">
        <f>AL60/13338833873-1</f>
        <v>0.10088166685423716</v>
      </c>
      <c r="AP60" s="154">
        <v>13635277148.559841</v>
      </c>
      <c r="AQ60" s="154">
        <v>16438375104.106327</v>
      </c>
      <c r="AR60" s="13">
        <f>+AQ60/AP60</f>
        <v>1.205576896238046</v>
      </c>
      <c r="AS60" s="151">
        <f>AQ60/14866779388-1</f>
        <v>0.10571191480616648</v>
      </c>
      <c r="AT60" s="154">
        <v>15156448366.249121</v>
      </c>
      <c r="AU60" s="154">
        <v>18184149853.364853</v>
      </c>
      <c r="AV60" s="146">
        <f>+AU60/AT60</f>
        <v>1.1997632567968837</v>
      </c>
      <c r="AW60" s="151">
        <f>AU60/16442438620-1</f>
        <v>0.10592779292764387</v>
      </c>
      <c r="AX60" s="121">
        <v>16721628141.919971</v>
      </c>
      <c r="AY60" s="121">
        <v>20103576521.811356</v>
      </c>
      <c r="AZ60" s="80">
        <f t="shared" si="51"/>
        <v>1.2022499454711035</v>
      </c>
      <c r="BA60" s="239" t="str">
        <f t="shared" si="58"/>
        <v>cumple</v>
      </c>
      <c r="BD60" s="9" t="str">
        <f t="shared" si="59"/>
        <v>Cumplimiento de aportes totales región</v>
      </c>
      <c r="BE60" s="9" t="str">
        <f t="shared" si="60"/>
        <v>Sobresaliente</v>
      </c>
      <c r="BF60" t="s">
        <v>83</v>
      </c>
      <c r="BG60" s="81">
        <f t="shared" si="55"/>
        <v>1.2022499454711035</v>
      </c>
    </row>
    <row r="61" spans="1:59" ht="14.25" customHeight="1" x14ac:dyDescent="0.25">
      <c r="A61" s="649"/>
      <c r="B61" s="82" t="s">
        <v>66</v>
      </c>
      <c r="C61" s="101">
        <f>C60/1470457526-1</f>
        <v>-5.9984976403867907E-2</v>
      </c>
      <c r="D61" s="101">
        <f>D60/1470457526-1</f>
        <v>5.4312709199599185E-2</v>
      </c>
      <c r="E61" s="84">
        <f>-D61/C61</f>
        <v>0.9054385357080349</v>
      </c>
      <c r="F61" s="74" t="s">
        <v>28</v>
      </c>
      <c r="G61" s="101">
        <f>G60/2821230862-1</f>
        <v>-6.2773582050797749E-2</v>
      </c>
      <c r="H61" s="101">
        <f>H60/2821230862-1</f>
        <v>3.7870882684254425E-2</v>
      </c>
      <c r="I61" s="84">
        <f>-H61/G61</f>
        <v>0.60329331937133179</v>
      </c>
      <c r="J61" s="74" t="s">
        <v>28</v>
      </c>
      <c r="K61" s="101">
        <f>K60/4297437604-1</f>
        <v>-9.0879561726848967E-2</v>
      </c>
      <c r="L61" s="101">
        <f>L60/4297437604-1</f>
        <v>8.1180837081910484E-2</v>
      </c>
      <c r="M61" s="84">
        <f>-L61/K61</f>
        <v>0.8932793638014086</v>
      </c>
      <c r="N61" s="74" t="s">
        <v>28</v>
      </c>
      <c r="O61" s="27"/>
      <c r="P61" s="152">
        <f>P60/5802762668-1</f>
        <v>-0.10155136694623812</v>
      </c>
      <c r="Q61" s="152">
        <f>Q60/5802762668-1</f>
        <v>7.9645814837244089E-2</v>
      </c>
      <c r="R61" s="153">
        <f>-Q61/P61</f>
        <v>0.78429091830353248</v>
      </c>
      <c r="S61" s="148" t="s">
        <v>28</v>
      </c>
      <c r="T61" s="152">
        <f>T60/7245376884-1</f>
        <v>-0.10002092280393793</v>
      </c>
      <c r="U61" s="152">
        <f>U60/7245376884-1</f>
        <v>9.6331590774981768E-2</v>
      </c>
      <c r="V61" s="153">
        <f>-U61/T61</f>
        <v>0.96311439721279091</v>
      </c>
      <c r="W61" s="147" t="s">
        <v>28</v>
      </c>
      <c r="X61" s="152">
        <f>X60/8712010449-1</f>
        <v>-0.10300553272207258</v>
      </c>
      <c r="Y61" s="152">
        <f>Y60/8712010449-1</f>
        <v>9.8497931335527422E-2</v>
      </c>
      <c r="Z61" s="153">
        <f>-Y61/X61</f>
        <v>0.9562392303847651</v>
      </c>
      <c r="AA61" s="147" t="s">
        <v>28</v>
      </c>
      <c r="AC61" s="152">
        <f>AC60/10336400685-1</f>
        <v>-0.10632951494178711</v>
      </c>
      <c r="AD61" s="152">
        <f>AD60/10336400685-1</f>
        <v>9.8376590167953637E-2</v>
      </c>
      <c r="AE61" s="153">
        <f>-AD61/AC61</f>
        <v>0.9252049181434947</v>
      </c>
      <c r="AF61" s="148" t="s">
        <v>28</v>
      </c>
      <c r="AG61" s="152">
        <f>AG60/11831232007-1</f>
        <v>-9.7717737009256678E-2</v>
      </c>
      <c r="AH61" s="152">
        <f>AH60/11831232007-1</f>
        <v>0.10151099659692431</v>
      </c>
      <c r="AI61" s="153">
        <f>-AH61/AG61</f>
        <v>1.0388185369797123</v>
      </c>
      <c r="AJ61" s="147" t="s">
        <v>28</v>
      </c>
      <c r="AK61" s="152">
        <f>AK60/13338833873-1</f>
        <v>-9.2455439121669536E-2</v>
      </c>
      <c r="AL61" s="152">
        <f>AL60/13338833873-1</f>
        <v>0.10088166685423716</v>
      </c>
      <c r="AM61" s="153">
        <f>-AL61/AK61</f>
        <v>1.0911382587397469</v>
      </c>
      <c r="AN61" s="147" t="s">
        <v>28</v>
      </c>
      <c r="AP61" s="152">
        <f>AP60/14866779388-1</f>
        <v>-8.2835845430933697E-2</v>
      </c>
      <c r="AQ61" s="152">
        <f>AQ60/14866779388-1</f>
        <v>0.10571191480616648</v>
      </c>
      <c r="AR61" s="13">
        <f>-AQ61/AP61</f>
        <v>1.2761614764263647</v>
      </c>
      <c r="AS61" s="148" t="s">
        <v>28</v>
      </c>
      <c r="AT61" s="152">
        <f>AT60/16442438620-1</f>
        <v>-7.8211649954809448E-2</v>
      </c>
      <c r="AU61" s="152">
        <f>AU60/16442438620-1</f>
        <v>0.10592779292764387</v>
      </c>
      <c r="AV61" s="153">
        <f>-AU61/AT61</f>
        <v>1.3543735874239804</v>
      </c>
      <c r="AW61" s="148" t="s">
        <v>28</v>
      </c>
      <c r="AX61" s="104">
        <f>AX60/18238321762-1</f>
        <v>-8.3159713918420808E-2</v>
      </c>
      <c r="AY61" s="104">
        <f>AY60/18238321762-1</f>
        <v>0.10227118394728962</v>
      </c>
      <c r="AZ61" s="80">
        <f t="shared" si="51"/>
        <v>3.2298164475122779</v>
      </c>
      <c r="BA61" s="239" t="str">
        <f t="shared" si="58"/>
        <v>cumple</v>
      </c>
      <c r="BD61" s="9" t="str">
        <f t="shared" si="59"/>
        <v>Crecimiento de aportes totales región</v>
      </c>
      <c r="BE61" s="9" t="str">
        <f t="shared" si="60"/>
        <v>Sobresaliente</v>
      </c>
      <c r="BF61" t="s">
        <v>83</v>
      </c>
      <c r="BG61" s="81">
        <f t="shared" si="55"/>
        <v>3.2298164475122779</v>
      </c>
    </row>
    <row r="62" spans="1:59" ht="14.25" customHeight="1" x14ac:dyDescent="0.25">
      <c r="A62" s="649"/>
      <c r="B62" s="82" t="s">
        <v>67</v>
      </c>
      <c r="C62" s="100">
        <v>7451703</v>
      </c>
      <c r="D62" s="100">
        <v>2561700</v>
      </c>
      <c r="E62" s="84">
        <f>+D62/C62</f>
        <v>0.34377376554057509</v>
      </c>
      <c r="F62" s="101">
        <f>D62/884400-1</f>
        <v>1.8965400271370423</v>
      </c>
      <c r="G62" s="100">
        <v>23224316</v>
      </c>
      <c r="H62" s="100">
        <v>6574600</v>
      </c>
      <c r="I62" s="84">
        <f>+H62/G62</f>
        <v>0.2830912221483724</v>
      </c>
      <c r="J62" s="101">
        <f>H62/3867000-1</f>
        <v>0.70018101887768291</v>
      </c>
      <c r="K62" s="100">
        <v>46037071</v>
      </c>
      <c r="L62" s="100">
        <v>16450400</v>
      </c>
      <c r="M62" s="84">
        <f>+L62/K62</f>
        <v>0.35732942262986278</v>
      </c>
      <c r="N62" s="101">
        <f>L62/11117300-1</f>
        <v>0.47971180052710638</v>
      </c>
      <c r="O62" s="27"/>
      <c r="P62" s="154">
        <v>76433483</v>
      </c>
      <c r="Q62" s="154">
        <v>32377700</v>
      </c>
      <c r="R62" s="146">
        <f>+Q62/P62</f>
        <v>0.42360623550283583</v>
      </c>
      <c r="S62" s="151">
        <f>Q62/11117300-1</f>
        <v>1.9123708094591314</v>
      </c>
      <c r="T62" s="154">
        <v>113734174</v>
      </c>
      <c r="U62" s="154">
        <v>54376300</v>
      </c>
      <c r="V62" s="146">
        <f>+U62/T62</f>
        <v>0.47809992447828392</v>
      </c>
      <c r="W62" s="141">
        <f>U62/11117300-1</f>
        <v>3.8911426335531107</v>
      </c>
      <c r="X62" s="154">
        <v>156995272.09062779</v>
      </c>
      <c r="Y62" s="154">
        <v>81035900</v>
      </c>
      <c r="Z62" s="146">
        <f>Y62/X62</f>
        <v>0.51616777321307394</v>
      </c>
      <c r="AA62" s="141">
        <f>Y62/151437000-1</f>
        <v>-0.46488704873973996</v>
      </c>
      <c r="AC62" s="154">
        <v>206849490.23823136</v>
      </c>
      <c r="AD62" s="154">
        <v>107525000</v>
      </c>
      <c r="AE62" s="146">
        <f>+AD62/AC62</f>
        <v>0.51982240747203201</v>
      </c>
      <c r="AF62" s="151">
        <f>AD62/220047200-1</f>
        <v>-0.5113548365986933</v>
      </c>
      <c r="AG62" s="154">
        <v>265134301.97592521</v>
      </c>
      <c r="AH62" s="154">
        <v>145580200</v>
      </c>
      <c r="AI62" s="146">
        <f>+AH62/AG62</f>
        <v>0.54908097109675014</v>
      </c>
      <c r="AJ62" s="141">
        <f>AH62/289726700-1</f>
        <v>-0.4975257717014</v>
      </c>
      <c r="AK62" s="154">
        <v>331251532.93188441</v>
      </c>
      <c r="AL62" s="154">
        <v>184936000</v>
      </c>
      <c r="AM62" s="146">
        <f>AL62/AK62</f>
        <v>0.55829477485928669</v>
      </c>
      <c r="AN62" s="141">
        <f>AL62/151437000-1</f>
        <v>0.22120749882789537</v>
      </c>
      <c r="AP62" s="154">
        <v>405282490.09748334</v>
      </c>
      <c r="AQ62" s="154">
        <v>234160600</v>
      </c>
      <c r="AR62" s="13">
        <f>+AQ62/AP62</f>
        <v>0.57777132178515023</v>
      </c>
      <c r="AS62" s="151">
        <f>AQ62/468837500-1</f>
        <v>-0.50055061721811933</v>
      </c>
      <c r="AT62" s="154">
        <v>486697600.3593179</v>
      </c>
      <c r="AU62" s="154">
        <v>285544900</v>
      </c>
      <c r="AV62" s="146">
        <f>+AU62/AT62</f>
        <v>0.5866988039168235</v>
      </c>
      <c r="AW62" s="151">
        <f>AU62/567598300-1</f>
        <v>-0.49692432130258313</v>
      </c>
      <c r="AX62" s="121">
        <v>574189098.53868985</v>
      </c>
      <c r="AY62" s="121">
        <v>358244200</v>
      </c>
      <c r="AZ62" s="80">
        <f t="shared" si="51"/>
        <v>0.62391327336539615</v>
      </c>
      <c r="BA62" s="239" t="str">
        <f t="shared" si="58"/>
        <v>revisar</v>
      </c>
      <c r="BD62" s="9" t="str">
        <f t="shared" si="59"/>
        <v>Cumplimiento de nuevos aportes</v>
      </c>
      <c r="BE62" s="9" t="str">
        <f t="shared" si="60"/>
        <v>Incumple</v>
      </c>
      <c r="BF62" t="s">
        <v>83</v>
      </c>
      <c r="BG62" s="81">
        <f t="shared" si="55"/>
        <v>0.62391327336539615</v>
      </c>
    </row>
    <row r="63" spans="1:59" ht="14.25" customHeight="1" x14ac:dyDescent="0.25">
      <c r="A63" s="649"/>
      <c r="B63" s="82" t="s">
        <v>68</v>
      </c>
      <c r="C63" s="108">
        <v>19251</v>
      </c>
      <c r="D63" s="108">
        <v>23710</v>
      </c>
      <c r="E63" s="84">
        <f>+D63/C63</f>
        <v>1.2316243312035737</v>
      </c>
      <c r="F63" s="101">
        <f>D63/21564-1</f>
        <v>9.9517714709701277E-2</v>
      </c>
      <c r="G63" s="108">
        <v>19660</v>
      </c>
      <c r="H63" s="108">
        <v>24433</v>
      </c>
      <c r="I63" s="84">
        <f>+H63/G63</f>
        <v>1.2427772126144456</v>
      </c>
      <c r="J63" s="101">
        <f>H63/22161-1</f>
        <v>0.10252244934795351</v>
      </c>
      <c r="K63" s="108">
        <v>20055</v>
      </c>
      <c r="L63" s="108">
        <v>24801</v>
      </c>
      <c r="M63" s="84">
        <f>+L63/K63</f>
        <v>1.2366492146596859</v>
      </c>
      <c r="N63" s="101">
        <f>L63/24397-1</f>
        <v>1.6559413042587234E-2</v>
      </c>
      <c r="O63" s="27"/>
      <c r="P63" s="154">
        <v>20365</v>
      </c>
      <c r="Q63" s="154">
        <v>25083</v>
      </c>
      <c r="R63" s="146">
        <f>+Q63/P63</f>
        <v>1.2316719862509207</v>
      </c>
      <c r="S63" s="151">
        <f>Q63/22239-1</f>
        <v>0.12788344799676254</v>
      </c>
      <c r="T63" s="154">
        <v>20606.71555298334</v>
      </c>
      <c r="U63" s="154">
        <v>25347</v>
      </c>
      <c r="V63" s="146">
        <f>+U63/T63</f>
        <v>1.230035904306467</v>
      </c>
      <c r="W63" s="141">
        <f>U63/19751-1</f>
        <v>0.28332742645941988</v>
      </c>
      <c r="X63" s="154">
        <v>21385</v>
      </c>
      <c r="Y63" s="154">
        <v>25364</v>
      </c>
      <c r="Z63" s="146">
        <f>+Y63/X63</f>
        <v>1.1860649988309562</v>
      </c>
      <c r="AA63" s="141">
        <f>Y63/20226-1</f>
        <v>0.25402946702264417</v>
      </c>
      <c r="AC63" s="154">
        <v>21317.08960993497</v>
      </c>
      <c r="AD63" s="154">
        <v>25589</v>
      </c>
      <c r="AE63" s="146">
        <f>+AD63/AC63</f>
        <v>1.2003983877833904</v>
      </c>
      <c r="AF63" s="151">
        <f>AD63/20899-1</f>
        <v>0.22441265132302979</v>
      </c>
      <c r="AG63" s="154">
        <v>24204.004256403874</v>
      </c>
      <c r="AH63" s="154">
        <v>25676</v>
      </c>
      <c r="AI63" s="146">
        <f>+AH63/AG63</f>
        <v>1.0608162074342169</v>
      </c>
      <c r="AJ63" s="141">
        <f>AH63/20856-1</f>
        <v>0.23110855389336393</v>
      </c>
      <c r="AK63" s="154">
        <v>23113.858453665569</v>
      </c>
      <c r="AL63" s="154">
        <v>25596</v>
      </c>
      <c r="AM63" s="146">
        <f>+AL63/AK63</f>
        <v>1.1073875896276761</v>
      </c>
      <c r="AN63" s="141">
        <f>AL63/21448-1</f>
        <v>0.19339798582618428</v>
      </c>
      <c r="AP63" s="154">
        <v>23256.417743791695</v>
      </c>
      <c r="AQ63" s="154">
        <v>25552</v>
      </c>
      <c r="AR63" s="13">
        <f>+AQ63/AP63</f>
        <v>1.0987074742764762</v>
      </c>
      <c r="AS63" s="151">
        <f>AQ63/21772-1</f>
        <v>0.17361749035458396</v>
      </c>
      <c r="AT63" s="154">
        <v>24021</v>
      </c>
      <c r="AU63" s="154">
        <v>25802</v>
      </c>
      <c r="AV63" s="146">
        <f>+AU63/AT63</f>
        <v>1.0741434578077516</v>
      </c>
      <c r="AW63" s="151">
        <f>AU63/21888-1</f>
        <v>0.17881944444444442</v>
      </c>
      <c r="AX63" s="121">
        <v>23492.491373532877</v>
      </c>
      <c r="AY63" s="121">
        <v>25283</v>
      </c>
      <c r="AZ63" s="80">
        <f t="shared" si="51"/>
        <v>1.076216208745078</v>
      </c>
      <c r="BA63" s="239" t="str">
        <f t="shared" si="58"/>
        <v>cumple</v>
      </c>
      <c r="BD63" s="9" t="str">
        <f t="shared" si="59"/>
        <v>Cumplimiento afiliados totales región</v>
      </c>
      <c r="BE63" s="9" t="str">
        <f t="shared" si="60"/>
        <v>Sobresaliente</v>
      </c>
      <c r="BF63" t="s">
        <v>83</v>
      </c>
      <c r="BG63" s="81">
        <f t="shared" si="55"/>
        <v>1.076216208745078</v>
      </c>
    </row>
    <row r="64" spans="1:59" ht="14.25" customHeight="1" x14ac:dyDescent="0.25">
      <c r="A64" s="649"/>
      <c r="B64" s="82" t="s">
        <v>69</v>
      </c>
      <c r="C64" s="101">
        <f>C63/21564-1</f>
        <v>-0.10726210350584309</v>
      </c>
      <c r="D64" s="101">
        <f>D63/21564-1</f>
        <v>9.9517714709701277E-2</v>
      </c>
      <c r="E64" s="84">
        <f>-D64/C64</f>
        <v>0.92779939472546391</v>
      </c>
      <c r="F64" s="74" t="s">
        <v>28</v>
      </c>
      <c r="G64" s="101">
        <f>G63/22161-1</f>
        <v>-0.11285591805423945</v>
      </c>
      <c r="H64" s="101">
        <f>H63/22161-1</f>
        <v>0.10252244934795351</v>
      </c>
      <c r="I64" s="84">
        <f>-H64/G64</f>
        <v>0.90843662534985903</v>
      </c>
      <c r="J64" s="83" t="s">
        <v>28</v>
      </c>
      <c r="K64" s="101">
        <f>K63/24397-1</f>
        <v>-0.17797270156166745</v>
      </c>
      <c r="L64" s="101">
        <f>L63/24397-1</f>
        <v>1.6559413042587234E-2</v>
      </c>
      <c r="M64" s="84">
        <f>-L64/K64</f>
        <v>9.3044679871027339E-2</v>
      </c>
      <c r="N64" s="83" t="s">
        <v>28</v>
      </c>
      <c r="O64" s="27"/>
      <c r="P64" s="152">
        <f>P63/22239-1</f>
        <v>-8.4266378883942616E-2</v>
      </c>
      <c r="Q64" s="152">
        <f>Q63/22239-1</f>
        <v>0.12788344799676254</v>
      </c>
      <c r="R64" s="153">
        <f>-Q64/P64</f>
        <v>1.5176093916755615</v>
      </c>
      <c r="S64" s="155" t="s">
        <v>28</v>
      </c>
      <c r="T64" s="152">
        <f>T63/19751-1</f>
        <v>4.3325176091506323E-2</v>
      </c>
      <c r="U64" s="152">
        <f>U63/19751-1</f>
        <v>0.28332742645941988</v>
      </c>
      <c r="V64" s="153">
        <f>U64/T64</f>
        <v>6.5395562584906557</v>
      </c>
      <c r="W64" s="85" t="s">
        <v>28</v>
      </c>
      <c r="X64" s="152">
        <f>X63/20226-1</f>
        <v>5.7302481953920736E-2</v>
      </c>
      <c r="Y64" s="152">
        <f>Y63/20226-1</f>
        <v>0.25402946702264417</v>
      </c>
      <c r="Z64" s="153">
        <f>Y64/X64</f>
        <v>4.4331320103537513</v>
      </c>
      <c r="AA64" s="85" t="s">
        <v>28</v>
      </c>
      <c r="AC64" s="152">
        <f>AC63/20899-1</f>
        <v>2.0005244745440853E-2</v>
      </c>
      <c r="AD64" s="152">
        <f>AD63/20899-1</f>
        <v>0.22441265132302979</v>
      </c>
      <c r="AE64" s="153">
        <f>-AD64/AC64</f>
        <v>-11.217690869499254</v>
      </c>
      <c r="AF64" s="155" t="s">
        <v>28</v>
      </c>
      <c r="AG64" s="152">
        <f>AG63/20856-1</f>
        <v>0.16052954815898901</v>
      </c>
      <c r="AH64" s="152">
        <f>AH63/20856-1</f>
        <v>0.23110855389336393</v>
      </c>
      <c r="AI64" s="153">
        <f>AH64/AG64</f>
        <v>1.4396636416398134</v>
      </c>
      <c r="AJ64" s="85" t="s">
        <v>28</v>
      </c>
      <c r="AK64" s="152">
        <f>AK63/21448-1</f>
        <v>7.7669640696828024E-2</v>
      </c>
      <c r="AL64" s="152">
        <f>AL63/21448-1</f>
        <v>0.19339798582618428</v>
      </c>
      <c r="AM64" s="153">
        <f>AL64/AK64</f>
        <v>2.490007473847919</v>
      </c>
      <c r="AN64" s="85" t="s">
        <v>28</v>
      </c>
      <c r="AP64" s="152">
        <f>AP63/21772-1</f>
        <v>6.8180127861092066E-2</v>
      </c>
      <c r="AQ64" s="152">
        <f>AQ63/21772-1</f>
        <v>0.17361749035458396</v>
      </c>
      <c r="AR64" s="13">
        <f>-AQ64/AP64</f>
        <v>-2.5464529885937801</v>
      </c>
      <c r="AS64" s="155" t="s">
        <v>28</v>
      </c>
      <c r="AT64" s="152">
        <f>AT63/21888-1</f>
        <v>9.7450657894736947E-2</v>
      </c>
      <c r="AU64" s="152">
        <f>AU63/21888-1</f>
        <v>0.17881944444444442</v>
      </c>
      <c r="AV64" s="153">
        <f>AU64/AT64</f>
        <v>1.8349742147210479</v>
      </c>
      <c r="AW64" s="155" t="s">
        <v>28</v>
      </c>
      <c r="AX64" s="104">
        <f>AX63/21957-1</f>
        <v>6.9931747211954054E-2</v>
      </c>
      <c r="AY64" s="104">
        <f>AY63/21957-1</f>
        <v>0.15147788860044642</v>
      </c>
      <c r="AZ64" s="80">
        <f t="shared" si="51"/>
        <v>2.166081853229501</v>
      </c>
      <c r="BA64" s="239" t="str">
        <f t="shared" si="58"/>
        <v>cumple</v>
      </c>
      <c r="BD64" s="9" t="str">
        <f t="shared" si="59"/>
        <v>Crecimiento afiliados totales región</v>
      </c>
      <c r="BE64" s="9" t="str">
        <f t="shared" si="60"/>
        <v>Sobresaliente</v>
      </c>
      <c r="BF64" t="s">
        <v>83</v>
      </c>
      <c r="BG64" s="81">
        <f t="shared" si="55"/>
        <v>2.166081853229501</v>
      </c>
    </row>
    <row r="65" spans="1:59" ht="14.25" customHeight="1" x14ac:dyDescent="0.25">
      <c r="A65" s="649"/>
      <c r="B65" s="82" t="s">
        <v>70</v>
      </c>
      <c r="C65" s="83">
        <v>166</v>
      </c>
      <c r="D65" s="83">
        <v>99</v>
      </c>
      <c r="E65" s="84">
        <f>+D65/C65</f>
        <v>0.59638554216867468</v>
      </c>
      <c r="F65" s="101">
        <f>D65/159-1</f>
        <v>-0.37735849056603776</v>
      </c>
      <c r="G65" s="83">
        <v>351</v>
      </c>
      <c r="H65" s="83">
        <v>219</v>
      </c>
      <c r="I65" s="84">
        <f>+H65/G65</f>
        <v>0.62393162393162394</v>
      </c>
      <c r="J65" s="101">
        <f>H65/337-1</f>
        <v>-0.35014836795252224</v>
      </c>
      <c r="K65" s="83">
        <v>508</v>
      </c>
      <c r="L65" s="83">
        <v>407</v>
      </c>
      <c r="M65" s="84">
        <f>+L65/K65</f>
        <v>0.80118110236220474</v>
      </c>
      <c r="N65" s="101">
        <f>L65/795-1</f>
        <v>-0.48805031446540881</v>
      </c>
      <c r="O65" s="27"/>
      <c r="P65" s="154">
        <v>676</v>
      </c>
      <c r="Q65" s="154">
        <v>454</v>
      </c>
      <c r="R65" s="146">
        <f>+Q65/P65</f>
        <v>0.67159763313609466</v>
      </c>
      <c r="S65" s="151">
        <f>Q65/1269-1</f>
        <v>-0.64223798266351451</v>
      </c>
      <c r="T65" s="154">
        <v>830</v>
      </c>
      <c r="U65" s="154">
        <v>660</v>
      </c>
      <c r="V65" s="146">
        <f>+U65/T65</f>
        <v>0.79518072289156627</v>
      </c>
      <c r="W65" s="141">
        <f>U65/1366-1</f>
        <v>-0.51683748169838939</v>
      </c>
      <c r="X65" s="154">
        <v>963</v>
      </c>
      <c r="Y65" s="154">
        <v>695</v>
      </c>
      <c r="Z65" s="146">
        <f>+Y65/X65</f>
        <v>0.7217030114226376</v>
      </c>
      <c r="AA65" s="141">
        <f>Y65/1593-1</f>
        <v>-0.56371625863151287</v>
      </c>
      <c r="AC65" s="154">
        <v>1109</v>
      </c>
      <c r="AD65" s="154">
        <v>770</v>
      </c>
      <c r="AE65" s="146">
        <f>+AD65/AC65</f>
        <v>0.69431920649233547</v>
      </c>
      <c r="AF65" s="151">
        <f>AD65/1824-1</f>
        <v>-0.57785087719298245</v>
      </c>
      <c r="AG65" s="154">
        <v>1297.0631331423947</v>
      </c>
      <c r="AH65" s="154">
        <v>927</v>
      </c>
      <c r="AI65" s="146">
        <f>+AH65/AG65</f>
        <v>0.71469150291409267</v>
      </c>
      <c r="AJ65" s="141">
        <f>AH65/1896-1</f>
        <v>-0.51107594936708867</v>
      </c>
      <c r="AK65" s="154">
        <v>1471.364840713286</v>
      </c>
      <c r="AL65" s="154">
        <v>1037</v>
      </c>
      <c r="AM65" s="146">
        <f>+AL65/AK65</f>
        <v>0.70478780741918823</v>
      </c>
      <c r="AN65" s="141">
        <f>AL65/2130-1</f>
        <v>-0.51314553990610334</v>
      </c>
      <c r="AP65" s="154">
        <v>1647</v>
      </c>
      <c r="AQ65" s="154">
        <v>1116</v>
      </c>
      <c r="AR65" s="13">
        <f>+AQ65/AP65</f>
        <v>0.67759562841530052</v>
      </c>
      <c r="AS65" s="151">
        <f>AQ65/2168-1</f>
        <v>-0.48523985239852396</v>
      </c>
      <c r="AT65" s="154">
        <v>1812</v>
      </c>
      <c r="AU65" s="154">
        <v>1694</v>
      </c>
      <c r="AV65" s="146">
        <f>+AU65/AT65</f>
        <v>0.93487858719646799</v>
      </c>
      <c r="AW65" s="151">
        <f>AU65/2362-1</f>
        <v>-0.28281117696867064</v>
      </c>
      <c r="AX65" s="121">
        <v>1947</v>
      </c>
      <c r="AY65" s="121">
        <v>1679</v>
      </c>
      <c r="AZ65" s="80">
        <f t="shared" si="51"/>
        <v>0.86235233692860813</v>
      </c>
      <c r="BA65" s="239" t="str">
        <f t="shared" si="58"/>
        <v>revisar</v>
      </c>
      <c r="BD65" s="9" t="str">
        <f t="shared" si="59"/>
        <v>Cumplimiento de nuevos afiliados región</v>
      </c>
      <c r="BE65" s="9" t="str">
        <f t="shared" si="60"/>
        <v>Tolerable</v>
      </c>
      <c r="BF65" t="s">
        <v>83</v>
      </c>
      <c r="BG65" s="81">
        <f t="shared" si="55"/>
        <v>0.86235233692860813</v>
      </c>
    </row>
    <row r="66" spans="1:59" ht="14.25" customHeight="1" x14ac:dyDescent="0.25">
      <c r="A66" s="649"/>
      <c r="B66" s="82" t="s">
        <v>78</v>
      </c>
      <c r="C66" s="108">
        <v>3509</v>
      </c>
      <c r="D66" s="108">
        <v>2157</v>
      </c>
      <c r="E66" s="84">
        <f t="shared" ref="E66:E67" si="61">+D66/C66</f>
        <v>0.61470504417212879</v>
      </c>
      <c r="F66" s="84">
        <v>-0.66</v>
      </c>
      <c r="G66" s="108">
        <v>2737</v>
      </c>
      <c r="H66" s="108">
        <v>1776</v>
      </c>
      <c r="I66" s="84">
        <f t="shared" ref="I66:I67" si="62">+H66/G66</f>
        <v>0.64888564121300696</v>
      </c>
      <c r="J66" s="84">
        <v>-0.65</v>
      </c>
      <c r="K66" s="108">
        <v>3462</v>
      </c>
      <c r="L66" s="108">
        <v>6001</v>
      </c>
      <c r="M66" s="84">
        <f t="shared" ref="M66:M67" si="63">+L66/K66</f>
        <v>1.7333911034084344</v>
      </c>
      <c r="N66" s="84">
        <v>1.1399999999999999</v>
      </c>
      <c r="O66" s="27"/>
      <c r="P66" s="143"/>
      <c r="Q66" s="143"/>
      <c r="R66" s="143"/>
      <c r="S66" s="143"/>
      <c r="T66" s="143"/>
      <c r="U66" s="143"/>
      <c r="V66" s="143"/>
      <c r="W66" s="143"/>
      <c r="X66" s="143"/>
      <c r="Y66" s="143"/>
      <c r="Z66" s="143"/>
      <c r="AA66" s="143"/>
      <c r="AC66" s="143"/>
      <c r="AD66" s="143"/>
      <c r="AE66" s="143"/>
      <c r="AF66" s="143"/>
      <c r="AG66" s="143"/>
      <c r="AH66" s="143"/>
      <c r="AI66" s="143"/>
      <c r="AJ66" s="143"/>
      <c r="AK66" s="143"/>
      <c r="AL66" s="143"/>
      <c r="AM66" s="143"/>
      <c r="AN66" s="143"/>
      <c r="AP66" s="143"/>
      <c r="AQ66" s="143"/>
      <c r="AR66" s="143"/>
      <c r="AS66" s="143"/>
      <c r="AT66" s="143"/>
      <c r="AU66" s="143"/>
      <c r="AV66" s="143"/>
      <c r="AW66" s="143"/>
      <c r="AX66" s="144">
        <v>0.32918285897780364</v>
      </c>
      <c r="AY66" s="144">
        <v>-0.11695162949807658</v>
      </c>
      <c r="AZ66" s="80">
        <f t="shared" si="51"/>
        <v>-0.35527861280882328</v>
      </c>
      <c r="BA66" s="239" t="str">
        <f t="shared" si="58"/>
        <v>revisar</v>
      </c>
      <c r="BD66" s="9" t="str">
        <f t="shared" si="59"/>
        <v xml:space="preserve">Cumplimiento cobertura región </v>
      </c>
      <c r="BE66" s="9" t="str">
        <f t="shared" si="60"/>
        <v>Incumple</v>
      </c>
      <c r="BF66" t="s">
        <v>83</v>
      </c>
      <c r="BG66" s="81">
        <f t="shared" si="55"/>
        <v>-0.35527861280882328</v>
      </c>
    </row>
    <row r="67" spans="1:59" ht="14.25" customHeight="1" thickBot="1" x14ac:dyDescent="0.3">
      <c r="A67" s="650"/>
      <c r="B67" s="82" t="s">
        <v>79</v>
      </c>
      <c r="C67" s="109">
        <v>1372</v>
      </c>
      <c r="D67" s="75">
        <v>641</v>
      </c>
      <c r="E67" s="84">
        <f t="shared" si="61"/>
        <v>0.46720116618075802</v>
      </c>
      <c r="F67" s="115">
        <v>-0.67</v>
      </c>
      <c r="G67" s="75">
        <v>885</v>
      </c>
      <c r="H67" s="109">
        <v>1347</v>
      </c>
      <c r="I67" s="84">
        <f t="shared" si="62"/>
        <v>1.5220338983050847</v>
      </c>
      <c r="J67" s="115">
        <v>-0.45</v>
      </c>
      <c r="K67" s="109">
        <v>1428</v>
      </c>
      <c r="L67" s="109">
        <v>1731</v>
      </c>
      <c r="M67" s="84">
        <f t="shared" si="63"/>
        <v>1.2121848739495797</v>
      </c>
      <c r="N67" s="20">
        <v>0.13</v>
      </c>
      <c r="O67" s="27"/>
      <c r="P67" s="143"/>
      <c r="Q67" s="143"/>
      <c r="R67" s="143"/>
      <c r="S67" s="143"/>
      <c r="T67" s="143"/>
      <c r="U67" s="143"/>
      <c r="V67" s="143"/>
      <c r="W67" s="143"/>
      <c r="X67" s="143"/>
      <c r="Y67" s="143"/>
      <c r="Z67" s="143"/>
      <c r="AA67" s="143"/>
      <c r="AC67" s="143"/>
      <c r="AD67" s="143"/>
      <c r="AE67" s="143"/>
      <c r="AF67" s="143"/>
      <c r="AG67" s="143"/>
      <c r="AH67" s="143"/>
      <c r="AI67" s="143"/>
      <c r="AJ67" s="143"/>
      <c r="AK67" s="143"/>
      <c r="AL67" s="143"/>
      <c r="AM67" s="143"/>
      <c r="AN67" s="143"/>
      <c r="AP67" s="143"/>
      <c r="AQ67" s="143"/>
      <c r="AR67" s="143"/>
      <c r="AS67" s="143"/>
      <c r="AT67" s="143"/>
      <c r="AU67" s="143"/>
      <c r="AV67" s="143"/>
      <c r="AW67" s="143"/>
      <c r="AX67" s="144">
        <v>0.13606377943438647</v>
      </c>
      <c r="AY67" s="144">
        <v>0.21439438354842777</v>
      </c>
      <c r="AZ67" s="80">
        <f t="shared" si="51"/>
        <v>1.5756903449225028</v>
      </c>
      <c r="BA67" s="239" t="str">
        <f t="shared" si="58"/>
        <v>cumple</v>
      </c>
      <c r="BD67" s="9" t="str">
        <f t="shared" si="59"/>
        <v xml:space="preserve">Penetración de Uso en Población A y B región </v>
      </c>
      <c r="BE67" s="9" t="str">
        <f t="shared" si="60"/>
        <v>Sobresaliente</v>
      </c>
      <c r="BF67" t="s">
        <v>83</v>
      </c>
      <c r="BG67" s="81">
        <f t="shared" si="55"/>
        <v>1.5756903449225028</v>
      </c>
    </row>
    <row r="68" spans="1:59" ht="14.25" customHeight="1" thickBot="1" x14ac:dyDescent="0.3">
      <c r="B68"/>
      <c r="C68" s="18"/>
      <c r="D68" s="18"/>
      <c r="E68" s="18"/>
      <c r="F68" s="18"/>
      <c r="G68" s="18"/>
      <c r="H68" s="18"/>
      <c r="I68" s="18"/>
      <c r="J68" s="18"/>
      <c r="K68" s="18"/>
      <c r="L68" s="18"/>
      <c r="M68" s="18"/>
      <c r="N68" s="27"/>
      <c r="O68" s="27"/>
      <c r="P68" s="143"/>
      <c r="Q68" s="143"/>
      <c r="R68" s="143"/>
      <c r="S68" s="143"/>
      <c r="T68" s="143"/>
      <c r="U68" s="143"/>
      <c r="V68" s="143"/>
      <c r="W68" s="143"/>
      <c r="X68" s="143"/>
      <c r="Y68" s="143"/>
      <c r="Z68" s="143"/>
      <c r="AA68" s="143"/>
      <c r="AC68" s="143"/>
      <c r="AD68" s="143"/>
      <c r="AE68" s="143"/>
      <c r="AF68" s="143"/>
      <c r="AG68" s="143"/>
      <c r="AH68" s="143"/>
      <c r="AI68" s="143"/>
      <c r="AJ68" s="143"/>
      <c r="AK68" s="143"/>
      <c r="AL68" s="143"/>
      <c r="AM68" s="143"/>
      <c r="AN68" s="143"/>
      <c r="AP68" s="143"/>
      <c r="AQ68" s="143"/>
      <c r="AR68" s="143"/>
      <c r="AS68" s="143"/>
      <c r="AT68" s="143"/>
      <c r="AU68" s="143"/>
      <c r="AV68" s="143"/>
      <c r="AW68" s="143"/>
      <c r="AX68" s="143"/>
      <c r="AY68" s="143"/>
      <c r="AZ68" s="143"/>
    </row>
    <row r="69" spans="1:59" ht="14.25" customHeight="1" x14ac:dyDescent="0.25">
      <c r="A69" s="648" t="s">
        <v>84</v>
      </c>
      <c r="B69" s="138" t="s">
        <v>59</v>
      </c>
      <c r="C69" s="74">
        <v>13.713547239923599</v>
      </c>
      <c r="D69" s="74">
        <v>9.6769044767061185</v>
      </c>
      <c r="E69" s="93">
        <f>+D69/C69</f>
        <v>0.70564561505532319</v>
      </c>
      <c r="F69" s="74" t="s">
        <v>28</v>
      </c>
      <c r="G69" s="74">
        <v>4.5234187504317127</v>
      </c>
      <c r="H69" s="74">
        <v>1.139771665604624</v>
      </c>
      <c r="I69" s="93">
        <f>+H69/G69</f>
        <v>0.25197129173500571</v>
      </c>
      <c r="J69" s="74" t="s">
        <v>28</v>
      </c>
      <c r="K69" s="74">
        <v>0.87310980335239941</v>
      </c>
      <c r="L69" s="74">
        <v>-0.24700073967412772</v>
      </c>
      <c r="M69" s="93">
        <f>+L69/K69</f>
        <v>-0.28289768219958328</v>
      </c>
      <c r="N69" s="74" t="s">
        <v>28</v>
      </c>
      <c r="O69" s="27"/>
      <c r="P69" s="143"/>
      <c r="Q69" s="143"/>
      <c r="R69" s="143"/>
      <c r="S69" s="143"/>
      <c r="T69" s="143"/>
      <c r="U69" s="143"/>
      <c r="V69" s="143"/>
      <c r="W69" s="143"/>
      <c r="X69" s="143"/>
      <c r="Y69" s="143"/>
      <c r="Z69" s="143"/>
      <c r="AA69" s="143"/>
      <c r="AC69" s="143"/>
      <c r="AD69" s="143"/>
      <c r="AE69" s="143"/>
      <c r="AF69" s="143"/>
      <c r="AG69" s="143"/>
      <c r="AH69" s="143"/>
      <c r="AI69" s="143"/>
      <c r="AJ69" s="143"/>
      <c r="AK69" s="143"/>
      <c r="AL69" s="143"/>
      <c r="AM69" s="143"/>
      <c r="AN69" s="143"/>
      <c r="AP69" s="143"/>
      <c r="AQ69" s="143"/>
      <c r="AR69" s="13" t="e">
        <f t="shared" ref="AR69" si="64">+IF(AP69&lt;0,1-(AQ69-AP69)/AP69,AQ69/AP69)</f>
        <v>#DIV/0!</v>
      </c>
      <c r="AS69" s="143"/>
      <c r="AT69" s="143"/>
      <c r="AU69" s="143"/>
      <c r="AV69" s="143"/>
      <c r="AW69" s="143"/>
      <c r="AX69" s="139">
        <v>-1.9806643807971258E-2</v>
      </c>
      <c r="AY69" s="139">
        <v>0.39504310144622568</v>
      </c>
      <c r="AZ69" s="80">
        <f>+IF(AX69&lt;0,1-(AY69-AX69)/AX69,AY69/AX69)</f>
        <v>21.944979335026922</v>
      </c>
      <c r="BA69" s="239" t="str">
        <f t="shared" ref="BA69:BA80" si="65">+IF(AY69&gt;=AX69,"cumple","revisar")</f>
        <v>cumple</v>
      </c>
      <c r="BD69" s="9" t="str">
        <f t="shared" ref="BD69:BD80" si="66">+B69</f>
        <v>Crecimiento de ingresos (negocios)</v>
      </c>
      <c r="BE69" s="9" t="str">
        <f t="shared" ref="BE69:BE80" si="67">+IF(AZ69&lt;79.99999%,"Incumple",IF(AND(AZ69&gt;=80%,AZ69&lt;94.999999%),"Tolerable",IF(AND(AZ69&gt;=95%,AZ69&lt;100%),"Satisfactorio","Sobresaliente")))</f>
        <v>Sobresaliente</v>
      </c>
      <c r="BF69" t="s">
        <v>85</v>
      </c>
      <c r="BG69" s="81">
        <f t="shared" ref="BG69:BG80" si="68">+AZ69</f>
        <v>21.944979335026922</v>
      </c>
    </row>
    <row r="70" spans="1:59" ht="14.25" customHeight="1" x14ac:dyDescent="0.25">
      <c r="A70" s="649"/>
      <c r="B70" s="82" t="s">
        <v>61</v>
      </c>
      <c r="C70" s="133">
        <v>2</v>
      </c>
      <c r="D70" s="133">
        <v>2</v>
      </c>
      <c r="E70" s="84">
        <f>+D70/C70</f>
        <v>1</v>
      </c>
      <c r="F70" s="74" t="s">
        <v>28</v>
      </c>
      <c r="G70" s="133">
        <v>2</v>
      </c>
      <c r="H70" s="133">
        <v>2</v>
      </c>
      <c r="I70" s="84">
        <f>+H70/G70</f>
        <v>1</v>
      </c>
      <c r="J70" s="74" t="s">
        <v>28</v>
      </c>
      <c r="K70" s="133">
        <v>2</v>
      </c>
      <c r="L70" s="133">
        <v>2</v>
      </c>
      <c r="M70" s="84">
        <f>+L70/K70</f>
        <v>1</v>
      </c>
      <c r="N70" s="74" t="s">
        <v>28</v>
      </c>
      <c r="O70" s="27"/>
      <c r="P70" s="118">
        <v>2</v>
      </c>
      <c r="Q70" s="118">
        <v>2</v>
      </c>
      <c r="R70" s="74">
        <f>+Q70/P70</f>
        <v>1</v>
      </c>
      <c r="S70" s="156" t="s">
        <v>28</v>
      </c>
      <c r="T70" s="118">
        <v>2</v>
      </c>
      <c r="U70" s="118">
        <v>2</v>
      </c>
      <c r="V70" s="74">
        <f>+U70/T70</f>
        <v>1</v>
      </c>
      <c r="W70" s="156" t="s">
        <v>28</v>
      </c>
      <c r="X70" s="118">
        <v>2</v>
      </c>
      <c r="Y70" s="118">
        <v>2</v>
      </c>
      <c r="Z70" s="74">
        <f>+Y70/X70</f>
        <v>1</v>
      </c>
      <c r="AA70" s="93" t="s">
        <v>28</v>
      </c>
      <c r="AC70" s="118">
        <v>2</v>
      </c>
      <c r="AD70" s="118">
        <v>2</v>
      </c>
      <c r="AE70" s="74">
        <f>+AD70/AC70</f>
        <v>1</v>
      </c>
      <c r="AF70" s="156" t="s">
        <v>28</v>
      </c>
      <c r="AG70" s="118">
        <v>2</v>
      </c>
      <c r="AH70" s="118">
        <v>2</v>
      </c>
      <c r="AI70" s="74">
        <f>+AH70/AG70</f>
        <v>1</v>
      </c>
      <c r="AJ70" s="156" t="s">
        <v>28</v>
      </c>
      <c r="AK70" s="118">
        <v>2</v>
      </c>
      <c r="AL70" s="118">
        <v>2</v>
      </c>
      <c r="AM70" s="74">
        <f>+AL70/AK70</f>
        <v>1</v>
      </c>
      <c r="AN70" s="93" t="s">
        <v>28</v>
      </c>
      <c r="AP70" s="118">
        <v>2</v>
      </c>
      <c r="AQ70" s="118">
        <v>2</v>
      </c>
      <c r="AR70" s="13">
        <f>+AQ70/AP70</f>
        <v>1</v>
      </c>
      <c r="AS70" s="156" t="s">
        <v>28</v>
      </c>
      <c r="AT70" s="118">
        <v>2</v>
      </c>
      <c r="AU70" s="118">
        <v>2</v>
      </c>
      <c r="AV70" s="74">
        <f>+AU70/AT70</f>
        <v>1</v>
      </c>
      <c r="AW70" s="157" t="s">
        <v>28</v>
      </c>
      <c r="AX70" s="121">
        <v>2</v>
      </c>
      <c r="AY70" s="121">
        <v>2</v>
      </c>
      <c r="AZ70" s="80">
        <f t="shared" si="51"/>
        <v>1</v>
      </c>
      <c r="BA70" s="239" t="str">
        <f t="shared" si="65"/>
        <v>cumple</v>
      </c>
      <c r="BD70" s="9" t="str">
        <f t="shared" si="66"/>
        <v>Conservación empresas pareto (97)</v>
      </c>
      <c r="BE70" s="9" t="str">
        <f t="shared" si="67"/>
        <v>Sobresaliente</v>
      </c>
      <c r="BF70" t="s">
        <v>85</v>
      </c>
      <c r="BG70" s="81">
        <f t="shared" si="68"/>
        <v>1</v>
      </c>
    </row>
    <row r="71" spans="1:59" ht="14.25" customHeight="1" x14ac:dyDescent="0.25">
      <c r="A71" s="649"/>
      <c r="B71" s="82" t="s">
        <v>62</v>
      </c>
      <c r="C71" s="132">
        <v>4</v>
      </c>
      <c r="D71" s="131">
        <v>11</v>
      </c>
      <c r="E71" s="84">
        <f>+D71/C71</f>
        <v>2.75</v>
      </c>
      <c r="F71" s="93">
        <f>D71/4-1</f>
        <v>1.75</v>
      </c>
      <c r="G71" s="132">
        <v>8</v>
      </c>
      <c r="H71" s="132">
        <v>28</v>
      </c>
      <c r="I71" s="84">
        <f>+H71/G71</f>
        <v>3.5</v>
      </c>
      <c r="J71" s="101">
        <f>H71/12-1</f>
        <v>1.3333333333333335</v>
      </c>
      <c r="K71" s="133">
        <v>12</v>
      </c>
      <c r="L71" s="133">
        <v>41</v>
      </c>
      <c r="M71" s="84">
        <f>+L71/K71</f>
        <v>3.4166666666666665</v>
      </c>
      <c r="N71" s="101">
        <f>L71/16-1</f>
        <v>1.5625</v>
      </c>
      <c r="O71" s="27"/>
      <c r="P71" s="140">
        <v>16</v>
      </c>
      <c r="Q71" s="140">
        <v>56</v>
      </c>
      <c r="R71" s="74">
        <f>+Q71/P71</f>
        <v>3.5</v>
      </c>
      <c r="S71" s="147">
        <f>Q71/25-1</f>
        <v>1.2400000000000002</v>
      </c>
      <c r="T71" s="140">
        <v>20</v>
      </c>
      <c r="U71" s="140">
        <v>61</v>
      </c>
      <c r="V71" s="74">
        <f>+U71/T71</f>
        <v>3.05</v>
      </c>
      <c r="W71" s="147">
        <f>U71/31-1</f>
        <v>0.967741935483871</v>
      </c>
      <c r="X71" s="140">
        <v>23</v>
      </c>
      <c r="Y71" s="140">
        <v>68</v>
      </c>
      <c r="Z71" s="74">
        <f>+Y71/X71</f>
        <v>2.9565217391304346</v>
      </c>
      <c r="AA71" s="147">
        <f>Y71/38-1</f>
        <v>0.78947368421052633</v>
      </c>
      <c r="AB71" t="s">
        <v>63</v>
      </c>
      <c r="AC71" s="140">
        <v>26</v>
      </c>
      <c r="AD71" s="140">
        <v>72</v>
      </c>
      <c r="AE71" s="74">
        <f>+AD71/AC71</f>
        <v>2.7692307692307692</v>
      </c>
      <c r="AF71" s="147">
        <f>AD71/44-1</f>
        <v>0.63636363636363646</v>
      </c>
      <c r="AG71" s="140">
        <v>30</v>
      </c>
      <c r="AH71" s="140">
        <v>82</v>
      </c>
      <c r="AI71" s="74">
        <f>+AH71/AG71</f>
        <v>2.7333333333333334</v>
      </c>
      <c r="AJ71" s="159">
        <f>AH71/52-1</f>
        <v>0.57692307692307687</v>
      </c>
      <c r="AK71" s="140">
        <v>34</v>
      </c>
      <c r="AL71" s="140">
        <v>91</v>
      </c>
      <c r="AM71" s="74">
        <f>+AL71/AK71</f>
        <v>2.6764705882352939</v>
      </c>
      <c r="AN71" s="147">
        <f>AL71/60-1</f>
        <v>0.51666666666666661</v>
      </c>
      <c r="AP71" s="140">
        <v>38</v>
      </c>
      <c r="AQ71" s="140">
        <v>98</v>
      </c>
      <c r="AR71" s="13">
        <f>+AQ71/AP71</f>
        <v>2.5789473684210527</v>
      </c>
      <c r="AS71" s="147">
        <f>AQ71/73-1</f>
        <v>0.34246575342465757</v>
      </c>
      <c r="AT71" s="140">
        <v>42</v>
      </c>
      <c r="AU71" s="140">
        <v>104</v>
      </c>
      <c r="AV71" s="74">
        <f>+AU71/AT71</f>
        <v>2.4761904761904763</v>
      </c>
      <c r="AW71" s="160">
        <f>AU71/82-1</f>
        <v>0.26829268292682928</v>
      </c>
      <c r="AX71" s="142">
        <v>45</v>
      </c>
      <c r="AY71" s="142">
        <v>108</v>
      </c>
      <c r="AZ71" s="80">
        <f t="shared" si="51"/>
        <v>2.4</v>
      </c>
      <c r="BA71" s="239" t="str">
        <f t="shared" si="65"/>
        <v>cumple</v>
      </c>
      <c r="BD71" s="9" t="str">
        <f t="shared" si="66"/>
        <v>Cumplimiento de nuevas empresas afiliadas</v>
      </c>
      <c r="BE71" s="9" t="str">
        <f t="shared" si="67"/>
        <v>Sobresaliente</v>
      </c>
      <c r="BF71" t="s">
        <v>85</v>
      </c>
      <c r="BG71" s="81">
        <f t="shared" si="68"/>
        <v>2.4</v>
      </c>
    </row>
    <row r="72" spans="1:59" ht="14.25" customHeight="1" x14ac:dyDescent="0.25">
      <c r="A72" s="649"/>
      <c r="B72" s="82" t="s">
        <v>64</v>
      </c>
      <c r="C72" s="101">
        <f>C71/4-1</f>
        <v>0</v>
      </c>
      <c r="D72" s="93">
        <f>D71/4-1</f>
        <v>1.75</v>
      </c>
      <c r="E72" s="84"/>
      <c r="F72" s="133" t="s">
        <v>28</v>
      </c>
      <c r="G72" s="101">
        <f>G71/12-1</f>
        <v>-0.33333333333333337</v>
      </c>
      <c r="H72" s="101">
        <f>H71/12-1</f>
        <v>1.3333333333333335</v>
      </c>
      <c r="I72" s="84">
        <f>-H72/G72</f>
        <v>4</v>
      </c>
      <c r="J72" s="133" t="s">
        <v>28</v>
      </c>
      <c r="K72" s="101">
        <f>K71/16-1</f>
        <v>-0.25</v>
      </c>
      <c r="L72" s="93">
        <f>L71/16-1</f>
        <v>1.5625</v>
      </c>
      <c r="M72" s="84">
        <f>-L72/K72</f>
        <v>6.25</v>
      </c>
      <c r="N72" s="133" t="s">
        <v>28</v>
      </c>
      <c r="O72" s="27"/>
      <c r="P72" s="101">
        <f>P71/25-1</f>
        <v>-0.36</v>
      </c>
      <c r="Q72" s="101">
        <f>Q71/25-1</f>
        <v>1.2400000000000002</v>
      </c>
      <c r="R72" s="84">
        <f>-Q72/P72</f>
        <v>3.4444444444444451</v>
      </c>
      <c r="S72" s="141" t="s">
        <v>28</v>
      </c>
      <c r="T72" s="101">
        <f>T71/31-1</f>
        <v>-0.35483870967741937</v>
      </c>
      <c r="U72" s="101">
        <f>U71/31-1</f>
        <v>0.967741935483871</v>
      </c>
      <c r="V72" s="84">
        <f>-U72/T72</f>
        <v>2.7272727272727271</v>
      </c>
      <c r="W72" s="141" t="s">
        <v>28</v>
      </c>
      <c r="X72" s="101">
        <f>X71/38-1</f>
        <v>-0.39473684210526316</v>
      </c>
      <c r="Y72" s="101">
        <f>Y71/38-1</f>
        <v>0.78947368421052633</v>
      </c>
      <c r="Z72" s="84">
        <f>-Y72/X72</f>
        <v>2</v>
      </c>
      <c r="AA72" s="141" t="s">
        <v>28</v>
      </c>
      <c r="AC72" s="101">
        <f>AC71/44-1</f>
        <v>-0.40909090909090906</v>
      </c>
      <c r="AD72" s="101">
        <f>AD71/44-1</f>
        <v>0.63636363636363646</v>
      </c>
      <c r="AE72" s="84">
        <f>-AD72/AC72</f>
        <v>1.555555555555556</v>
      </c>
      <c r="AF72" s="141" t="s">
        <v>28</v>
      </c>
      <c r="AG72" s="101">
        <f>AG71/52-1</f>
        <v>-0.42307692307692313</v>
      </c>
      <c r="AH72" s="101">
        <f>AH71/52-1</f>
        <v>0.57692307692307687</v>
      </c>
      <c r="AI72" s="84">
        <f>-AH72/AG72</f>
        <v>1.3636363636363633</v>
      </c>
      <c r="AJ72" s="141" t="s">
        <v>28</v>
      </c>
      <c r="AK72" s="101">
        <f>AK71/60-1</f>
        <v>-0.43333333333333335</v>
      </c>
      <c r="AL72" s="101">
        <f>AL71/60-1</f>
        <v>0.51666666666666661</v>
      </c>
      <c r="AM72" s="84">
        <f>-AL72/AK72</f>
        <v>1.1923076923076921</v>
      </c>
      <c r="AN72" s="141" t="s">
        <v>28</v>
      </c>
      <c r="AP72" s="101">
        <f>AP71/73-1</f>
        <v>-0.47945205479452058</v>
      </c>
      <c r="AQ72" s="101">
        <f>AQ71/73-1</f>
        <v>0.34246575342465757</v>
      </c>
      <c r="AR72" s="13">
        <f>-AQ72/AP72</f>
        <v>0.7142857142857143</v>
      </c>
      <c r="AS72" s="141" t="s">
        <v>28</v>
      </c>
      <c r="AT72" s="101">
        <f>AT71/82-1</f>
        <v>-0.48780487804878048</v>
      </c>
      <c r="AU72" s="101">
        <f>AU71/82-1</f>
        <v>0.26829268292682928</v>
      </c>
      <c r="AV72" s="84">
        <f>-AU72/AT72</f>
        <v>0.55000000000000004</v>
      </c>
      <c r="AW72" s="151" t="s">
        <v>28</v>
      </c>
      <c r="AX72" s="104">
        <f>AX71/95-1</f>
        <v>-0.52631578947368429</v>
      </c>
      <c r="AY72" s="104">
        <f>AY71/95-1</f>
        <v>0.13684210526315788</v>
      </c>
      <c r="AZ72" s="80">
        <f t="shared" si="51"/>
        <v>2.2599999999999998</v>
      </c>
      <c r="BA72" s="239" t="str">
        <f t="shared" si="65"/>
        <v>cumple</v>
      </c>
      <c r="BD72" s="9" t="str">
        <f t="shared" si="66"/>
        <v>Crecimiento de nuevas empresas afiliadas</v>
      </c>
      <c r="BE72" s="9" t="str">
        <f t="shared" si="67"/>
        <v>Sobresaliente</v>
      </c>
      <c r="BF72" t="s">
        <v>85</v>
      </c>
      <c r="BG72" s="81">
        <f t="shared" si="68"/>
        <v>2.2599999999999998</v>
      </c>
    </row>
    <row r="73" spans="1:59" ht="14.25" customHeight="1" x14ac:dyDescent="0.25">
      <c r="A73" s="649"/>
      <c r="B73" s="82" t="s">
        <v>65</v>
      </c>
      <c r="C73" s="134">
        <v>257865865.89641449</v>
      </c>
      <c r="D73" s="134">
        <v>391759144</v>
      </c>
      <c r="E73" s="84">
        <f>+D73/C73</f>
        <v>1.5192361448776275</v>
      </c>
      <c r="F73" s="101">
        <f>D73/526689870-1</f>
        <v>-0.25618629422282224</v>
      </c>
      <c r="G73" s="134">
        <v>486002639</v>
      </c>
      <c r="H73" s="134">
        <v>757163581</v>
      </c>
      <c r="I73" s="84">
        <f t="shared" ref="I73:I80" si="69">+H73/G73</f>
        <v>1.5579412954586858</v>
      </c>
      <c r="J73" s="101">
        <f>H73/1050885432-1</f>
        <v>-0.27949940312808519</v>
      </c>
      <c r="K73" s="134">
        <v>736307694</v>
      </c>
      <c r="L73" s="134">
        <v>1161822160</v>
      </c>
      <c r="M73" s="84">
        <f>+L73/K73</f>
        <v>1.57790305529525</v>
      </c>
      <c r="N73" s="101">
        <f>L73/1647159389-1</f>
        <v>-0.29465104120533903</v>
      </c>
      <c r="O73" s="27"/>
      <c r="P73" s="118">
        <v>1007293497</v>
      </c>
      <c r="Q73" s="118">
        <v>1576424372</v>
      </c>
      <c r="R73" s="74">
        <f>+Q73/P73</f>
        <v>1.5650099764319236</v>
      </c>
      <c r="S73" s="159">
        <f>Q73/2018223968-1</f>
        <v>-0.21890513788606436</v>
      </c>
      <c r="T73" s="118">
        <v>1282967871</v>
      </c>
      <c r="U73" s="118">
        <v>1997450012</v>
      </c>
      <c r="V73" s="74">
        <f>+U73/T73</f>
        <v>1.5568979217251186</v>
      </c>
      <c r="W73" s="159">
        <f>U73/2355968143-1</f>
        <v>-0.15217443922797558</v>
      </c>
      <c r="X73" s="118">
        <v>1570070768.8417344</v>
      </c>
      <c r="Y73" s="118">
        <v>2397334485</v>
      </c>
      <c r="Z73" s="74">
        <f>+Y73/X73</f>
        <v>1.5268958142368008</v>
      </c>
      <c r="AA73" s="159">
        <f>Y73/2677222250-1</f>
        <v>-0.10454409042805468</v>
      </c>
      <c r="AC73" s="118">
        <v>1866774940.8719697</v>
      </c>
      <c r="AD73" s="118">
        <v>2833947187</v>
      </c>
      <c r="AE73" s="74">
        <f>+AD73/AC73</f>
        <v>1.518097937224433</v>
      </c>
      <c r="AF73" s="159">
        <f>AD73/3020474973-1</f>
        <v>-6.1754455066627023E-2</v>
      </c>
      <c r="AG73" s="118">
        <v>2180257073.3627186</v>
      </c>
      <c r="AH73" s="118">
        <v>3255387830</v>
      </c>
      <c r="AI73" s="74">
        <f>+AH73/AG73</f>
        <v>1.493121095568356</v>
      </c>
      <c r="AJ73" s="159">
        <f>AH73/3384169443-1</f>
        <v>-3.8054126771453145E-2</v>
      </c>
      <c r="AK73" s="118">
        <v>2499174389.8241596</v>
      </c>
      <c r="AL73" s="118">
        <v>3658048117</v>
      </c>
      <c r="AM73" s="74">
        <f>+AL73/AK73</f>
        <v>1.4637026259129433</v>
      </c>
      <c r="AN73" s="159">
        <f>AL73/3729732994-1</f>
        <v>-1.9219841504825919E-2</v>
      </c>
      <c r="AP73" s="118">
        <v>2856239292.2750001</v>
      </c>
      <c r="AQ73" s="118">
        <v>4081089564.5340133</v>
      </c>
      <c r="AR73" s="13">
        <f>+AQ73/AP73</f>
        <v>1.4288332128094974</v>
      </c>
      <c r="AS73" s="159">
        <f>AQ73/4079535757-1</f>
        <v>3.8087851818602303E-4</v>
      </c>
      <c r="AT73" s="118">
        <v>3375604664.6863885</v>
      </c>
      <c r="AU73" s="118">
        <v>4484229254.4099197</v>
      </c>
      <c r="AV73" s="74">
        <f>+AU73/AT73</f>
        <v>1.3284225197699591</v>
      </c>
      <c r="AW73" s="160">
        <f>AU73/4454304517-1</f>
        <v>6.7181615661235927E-3</v>
      </c>
      <c r="AX73" s="161">
        <v>3902626605.2273273</v>
      </c>
      <c r="AY73" s="121">
        <v>4910309356.6934681</v>
      </c>
      <c r="AZ73" s="80">
        <f t="shared" si="51"/>
        <v>1.2582062937090657</v>
      </c>
      <c r="BA73" s="239" t="str">
        <f t="shared" si="65"/>
        <v>cumple</v>
      </c>
      <c r="BD73" s="9" t="str">
        <f t="shared" si="66"/>
        <v>Cumplimiento de aportes totales región</v>
      </c>
      <c r="BE73" s="9" t="str">
        <f t="shared" si="67"/>
        <v>Sobresaliente</v>
      </c>
      <c r="BF73" t="s">
        <v>85</v>
      </c>
      <c r="BG73" s="81">
        <f t="shared" si="68"/>
        <v>1.2582062937090657</v>
      </c>
    </row>
    <row r="74" spans="1:59" ht="14.25" customHeight="1" x14ac:dyDescent="0.25">
      <c r="A74" s="649"/>
      <c r="B74" s="82" t="s">
        <v>66</v>
      </c>
      <c r="C74" s="101">
        <f>C73/526689870-1</f>
        <v>-0.51040283744888715</v>
      </c>
      <c r="D74" s="101">
        <f>D73/526689870-1</f>
        <v>-0.25618629422282224</v>
      </c>
      <c r="E74" s="84">
        <f>+D74/C74</f>
        <v>0.50192960427747879</v>
      </c>
      <c r="F74" s="133" t="s">
        <v>28</v>
      </c>
      <c r="G74" s="101">
        <f>G73/1050885432-1</f>
        <v>-0.53753032994751804</v>
      </c>
      <c r="H74" s="101">
        <f>H73/1050885432-1</f>
        <v>-0.27949940312808519</v>
      </c>
      <c r="I74" s="84">
        <f t="shared" si="69"/>
        <v>0.51996954879806356</v>
      </c>
      <c r="J74" s="133" t="s">
        <v>28</v>
      </c>
      <c r="K74" s="101">
        <f>K73/1647159389-1</f>
        <v>-0.55298333669638566</v>
      </c>
      <c r="L74" s="101">
        <f>L73/1647159389-1</f>
        <v>-0.29465104120533903</v>
      </c>
      <c r="M74" s="84">
        <f>+L74/K74</f>
        <v>0.53283891512108361</v>
      </c>
      <c r="N74" s="133" t="s">
        <v>28</v>
      </c>
      <c r="O74" s="27"/>
      <c r="P74" s="101">
        <f>P73/2018223968-1</f>
        <v>-0.50090103329899605</v>
      </c>
      <c r="Q74" s="101">
        <f>Q73/2018223968-1</f>
        <v>-0.21890513788606436</v>
      </c>
      <c r="R74" s="84">
        <f>Q74/P74</f>
        <v>0.4370227317047603</v>
      </c>
      <c r="S74" s="141" t="s">
        <v>28</v>
      </c>
      <c r="T74" s="101">
        <f>T73/2355968143-1</f>
        <v>-0.45543921091975481</v>
      </c>
      <c r="U74" s="101">
        <f>U73/2355968143-1</f>
        <v>-0.15217443922797558</v>
      </c>
      <c r="V74" s="84">
        <f>U74/T74</f>
        <v>0.33412678482526981</v>
      </c>
      <c r="W74" s="141" t="s">
        <v>28</v>
      </c>
      <c r="X74" s="101">
        <f>X73/2677222250-1</f>
        <v>-0.41354485275111752</v>
      </c>
      <c r="Y74" s="101">
        <f>Y73/2677222250-1</f>
        <v>-0.10454409042805468</v>
      </c>
      <c r="Z74" s="84">
        <f>Y74/X74</f>
        <v>0.25279988309024398</v>
      </c>
      <c r="AA74" s="141" t="s">
        <v>28</v>
      </c>
      <c r="AC74" s="101">
        <f>AC73/3020474973-1</f>
        <v>-0.38195980514354366</v>
      </c>
      <c r="AD74" s="101">
        <f>AD73/3020474973-1</f>
        <v>-6.1754455066627023E-2</v>
      </c>
      <c r="AE74" s="84">
        <f>AD74/AC74</f>
        <v>0.16167788923082937</v>
      </c>
      <c r="AF74" s="141" t="s">
        <v>28</v>
      </c>
      <c r="AG74" s="101">
        <f>AG73/3384169443-1</f>
        <v>-0.35574825371924546</v>
      </c>
      <c r="AH74" s="101">
        <f>AH73/3384169443-1</f>
        <v>-3.8054126771453145E-2</v>
      </c>
      <c r="AI74" s="84">
        <f>AH74/AG74</f>
        <v>0.10696925810206577</v>
      </c>
      <c r="AJ74" s="141" t="s">
        <v>28</v>
      </c>
      <c r="AK74" s="101">
        <f>AK73/3729732994-1</f>
        <v>-0.32993209062295692</v>
      </c>
      <c r="AL74" s="101">
        <f>AL73/3729732994-1</f>
        <v>-1.9219841504825919E-2</v>
      </c>
      <c r="AM74" s="84">
        <f>AL74/AK74</f>
        <v>5.8253931797104759E-2</v>
      </c>
      <c r="AN74" s="141" t="s">
        <v>28</v>
      </c>
      <c r="AP74" s="101">
        <f>AP73/4079535757-1</f>
        <v>-0.29986168466006657</v>
      </c>
      <c r="AQ74" s="101">
        <f>AQ73/4079535757-1</f>
        <v>3.8087851818602303E-4</v>
      </c>
      <c r="AR74" s="13">
        <f>AQ74/AP74</f>
        <v>-1.2701806788613221E-3</v>
      </c>
      <c r="AS74" s="141" t="s">
        <v>28</v>
      </c>
      <c r="AT74" s="101">
        <f>AT73/4454304517-1</f>
        <v>-0.24217020821021962</v>
      </c>
      <c r="AU74" s="101">
        <f>AU73/4454304517-1</f>
        <v>6.7181615661235927E-3</v>
      </c>
      <c r="AV74" s="84">
        <f>AU74/AT74</f>
        <v>-2.7741486517993939E-2</v>
      </c>
      <c r="AW74" s="151" t="s">
        <v>28</v>
      </c>
      <c r="AX74" s="104">
        <f>AX73/4807009644-1</f>
        <v>-0.18813838659581283</v>
      </c>
      <c r="AY74" s="104">
        <f>AY73/4807009644-1</f>
        <v>2.1489391605944652E-2</v>
      </c>
      <c r="AZ74" s="80">
        <f t="shared" si="51"/>
        <v>2.1142211964010906</v>
      </c>
      <c r="BA74" s="239" t="str">
        <f t="shared" si="65"/>
        <v>cumple</v>
      </c>
      <c r="BD74" s="9" t="str">
        <f t="shared" si="66"/>
        <v>Crecimiento de aportes totales región</v>
      </c>
      <c r="BE74" s="9" t="str">
        <f t="shared" si="67"/>
        <v>Sobresaliente</v>
      </c>
      <c r="BF74" t="s">
        <v>85</v>
      </c>
      <c r="BG74" s="81">
        <f t="shared" si="68"/>
        <v>2.1142211964010906</v>
      </c>
    </row>
    <row r="75" spans="1:59" ht="14.25" customHeight="1" x14ac:dyDescent="0.25">
      <c r="A75" s="649"/>
      <c r="B75" s="82" t="s">
        <v>67</v>
      </c>
      <c r="C75" s="134">
        <v>1571395.5147744727</v>
      </c>
      <c r="D75" s="134">
        <v>1628200</v>
      </c>
      <c r="E75" s="84">
        <f t="shared" ref="E75:E80" si="70">+D75/C75</f>
        <v>1.0361490692136028</v>
      </c>
      <c r="F75" s="101">
        <f>D75/2378300-1</f>
        <v>-0.31539334818988352</v>
      </c>
      <c r="G75" s="134">
        <v>4897483</v>
      </c>
      <c r="H75" s="134">
        <v>5921300</v>
      </c>
      <c r="I75" s="84">
        <f t="shared" si="69"/>
        <v>1.209049628145723</v>
      </c>
      <c r="J75" s="101">
        <f>H75/7741700-1</f>
        <v>-0.23514215224046398</v>
      </c>
      <c r="K75" s="134">
        <v>9708176.7953490354</v>
      </c>
      <c r="L75" s="134">
        <v>13107200</v>
      </c>
      <c r="M75" s="84">
        <f>+L75/K75</f>
        <v>1.3501196235197692</v>
      </c>
      <c r="N75" s="101">
        <f>L75/12588100-1</f>
        <v>4.1237359093111658E-2</v>
      </c>
      <c r="O75" s="27"/>
      <c r="P75" s="118">
        <v>16118093</v>
      </c>
      <c r="Q75" s="118">
        <v>24488000</v>
      </c>
      <c r="R75" s="74">
        <f>+Q75/P75</f>
        <v>1.5192864317137269</v>
      </c>
      <c r="S75" s="141">
        <f>Q75/16211900-1</f>
        <v>0.51049537685280555</v>
      </c>
      <c r="T75" s="118">
        <v>23983964</v>
      </c>
      <c r="U75" s="118">
        <v>42979900</v>
      </c>
      <c r="V75" s="74">
        <f>+U75/T75</f>
        <v>1.7920265390658525</v>
      </c>
      <c r="W75" s="141">
        <f>U75/23484000-1</f>
        <v>0.83017799352750798</v>
      </c>
      <c r="X75" s="118">
        <v>33106751.286444001</v>
      </c>
      <c r="Y75" s="118">
        <v>64619600</v>
      </c>
      <c r="Z75" s="74">
        <f>+Y75/X75</f>
        <v>1.9518556635443525</v>
      </c>
      <c r="AA75" s="141">
        <f>Y75/35671500-1</f>
        <v>0.81151899976171449</v>
      </c>
      <c r="AC75" s="118">
        <v>43619878.075638354</v>
      </c>
      <c r="AD75" s="118">
        <v>87183100</v>
      </c>
      <c r="AE75" s="74">
        <f>+AD75/AC75</f>
        <v>1.9987011391646152</v>
      </c>
      <c r="AF75" s="141">
        <f>AD75/53072000-1</f>
        <v>0.64273251432016876</v>
      </c>
      <c r="AG75" s="118">
        <v>55910826.333386786</v>
      </c>
      <c r="AH75" s="118">
        <v>107978400</v>
      </c>
      <c r="AI75" s="74">
        <f>+AH75/AG75</f>
        <v>1.9312610290562169</v>
      </c>
      <c r="AJ75" s="141">
        <f>AH75/70286800-1</f>
        <v>0.53625431802272971</v>
      </c>
      <c r="AK75" s="118">
        <v>69853454.616764188</v>
      </c>
      <c r="AL75" s="118">
        <v>133673800</v>
      </c>
      <c r="AM75" s="74">
        <f>+AL75/AK75</f>
        <v>1.9136319131726882</v>
      </c>
      <c r="AN75" s="141">
        <f>AL75/35671500-1</f>
        <v>2.747355732167136</v>
      </c>
      <c r="AP75" s="118">
        <v>85464908.730898544</v>
      </c>
      <c r="AQ75" s="118">
        <v>158740000</v>
      </c>
      <c r="AR75" s="13">
        <f>+AQ75/AP75</f>
        <v>1.8573704969348426</v>
      </c>
      <c r="AS75" s="141">
        <f>AQ75/110808700-1</f>
        <v>0.43255899581892043</v>
      </c>
      <c r="AT75" s="118">
        <v>102633513.68634599</v>
      </c>
      <c r="AU75" s="118">
        <v>183537000</v>
      </c>
      <c r="AV75" s="74">
        <f>+AU75/AT75</f>
        <v>1.7882755194458195</v>
      </c>
      <c r="AW75" s="151">
        <f>AU75/137346000-1</f>
        <v>0.33631121401424147</v>
      </c>
      <c r="AX75" s="121">
        <v>121083491.39160295</v>
      </c>
      <c r="AY75" s="121">
        <v>212394700</v>
      </c>
      <c r="AZ75" s="80">
        <f t="shared" si="51"/>
        <v>1.7541177377606525</v>
      </c>
      <c r="BA75" s="239" t="str">
        <f t="shared" si="65"/>
        <v>cumple</v>
      </c>
      <c r="BD75" s="9" t="str">
        <f t="shared" si="66"/>
        <v>Cumplimiento de nuevos aportes</v>
      </c>
      <c r="BE75" s="9" t="str">
        <f t="shared" si="67"/>
        <v>Sobresaliente</v>
      </c>
      <c r="BF75" t="s">
        <v>85</v>
      </c>
      <c r="BG75" s="81">
        <f t="shared" si="68"/>
        <v>1.7541177377606525</v>
      </c>
    </row>
    <row r="76" spans="1:59" ht="14.25" customHeight="1" x14ac:dyDescent="0.25">
      <c r="A76" s="649"/>
      <c r="B76" s="82" t="s">
        <v>68</v>
      </c>
      <c r="C76" s="132">
        <v>3343.8048175409886</v>
      </c>
      <c r="D76" s="132">
        <v>5025</v>
      </c>
      <c r="E76" s="84">
        <f t="shared" si="70"/>
        <v>1.5027791017106529</v>
      </c>
      <c r="F76" s="101">
        <f>D76/7196-1</f>
        <v>-0.30169538632573656</v>
      </c>
      <c r="G76" s="132">
        <v>3402.7248740452542</v>
      </c>
      <c r="H76" s="132">
        <v>5332</v>
      </c>
      <c r="I76" s="84">
        <f t="shared" si="69"/>
        <v>1.5669794642142696</v>
      </c>
      <c r="J76" s="101">
        <f>H76/7830-1</f>
        <v>-0.31902937420178801</v>
      </c>
      <c r="K76" s="132">
        <v>3752.6002505146776</v>
      </c>
      <c r="L76" s="132">
        <v>5548</v>
      </c>
      <c r="M76" s="84">
        <f>+L76/K76</f>
        <v>1.4784415151171721</v>
      </c>
      <c r="N76" s="101">
        <f>L76/5290-1</f>
        <v>4.8771266540642788E-2</v>
      </c>
      <c r="O76" s="27"/>
      <c r="P76" s="118">
        <v>3859.3825513646125</v>
      </c>
      <c r="Q76" s="118">
        <v>5707</v>
      </c>
      <c r="R76" s="74">
        <f>+Q76/P76</f>
        <v>1.4787339487717022</v>
      </c>
      <c r="S76" s="159">
        <f>Q76/5048-1</f>
        <v>0.1305467511885896</v>
      </c>
      <c r="T76" s="118">
        <v>4091.9800537262927</v>
      </c>
      <c r="U76" s="118">
        <v>5900</v>
      </c>
      <c r="V76" s="74">
        <f>+U76/T76</f>
        <v>1.4418447603690698</v>
      </c>
      <c r="W76" s="141">
        <f>U76/4967-1</f>
        <v>0.18783974229917466</v>
      </c>
      <c r="X76" s="118">
        <v>4278</v>
      </c>
      <c r="Y76" s="118">
        <v>6006</v>
      </c>
      <c r="Z76" s="74">
        <f>+Y76/X76</f>
        <v>1.4039270687237027</v>
      </c>
      <c r="AA76" s="141">
        <f>Y76/4891-1</f>
        <v>0.22796974033939899</v>
      </c>
      <c r="AC76" s="118">
        <v>4388</v>
      </c>
      <c r="AD76" s="118">
        <v>6014</v>
      </c>
      <c r="AE76" s="74">
        <f>+AD76/AC76</f>
        <v>1.3705560619872379</v>
      </c>
      <c r="AF76" s="159">
        <f>AD76/4775-1</f>
        <v>0.259476439790576</v>
      </c>
      <c r="AG76" s="118">
        <v>4647</v>
      </c>
      <c r="AH76" s="118">
        <v>5914</v>
      </c>
      <c r="AI76" s="74">
        <f>+AH76/AG76</f>
        <v>1.272649020873682</v>
      </c>
      <c r="AJ76" s="141">
        <f>AH76/4782-1</f>
        <v>0.23672103722291937</v>
      </c>
      <c r="AK76" s="118">
        <v>4904.0668756026553</v>
      </c>
      <c r="AL76" s="118">
        <v>5851</v>
      </c>
      <c r="AM76" s="74">
        <f>+AL76/AK76</f>
        <v>1.1930913970827481</v>
      </c>
      <c r="AN76" s="141">
        <f>AL76/4850-1</f>
        <v>0.20639175257731956</v>
      </c>
      <c r="AP76" s="118">
        <v>5106.4402722364193</v>
      </c>
      <c r="AQ76" s="118">
        <v>5803</v>
      </c>
      <c r="AR76" s="13">
        <f>+AQ76/AP76</f>
        <v>1.1364080828577898</v>
      </c>
      <c r="AS76" s="159">
        <f>AQ76/5036-1</f>
        <v>0.15230341540905479</v>
      </c>
      <c r="AT76" s="118">
        <v>7176</v>
      </c>
      <c r="AU76" s="118">
        <v>5791</v>
      </c>
      <c r="AV76" s="74">
        <f>+AU76/AT76</f>
        <v>0.80699554069119284</v>
      </c>
      <c r="AW76" s="151">
        <f>AU76/5089-1</f>
        <v>0.13794458636274309</v>
      </c>
      <c r="AX76" s="121">
        <v>6977.3922946651683</v>
      </c>
      <c r="AY76" s="121">
        <v>5616</v>
      </c>
      <c r="AZ76" s="80">
        <f t="shared" si="51"/>
        <v>0.80488522972886689</v>
      </c>
      <c r="BA76" s="239" t="str">
        <f t="shared" si="65"/>
        <v>revisar</v>
      </c>
      <c r="BD76" s="9" t="str">
        <f t="shared" si="66"/>
        <v>Cumplimiento afiliados totales región</v>
      </c>
      <c r="BE76" s="9" t="str">
        <f t="shared" si="67"/>
        <v>Tolerable</v>
      </c>
      <c r="BF76" t="s">
        <v>85</v>
      </c>
      <c r="BG76" s="81">
        <f t="shared" si="68"/>
        <v>0.80488522972886689</v>
      </c>
    </row>
    <row r="77" spans="1:59" ht="14.25" customHeight="1" x14ac:dyDescent="0.25">
      <c r="A77" s="649"/>
      <c r="B77" s="82" t="s">
        <v>69</v>
      </c>
      <c r="C77" s="101">
        <f>C76/7196-1</f>
        <v>-0.53532451118107449</v>
      </c>
      <c r="D77" s="101">
        <f>D76/7196-1</f>
        <v>-0.30169538632573656</v>
      </c>
      <c r="E77" s="84">
        <f>+D77/C77</f>
        <v>0.56357476637883208</v>
      </c>
      <c r="F77" s="133" t="s">
        <v>28</v>
      </c>
      <c r="G77" s="101">
        <f>G76/7830-1</f>
        <v>-0.56542466487289222</v>
      </c>
      <c r="H77" s="101">
        <f>H76/7830-1</f>
        <v>-0.31902937420178801</v>
      </c>
      <c r="I77" s="84">
        <f t="shared" si="69"/>
        <v>0.56422967376831001</v>
      </c>
      <c r="J77" s="133" t="s">
        <v>28</v>
      </c>
      <c r="K77" s="101">
        <f>K76/5290-1</f>
        <v>-0.29062377116924809</v>
      </c>
      <c r="L77" s="101">
        <f>L76/5290-1</f>
        <v>4.8771266540642788E-2</v>
      </c>
      <c r="M77" s="84">
        <f>-L77/K77</f>
        <v>0.16781582024217931</v>
      </c>
      <c r="N77" s="133" t="s">
        <v>28</v>
      </c>
      <c r="O77" s="27"/>
      <c r="P77" s="101">
        <f>P76/5048-1</f>
        <v>-0.23546304449987865</v>
      </c>
      <c r="Q77" s="101">
        <f>Q76/5048-1</f>
        <v>0.1305467511885896</v>
      </c>
      <c r="R77" s="84">
        <f>-Q77/P77</f>
        <v>0.55442564868669608</v>
      </c>
      <c r="S77" s="141" t="s">
        <v>28</v>
      </c>
      <c r="T77" s="101">
        <f>T76/4967-1</f>
        <v>-0.17616668940481328</v>
      </c>
      <c r="U77" s="101">
        <f>U76/4967-1</f>
        <v>0.18783974229917466</v>
      </c>
      <c r="V77" s="84">
        <f>U77/T77</f>
        <v>-1.066261408066413</v>
      </c>
      <c r="W77" s="141" t="s">
        <v>28</v>
      </c>
      <c r="X77" s="101">
        <f>X76/4891-1</f>
        <v>-0.12533224289511347</v>
      </c>
      <c r="Y77" s="101">
        <f>Y76/4891-1</f>
        <v>0.22796974033939899</v>
      </c>
      <c r="Z77" s="84">
        <f>-Y77/X77</f>
        <v>1.8189233278955963</v>
      </c>
      <c r="AA77" s="141" t="s">
        <v>28</v>
      </c>
      <c r="AC77" s="101">
        <f>AC76/4775-1</f>
        <v>-8.1047120418848206E-2</v>
      </c>
      <c r="AD77" s="101">
        <f>AD76/4775-1</f>
        <v>0.259476439790576</v>
      </c>
      <c r="AE77" s="84">
        <f>-AD77/AC77</f>
        <v>3.2015503875968987</v>
      </c>
      <c r="AF77" s="141" t="s">
        <v>28</v>
      </c>
      <c r="AG77" s="101">
        <f>AG76/4782-1</f>
        <v>-2.8230865746549538E-2</v>
      </c>
      <c r="AH77" s="101">
        <f>AH76/4782-1</f>
        <v>0.23672103722291937</v>
      </c>
      <c r="AI77" s="84">
        <f>AH77/AG77</f>
        <v>-8.3851851851851951</v>
      </c>
      <c r="AJ77" s="141" t="s">
        <v>28</v>
      </c>
      <c r="AK77" s="101">
        <f>AK76/4850-1</f>
        <v>1.1147809402609399E-2</v>
      </c>
      <c r="AL77" s="101">
        <f>AL76/4850-1</f>
        <v>0.20639175257731956</v>
      </c>
      <c r="AM77" s="84">
        <f>-AL77/AK77</f>
        <v>-18.514108478479088</v>
      </c>
      <c r="AN77" s="141" t="s">
        <v>28</v>
      </c>
      <c r="AP77" s="101">
        <f>AP76/5036-1</f>
        <v>1.398734555925718E-2</v>
      </c>
      <c r="AQ77" s="101">
        <f>AQ76/5036-1</f>
        <v>0.15230341540905479</v>
      </c>
      <c r="AR77" s="13">
        <f>-AQ77/AP77</f>
        <v>-10.888657520029346</v>
      </c>
      <c r="AS77" s="141" t="s">
        <v>28</v>
      </c>
      <c r="AT77" s="101">
        <f>AT76/5089-1</f>
        <v>0.41010021615248582</v>
      </c>
      <c r="AU77" s="101">
        <f>AU76/5089-1</f>
        <v>0.13794458636274309</v>
      </c>
      <c r="AV77" s="84">
        <f>AU77/AT77</f>
        <v>0.33636799233349279</v>
      </c>
      <c r="AW77" s="151" t="s">
        <v>28</v>
      </c>
      <c r="AX77" s="104">
        <f>AX76/4838-1</f>
        <v>0.44220593110069628</v>
      </c>
      <c r="AY77" s="104">
        <f>AY76/4838-1</f>
        <v>0.1608102521703183</v>
      </c>
      <c r="AZ77" s="80">
        <f t="shared" si="51"/>
        <v>0.3636546705062163</v>
      </c>
      <c r="BA77" s="239" t="str">
        <f t="shared" si="65"/>
        <v>revisar</v>
      </c>
      <c r="BD77" s="9" t="str">
        <f t="shared" si="66"/>
        <v>Crecimiento afiliados totales región</v>
      </c>
      <c r="BE77" s="9" t="str">
        <f t="shared" si="67"/>
        <v>Incumple</v>
      </c>
      <c r="BF77" t="s">
        <v>85</v>
      </c>
      <c r="BG77" s="81">
        <f t="shared" si="68"/>
        <v>0.3636546705062163</v>
      </c>
    </row>
    <row r="78" spans="1:59" ht="14.25" customHeight="1" x14ac:dyDescent="0.25">
      <c r="A78" s="649"/>
      <c r="B78" s="82" t="s">
        <v>70</v>
      </c>
      <c r="C78" s="133">
        <v>38</v>
      </c>
      <c r="D78" s="133">
        <v>78</v>
      </c>
      <c r="E78" s="84">
        <f t="shared" si="70"/>
        <v>2.0526315789473686</v>
      </c>
      <c r="F78" s="101">
        <f>D78/46-1</f>
        <v>0.69565217391304346</v>
      </c>
      <c r="G78" s="133">
        <v>81</v>
      </c>
      <c r="H78" s="133">
        <v>105</v>
      </c>
      <c r="I78" s="84">
        <f t="shared" si="69"/>
        <v>1.2962962962962963</v>
      </c>
      <c r="J78" s="101">
        <f>H78/79-1</f>
        <v>0.32911392405063289</v>
      </c>
      <c r="K78" s="133">
        <v>118</v>
      </c>
      <c r="L78" s="133">
        <v>158</v>
      </c>
      <c r="M78" s="84">
        <f>+L78/K78</f>
        <v>1.3389830508474576</v>
      </c>
      <c r="N78" s="101">
        <f>L78/103-1</f>
        <v>0.53398058252427183</v>
      </c>
      <c r="O78" s="27"/>
      <c r="P78" s="118">
        <v>157</v>
      </c>
      <c r="Q78" s="118">
        <v>168</v>
      </c>
      <c r="R78" s="74">
        <f>+Q78/P78</f>
        <v>1.0700636942675159</v>
      </c>
      <c r="S78" s="159">
        <f>Q78/127-1</f>
        <v>0.32283464566929143</v>
      </c>
      <c r="T78" s="118">
        <v>192</v>
      </c>
      <c r="U78" s="118">
        <v>427</v>
      </c>
      <c r="V78" s="74">
        <f>+U78/T78</f>
        <v>2.2239583333333335</v>
      </c>
      <c r="W78" s="141">
        <f>U78/132-1</f>
        <v>2.2348484848484849</v>
      </c>
      <c r="X78" s="118">
        <v>223</v>
      </c>
      <c r="Y78" s="118">
        <v>462</v>
      </c>
      <c r="Z78" s="74">
        <f>+Y78/X78</f>
        <v>2.071748878923767</v>
      </c>
      <c r="AA78" s="141">
        <f>Y78/175-1</f>
        <v>1.6400000000000001</v>
      </c>
      <c r="AC78" s="118">
        <v>257</v>
      </c>
      <c r="AD78" s="118">
        <v>450</v>
      </c>
      <c r="AE78" s="74">
        <f>+AD78/AC78</f>
        <v>1.7509727626459144</v>
      </c>
      <c r="AF78" s="159">
        <f>AD78/160-1</f>
        <v>1.8125</v>
      </c>
      <c r="AG78" s="118">
        <v>301</v>
      </c>
      <c r="AH78" s="118">
        <v>525</v>
      </c>
      <c r="AI78" s="74">
        <f>+AH78/AG78</f>
        <v>1.7441860465116279</v>
      </c>
      <c r="AJ78" s="141">
        <f>AH78/238-1</f>
        <v>1.2058823529411766</v>
      </c>
      <c r="AK78" s="118">
        <v>341</v>
      </c>
      <c r="AL78" s="118">
        <v>536</v>
      </c>
      <c r="AM78" s="74">
        <f>+AL78/AK78</f>
        <v>1.5718475073313782</v>
      </c>
      <c r="AN78" s="141">
        <f>AL78/293-1</f>
        <v>0.82935153583617738</v>
      </c>
      <c r="AP78" s="118">
        <v>382</v>
      </c>
      <c r="AQ78" s="118">
        <v>551</v>
      </c>
      <c r="AR78" s="13">
        <f>+AQ78/AP78</f>
        <v>1.4424083769633509</v>
      </c>
      <c r="AS78" s="159">
        <f>AQ78/397-1</f>
        <v>0.38790931989924426</v>
      </c>
      <c r="AT78" s="118">
        <v>420</v>
      </c>
      <c r="AU78" s="118">
        <v>549</v>
      </c>
      <c r="AV78" s="74">
        <f>+AU78/AT78</f>
        <v>1.3071428571428572</v>
      </c>
      <c r="AW78" s="151">
        <f>AU78/447-1</f>
        <v>0.22818791946308714</v>
      </c>
      <c r="AX78" s="121">
        <v>451</v>
      </c>
      <c r="AY78" s="121">
        <v>540</v>
      </c>
      <c r="AZ78" s="80">
        <f t="shared" si="51"/>
        <v>1.1973392461197339</v>
      </c>
      <c r="BA78" s="239" t="str">
        <f t="shared" si="65"/>
        <v>cumple</v>
      </c>
      <c r="BD78" s="9" t="str">
        <f t="shared" si="66"/>
        <v>Cumplimiento de nuevos afiliados región</v>
      </c>
      <c r="BE78" s="9" t="str">
        <f t="shared" si="67"/>
        <v>Sobresaliente</v>
      </c>
      <c r="BF78" t="s">
        <v>85</v>
      </c>
      <c r="BG78" s="81">
        <f t="shared" si="68"/>
        <v>1.1973392461197339</v>
      </c>
    </row>
    <row r="79" spans="1:59" ht="14.25" customHeight="1" x14ac:dyDescent="0.25">
      <c r="A79" s="649"/>
      <c r="B79" s="82" t="s">
        <v>78</v>
      </c>
      <c r="C79" s="108">
        <v>11388</v>
      </c>
      <c r="D79" s="108">
        <v>12257</v>
      </c>
      <c r="E79" s="84">
        <f t="shared" si="70"/>
        <v>1.0763083948015455</v>
      </c>
      <c r="F79" s="84">
        <v>-0.26</v>
      </c>
      <c r="G79" s="108">
        <v>4984</v>
      </c>
      <c r="H79" s="108">
        <v>6778</v>
      </c>
      <c r="I79" s="84">
        <f t="shared" si="69"/>
        <v>1.359951845906902</v>
      </c>
      <c r="J79" s="84">
        <v>7.0000000000000007E-2</v>
      </c>
      <c r="K79" s="108">
        <v>9601</v>
      </c>
      <c r="L79" s="108">
        <v>8213</v>
      </c>
      <c r="M79" s="84">
        <f t="shared" ref="M79" si="71">+L79/K79</f>
        <v>0.85543172586188942</v>
      </c>
      <c r="N79" s="84">
        <v>1.34</v>
      </c>
      <c r="O79" s="27"/>
      <c r="P79" s="143"/>
      <c r="Q79" s="143"/>
      <c r="R79" s="143"/>
      <c r="S79" s="143"/>
      <c r="T79" s="143"/>
      <c r="U79" s="143"/>
      <c r="V79" s="143"/>
      <c r="W79" s="143"/>
      <c r="X79" s="143"/>
      <c r="Y79" s="143"/>
      <c r="Z79" s="143"/>
      <c r="AA79" s="143"/>
      <c r="AC79" s="143"/>
      <c r="AD79" s="143"/>
      <c r="AE79" s="143"/>
      <c r="AF79" s="143"/>
      <c r="AG79" s="143"/>
      <c r="AH79" s="143"/>
      <c r="AI79" s="143"/>
      <c r="AJ79" s="143"/>
      <c r="AK79" s="143"/>
      <c r="AL79" s="143"/>
      <c r="AM79" s="143"/>
      <c r="AN79" s="143"/>
      <c r="AP79" s="143"/>
      <c r="AQ79" s="143"/>
      <c r="AR79" s="143"/>
      <c r="AS79" s="143"/>
      <c r="AT79" s="143"/>
      <c r="AU79" s="143"/>
      <c r="AV79" s="143"/>
      <c r="AW79" s="143"/>
      <c r="AX79" s="139">
        <v>3.5036860163204748</v>
      </c>
      <c r="AY79" s="139">
        <v>2.5587444362017804</v>
      </c>
      <c r="AZ79" s="80">
        <f t="shared" si="51"/>
        <v>0.73030072451781514</v>
      </c>
      <c r="BA79" s="239" t="str">
        <f t="shared" si="65"/>
        <v>revisar</v>
      </c>
      <c r="BD79" s="9" t="str">
        <f t="shared" si="66"/>
        <v xml:space="preserve">Cumplimiento cobertura región </v>
      </c>
      <c r="BE79" s="9" t="str">
        <f t="shared" si="67"/>
        <v>Incumple</v>
      </c>
      <c r="BF79" t="s">
        <v>85</v>
      </c>
      <c r="BG79" s="81">
        <f t="shared" si="68"/>
        <v>0.73030072451781514</v>
      </c>
    </row>
    <row r="80" spans="1:59" ht="14.25" customHeight="1" thickBot="1" x14ac:dyDescent="0.3">
      <c r="A80" s="650"/>
      <c r="B80" s="82" t="s">
        <v>79</v>
      </c>
      <c r="C80" s="109">
        <v>3693</v>
      </c>
      <c r="D80" s="109">
        <v>1380</v>
      </c>
      <c r="E80" s="84">
        <f t="shared" si="70"/>
        <v>0.37367993501218522</v>
      </c>
      <c r="F80" s="115">
        <v>-0.65</v>
      </c>
      <c r="G80" s="109">
        <v>1425</v>
      </c>
      <c r="H80" s="109">
        <v>1786</v>
      </c>
      <c r="I80" s="84">
        <f t="shared" si="69"/>
        <v>1.2533333333333334</v>
      </c>
      <c r="J80" s="115">
        <v>0.14000000000000001</v>
      </c>
      <c r="K80" s="109">
        <v>2421</v>
      </c>
      <c r="L80" s="109">
        <v>1438</v>
      </c>
      <c r="M80" s="84">
        <f>+L80/K80</f>
        <v>0.59396943411813297</v>
      </c>
      <c r="N80" s="20">
        <v>0.62</v>
      </c>
      <c r="O80" s="27"/>
      <c r="P80" s="143"/>
      <c r="Q80" s="143"/>
      <c r="R80" s="143"/>
      <c r="S80" s="143"/>
      <c r="T80" s="143"/>
      <c r="U80" s="143"/>
      <c r="V80" s="143"/>
      <c r="W80" s="143"/>
      <c r="X80" s="143"/>
      <c r="Y80" s="143"/>
      <c r="Z80" s="143"/>
      <c r="AA80" s="143"/>
      <c r="AC80" s="143"/>
      <c r="AD80" s="143"/>
      <c r="AE80" s="143"/>
      <c r="AF80" s="143"/>
      <c r="AG80" s="143"/>
      <c r="AH80" s="143"/>
      <c r="AI80" s="143"/>
      <c r="AJ80" s="143"/>
      <c r="AK80" s="143"/>
      <c r="AL80" s="143"/>
      <c r="AM80" s="143"/>
      <c r="AN80" s="143"/>
      <c r="AP80" s="143"/>
      <c r="AQ80" s="143"/>
      <c r="AR80" s="143"/>
      <c r="AS80" s="143"/>
      <c r="AT80" s="143"/>
      <c r="AU80" s="143"/>
      <c r="AV80" s="143"/>
      <c r="AW80" s="143"/>
      <c r="AX80" s="139">
        <v>0.19048648537352458</v>
      </c>
      <c r="AY80" s="139">
        <v>0.12352289753110547</v>
      </c>
      <c r="AZ80" s="80">
        <f t="shared" si="51"/>
        <v>0.64846016392653605</v>
      </c>
      <c r="BA80" s="239" t="str">
        <f t="shared" si="65"/>
        <v>revisar</v>
      </c>
      <c r="BD80" s="9" t="str">
        <f t="shared" si="66"/>
        <v xml:space="preserve">Penetración de Uso en Población A y B región </v>
      </c>
      <c r="BE80" s="9" t="str">
        <f t="shared" si="67"/>
        <v>Incumple</v>
      </c>
      <c r="BF80" t="s">
        <v>85</v>
      </c>
      <c r="BG80" s="81">
        <f t="shared" si="68"/>
        <v>0.64846016392653605</v>
      </c>
    </row>
    <row r="81" spans="1:59" ht="14.25" customHeight="1" thickBot="1" x14ac:dyDescent="0.3">
      <c r="B81"/>
      <c r="C81" s="18"/>
      <c r="D81" s="18"/>
      <c r="E81" s="18"/>
      <c r="F81" s="18"/>
      <c r="G81" s="18"/>
      <c r="H81" s="18"/>
      <c r="I81" s="18"/>
      <c r="J81" s="18"/>
      <c r="K81" s="18"/>
      <c r="L81" s="18"/>
      <c r="M81" s="18"/>
      <c r="N81" s="27"/>
      <c r="O81" s="27"/>
      <c r="P81" s="143"/>
      <c r="Q81" s="143"/>
      <c r="R81" s="143"/>
      <c r="S81" s="143"/>
      <c r="T81" s="143"/>
      <c r="U81" s="143"/>
      <c r="V81" s="143"/>
      <c r="W81" s="143"/>
      <c r="X81" s="143"/>
      <c r="Y81" s="143"/>
      <c r="Z81" s="143"/>
      <c r="AA81" s="143"/>
      <c r="AC81" s="143"/>
      <c r="AD81" s="143"/>
      <c r="AE81" s="143"/>
      <c r="AF81" s="143"/>
      <c r="AG81" s="143"/>
      <c r="AH81" s="143"/>
      <c r="AI81" s="143"/>
      <c r="AJ81" s="143"/>
      <c r="AK81" s="143"/>
      <c r="AL81" s="143"/>
      <c r="AM81" s="143"/>
      <c r="AN81" s="143"/>
      <c r="AP81" s="143"/>
      <c r="AQ81" s="143"/>
      <c r="AR81" s="143"/>
      <c r="AS81" s="143"/>
      <c r="AT81" s="143"/>
      <c r="AU81" s="143"/>
      <c r="AV81" s="143"/>
      <c r="AW81" s="143"/>
      <c r="AX81" s="143"/>
      <c r="AY81" s="143"/>
      <c r="AZ81" s="143"/>
    </row>
    <row r="82" spans="1:59" ht="14.25" customHeight="1" x14ac:dyDescent="0.25">
      <c r="A82" s="664" t="s">
        <v>86</v>
      </c>
      <c r="B82" s="138" t="s">
        <v>59</v>
      </c>
      <c r="C82" s="74">
        <v>0.14132312655000456</v>
      </c>
      <c r="D82" s="74">
        <v>-0.67162026391120144</v>
      </c>
      <c r="E82" s="93">
        <f t="shared" ref="E82:E93" si="72">+D82/C82</f>
        <v>-4.7523733751641926</v>
      </c>
      <c r="F82" s="74" t="s">
        <v>28</v>
      </c>
      <c r="G82" s="74">
        <v>-0.19426154209567781</v>
      </c>
      <c r="H82" s="74">
        <v>-0.65191179641452612</v>
      </c>
      <c r="I82" s="93">
        <f t="shared" ref="I82:I93" si="73">+H82/G82</f>
        <v>3.3558458837593608</v>
      </c>
      <c r="J82" s="74" t="s">
        <v>28</v>
      </c>
      <c r="K82" s="74">
        <v>-1.3827147698009856E-2</v>
      </c>
      <c r="L82" s="74">
        <v>-0.45454751028629881</v>
      </c>
      <c r="M82" s="93">
        <f t="shared" ref="M82:M93" si="74">+L82/K82</f>
        <v>32.873555719067205</v>
      </c>
      <c r="N82" s="74" t="s">
        <v>28</v>
      </c>
      <c r="O82" s="27"/>
      <c r="P82" s="143"/>
      <c r="Q82" s="143"/>
      <c r="R82" s="143"/>
      <c r="S82" s="143"/>
      <c r="T82" s="143"/>
      <c r="U82" s="143"/>
      <c r="V82" s="143"/>
      <c r="W82" s="143"/>
      <c r="X82" s="143"/>
      <c r="Y82" s="143"/>
      <c r="Z82" s="143"/>
      <c r="AA82" s="143"/>
      <c r="AC82" s="143"/>
      <c r="AD82" s="143"/>
      <c r="AE82" s="143"/>
      <c r="AF82" s="143"/>
      <c r="AG82" s="143"/>
      <c r="AH82" s="143"/>
      <c r="AI82" s="143"/>
      <c r="AJ82" s="143"/>
      <c r="AK82" s="143"/>
      <c r="AL82" s="143"/>
      <c r="AM82" s="143"/>
      <c r="AN82" s="143"/>
      <c r="AP82" s="143"/>
      <c r="AQ82" s="143"/>
      <c r="AR82" s="13" t="e">
        <f t="shared" ref="AR82" si="75">+IF(AP82&lt;0,1-(AQ82-AP82)/AP82,AQ82/AP82)</f>
        <v>#DIV/0!</v>
      </c>
      <c r="AS82" s="143"/>
      <c r="AT82" s="143"/>
      <c r="AU82" s="143"/>
      <c r="AV82" s="143"/>
      <c r="AW82" s="143"/>
      <c r="AX82" s="139">
        <v>0.50522471783389222</v>
      </c>
      <c r="AY82" s="139">
        <v>0.56558939800441599</v>
      </c>
      <c r="AZ82" s="80">
        <f t="shared" si="51"/>
        <v>1.1194808528556008</v>
      </c>
      <c r="BA82" s="239" t="str">
        <f t="shared" ref="BA82:BA93" si="76">+IF(AY82&gt;=AX82,"cumple","revisar")</f>
        <v>cumple</v>
      </c>
      <c r="BD82" s="9" t="str">
        <f t="shared" ref="BD82:BD141" si="77">+B82</f>
        <v>Crecimiento de ingresos (negocios)</v>
      </c>
      <c r="BE82" s="9" t="str">
        <f t="shared" ref="BE82:BE141" si="78">+IF(AZ82&lt;79.99999%,"Incumple",IF(AND(AZ82&gt;=80%,AZ82&lt;94.999999%),"Tolerable",IF(AND(AZ82&gt;=95%,AZ82&lt;100%),"Satisfactorio","Sobresaliente")))</f>
        <v>Sobresaliente</v>
      </c>
      <c r="BF82" t="s">
        <v>87</v>
      </c>
      <c r="BG82" s="81">
        <f t="shared" ref="BG82:BG141" si="79">+AZ82</f>
        <v>1.1194808528556008</v>
      </c>
    </row>
    <row r="83" spans="1:59" ht="14.25" customHeight="1" x14ac:dyDescent="0.25">
      <c r="A83" s="665"/>
      <c r="B83" s="82" t="s">
        <v>61</v>
      </c>
      <c r="C83" s="87">
        <v>1</v>
      </c>
      <c r="D83" s="87">
        <v>1</v>
      </c>
      <c r="E83" s="128">
        <f t="shared" si="72"/>
        <v>1</v>
      </c>
      <c r="F83" s="90" t="s">
        <v>28</v>
      </c>
      <c r="G83" s="87">
        <v>1</v>
      </c>
      <c r="H83" s="87">
        <v>1</v>
      </c>
      <c r="I83" s="128">
        <f t="shared" si="73"/>
        <v>1</v>
      </c>
      <c r="J83" s="90" t="s">
        <v>28</v>
      </c>
      <c r="K83" s="87">
        <v>1</v>
      </c>
      <c r="L83" s="87">
        <v>1</v>
      </c>
      <c r="M83" s="128">
        <f t="shared" si="74"/>
        <v>1</v>
      </c>
      <c r="N83" s="90" t="s">
        <v>28</v>
      </c>
      <c r="O83" s="27"/>
      <c r="P83" s="140">
        <v>1</v>
      </c>
      <c r="Q83" s="140">
        <v>1</v>
      </c>
      <c r="R83" s="74">
        <f>+Q83/P83</f>
        <v>1</v>
      </c>
      <c r="S83" s="156" t="s">
        <v>28</v>
      </c>
      <c r="T83" s="140">
        <v>1</v>
      </c>
      <c r="U83" s="140">
        <v>1</v>
      </c>
      <c r="V83" s="74">
        <f>+U83/T83</f>
        <v>1</v>
      </c>
      <c r="W83" s="156" t="s">
        <v>28</v>
      </c>
      <c r="X83" s="140">
        <v>1</v>
      </c>
      <c r="Y83" s="140">
        <v>1</v>
      </c>
      <c r="Z83" s="74">
        <f>+Y83/X83</f>
        <v>1</v>
      </c>
      <c r="AA83" s="156" t="s">
        <v>28</v>
      </c>
      <c r="AC83" s="140">
        <v>1</v>
      </c>
      <c r="AD83" s="140">
        <v>1</v>
      </c>
      <c r="AE83" s="74">
        <f>+AD83/AC83</f>
        <v>1</v>
      </c>
      <c r="AF83" s="156" t="s">
        <v>28</v>
      </c>
      <c r="AG83" s="140">
        <v>1</v>
      </c>
      <c r="AH83" s="140">
        <v>1</v>
      </c>
      <c r="AI83" s="74">
        <f>+AH83/AG83</f>
        <v>1</v>
      </c>
      <c r="AJ83" s="156" t="s">
        <v>28</v>
      </c>
      <c r="AK83" s="140">
        <v>1</v>
      </c>
      <c r="AL83" s="140">
        <v>1</v>
      </c>
      <c r="AM83" s="74">
        <f>+AL83/AK83</f>
        <v>1</v>
      </c>
      <c r="AN83" s="156" t="s">
        <v>28</v>
      </c>
      <c r="AP83" s="140">
        <v>1</v>
      </c>
      <c r="AQ83" s="140">
        <v>1</v>
      </c>
      <c r="AR83" s="13">
        <f>+AQ83/AP83</f>
        <v>1</v>
      </c>
      <c r="AS83" s="156" t="s">
        <v>28</v>
      </c>
      <c r="AT83" s="140">
        <v>1</v>
      </c>
      <c r="AU83" s="140">
        <v>1</v>
      </c>
      <c r="AV83" s="74">
        <f>+AU83/AT83</f>
        <v>1</v>
      </c>
      <c r="AW83" s="157" t="s">
        <v>28</v>
      </c>
      <c r="AX83" s="142">
        <v>1</v>
      </c>
      <c r="AY83" s="142">
        <v>1</v>
      </c>
      <c r="AZ83" s="80">
        <f t="shared" si="51"/>
        <v>1</v>
      </c>
      <c r="BA83" s="239" t="str">
        <f t="shared" si="76"/>
        <v>cumple</v>
      </c>
      <c r="BD83" s="9" t="str">
        <f t="shared" si="77"/>
        <v>Conservación empresas pareto (97)</v>
      </c>
      <c r="BE83" s="9" t="str">
        <f t="shared" si="78"/>
        <v>Sobresaliente</v>
      </c>
      <c r="BF83" t="s">
        <v>87</v>
      </c>
      <c r="BG83" s="81">
        <f t="shared" si="79"/>
        <v>1</v>
      </c>
    </row>
    <row r="84" spans="1:59" ht="14.25" customHeight="1" x14ac:dyDescent="0.25">
      <c r="A84" s="665"/>
      <c r="B84" s="82" t="s">
        <v>62</v>
      </c>
      <c r="C84" s="162">
        <v>15</v>
      </c>
      <c r="D84" s="92">
        <v>11</v>
      </c>
      <c r="E84" s="93">
        <f t="shared" si="72"/>
        <v>0.73333333333333328</v>
      </c>
      <c r="F84" s="93">
        <f>+D84/6-1</f>
        <v>0.83333333333333326</v>
      </c>
      <c r="G84" s="83">
        <v>31</v>
      </c>
      <c r="H84" s="83">
        <v>20</v>
      </c>
      <c r="I84" s="93">
        <f t="shared" si="73"/>
        <v>0.64516129032258063</v>
      </c>
      <c r="J84" s="93">
        <f>+H84/17-1</f>
        <v>0.17647058823529416</v>
      </c>
      <c r="K84" s="83">
        <v>45</v>
      </c>
      <c r="L84" s="83">
        <v>27</v>
      </c>
      <c r="M84" s="93">
        <f t="shared" si="74"/>
        <v>0.6</v>
      </c>
      <c r="N84" s="93">
        <f>+L84/24-1</f>
        <v>0.125</v>
      </c>
      <c r="O84" s="27"/>
      <c r="P84" s="140">
        <v>60</v>
      </c>
      <c r="Q84" s="140">
        <v>34</v>
      </c>
      <c r="R84" s="74">
        <f>+Q84/P84</f>
        <v>0.56666666666666665</v>
      </c>
      <c r="S84" s="147">
        <f>Q84/31-1</f>
        <v>9.6774193548387011E-2</v>
      </c>
      <c r="T84" s="140">
        <v>73</v>
      </c>
      <c r="U84" s="140">
        <v>39</v>
      </c>
      <c r="V84" s="74">
        <f>+U84/T84</f>
        <v>0.53424657534246578</v>
      </c>
      <c r="W84" s="147">
        <f>U84/38-1</f>
        <v>2.6315789473684292E-2</v>
      </c>
      <c r="X84" s="140">
        <v>85</v>
      </c>
      <c r="Y84" s="140">
        <v>47</v>
      </c>
      <c r="Z84" s="74">
        <f>+Y84/X84</f>
        <v>0.55294117647058827</v>
      </c>
      <c r="AA84" s="147">
        <f>Y84/41-1</f>
        <v>0.14634146341463405</v>
      </c>
      <c r="AB84" t="s">
        <v>77</v>
      </c>
      <c r="AC84" s="140">
        <v>99</v>
      </c>
      <c r="AD84" s="140">
        <v>50</v>
      </c>
      <c r="AE84" s="74">
        <f>+AD84/AC84</f>
        <v>0.50505050505050508</v>
      </c>
      <c r="AF84" s="159">
        <f>AD84/46-1</f>
        <v>8.6956521739130377E-2</v>
      </c>
      <c r="AG84" s="140">
        <v>116</v>
      </c>
      <c r="AH84" s="140">
        <v>66</v>
      </c>
      <c r="AI84" s="74">
        <f>+AH84/AG84</f>
        <v>0.56896551724137934</v>
      </c>
      <c r="AJ84" s="159">
        <f>AH84/51-1</f>
        <v>0.29411764705882359</v>
      </c>
      <c r="AK84" s="140">
        <v>131</v>
      </c>
      <c r="AL84" s="140">
        <v>75</v>
      </c>
      <c r="AM84" s="74">
        <f>+AL84/AK84</f>
        <v>0.5725190839694656</v>
      </c>
      <c r="AN84" s="147">
        <f>AL84/149-1</f>
        <v>-0.49664429530201337</v>
      </c>
      <c r="AP84" s="140">
        <v>147</v>
      </c>
      <c r="AQ84" s="140">
        <v>81</v>
      </c>
      <c r="AR84" s="13">
        <f>+AQ84/AP84</f>
        <v>0.55102040816326525</v>
      </c>
      <c r="AS84" s="159">
        <f>AQ84/74-1</f>
        <v>9.4594594594594517E-2</v>
      </c>
      <c r="AT84" s="140">
        <v>162</v>
      </c>
      <c r="AU84" s="140">
        <v>85</v>
      </c>
      <c r="AV84" s="74">
        <f>+AU84/AT84</f>
        <v>0.52469135802469136</v>
      </c>
      <c r="AW84" s="160">
        <f>AU84/82-1</f>
        <v>3.6585365853658569E-2</v>
      </c>
      <c r="AX84" s="142">
        <v>174</v>
      </c>
      <c r="AY84" s="142">
        <v>92</v>
      </c>
      <c r="AZ84" s="80">
        <f t="shared" si="51"/>
        <v>0.52873563218390807</v>
      </c>
      <c r="BA84" s="239" t="str">
        <f t="shared" si="76"/>
        <v>revisar</v>
      </c>
      <c r="BD84" s="9" t="str">
        <f t="shared" si="77"/>
        <v>Cumplimiento de nuevas empresas afiliadas</v>
      </c>
      <c r="BE84" s="9" t="str">
        <f t="shared" si="78"/>
        <v>Incumple</v>
      </c>
      <c r="BF84" t="s">
        <v>87</v>
      </c>
      <c r="BG84" s="81">
        <f t="shared" si="79"/>
        <v>0.52873563218390807</v>
      </c>
    </row>
    <row r="85" spans="1:59" ht="14.25" customHeight="1" x14ac:dyDescent="0.25">
      <c r="A85" s="665"/>
      <c r="B85" s="82" t="s">
        <v>64</v>
      </c>
      <c r="C85" s="93">
        <f>+C84/6-1</f>
        <v>1.5</v>
      </c>
      <c r="D85" s="93">
        <f>+D84/6-1</f>
        <v>0.83333333333333326</v>
      </c>
      <c r="E85" s="93">
        <f t="shared" si="72"/>
        <v>0.55555555555555547</v>
      </c>
      <c r="F85" s="83" t="s">
        <v>28</v>
      </c>
      <c r="G85" s="93">
        <f>+G84/17-1</f>
        <v>0.82352941176470584</v>
      </c>
      <c r="H85" s="93">
        <f>+H84/17-1</f>
        <v>0.17647058823529416</v>
      </c>
      <c r="I85" s="93">
        <f t="shared" si="73"/>
        <v>0.21428571428571436</v>
      </c>
      <c r="J85" s="83" t="s">
        <v>28</v>
      </c>
      <c r="K85" s="93">
        <f>K84/24-1</f>
        <v>0.875</v>
      </c>
      <c r="L85" s="93">
        <f>L84/24-1</f>
        <v>0.125</v>
      </c>
      <c r="M85" s="93">
        <f t="shared" si="74"/>
        <v>0.14285714285714285</v>
      </c>
      <c r="N85" s="83" t="s">
        <v>28</v>
      </c>
      <c r="O85" s="27"/>
      <c r="P85" s="93">
        <f>P84/31-1</f>
        <v>0.93548387096774199</v>
      </c>
      <c r="Q85" s="93">
        <f>Q84/31-1</f>
        <v>9.6774193548387011E-2</v>
      </c>
      <c r="R85" s="84">
        <f>-Q85/P85</f>
        <v>-0.10344827586206887</v>
      </c>
      <c r="S85" s="141" t="s">
        <v>28</v>
      </c>
      <c r="T85" s="93">
        <f>T84/38-1</f>
        <v>0.92105263157894735</v>
      </c>
      <c r="U85" s="93">
        <f>U84/38-1</f>
        <v>2.6315789473684292E-2</v>
      </c>
      <c r="V85" s="84">
        <f>+U85/T85</f>
        <v>2.8571428571428661E-2</v>
      </c>
      <c r="W85" s="141" t="s">
        <v>28</v>
      </c>
      <c r="X85" s="93">
        <f>X84/41-1</f>
        <v>1.0731707317073171</v>
      </c>
      <c r="Y85" s="93">
        <f>Y84/41-1</f>
        <v>0.14634146341463405</v>
      </c>
      <c r="Z85" s="84">
        <f>+Y85/X85</f>
        <v>0.13636363636363627</v>
      </c>
      <c r="AA85" s="141" t="s">
        <v>28</v>
      </c>
      <c r="AC85" s="101">
        <f>AC84/46-1</f>
        <v>1.152173913043478</v>
      </c>
      <c r="AD85" s="101">
        <f>AD84/46-1</f>
        <v>8.6956521739130377E-2</v>
      </c>
      <c r="AE85" s="84">
        <f>-AD85/AC85</f>
        <v>-7.5471698113207517E-2</v>
      </c>
      <c r="AF85" s="141" t="s">
        <v>28</v>
      </c>
      <c r="AG85" s="101">
        <f>AG84/51-1</f>
        <v>1.2745098039215685</v>
      </c>
      <c r="AH85" s="101">
        <f>AH84/51-1</f>
        <v>0.29411764705882359</v>
      </c>
      <c r="AI85" s="84">
        <f>+AH85/AG85</f>
        <v>0.23076923076923084</v>
      </c>
      <c r="AJ85" s="141" t="s">
        <v>28</v>
      </c>
      <c r="AK85" s="93">
        <f>AK84/149-1</f>
        <v>-0.12080536912751683</v>
      </c>
      <c r="AL85" s="93">
        <f>AL84/149-1</f>
        <v>-0.49664429530201337</v>
      </c>
      <c r="AM85" s="84">
        <f>+AL85/AK85</f>
        <v>4.1111111111111089</v>
      </c>
      <c r="AN85" s="141" t="s">
        <v>28</v>
      </c>
      <c r="AP85" s="101">
        <f>AP84/74-1</f>
        <v>0.9864864864864864</v>
      </c>
      <c r="AQ85" s="101">
        <f>AQ84/74-1</f>
        <v>9.4594594594594517E-2</v>
      </c>
      <c r="AR85" s="13">
        <f>-AQ85/AP85</f>
        <v>-9.5890410958904035E-2</v>
      </c>
      <c r="AS85" s="141" t="s">
        <v>28</v>
      </c>
      <c r="AT85" s="101">
        <f>AT84/82-1</f>
        <v>0.97560975609756095</v>
      </c>
      <c r="AU85" s="101">
        <f>AU84/82-1</f>
        <v>3.6585365853658569E-2</v>
      </c>
      <c r="AV85" s="84">
        <f>+AU85/AT85</f>
        <v>3.7500000000000033E-2</v>
      </c>
      <c r="AW85" s="151" t="s">
        <v>28</v>
      </c>
      <c r="AX85" s="104">
        <f>AX84/93-1</f>
        <v>0.87096774193548376</v>
      </c>
      <c r="AY85" s="104">
        <f>AY84/93-1</f>
        <v>-1.0752688172043001E-2</v>
      </c>
      <c r="AZ85" s="80">
        <f t="shared" si="51"/>
        <v>-1.234567901234567E-2</v>
      </c>
      <c r="BA85" s="239" t="str">
        <f t="shared" si="76"/>
        <v>revisar</v>
      </c>
      <c r="BD85" s="9" t="str">
        <f t="shared" si="77"/>
        <v>Crecimiento de nuevas empresas afiliadas</v>
      </c>
      <c r="BE85" s="9" t="str">
        <f t="shared" si="78"/>
        <v>Incumple</v>
      </c>
      <c r="BF85" t="s">
        <v>87</v>
      </c>
      <c r="BG85" s="81">
        <f t="shared" si="79"/>
        <v>-1.234567901234567E-2</v>
      </c>
    </row>
    <row r="86" spans="1:59" ht="14.25" customHeight="1" x14ac:dyDescent="0.25">
      <c r="A86" s="665"/>
      <c r="B86" s="82" t="s">
        <v>65</v>
      </c>
      <c r="C86" s="100">
        <v>346083713</v>
      </c>
      <c r="D86" s="100">
        <v>297600027</v>
      </c>
      <c r="E86" s="93">
        <f t="shared" si="72"/>
        <v>0.85990763454390007</v>
      </c>
      <c r="F86" s="101">
        <f>D86/266661572-1</f>
        <v>0.11602142283928329</v>
      </c>
      <c r="G86" s="100">
        <v>612110302</v>
      </c>
      <c r="H86" s="100">
        <v>574303525</v>
      </c>
      <c r="I86" s="74">
        <f t="shared" si="73"/>
        <v>0.93823535255578827</v>
      </c>
      <c r="J86" s="101">
        <f>H86/513983341-1</f>
        <v>0.11735824721992305</v>
      </c>
      <c r="K86" s="100">
        <v>909067451</v>
      </c>
      <c r="L86" s="100">
        <v>877277997</v>
      </c>
      <c r="M86" s="93">
        <f t="shared" si="74"/>
        <v>0.9650306982556347</v>
      </c>
      <c r="N86" s="101">
        <f>L86/794110720-1</f>
        <v>0.10473007718621408</v>
      </c>
      <c r="O86" s="27"/>
      <c r="P86" s="118">
        <v>1247818240</v>
      </c>
      <c r="Q86" s="118">
        <v>1178980775</v>
      </c>
      <c r="R86" s="74">
        <f>+Q86/P86</f>
        <v>0.94483374036911016</v>
      </c>
      <c r="S86" s="159">
        <f>Q86/1091074342-1</f>
        <v>8.056869235772024E-2</v>
      </c>
      <c r="T86" s="118">
        <v>1583352312</v>
      </c>
      <c r="U86" s="118">
        <v>1493815312</v>
      </c>
      <c r="V86" s="74">
        <f>+U86/T86</f>
        <v>0.94345099361562679</v>
      </c>
      <c r="W86" s="159">
        <f>U86/1367787644-1</f>
        <v>9.2139791255491099E-2</v>
      </c>
      <c r="X86" s="118">
        <v>1889932583.1302607</v>
      </c>
      <c r="Y86" s="118">
        <v>1818394386</v>
      </c>
      <c r="Z86" s="74">
        <f>+Y86/X86</f>
        <v>0.96214775184637891</v>
      </c>
      <c r="AA86" s="159">
        <f>Y86/1651052012-1</f>
        <v>0.10135499837905781</v>
      </c>
      <c r="AC86" s="118">
        <v>2205919105.6908512</v>
      </c>
      <c r="AD86" s="118">
        <v>2154759504</v>
      </c>
      <c r="AE86" s="74">
        <f>+AD86/AC86</f>
        <v>0.97680803364054958</v>
      </c>
      <c r="AF86" s="159">
        <f>AD86/1940994956-1</f>
        <v>0.11013142890413574</v>
      </c>
      <c r="AG86" s="118">
        <v>2517158857.544394</v>
      </c>
      <c r="AH86" s="118">
        <v>2499204805</v>
      </c>
      <c r="AI86" s="74">
        <f>+AH86/AG86</f>
        <v>0.99286733433983221</v>
      </c>
      <c r="AJ86" s="159">
        <f>AH86/2240367653-1</f>
        <v>0.11553333742048988</v>
      </c>
      <c r="AK86" s="118">
        <v>2843933088.2152901</v>
      </c>
      <c r="AL86" s="118">
        <v>2856686839</v>
      </c>
      <c r="AM86" s="74">
        <f>+AL86/AK86</f>
        <v>1.00448454671369</v>
      </c>
      <c r="AN86" s="159">
        <f>AL86/2545091118-1</f>
        <v>0.12243008464265137</v>
      </c>
      <c r="AP86" s="118">
        <v>3175696971.5065084</v>
      </c>
      <c r="AQ86" s="118">
        <v>3201230205.8849616</v>
      </c>
      <c r="AR86" s="13">
        <f>+AQ86/AP86</f>
        <v>1.0080401986107448</v>
      </c>
      <c r="AS86" s="159">
        <f>AQ86/2860834192-1</f>
        <v>0.11898488029709675</v>
      </c>
      <c r="AT86" s="118">
        <v>3489009665.160183</v>
      </c>
      <c r="AU86" s="118">
        <v>3551020198.2052827</v>
      </c>
      <c r="AV86" s="74">
        <f>+AU86/AT86</f>
        <v>1.0177731044038976</v>
      </c>
      <c r="AW86" s="160">
        <f>AU86/3177026972-1</f>
        <v>0.11771798901973018</v>
      </c>
      <c r="AX86" s="121">
        <v>3780138069.0634737</v>
      </c>
      <c r="AY86" s="121">
        <v>3908395500.8485985</v>
      </c>
      <c r="AZ86" s="80">
        <f t="shared" si="51"/>
        <v>1.0339292982007138</v>
      </c>
      <c r="BA86" s="239" t="str">
        <f t="shared" si="76"/>
        <v>cumple</v>
      </c>
      <c r="BD86" s="9" t="str">
        <f t="shared" si="77"/>
        <v>Cumplimiento de aportes totales región</v>
      </c>
      <c r="BE86" s="9" t="str">
        <f t="shared" si="78"/>
        <v>Sobresaliente</v>
      </c>
      <c r="BF86" t="s">
        <v>87</v>
      </c>
      <c r="BG86" s="81">
        <f t="shared" si="79"/>
        <v>1.0339292982007138</v>
      </c>
    </row>
    <row r="87" spans="1:59" ht="14.25" customHeight="1" x14ac:dyDescent="0.25">
      <c r="A87" s="665"/>
      <c r="B87" s="82" t="s">
        <v>66</v>
      </c>
      <c r="C87" s="101">
        <f>C86/266661572-1</f>
        <v>0.29783871895872571</v>
      </c>
      <c r="D87" s="101">
        <f>D86/266661572-1</f>
        <v>0.11602142283928329</v>
      </c>
      <c r="E87" s="93">
        <f t="shared" si="72"/>
        <v>0.38954445964885265</v>
      </c>
      <c r="F87" s="83" t="s">
        <v>28</v>
      </c>
      <c r="G87" s="101">
        <f>G86/513983341-1</f>
        <v>0.19091467207689128</v>
      </c>
      <c r="H87" s="101">
        <f>H86/513983341-1</f>
        <v>0.11735824721992305</v>
      </c>
      <c r="I87" s="93">
        <f t="shared" si="73"/>
        <v>0.61471570489174754</v>
      </c>
      <c r="J87" s="83" t="s">
        <v>28</v>
      </c>
      <c r="K87" s="101">
        <f>K86/794110720-1</f>
        <v>0.14476159067591987</v>
      </c>
      <c r="L87" s="101">
        <f>L86/794110720-1</f>
        <v>0.10473007718621408</v>
      </c>
      <c r="M87" s="93">
        <f t="shared" si="74"/>
        <v>0.72346591866812937</v>
      </c>
      <c r="N87" s="83" t="s">
        <v>28</v>
      </c>
      <c r="O87" s="27"/>
      <c r="P87" s="101">
        <f>P86/1091074342-1</f>
        <v>0.14366014483731671</v>
      </c>
      <c r="Q87" s="101">
        <f>Q86/1091074342-1</f>
        <v>8.056869235772024E-2</v>
      </c>
      <c r="R87" s="84">
        <f>Q87/P87</f>
        <v>0.56082842216926387</v>
      </c>
      <c r="S87" s="141" t="s">
        <v>28</v>
      </c>
      <c r="T87" s="101">
        <f>T86/1367787644-1</f>
        <v>0.15760097625212932</v>
      </c>
      <c r="U87" s="101">
        <f>U86/1367787644-1</f>
        <v>9.2139791255491099E-2</v>
      </c>
      <c r="V87" s="84">
        <f>U87/T87</f>
        <v>0.58463972398296749</v>
      </c>
      <c r="W87" s="141" t="s">
        <v>28</v>
      </c>
      <c r="X87" s="101">
        <f>X86/1651052012-1</f>
        <v>0.14468385574412834</v>
      </c>
      <c r="Y87" s="101">
        <f>Y86/1651052012-1</f>
        <v>0.10135499837905781</v>
      </c>
      <c r="Z87" s="84">
        <f>Y87/X87</f>
        <v>0.70052735225900331</v>
      </c>
      <c r="AA87" s="141" t="s">
        <v>28</v>
      </c>
      <c r="AC87" s="101">
        <f>AC86/1940994956-1</f>
        <v>0.13648883984572868</v>
      </c>
      <c r="AD87" s="101">
        <f>AD86/1940994956-1</f>
        <v>0.11013142890413574</v>
      </c>
      <c r="AE87" s="84">
        <f>AD87/AC87</f>
        <v>0.80688962576438972</v>
      </c>
      <c r="AF87" s="141" t="s">
        <v>28</v>
      </c>
      <c r="AG87" s="101">
        <f>AG86/2240367653-1</f>
        <v>0.12354722412357289</v>
      </c>
      <c r="AH87" s="101">
        <f>AH86/2240367653-1</f>
        <v>0.11553333742048988</v>
      </c>
      <c r="AI87" s="84">
        <f>AH87/AG87</f>
        <v>0.93513503229285466</v>
      </c>
      <c r="AJ87" s="141" t="s">
        <v>28</v>
      </c>
      <c r="AK87" s="101">
        <f>AK86/2545091118-1</f>
        <v>0.11741896708599109</v>
      </c>
      <c r="AL87" s="101">
        <f>AL86/2545091118-1</f>
        <v>0.12243008464265137</v>
      </c>
      <c r="AM87" s="84">
        <f>AL87/AK87</f>
        <v>1.0426772410030691</v>
      </c>
      <c r="AN87" s="141" t="s">
        <v>28</v>
      </c>
      <c r="AP87" s="101">
        <f>AP86/2860834192-1</f>
        <v>0.11005977920250909</v>
      </c>
      <c r="AQ87" s="101">
        <f>AQ86/2860834192-1</f>
        <v>0.11898488029709675</v>
      </c>
      <c r="AR87" s="13">
        <f>AQ87/AP87</f>
        <v>1.0810932127908921</v>
      </c>
      <c r="AS87" s="141" t="s">
        <v>28</v>
      </c>
      <c r="AT87" s="101">
        <f>AT86/3177026972-1</f>
        <v>9.8199573346330116E-2</v>
      </c>
      <c r="AU87" s="101">
        <f>AU86/3177026972-1</f>
        <v>0.11771798901973018</v>
      </c>
      <c r="AV87" s="84">
        <f>AU87/AT87</f>
        <v>1.1987627339740321</v>
      </c>
      <c r="AW87" s="151" t="s">
        <v>28</v>
      </c>
      <c r="AX87" s="104">
        <f>AX86/3491325430-1</f>
        <v>8.2722921381600756E-2</v>
      </c>
      <c r="AY87" s="104">
        <f>AY86/3491325430-1</f>
        <v>0.11945895024990505</v>
      </c>
      <c r="AZ87" s="80">
        <f t="shared" si="51"/>
        <v>1.444085245718548</v>
      </c>
      <c r="BA87" s="239" t="str">
        <f t="shared" si="76"/>
        <v>cumple</v>
      </c>
      <c r="BD87" s="9" t="str">
        <f t="shared" si="77"/>
        <v>Crecimiento de aportes totales región</v>
      </c>
      <c r="BE87" s="9" t="str">
        <f t="shared" si="78"/>
        <v>Sobresaliente</v>
      </c>
      <c r="BF87" t="s">
        <v>87</v>
      </c>
      <c r="BG87" s="81">
        <f t="shared" si="79"/>
        <v>1.444085245718548</v>
      </c>
    </row>
    <row r="88" spans="1:59" ht="14.25" customHeight="1" x14ac:dyDescent="0.25">
      <c r="A88" s="665"/>
      <c r="B88" s="82" t="s">
        <v>67</v>
      </c>
      <c r="C88" s="163">
        <v>3190108.2569877482</v>
      </c>
      <c r="D88" s="100">
        <v>8800</v>
      </c>
      <c r="E88" s="117">
        <f t="shared" si="72"/>
        <v>2.7585270752878395E-3</v>
      </c>
      <c r="F88" s="101">
        <f>D88/97400-1</f>
        <v>-0.90965092402464065</v>
      </c>
      <c r="G88" s="100">
        <v>9942436.691591464</v>
      </c>
      <c r="H88" s="100">
        <v>218500</v>
      </c>
      <c r="I88" s="101">
        <f t="shared" si="73"/>
        <v>2.1976504027910002E-2</v>
      </c>
      <c r="J88" s="101">
        <f>H88/2522700-1</f>
        <v>-0.91338645102469573</v>
      </c>
      <c r="K88" s="100">
        <v>19708682.291602857</v>
      </c>
      <c r="L88" s="100">
        <v>2542300</v>
      </c>
      <c r="M88" s="93">
        <f t="shared" si="74"/>
        <v>0.12899391052050091</v>
      </c>
      <c r="N88" s="101">
        <f>L88/5389000-1</f>
        <v>-0.52824271664501765</v>
      </c>
      <c r="O88" s="27"/>
      <c r="P88" s="118">
        <v>32721526.50108362</v>
      </c>
      <c r="Q88" s="118">
        <v>5828300</v>
      </c>
      <c r="R88" s="74">
        <f>+Q88/P88</f>
        <v>0.17811821828688179</v>
      </c>
      <c r="S88" s="141">
        <f>Q88/8505600-1</f>
        <v>-0.31476909330323555</v>
      </c>
      <c r="T88" s="118">
        <v>48690124.378936455</v>
      </c>
      <c r="U88" s="118">
        <v>24580100</v>
      </c>
      <c r="V88" s="74">
        <f>+U88/T88</f>
        <v>0.50482721729569968</v>
      </c>
      <c r="W88" s="141">
        <f>U88/11789200-1</f>
        <v>1.084967597462084</v>
      </c>
      <c r="X88" s="118">
        <v>67210399.703910649</v>
      </c>
      <c r="Y88" s="118">
        <v>50907100</v>
      </c>
      <c r="Z88" s="74">
        <f>+Y88/X88</f>
        <v>0.75742891314836147</v>
      </c>
      <c r="AA88" s="141">
        <f>Y88/14554900-1</f>
        <v>2.4975918762753437</v>
      </c>
      <c r="AB88" t="s">
        <v>77</v>
      </c>
      <c r="AC88" s="118">
        <v>88553220.312496498</v>
      </c>
      <c r="AD88" s="118">
        <v>89313800</v>
      </c>
      <c r="AE88" s="74">
        <f>+AD88/AC88</f>
        <v>1.0085889557129541</v>
      </c>
      <c r="AF88" s="141">
        <f>AD88/20351400-1</f>
        <v>3.3885826036538029</v>
      </c>
      <c r="AG88" s="118">
        <v>113505216.9006246</v>
      </c>
      <c r="AH88" s="118">
        <v>135314700</v>
      </c>
      <c r="AI88" s="74">
        <f>+AH88/AG88</f>
        <v>1.1921452043783143</v>
      </c>
      <c r="AJ88" s="141">
        <f>AH88/23888600-1</f>
        <v>4.6644047788484881</v>
      </c>
      <c r="AK88" s="118">
        <v>141810308.26223302</v>
      </c>
      <c r="AL88" s="118">
        <v>184918500</v>
      </c>
      <c r="AM88" s="74">
        <f>+AL88/AK88</f>
        <v>1.3039848954989373</v>
      </c>
      <c r="AN88" s="141">
        <f>AL88/14554900-1</f>
        <v>11.704896632749108</v>
      </c>
      <c r="AP88" s="118">
        <v>173503302.29514074</v>
      </c>
      <c r="AQ88" s="118">
        <v>225395900</v>
      </c>
      <c r="AR88" s="13">
        <f>+AQ88/AP88</f>
        <v>1.2990870895159474</v>
      </c>
      <c r="AS88" s="141">
        <f>AQ88/34328800-1</f>
        <v>5.5657960662767119</v>
      </c>
      <c r="AT88" s="118">
        <v>208357486.30825615</v>
      </c>
      <c r="AU88" s="118">
        <v>268672300</v>
      </c>
      <c r="AV88" s="74">
        <f>+AU88/AT88</f>
        <v>1.2894775453496814</v>
      </c>
      <c r="AW88" s="151">
        <f>AU88/42147600-1</f>
        <v>5.3745575074262826</v>
      </c>
      <c r="AX88" s="121">
        <v>245812999.99999997</v>
      </c>
      <c r="AY88" s="121">
        <v>322791200</v>
      </c>
      <c r="AZ88" s="80">
        <f t="shared" si="51"/>
        <v>1.3131575628628267</v>
      </c>
      <c r="BA88" s="239" t="str">
        <f t="shared" si="76"/>
        <v>cumple</v>
      </c>
      <c r="BD88" s="9" t="str">
        <f t="shared" si="77"/>
        <v>Cumplimiento de nuevos aportes</v>
      </c>
      <c r="BE88" s="9" t="str">
        <f t="shared" si="78"/>
        <v>Sobresaliente</v>
      </c>
      <c r="BF88" t="s">
        <v>87</v>
      </c>
      <c r="BG88" s="81">
        <f t="shared" si="79"/>
        <v>1.3131575628628267</v>
      </c>
    </row>
    <row r="89" spans="1:59" ht="14.25" customHeight="1" x14ac:dyDescent="0.25">
      <c r="A89" s="665"/>
      <c r="B89" s="82" t="s">
        <v>68</v>
      </c>
      <c r="C89" s="108">
        <v>4492</v>
      </c>
      <c r="D89" s="108">
        <v>4927</v>
      </c>
      <c r="E89" s="93">
        <f t="shared" si="72"/>
        <v>1.0968388245770258</v>
      </c>
      <c r="F89" s="106">
        <f>+D89/4106-1</f>
        <v>0.19995129079396001</v>
      </c>
      <c r="G89" s="108">
        <v>5094.6601059633522</v>
      </c>
      <c r="H89" s="108">
        <v>5045</v>
      </c>
      <c r="I89" s="93">
        <f t="shared" si="73"/>
        <v>0.99025251833675332</v>
      </c>
      <c r="J89" s="101">
        <f>H89/4823-1</f>
        <v>4.6029442255857367E-2</v>
      </c>
      <c r="K89" s="108">
        <v>5336.3669963494249</v>
      </c>
      <c r="L89" s="108">
        <v>4892</v>
      </c>
      <c r="M89" s="93">
        <f t="shared" si="74"/>
        <v>0.91672855396688169</v>
      </c>
      <c r="N89" s="101">
        <f>L89/4773-1</f>
        <v>2.4931908652838786E-2</v>
      </c>
      <c r="O89" s="27"/>
      <c r="P89" s="118">
        <v>5317.6151631018092</v>
      </c>
      <c r="Q89" s="118">
        <v>5288</v>
      </c>
      <c r="R89" s="74">
        <f>+Q89/P89</f>
        <v>0.99443074344542559</v>
      </c>
      <c r="S89" s="159">
        <f>Q89/4769-1</f>
        <v>0.10882784650870203</v>
      </c>
      <c r="T89" s="118">
        <v>5192.1026912008283</v>
      </c>
      <c r="U89" s="118">
        <v>5404</v>
      </c>
      <c r="V89" s="74">
        <f>+U89/T89</f>
        <v>1.0408114633707608</v>
      </c>
      <c r="W89" s="159">
        <f>U89/4958-1</f>
        <v>8.9955627269060034E-2</v>
      </c>
      <c r="X89" s="118">
        <v>5275</v>
      </c>
      <c r="Y89" s="118">
        <v>5559</v>
      </c>
      <c r="Z89" s="74">
        <f>+Y89/X89</f>
        <v>1.0538388625592416</v>
      </c>
      <c r="AA89" s="159">
        <f>Y89/5204-1</f>
        <v>6.8216756341275886E-2</v>
      </c>
      <c r="AC89" s="118">
        <v>5375</v>
      </c>
      <c r="AD89" s="118">
        <v>5662</v>
      </c>
      <c r="AE89" s="74">
        <f>+AD89/AC89</f>
        <v>1.0533953488372092</v>
      </c>
      <c r="AF89" s="159">
        <f>AD89/5410-1</f>
        <v>4.658040665434382E-2</v>
      </c>
      <c r="AG89" s="118">
        <v>5291</v>
      </c>
      <c r="AH89" s="118">
        <v>5597</v>
      </c>
      <c r="AI89" s="74">
        <f>+AH89/AG89</f>
        <v>1.0578340578340579</v>
      </c>
      <c r="AJ89" s="159">
        <f>AH89/5440-1</f>
        <v>2.8860294117647012E-2</v>
      </c>
      <c r="AK89" s="118">
        <v>5492.1929769203171</v>
      </c>
      <c r="AL89" s="118">
        <v>5490</v>
      </c>
      <c r="AM89" s="74">
        <f>+AL89/AK89</f>
        <v>0.99960071014810792</v>
      </c>
      <c r="AN89" s="159">
        <f>AL89/5605-1</f>
        <v>-2.0517395182872433E-2</v>
      </c>
      <c r="AP89" s="118">
        <v>5363.7726954042391</v>
      </c>
      <c r="AQ89" s="118">
        <v>5705</v>
      </c>
      <c r="AR89" s="13">
        <f>+AQ89/AP89</f>
        <v>1.06361703300517</v>
      </c>
      <c r="AS89" s="159">
        <f>AQ89/5629-1</f>
        <v>1.3501510037306819E-2</v>
      </c>
      <c r="AT89" s="118">
        <v>5341</v>
      </c>
      <c r="AU89" s="118">
        <v>5764</v>
      </c>
      <c r="AV89" s="74">
        <f>+AU89/AT89</f>
        <v>1.0791986519378394</v>
      </c>
      <c r="AW89" s="160">
        <f>AU89/5699-1</f>
        <v>1.140550973855059E-2</v>
      </c>
      <c r="AX89" s="121">
        <v>5204.2394084423531</v>
      </c>
      <c r="AY89" s="121">
        <v>5701</v>
      </c>
      <c r="AZ89" s="80">
        <f t="shared" si="51"/>
        <v>1.0954530628917261</v>
      </c>
      <c r="BA89" s="239" t="str">
        <f t="shared" si="76"/>
        <v>cumple</v>
      </c>
      <c r="BD89" s="9" t="str">
        <f t="shared" si="77"/>
        <v>Cumplimiento afiliados totales región</v>
      </c>
      <c r="BE89" s="9" t="str">
        <f t="shared" si="78"/>
        <v>Sobresaliente</v>
      </c>
      <c r="BF89" t="s">
        <v>87</v>
      </c>
      <c r="BG89" s="81">
        <f t="shared" si="79"/>
        <v>1.0954530628917261</v>
      </c>
    </row>
    <row r="90" spans="1:59" ht="14.25" customHeight="1" x14ac:dyDescent="0.25">
      <c r="A90" s="665"/>
      <c r="B90" s="82" t="s">
        <v>69</v>
      </c>
      <c r="C90" s="101">
        <f>C89/4106-1</f>
        <v>9.40087676570871E-2</v>
      </c>
      <c r="D90" s="101">
        <f>D89/4106-1</f>
        <v>0.19995129079396001</v>
      </c>
      <c r="E90" s="93">
        <f t="shared" si="72"/>
        <v>2.1269430051813485</v>
      </c>
      <c r="F90" s="83" t="s">
        <v>28</v>
      </c>
      <c r="G90" s="101">
        <f>G89/4823-1</f>
        <v>5.6325960183154056E-2</v>
      </c>
      <c r="H90" s="101">
        <f>H89/4823-1</f>
        <v>4.6029442255857367E-2</v>
      </c>
      <c r="I90" s="93">
        <f t="shared" si="73"/>
        <v>0.81719764929322647</v>
      </c>
      <c r="J90" s="83" t="s">
        <v>28</v>
      </c>
      <c r="K90" s="101">
        <f>K89/4773-1</f>
        <v>0.11803205454628629</v>
      </c>
      <c r="L90" s="101">
        <f>L89/4773-1</f>
        <v>2.4931908652838786E-2</v>
      </c>
      <c r="M90" s="93">
        <f t="shared" si="74"/>
        <v>0.21122998111552599</v>
      </c>
      <c r="N90" s="83" t="s">
        <v>28</v>
      </c>
      <c r="O90" s="27"/>
      <c r="P90" s="101">
        <f>P89/4769-1</f>
        <v>0.11503777796221626</v>
      </c>
      <c r="Q90" s="101">
        <f>Q89/4769-1</f>
        <v>0.10882784650870203</v>
      </c>
      <c r="R90" s="84">
        <f>Q90/P90</f>
        <v>0.94601832925220564</v>
      </c>
      <c r="S90" s="141" t="s">
        <v>28</v>
      </c>
      <c r="T90" s="101">
        <f>T89/4958-1</f>
        <v>4.7217162404362245E-2</v>
      </c>
      <c r="U90" s="101">
        <f>U89/4958-1</f>
        <v>8.9955627269060034E-2</v>
      </c>
      <c r="V90" s="84">
        <f>+U90/T90</f>
        <v>1.9051468298473886</v>
      </c>
      <c r="W90" s="141" t="s">
        <v>28</v>
      </c>
      <c r="X90" s="101">
        <f>X89/5204-1</f>
        <v>1.3643351268255222E-2</v>
      </c>
      <c r="Y90" s="101">
        <f>Y89/5204-1</f>
        <v>6.8216756341275886E-2</v>
      </c>
      <c r="Z90" s="84">
        <f>+Y90/X90</f>
        <v>4.999999999999984</v>
      </c>
      <c r="AA90" s="141" t="s">
        <v>28</v>
      </c>
      <c r="AC90" s="101">
        <f>AC89/5410-1</f>
        <v>-6.4695009242143886E-3</v>
      </c>
      <c r="AD90" s="101">
        <f>AD89/5410-1</f>
        <v>4.658040665434382E-2</v>
      </c>
      <c r="AE90" s="84">
        <f>AD90/AC90</f>
        <v>-7.2000000000000339</v>
      </c>
      <c r="AF90" s="141" t="s">
        <v>28</v>
      </c>
      <c r="AG90" s="101">
        <f>AG89/5440-1</f>
        <v>-2.7389705882352899E-2</v>
      </c>
      <c r="AH90" s="101">
        <f>AH89/5440-1</f>
        <v>2.8860294117647012E-2</v>
      </c>
      <c r="AI90" s="84">
        <f>+AH90/AG90</f>
        <v>-1.0536912751677852</v>
      </c>
      <c r="AJ90" s="141" t="s">
        <v>28</v>
      </c>
      <c r="AK90" s="101">
        <f>AK89/5605-1</f>
        <v>-2.0126141495037109E-2</v>
      </c>
      <c r="AL90" s="101">
        <f>AL89/5605-1</f>
        <v>-2.0517395182872433E-2</v>
      </c>
      <c r="AM90" s="84">
        <f>+AL90/AK90</f>
        <v>1.0194400743894105</v>
      </c>
      <c r="AN90" s="141" t="s">
        <v>28</v>
      </c>
      <c r="AP90" s="101">
        <f>AP89/5629-1</f>
        <v>-4.7118014673256492E-2</v>
      </c>
      <c r="AQ90" s="101">
        <f>AQ89/5629-1</f>
        <v>1.3501510037306819E-2</v>
      </c>
      <c r="AR90" s="13">
        <f>AQ90/AP90</f>
        <v>-0.28654666651245986</v>
      </c>
      <c r="AS90" s="141" t="s">
        <v>28</v>
      </c>
      <c r="AT90" s="101">
        <f>AT89/5699-1</f>
        <v>-6.2818038252325015E-2</v>
      </c>
      <c r="AU90" s="101">
        <f>AU89/5699-1</f>
        <v>1.140550973855059E-2</v>
      </c>
      <c r="AV90" s="84">
        <f>+AU90/AT90</f>
        <v>-0.1815642458100552</v>
      </c>
      <c r="AW90" s="151" t="s">
        <v>28</v>
      </c>
      <c r="AX90" s="104">
        <f>AX89/5571-1</f>
        <v>-6.5833888270983132E-2</v>
      </c>
      <c r="AY90" s="104">
        <f>AY89/5571-1</f>
        <v>2.3335128343205946E-2</v>
      </c>
      <c r="AZ90" s="80">
        <f t="shared" si="51"/>
        <v>2.3544546578679162</v>
      </c>
      <c r="BA90" s="239" t="str">
        <f t="shared" si="76"/>
        <v>cumple</v>
      </c>
      <c r="BD90" s="9" t="str">
        <f t="shared" si="77"/>
        <v>Crecimiento afiliados totales región</v>
      </c>
      <c r="BE90" s="9" t="str">
        <f t="shared" si="78"/>
        <v>Sobresaliente</v>
      </c>
      <c r="BF90" t="s">
        <v>87</v>
      </c>
      <c r="BG90" s="81">
        <f t="shared" si="79"/>
        <v>2.3544546578679162</v>
      </c>
    </row>
    <row r="91" spans="1:59" ht="14.25" customHeight="1" x14ac:dyDescent="0.25">
      <c r="A91" s="665"/>
      <c r="B91" s="82" t="s">
        <v>70</v>
      </c>
      <c r="C91" s="162">
        <v>86</v>
      </c>
      <c r="D91" s="83">
        <v>37</v>
      </c>
      <c r="E91" s="93">
        <f t="shared" si="72"/>
        <v>0.43023255813953487</v>
      </c>
      <c r="F91" s="101">
        <f>D91/32-1</f>
        <v>0.15625</v>
      </c>
      <c r="G91" s="83">
        <v>181</v>
      </c>
      <c r="H91" s="83">
        <v>55</v>
      </c>
      <c r="I91" s="93">
        <f t="shared" si="73"/>
        <v>0.30386740331491713</v>
      </c>
      <c r="J91" s="101">
        <f>H91/61-1</f>
        <v>-9.8360655737704916E-2</v>
      </c>
      <c r="K91" s="83">
        <v>262</v>
      </c>
      <c r="L91" s="83">
        <v>74</v>
      </c>
      <c r="M91" s="93">
        <f t="shared" si="74"/>
        <v>0.28244274809160308</v>
      </c>
      <c r="N91" s="101">
        <f>L91/67-1</f>
        <v>0.10447761194029859</v>
      </c>
      <c r="O91" s="27"/>
      <c r="P91" s="118">
        <v>349</v>
      </c>
      <c r="Q91" s="118">
        <v>71</v>
      </c>
      <c r="R91" s="74">
        <f>+Q91/P91</f>
        <v>0.20343839541547279</v>
      </c>
      <c r="S91" s="159">
        <f>Q91/69-1</f>
        <v>2.8985507246376718E-2</v>
      </c>
      <c r="T91" s="118">
        <v>428</v>
      </c>
      <c r="U91" s="118">
        <v>547</v>
      </c>
      <c r="V91" s="74">
        <f>+U91/T91</f>
        <v>1.27803738317757</v>
      </c>
      <c r="W91" s="159">
        <f>U91/70-1</f>
        <v>6.8142857142857141</v>
      </c>
      <c r="X91" s="118">
        <v>497</v>
      </c>
      <c r="Y91" s="118">
        <v>694</v>
      </c>
      <c r="Z91" s="74">
        <f>+Y91/X91</f>
        <v>1.3963782696177063</v>
      </c>
      <c r="AA91" s="159">
        <f>Y91/92-1</f>
        <v>6.5434782608695654</v>
      </c>
      <c r="AB91" t="s">
        <v>77</v>
      </c>
      <c r="AC91" s="118">
        <v>572</v>
      </c>
      <c r="AD91" s="118">
        <v>891</v>
      </c>
      <c r="AE91" s="74">
        <f>+AD91/AC91</f>
        <v>1.5576923076923077</v>
      </c>
      <c r="AF91" s="159">
        <f>AD91/98-1</f>
        <v>8.091836734693878</v>
      </c>
      <c r="AG91" s="118">
        <v>669</v>
      </c>
      <c r="AH91" s="118">
        <v>870</v>
      </c>
      <c r="AI91" s="74">
        <f>+AH91/AG91</f>
        <v>1.3004484304932735</v>
      </c>
      <c r="AJ91" s="159">
        <f>AH91/110-1</f>
        <v>6.9090909090909092</v>
      </c>
      <c r="AK91" s="118">
        <v>759</v>
      </c>
      <c r="AL91" s="118">
        <v>777</v>
      </c>
      <c r="AM91" s="74">
        <f>+AL91/AK91</f>
        <v>1.0237154150197629</v>
      </c>
      <c r="AN91" s="159">
        <f>AL91/150-1</f>
        <v>4.18</v>
      </c>
      <c r="AP91" s="118">
        <v>850</v>
      </c>
      <c r="AQ91" s="118">
        <v>909</v>
      </c>
      <c r="AR91" s="13">
        <f>+AQ91/AP91</f>
        <v>1.0694117647058823</v>
      </c>
      <c r="AS91" s="159">
        <f>AQ91/165-1</f>
        <v>4.5090909090909088</v>
      </c>
      <c r="AT91" s="118">
        <v>935</v>
      </c>
      <c r="AU91" s="118">
        <v>1141</v>
      </c>
      <c r="AV91" s="74">
        <f>+AU91/AT91</f>
        <v>1.2203208556149732</v>
      </c>
      <c r="AW91" s="160">
        <f>AU91/189-1</f>
        <v>5.0370370370370372</v>
      </c>
      <c r="AX91" s="121">
        <v>1004.3124999999998</v>
      </c>
      <c r="AY91" s="121">
        <v>1252</v>
      </c>
      <c r="AZ91" s="80">
        <f t="shared" si="51"/>
        <v>1.2466239342834031</v>
      </c>
      <c r="BA91" s="239" t="str">
        <f t="shared" si="76"/>
        <v>cumple</v>
      </c>
      <c r="BD91" s="9" t="str">
        <f t="shared" si="77"/>
        <v>Cumplimiento de nuevos afiliados región</v>
      </c>
      <c r="BE91" s="9" t="str">
        <f t="shared" si="78"/>
        <v>Sobresaliente</v>
      </c>
      <c r="BF91" t="s">
        <v>87</v>
      </c>
      <c r="BG91" s="81">
        <f t="shared" si="79"/>
        <v>1.2466239342834031</v>
      </c>
    </row>
    <row r="92" spans="1:59" ht="14.25" customHeight="1" x14ac:dyDescent="0.25">
      <c r="A92" s="665"/>
      <c r="B92" s="82" t="s">
        <v>78</v>
      </c>
      <c r="C92" s="108">
        <v>7045</v>
      </c>
      <c r="D92" s="108">
        <v>6385</v>
      </c>
      <c r="E92" s="93">
        <f t="shared" si="72"/>
        <v>0.90631653655074518</v>
      </c>
      <c r="F92" s="84">
        <v>-0.6</v>
      </c>
      <c r="G92" s="108">
        <v>7457</v>
      </c>
      <c r="H92" s="108">
        <v>7463</v>
      </c>
      <c r="I92" s="93">
        <f t="shared" si="73"/>
        <v>1.0008046131151938</v>
      </c>
      <c r="J92" s="84">
        <v>-0.65</v>
      </c>
      <c r="K92" s="108">
        <v>9281</v>
      </c>
      <c r="L92" s="108">
        <v>56609</v>
      </c>
      <c r="M92" s="93">
        <f t="shared" si="74"/>
        <v>6.0994504902488957</v>
      </c>
      <c r="N92" s="84">
        <v>9.2899999999999991</v>
      </c>
      <c r="O92" s="27"/>
      <c r="P92" s="143"/>
      <c r="Q92" s="143"/>
      <c r="R92" s="143"/>
      <c r="S92" s="143"/>
      <c r="T92" s="143"/>
      <c r="U92" s="143"/>
      <c r="V92" s="143"/>
      <c r="W92" s="143"/>
      <c r="X92" s="143"/>
      <c r="Y92" s="143"/>
      <c r="Z92" s="143"/>
      <c r="AA92" s="143"/>
      <c r="AC92" s="143"/>
      <c r="AD92" s="143"/>
      <c r="AE92" s="143"/>
      <c r="AF92" s="143"/>
      <c r="AG92" s="143"/>
      <c r="AH92" s="143"/>
      <c r="AI92" s="143"/>
      <c r="AJ92" s="143"/>
      <c r="AK92" s="143"/>
      <c r="AL92" s="143"/>
      <c r="AM92" s="143"/>
      <c r="AN92" s="143"/>
      <c r="AP92" s="143"/>
      <c r="AQ92" s="143"/>
      <c r="AR92" s="143"/>
      <c r="AS92" s="143"/>
      <c r="AT92" s="143"/>
      <c r="AU92" s="143"/>
      <c r="AV92" s="143"/>
      <c r="AW92" s="143"/>
      <c r="AX92" s="144">
        <v>0.96660202292336805</v>
      </c>
      <c r="AY92" s="144">
        <v>0.78075319638149865</v>
      </c>
      <c r="AZ92" s="80">
        <f t="shared" si="51"/>
        <v>0.80772973557432393</v>
      </c>
      <c r="BA92" s="239" t="str">
        <f t="shared" si="76"/>
        <v>revisar</v>
      </c>
      <c r="BD92" s="9" t="str">
        <f t="shared" si="77"/>
        <v xml:space="preserve">Cumplimiento cobertura región </v>
      </c>
      <c r="BE92" s="9" t="str">
        <f t="shared" si="78"/>
        <v>Tolerable</v>
      </c>
      <c r="BF92" t="s">
        <v>87</v>
      </c>
      <c r="BG92" s="81">
        <f t="shared" si="79"/>
        <v>0.80772973557432393</v>
      </c>
    </row>
    <row r="93" spans="1:59" ht="14.25" customHeight="1" thickBot="1" x14ac:dyDescent="0.3">
      <c r="A93" s="666"/>
      <c r="B93" s="82" t="s">
        <v>79</v>
      </c>
      <c r="C93" s="109">
        <v>2230</v>
      </c>
      <c r="D93" s="109">
        <v>1153</v>
      </c>
      <c r="E93" s="93">
        <f t="shared" si="72"/>
        <v>0.51704035874439458</v>
      </c>
      <c r="F93" s="115">
        <v>-0.31</v>
      </c>
      <c r="G93" s="109">
        <v>1631</v>
      </c>
      <c r="H93" s="109">
        <v>1112</v>
      </c>
      <c r="I93" s="93">
        <f t="shared" si="73"/>
        <v>0.68179031269160029</v>
      </c>
      <c r="J93" s="115">
        <v>-0.16</v>
      </c>
      <c r="K93" s="109">
        <v>1702</v>
      </c>
      <c r="L93" s="109">
        <v>1054</v>
      </c>
      <c r="M93" s="93">
        <f t="shared" si="74"/>
        <v>0.61927144535840184</v>
      </c>
      <c r="N93" s="20">
        <v>1.32</v>
      </c>
      <c r="O93" s="27"/>
      <c r="P93" s="143"/>
      <c r="Q93" s="143"/>
      <c r="R93" s="143"/>
      <c r="S93" s="143"/>
      <c r="T93" s="143"/>
      <c r="U93" s="143"/>
      <c r="V93" s="143"/>
      <c r="W93" s="143"/>
      <c r="X93" s="143"/>
      <c r="Y93" s="143"/>
      <c r="Z93" s="143"/>
      <c r="AA93" s="143"/>
      <c r="AC93" s="143"/>
      <c r="AD93" s="143"/>
      <c r="AE93" s="143"/>
      <c r="AF93" s="143"/>
      <c r="AG93" s="143"/>
      <c r="AH93" s="143"/>
      <c r="AI93" s="143"/>
      <c r="AJ93" s="143"/>
      <c r="AK93" s="143"/>
      <c r="AL93" s="143"/>
      <c r="AM93" s="143"/>
      <c r="AN93" s="143"/>
      <c r="AP93" s="143"/>
      <c r="AQ93" s="143"/>
      <c r="AR93" s="143"/>
      <c r="AS93" s="143"/>
      <c r="AT93" s="143"/>
      <c r="AU93" s="143"/>
      <c r="AV93" s="143"/>
      <c r="AW93" s="143"/>
      <c r="AX93" s="144">
        <v>0.14864481842338353</v>
      </c>
      <c r="AY93" s="144">
        <v>0.10315886948469474</v>
      </c>
      <c r="AZ93" s="80">
        <f t="shared" si="51"/>
        <v>0.69399573142784143</v>
      </c>
      <c r="BA93" s="239" t="str">
        <f t="shared" si="76"/>
        <v>revisar</v>
      </c>
      <c r="BD93" s="9" t="str">
        <f t="shared" si="77"/>
        <v xml:space="preserve">Penetración de Uso en Población A y B región </v>
      </c>
      <c r="BE93" s="9" t="str">
        <f t="shared" si="78"/>
        <v>Incumple</v>
      </c>
      <c r="BF93" t="s">
        <v>87</v>
      </c>
      <c r="BG93" s="81">
        <f t="shared" si="79"/>
        <v>0.69399573142784143</v>
      </c>
    </row>
    <row r="94" spans="1:59" ht="14.25" customHeight="1" thickBot="1" x14ac:dyDescent="0.3">
      <c r="B94"/>
      <c r="C94" s="18"/>
      <c r="D94" s="18"/>
      <c r="E94" s="18"/>
      <c r="F94" s="18"/>
      <c r="G94" s="18"/>
      <c r="H94" s="18"/>
      <c r="I94" s="18"/>
      <c r="J94" s="18"/>
      <c r="K94" s="18"/>
      <c r="L94" s="18"/>
      <c r="M94" s="18"/>
      <c r="N94" s="27"/>
      <c r="O94" s="27"/>
      <c r="P94" s="143"/>
      <c r="Q94" s="143"/>
      <c r="R94" s="143"/>
      <c r="S94" s="143"/>
      <c r="T94" s="143"/>
      <c r="U94" s="143"/>
      <c r="V94" s="143"/>
      <c r="W94" s="143"/>
      <c r="X94" s="143"/>
      <c r="Y94" s="143"/>
      <c r="Z94" s="143"/>
      <c r="AA94" s="143"/>
      <c r="AC94" s="143"/>
      <c r="AD94" s="143"/>
      <c r="AE94" s="143"/>
      <c r="AF94" s="143"/>
      <c r="AG94" s="143"/>
      <c r="AH94" s="143"/>
      <c r="AI94" s="143"/>
      <c r="AJ94" s="143"/>
      <c r="AK94" s="143"/>
      <c r="AL94" s="143"/>
      <c r="AM94" s="143"/>
      <c r="AN94" s="143"/>
      <c r="AP94" s="143"/>
      <c r="AQ94" s="143"/>
      <c r="AR94" s="143"/>
      <c r="AS94" s="143"/>
      <c r="AT94" s="143"/>
      <c r="AU94" s="143"/>
      <c r="AV94" s="143"/>
      <c r="AW94" s="143"/>
      <c r="AX94" s="143"/>
      <c r="AY94" s="143"/>
      <c r="AZ94" s="143"/>
    </row>
    <row r="95" spans="1:59" ht="14.25" customHeight="1" x14ac:dyDescent="0.25">
      <c r="A95" s="651" t="s">
        <v>88</v>
      </c>
      <c r="B95" s="138" t="s">
        <v>59</v>
      </c>
      <c r="C95" s="74">
        <v>4.3075553681853833</v>
      </c>
      <c r="D95" s="74">
        <v>0.27654208596586516</v>
      </c>
      <c r="E95" s="93">
        <f>+D95/C95</f>
        <v>6.4199310822175754E-2</v>
      </c>
      <c r="F95" s="74" t="s">
        <v>28</v>
      </c>
      <c r="G95" s="74">
        <v>1.5685109837774571</v>
      </c>
      <c r="H95" s="74">
        <v>-0.62521615463656532</v>
      </c>
      <c r="I95" s="93">
        <f>+H95/G95</f>
        <v>-0.39860489413395911</v>
      </c>
      <c r="J95" s="74" t="s">
        <v>28</v>
      </c>
      <c r="K95" s="74">
        <v>1.2344428920651938</v>
      </c>
      <c r="L95" s="74">
        <v>-0.57798479895418775</v>
      </c>
      <c r="M95" s="93">
        <f>+L95/K95</f>
        <v>-0.46821509740902867</v>
      </c>
      <c r="N95" s="74" t="s">
        <v>28</v>
      </c>
      <c r="O95" s="27"/>
      <c r="P95" s="143"/>
      <c r="Q95" s="143"/>
      <c r="R95" s="143"/>
      <c r="S95" s="143"/>
      <c r="T95" s="143"/>
      <c r="U95" s="143"/>
      <c r="V95" s="143"/>
      <c r="W95" s="143"/>
      <c r="X95" s="143"/>
      <c r="Y95" s="143"/>
      <c r="Z95" s="143"/>
      <c r="AA95" s="143"/>
      <c r="AC95" s="143"/>
      <c r="AD95" s="143"/>
      <c r="AE95" s="143"/>
      <c r="AF95" s="143"/>
      <c r="AG95" s="143"/>
      <c r="AH95" s="143"/>
      <c r="AI95" s="143"/>
      <c r="AJ95" s="143"/>
      <c r="AK95" s="143"/>
      <c r="AL95" s="143"/>
      <c r="AM95" s="143"/>
      <c r="AN95" s="143"/>
      <c r="AP95" s="143"/>
      <c r="AQ95" s="143"/>
      <c r="AR95" s="13" t="e">
        <f t="shared" ref="AR95" si="80">+IF(AP95&lt;0,1-(AQ95-AP95)/AP95,AQ95/AP95)</f>
        <v>#DIV/0!</v>
      </c>
      <c r="AS95" s="143"/>
      <c r="AT95" s="143"/>
      <c r="AU95" s="143"/>
      <c r="AV95" s="143"/>
      <c r="AW95" s="143"/>
      <c r="AX95" s="144">
        <v>0.71492571720526055</v>
      </c>
      <c r="AY95" s="144">
        <v>0.73595791666979182</v>
      </c>
      <c r="AZ95" s="80">
        <f t="shared" si="51"/>
        <v>1.0294187199570173</v>
      </c>
      <c r="BA95" s="239" t="str">
        <f t="shared" ref="BA95:BA105" si="81">+IF(AY95&gt;=AX95,"cumple","revisar")</f>
        <v>cumple</v>
      </c>
      <c r="BD95" s="9" t="str">
        <f t="shared" si="77"/>
        <v>Crecimiento de ingresos (negocios)</v>
      </c>
      <c r="BE95" s="9" t="str">
        <f t="shared" si="78"/>
        <v>Sobresaliente</v>
      </c>
      <c r="BF95" t="s">
        <v>89</v>
      </c>
      <c r="BG95" s="81">
        <f t="shared" si="79"/>
        <v>1.0294187199570173</v>
      </c>
    </row>
    <row r="96" spans="1:59" ht="14.25" customHeight="1" x14ac:dyDescent="0.25">
      <c r="A96" s="653"/>
      <c r="B96" s="82" t="s">
        <v>62</v>
      </c>
      <c r="C96" s="133">
        <v>10</v>
      </c>
      <c r="D96" s="164">
        <v>15</v>
      </c>
      <c r="E96" s="84">
        <f>+D96/C96</f>
        <v>1.5</v>
      </c>
      <c r="F96" s="101">
        <f>D96/10-1</f>
        <v>0.5</v>
      </c>
      <c r="G96" s="133">
        <v>22</v>
      </c>
      <c r="H96" s="133">
        <v>32</v>
      </c>
      <c r="I96" s="84">
        <f>+H96/G96</f>
        <v>1.4545454545454546</v>
      </c>
      <c r="J96" s="101">
        <f>H96/24-1</f>
        <v>0.33333333333333326</v>
      </c>
      <c r="K96" s="133">
        <v>32</v>
      </c>
      <c r="L96" s="133">
        <v>51</v>
      </c>
      <c r="M96" s="93">
        <f>+L96/K96</f>
        <v>1.59375</v>
      </c>
      <c r="N96" s="101">
        <f>L96/34-1</f>
        <v>0.5</v>
      </c>
      <c r="O96" s="27"/>
      <c r="P96" s="118">
        <v>43</v>
      </c>
      <c r="Q96" s="118">
        <v>65</v>
      </c>
      <c r="R96" s="74">
        <f>+Q96/P96</f>
        <v>1.5116279069767442</v>
      </c>
      <c r="S96" s="141">
        <f>Q96/53-1</f>
        <v>0.22641509433962259</v>
      </c>
      <c r="T96" s="140">
        <v>53</v>
      </c>
      <c r="U96" s="140">
        <v>82</v>
      </c>
      <c r="V96" s="74">
        <f>+U96/T96</f>
        <v>1.5471698113207548</v>
      </c>
      <c r="W96" s="141">
        <f>U96/84-1</f>
        <v>-2.3809523809523836E-2</v>
      </c>
      <c r="X96" s="140">
        <v>61</v>
      </c>
      <c r="Y96" s="140">
        <v>94</v>
      </c>
      <c r="Z96" s="74">
        <f>+Y96/X96</f>
        <v>1.540983606557377</v>
      </c>
      <c r="AA96" s="141">
        <f>Y96/101-1</f>
        <v>-6.9306930693069257E-2</v>
      </c>
      <c r="AB96" t="s">
        <v>63</v>
      </c>
      <c r="AC96" s="118">
        <v>70</v>
      </c>
      <c r="AD96" s="118">
        <v>107</v>
      </c>
      <c r="AE96" s="74">
        <f>+AD96/AC96</f>
        <v>1.5285714285714285</v>
      </c>
      <c r="AF96" s="141">
        <f>AD96/117-1</f>
        <v>-8.54700854700855E-2</v>
      </c>
      <c r="AG96" s="140">
        <v>82</v>
      </c>
      <c r="AH96" s="140">
        <v>116</v>
      </c>
      <c r="AI96" s="74">
        <f>+AH96/AG96</f>
        <v>1.4146341463414633</v>
      </c>
      <c r="AJ96" s="141">
        <f>AH96/126-1</f>
        <v>-7.9365079365079416E-2</v>
      </c>
      <c r="AK96" s="140">
        <v>93</v>
      </c>
      <c r="AL96" s="140">
        <v>137</v>
      </c>
      <c r="AM96" s="74">
        <f>+AL96/AK96</f>
        <v>1.4731182795698925</v>
      </c>
      <c r="AN96" s="141">
        <f>AL96/101-1</f>
        <v>0.35643564356435653</v>
      </c>
      <c r="AP96" s="118">
        <v>104</v>
      </c>
      <c r="AQ96" s="118">
        <v>158</v>
      </c>
      <c r="AR96" s="13">
        <f>+AQ96/AP96</f>
        <v>1.5192307692307692</v>
      </c>
      <c r="AS96" s="141">
        <f>AQ96/162-1</f>
        <v>-2.4691358024691357E-2</v>
      </c>
      <c r="AT96" s="118">
        <v>114</v>
      </c>
      <c r="AU96" s="118">
        <v>167</v>
      </c>
      <c r="AV96" s="74">
        <f>+AU96/AT96</f>
        <v>1.4649122807017543</v>
      </c>
      <c r="AW96" s="151">
        <f>AU96/197-1</f>
        <v>-0.15228426395939088</v>
      </c>
      <c r="AX96" s="121">
        <v>122</v>
      </c>
      <c r="AY96" s="121">
        <v>175</v>
      </c>
      <c r="AZ96" s="80">
        <f t="shared" si="51"/>
        <v>1.4344262295081966</v>
      </c>
      <c r="BA96" s="239" t="str">
        <f t="shared" si="81"/>
        <v>cumple</v>
      </c>
      <c r="BD96" s="9" t="str">
        <f t="shared" si="77"/>
        <v>Cumplimiento de nuevas empresas afiliadas</v>
      </c>
      <c r="BE96" s="9" t="str">
        <f t="shared" si="78"/>
        <v>Sobresaliente</v>
      </c>
      <c r="BF96" t="s">
        <v>89</v>
      </c>
      <c r="BG96" s="81">
        <f t="shared" si="79"/>
        <v>1.4344262295081966</v>
      </c>
    </row>
    <row r="97" spans="1:59" ht="14.25" customHeight="1" x14ac:dyDescent="0.25">
      <c r="A97" s="653"/>
      <c r="B97" s="82" t="s">
        <v>64</v>
      </c>
      <c r="C97" s="101">
        <f>C96/10-1</f>
        <v>0</v>
      </c>
      <c r="D97" s="93">
        <f>D96/10-1</f>
        <v>0.5</v>
      </c>
      <c r="E97" s="84"/>
      <c r="F97" s="74" t="s">
        <v>28</v>
      </c>
      <c r="G97" s="101">
        <f>G96/24-1</f>
        <v>-8.333333333333337E-2</v>
      </c>
      <c r="H97" s="101">
        <f>H96/24-1</f>
        <v>0.33333333333333326</v>
      </c>
      <c r="I97" s="84">
        <f>-H97/G97</f>
        <v>3.9999999999999973</v>
      </c>
      <c r="J97" s="74" t="s">
        <v>28</v>
      </c>
      <c r="K97" s="101">
        <f>K96/34-1</f>
        <v>-5.8823529411764719E-2</v>
      </c>
      <c r="L97" s="117">
        <f>L96/34-1</f>
        <v>0.5</v>
      </c>
      <c r="M97" s="84">
        <f>-L97/K97</f>
        <v>8.4999999999999982</v>
      </c>
      <c r="N97" s="74" t="s">
        <v>28</v>
      </c>
      <c r="O97" s="27"/>
      <c r="P97" s="101">
        <f>P96/53-1</f>
        <v>-0.18867924528301883</v>
      </c>
      <c r="Q97" s="101">
        <f>Q96/53-1</f>
        <v>0.22641509433962259</v>
      </c>
      <c r="R97" s="84">
        <f>Q97/P97</f>
        <v>-1.2</v>
      </c>
      <c r="S97" s="147" t="s">
        <v>28</v>
      </c>
      <c r="T97" s="101">
        <f>T96/84-1</f>
        <v>-0.36904761904761907</v>
      </c>
      <c r="U97" s="101">
        <f>U96/84-1</f>
        <v>-2.3809523809523836E-2</v>
      </c>
      <c r="V97" s="84">
        <f>U97/T97</f>
        <v>6.4516129032258132E-2</v>
      </c>
      <c r="W97" s="147" t="s">
        <v>28</v>
      </c>
      <c r="X97" s="101">
        <f>X96/101-1</f>
        <v>-0.39603960396039606</v>
      </c>
      <c r="Y97" s="101">
        <f>Y96/101-1</f>
        <v>-6.9306930693069257E-2</v>
      </c>
      <c r="Z97" s="84">
        <f>Y97/X97</f>
        <v>0.17499999999999988</v>
      </c>
      <c r="AA97" s="147" t="s">
        <v>28</v>
      </c>
      <c r="AC97" s="101">
        <f>AC96/117-1</f>
        <v>-0.40170940170940173</v>
      </c>
      <c r="AD97" s="101">
        <f>AD96/117-1</f>
        <v>-8.54700854700855E-2</v>
      </c>
      <c r="AE97" s="84">
        <f>AD97/AC97</f>
        <v>0.21276595744680857</v>
      </c>
      <c r="AF97" s="147" t="s">
        <v>28</v>
      </c>
      <c r="AG97" s="101">
        <f>AG96/126-1</f>
        <v>-0.34920634920634919</v>
      </c>
      <c r="AH97" s="101">
        <f>AH96/126-1</f>
        <v>-7.9365079365079416E-2</v>
      </c>
      <c r="AI97" s="84">
        <f>AH97/AG97</f>
        <v>0.22727272727272743</v>
      </c>
      <c r="AJ97" s="147" t="s">
        <v>28</v>
      </c>
      <c r="AK97" s="101">
        <f>AK96/101-1</f>
        <v>-7.9207920792079167E-2</v>
      </c>
      <c r="AL97" s="101">
        <f>AL96/101-1</f>
        <v>0.35643564356435653</v>
      </c>
      <c r="AM97" s="84">
        <f>AL97/AK97</f>
        <v>-4.5000000000000036</v>
      </c>
      <c r="AN97" s="147" t="s">
        <v>28</v>
      </c>
      <c r="AP97" s="101">
        <f>AP96/162-1</f>
        <v>-0.35802469135802473</v>
      </c>
      <c r="AQ97" s="101">
        <f>AQ96/162-1</f>
        <v>-2.4691358024691357E-2</v>
      </c>
      <c r="AR97" s="13">
        <f>AQ97/AP97</f>
        <v>6.8965517241379296E-2</v>
      </c>
      <c r="AS97" s="147" t="s">
        <v>28</v>
      </c>
      <c r="AT97" s="101">
        <f>AT96/197-1</f>
        <v>-0.42131979695431476</v>
      </c>
      <c r="AU97" s="101">
        <f>AU96/197-1</f>
        <v>-0.15228426395939088</v>
      </c>
      <c r="AV97" s="84">
        <f>AU97/AT97</f>
        <v>0.36144578313253012</v>
      </c>
      <c r="AW97" s="148" t="s">
        <v>28</v>
      </c>
      <c r="AX97" s="104">
        <f>AX96/209-1</f>
        <v>-0.41626794258373201</v>
      </c>
      <c r="AY97" s="104">
        <f>AY96/209-1</f>
        <v>-0.16267942583732053</v>
      </c>
      <c r="AZ97" s="80">
        <f t="shared" si="51"/>
        <v>1.6091954022988506</v>
      </c>
      <c r="BA97" s="239" t="str">
        <f t="shared" si="81"/>
        <v>cumple</v>
      </c>
      <c r="BD97" s="9" t="str">
        <f t="shared" si="77"/>
        <v>Crecimiento de nuevas empresas afiliadas</v>
      </c>
      <c r="BE97" s="9" t="str">
        <f t="shared" si="78"/>
        <v>Sobresaliente</v>
      </c>
      <c r="BF97" t="s">
        <v>89</v>
      </c>
      <c r="BG97" s="81">
        <f t="shared" si="79"/>
        <v>1.6091954022988506</v>
      </c>
    </row>
    <row r="98" spans="1:59" ht="14.25" customHeight="1" x14ac:dyDescent="0.25">
      <c r="A98" s="653"/>
      <c r="B98" s="82" t="s">
        <v>65</v>
      </c>
      <c r="C98" s="134">
        <v>317072099.24193347</v>
      </c>
      <c r="D98" s="134">
        <v>318283266</v>
      </c>
      <c r="E98" s="84">
        <f t="shared" ref="E98:E105" si="82">+D98/C98</f>
        <v>1.003819846530055</v>
      </c>
      <c r="F98" s="101">
        <f>D98/300034293-1</f>
        <v>6.0822957327747895E-2</v>
      </c>
      <c r="G98" s="134">
        <v>628291278</v>
      </c>
      <c r="H98" s="134">
        <v>648690848</v>
      </c>
      <c r="I98" s="84">
        <f t="shared" ref="I98:I105" si="83">+H98/G98</f>
        <v>1.0324683323074875</v>
      </c>
      <c r="J98" s="101">
        <f>H98/595884792-1</f>
        <v>8.8617895118222823E-2</v>
      </c>
      <c r="K98" s="134">
        <v>946215293</v>
      </c>
      <c r="L98" s="134">
        <v>1007896387</v>
      </c>
      <c r="M98" s="93">
        <f>+L98/K98</f>
        <v>1.0651871666589097</v>
      </c>
      <c r="N98" s="101">
        <f>L98/916220138-1</f>
        <v>0.10005919450768497</v>
      </c>
      <c r="P98" s="118">
        <v>1272564135</v>
      </c>
      <c r="Q98" s="118">
        <v>1291767422</v>
      </c>
      <c r="R98" s="74">
        <f>+Q98/P98</f>
        <v>1.015090231189016</v>
      </c>
      <c r="S98" s="141">
        <f>Q98/1183342444-1</f>
        <v>9.1626036528780208E-2</v>
      </c>
      <c r="T98" s="118">
        <v>1594306401</v>
      </c>
      <c r="U98" s="118">
        <v>1595979321</v>
      </c>
      <c r="V98" s="74">
        <f>+U98/T98</f>
        <v>1.0010493089652972</v>
      </c>
      <c r="W98" s="141">
        <f>U98/1500676495-1</f>
        <v>6.3506576079210175E-2</v>
      </c>
      <c r="X98" s="118">
        <v>1917043860.0361514</v>
      </c>
      <c r="Y98" s="118">
        <v>1900385896</v>
      </c>
      <c r="Z98" s="74">
        <f>+Y98/X98</f>
        <v>0.9913105983731445</v>
      </c>
      <c r="AA98" s="141">
        <f>Y98/1820774015-1</f>
        <v>4.3724196602179743E-2</v>
      </c>
      <c r="AC98" s="118">
        <v>2254743046.6874018</v>
      </c>
      <c r="AD98" s="118">
        <v>2204857318</v>
      </c>
      <c r="AE98" s="74">
        <f>+AD98/AC98</f>
        <v>0.97787520455570653</v>
      </c>
      <c r="AF98" s="141">
        <f>AD98/2131948582-1</f>
        <v>3.4198168105725957E-2</v>
      </c>
      <c r="AG98" s="118">
        <v>2589924332.6066661</v>
      </c>
      <c r="AH98" s="118">
        <v>2509843435</v>
      </c>
      <c r="AI98" s="74">
        <f>+AH98/AG98</f>
        <v>0.96907983117558205</v>
      </c>
      <c r="AJ98" s="141">
        <f>AH98/2446963384-1</f>
        <v>2.5697176921875897E-2</v>
      </c>
      <c r="AK98" s="118">
        <v>2915407791.665134</v>
      </c>
      <c r="AL98" s="118">
        <v>2818631943</v>
      </c>
      <c r="AM98" s="74">
        <f>+AL98/AK98</f>
        <v>0.96680538175763731</v>
      </c>
      <c r="AN98" s="141">
        <f>AL98/2775145517-1</f>
        <v>1.5669962433901397E-2</v>
      </c>
      <c r="AP98" s="118">
        <v>3252939575.7501216</v>
      </c>
      <c r="AQ98" s="118">
        <v>3131397192.7109103</v>
      </c>
      <c r="AR98" s="13">
        <f>+AQ98/AP98</f>
        <v>0.96263613872655973</v>
      </c>
      <c r="AS98" s="141">
        <f>AQ98/3091182487-1</f>
        <v>1.300948937179669E-2</v>
      </c>
      <c r="AT98" s="118">
        <v>3580794044.2233753</v>
      </c>
      <c r="AU98" s="118">
        <v>3443791158.9919209</v>
      </c>
      <c r="AV98" s="74">
        <f>+AU98/AT98</f>
        <v>0.96173952382084893</v>
      </c>
      <c r="AW98" s="151">
        <f>AU98/3418728084-1</f>
        <v>7.3311109793197105E-3</v>
      </c>
      <c r="AX98" s="121">
        <v>3896959694.5547643</v>
      </c>
      <c r="AY98" s="121">
        <v>3760410299.3792553</v>
      </c>
      <c r="AZ98" s="80">
        <f t="shared" si="51"/>
        <v>0.96496001860981273</v>
      </c>
      <c r="BA98" s="239" t="str">
        <f t="shared" si="81"/>
        <v>revisar</v>
      </c>
      <c r="BD98" s="9" t="str">
        <f t="shared" si="77"/>
        <v>Cumplimiento de aportes totales región</v>
      </c>
      <c r="BE98" s="9" t="str">
        <f t="shared" si="78"/>
        <v>Satisfactorio</v>
      </c>
      <c r="BF98" t="s">
        <v>89</v>
      </c>
      <c r="BG98" s="81">
        <f t="shared" si="79"/>
        <v>0.96496001860981273</v>
      </c>
    </row>
    <row r="99" spans="1:59" ht="14.25" customHeight="1" x14ac:dyDescent="0.25">
      <c r="A99" s="653"/>
      <c r="B99" s="82" t="s">
        <v>66</v>
      </c>
      <c r="C99" s="101">
        <f>C98/300034293-1</f>
        <v>5.6786196243018949E-2</v>
      </c>
      <c r="D99" s="101">
        <f>D98/300034293-1</f>
        <v>6.0822957327747895E-2</v>
      </c>
      <c r="E99" s="84">
        <f t="shared" si="82"/>
        <v>1.0710870132497246</v>
      </c>
      <c r="F99" s="74" t="s">
        <v>28</v>
      </c>
      <c r="G99" s="101">
        <f>G98/595884792-1</f>
        <v>5.4383811157912465E-2</v>
      </c>
      <c r="H99" s="101">
        <f>H98/595884792-1</f>
        <v>8.8617895118222823E-2</v>
      </c>
      <c r="I99" s="84">
        <f t="shared" si="83"/>
        <v>1.629490343383732</v>
      </c>
      <c r="J99" s="74" t="s">
        <v>28</v>
      </c>
      <c r="K99" s="101">
        <f>K98/916220138-1</f>
        <v>3.2737934646880573E-2</v>
      </c>
      <c r="L99" s="117">
        <f>+L98/916220138-1</f>
        <v>0.10005919450768497</v>
      </c>
      <c r="M99" s="84">
        <f>L99/K99</f>
        <v>3.0563685701907612</v>
      </c>
      <c r="N99" s="74" t="s">
        <v>28</v>
      </c>
      <c r="P99" s="101">
        <f>P98/1183342444-1</f>
        <v>7.5398031611549232E-2</v>
      </c>
      <c r="Q99" s="101">
        <f>Q98/1183342444-1</f>
        <v>9.1626036528780208E-2</v>
      </c>
      <c r="R99" s="84">
        <f>Q99/P99</f>
        <v>1.2152311482193285</v>
      </c>
      <c r="S99" s="147" t="s">
        <v>28</v>
      </c>
      <c r="T99" s="101">
        <f>T98/1500676495-1</f>
        <v>6.23917988400291E-2</v>
      </c>
      <c r="U99" s="101">
        <f>U98/1500676495-1</f>
        <v>6.3506576079210175E-2</v>
      </c>
      <c r="V99" s="84">
        <f>U99/T99</f>
        <v>1.017867368146242</v>
      </c>
      <c r="W99" s="147" t="s">
        <v>28</v>
      </c>
      <c r="X99" s="101">
        <f>X98/1820774015-1</f>
        <v>5.2873033250175894E-2</v>
      </c>
      <c r="Y99" s="117">
        <f>Y98/1820774015-1</f>
        <v>4.3724196602179743E-2</v>
      </c>
      <c r="Z99" s="84">
        <f>Y99/X99</f>
        <v>0.82696592032639404</v>
      </c>
      <c r="AA99" s="147" t="s">
        <v>28</v>
      </c>
      <c r="AC99" s="101">
        <f>AC98/2131948582-1</f>
        <v>5.7597291850353782E-2</v>
      </c>
      <c r="AD99" s="101">
        <f>AD98/2131948582-1</f>
        <v>3.4198168105725957E-2</v>
      </c>
      <c r="AE99" s="84">
        <f>AD99/AC99</f>
        <v>0.59374611213627571</v>
      </c>
      <c r="AF99" s="147" t="s">
        <v>28</v>
      </c>
      <c r="AG99" s="101">
        <f>AG98/2446963384-1</f>
        <v>5.842382012801961E-2</v>
      </c>
      <c r="AH99" s="101">
        <f>AH98/2446963384-1</f>
        <v>2.5697176921875897E-2</v>
      </c>
      <c r="AI99" s="84">
        <f>AH99/AG99</f>
        <v>0.43984075100819592</v>
      </c>
      <c r="AJ99" s="147" t="s">
        <v>28</v>
      </c>
      <c r="AK99" s="101">
        <f>AK98/2775145517-1</f>
        <v>5.0542313477226486E-2</v>
      </c>
      <c r="AL99" s="101">
        <f>AL98/2775145517-1</f>
        <v>1.5669962433901397E-2</v>
      </c>
      <c r="AM99" s="84">
        <f>AL99/AK99</f>
        <v>0.31003650913134434</v>
      </c>
      <c r="AN99" s="147" t="s">
        <v>28</v>
      </c>
      <c r="AP99" s="101">
        <f>AP98/3091182487-1</f>
        <v>5.232854722436886E-2</v>
      </c>
      <c r="AQ99" s="101">
        <f>AQ98/3091182487-1</f>
        <v>1.300948937179669E-2</v>
      </c>
      <c r="AR99" s="13">
        <f>AQ99/AP99</f>
        <v>0.24861170550017306</v>
      </c>
      <c r="AS99" s="147" t="s">
        <v>28</v>
      </c>
      <c r="AT99" s="101">
        <f>AT98/3418728084-1</f>
        <v>4.7405337962343586E-2</v>
      </c>
      <c r="AU99" s="101">
        <f>AU98/3418728084-1</f>
        <v>7.3311109793197105E-3</v>
      </c>
      <c r="AV99" s="84">
        <f>AU99/AT99</f>
        <v>0.15464737294232933</v>
      </c>
      <c r="AW99" s="148" t="s">
        <v>28</v>
      </c>
      <c r="AX99" s="104">
        <f>AX98/3756495859-1</f>
        <v>3.7392250870777355E-2</v>
      </c>
      <c r="AY99" s="104">
        <f>AY98/3756495859-1</f>
        <v>1.0420457059407973E-3</v>
      </c>
      <c r="AZ99" s="80">
        <f t="shared" si="51"/>
        <v>2.7867958779533453E-2</v>
      </c>
      <c r="BA99" s="239" t="str">
        <f t="shared" si="81"/>
        <v>revisar</v>
      </c>
      <c r="BD99" s="9" t="str">
        <f t="shared" si="77"/>
        <v>Crecimiento de aportes totales región</v>
      </c>
      <c r="BE99" s="9" t="str">
        <f t="shared" si="78"/>
        <v>Incumple</v>
      </c>
      <c r="BF99" t="s">
        <v>89</v>
      </c>
      <c r="BG99" s="81">
        <f t="shared" si="79"/>
        <v>2.7867958779533453E-2</v>
      </c>
    </row>
    <row r="100" spans="1:59" ht="14.25" customHeight="1" x14ac:dyDescent="0.25">
      <c r="A100" s="653"/>
      <c r="B100" s="82" t="s">
        <v>67</v>
      </c>
      <c r="C100" s="134">
        <v>1813138.2633715302</v>
      </c>
      <c r="D100" s="134">
        <v>348100</v>
      </c>
      <c r="E100" s="115">
        <f t="shared" si="82"/>
        <v>0.19198756489353885</v>
      </c>
      <c r="F100" s="101">
        <f>D100/325700-1</f>
        <v>6.8774946269573256E-2</v>
      </c>
      <c r="G100" s="134">
        <v>5650909</v>
      </c>
      <c r="H100" s="134">
        <v>1556100</v>
      </c>
      <c r="I100" s="84">
        <f t="shared" si="83"/>
        <v>0.2753716260516671</v>
      </c>
      <c r="J100" s="101">
        <f>H100/1867200-1</f>
        <v>-0.16661311053984573</v>
      </c>
      <c r="K100" s="134">
        <v>11201678</v>
      </c>
      <c r="L100" s="134">
        <v>7778700</v>
      </c>
      <c r="M100" s="93">
        <f>+L100/K100</f>
        <v>0.69442274630640155</v>
      </c>
      <c r="N100" s="101">
        <f>L100/5953900-1</f>
        <v>0.30648818421538815</v>
      </c>
      <c r="O100" s="27"/>
      <c r="P100" s="118">
        <v>18597692</v>
      </c>
      <c r="Q100" s="118">
        <v>17847400</v>
      </c>
      <c r="R100" s="74">
        <f>+Q100/P100</f>
        <v>0.95965671439230205</v>
      </c>
      <c r="S100" s="141">
        <f>Q100/11593000-1</f>
        <v>0.53949797291468982</v>
      </c>
      <c r="T100" s="118">
        <v>27673646</v>
      </c>
      <c r="U100" s="118">
        <v>31571500</v>
      </c>
      <c r="V100" s="74">
        <f>+U100/T100</f>
        <v>1.1408507574318181</v>
      </c>
      <c r="W100" s="141">
        <f>U100/21557900-1</f>
        <v>0.46449793347218415</v>
      </c>
      <c r="X100" s="118">
        <v>38199878.368617699</v>
      </c>
      <c r="Y100" s="118">
        <v>48740600</v>
      </c>
      <c r="Z100" s="74">
        <f>+Y100/X100</f>
        <v>1.275935999839251</v>
      </c>
      <c r="AA100" s="141">
        <f>Y100/33611300-1</f>
        <v>0.45012540425392644</v>
      </c>
      <c r="AC100" s="118">
        <v>50330339.649653174</v>
      </c>
      <c r="AD100" s="118">
        <v>67724600</v>
      </c>
      <c r="AE100" s="74">
        <f>+AD100/AC100</f>
        <v>1.345601886882293</v>
      </c>
      <c r="AF100" s="141">
        <f>AD100/45452700-1</f>
        <v>0.49000169406877925</v>
      </c>
      <c r="AG100" s="118">
        <v>64512121.619701438</v>
      </c>
      <c r="AH100" s="118">
        <v>85300400</v>
      </c>
      <c r="AI100" s="74">
        <f>+AH100/AG100</f>
        <v>1.3222383306945837</v>
      </c>
      <c r="AJ100" s="141">
        <f>AH100/57712500-1</f>
        <v>0.47802295863114574</v>
      </c>
      <c r="AK100" s="118">
        <v>80599677.295451134</v>
      </c>
      <c r="AL100" s="118">
        <v>102667400</v>
      </c>
      <c r="AM100" s="74">
        <f>+AL100/AK100</f>
        <v>1.2737941818756429</v>
      </c>
      <c r="AN100" s="141">
        <f>AL100/33611300-1</f>
        <v>2.0545501066605576</v>
      </c>
      <c r="AP100" s="118">
        <v>98612790.184645265</v>
      </c>
      <c r="AQ100" s="118">
        <v>120321000</v>
      </c>
      <c r="AR100" s="13">
        <f>+AQ100/AP100</f>
        <v>1.2201358441912828</v>
      </c>
      <c r="AS100" s="141">
        <f>AQ100/87984900-1</f>
        <v>0.36751874469369183</v>
      </c>
      <c r="AT100" s="118">
        <v>118422605.26986872</v>
      </c>
      <c r="AU100" s="118">
        <v>139401100</v>
      </c>
      <c r="AV100" s="74">
        <f>+AU100/AT100</f>
        <v>1.1771494106410192</v>
      </c>
      <c r="AW100" s="151">
        <f>AU100/105939300-1</f>
        <v>0.31585823202532026</v>
      </c>
      <c r="AX100" s="121">
        <v>139710918.88743314</v>
      </c>
      <c r="AY100" s="121">
        <v>161616700</v>
      </c>
      <c r="AZ100" s="80">
        <f t="shared" si="51"/>
        <v>1.1567936227677138</v>
      </c>
      <c r="BA100" s="239" t="str">
        <f t="shared" si="81"/>
        <v>cumple</v>
      </c>
      <c r="BD100" s="9" t="str">
        <f t="shared" si="77"/>
        <v>Cumplimiento de nuevos aportes</v>
      </c>
      <c r="BE100" s="9" t="str">
        <f t="shared" si="78"/>
        <v>Sobresaliente</v>
      </c>
      <c r="BF100" t="s">
        <v>89</v>
      </c>
      <c r="BG100" s="81">
        <f t="shared" si="79"/>
        <v>1.1567936227677138</v>
      </c>
    </row>
    <row r="101" spans="1:59" ht="14.25" customHeight="1" x14ac:dyDescent="0.25">
      <c r="A101" s="653"/>
      <c r="B101" s="82" t="s">
        <v>68</v>
      </c>
      <c r="C101" s="132">
        <v>5448.5703162804975</v>
      </c>
      <c r="D101" s="132">
        <v>5955</v>
      </c>
      <c r="E101" s="84">
        <f t="shared" si="82"/>
        <v>1.0929472603494306</v>
      </c>
      <c r="F101" s="101">
        <f>D101/5388-1</f>
        <v>0.10523385300668142</v>
      </c>
      <c r="G101" s="132">
        <v>5715.8633054828415</v>
      </c>
      <c r="H101" s="132">
        <v>6119</v>
      </c>
      <c r="I101" s="84">
        <f t="shared" si="83"/>
        <v>1.0705294498786311</v>
      </c>
      <c r="J101" s="101">
        <f>H101/5701-1</f>
        <v>7.3320470092966161E-2</v>
      </c>
      <c r="K101" s="132">
        <v>5728.072679869284</v>
      </c>
      <c r="L101" s="132">
        <v>6402</v>
      </c>
      <c r="M101" s="93">
        <f>+L101/K101</f>
        <v>1.1176534163924217</v>
      </c>
      <c r="N101" s="101">
        <f>L101/5828-1</f>
        <v>9.8490048043925915E-2</v>
      </c>
      <c r="O101" s="27"/>
      <c r="P101" s="118">
        <v>5825.9532574189461</v>
      </c>
      <c r="Q101" s="118">
        <v>5313</v>
      </c>
      <c r="R101" s="74">
        <f>+Q101/P101</f>
        <v>0.91195376365820724</v>
      </c>
      <c r="S101" s="141">
        <f>Q101/4491-1</f>
        <v>0.18303273213092863</v>
      </c>
      <c r="T101" s="118">
        <v>5927.1711081247513</v>
      </c>
      <c r="U101" s="118">
        <v>5438</v>
      </c>
      <c r="V101" s="74">
        <f>+U101/T101</f>
        <v>0.91746971713804359</v>
      </c>
      <c r="W101" s="141">
        <f>U101/5842-1</f>
        <v>-6.9154399178363524E-2</v>
      </c>
      <c r="X101" s="118">
        <v>6031</v>
      </c>
      <c r="Y101" s="118">
        <v>5495</v>
      </c>
      <c r="Z101" s="74">
        <f>+Y101/X101</f>
        <v>0.91112584977615652</v>
      </c>
      <c r="AA101" s="141">
        <f>Y101/5762-1</f>
        <v>-4.6338077056577553E-2</v>
      </c>
      <c r="AC101" s="118">
        <v>6062.7410781985045</v>
      </c>
      <c r="AD101" s="118">
        <v>5415</v>
      </c>
      <c r="AE101" s="74">
        <f>+AD101/AC101</f>
        <v>0.89316035934178872</v>
      </c>
      <c r="AF101" s="141">
        <f>AD101/5859-1</f>
        <v>-7.5780849974398379E-2</v>
      </c>
      <c r="AG101" s="118">
        <v>5983</v>
      </c>
      <c r="AH101" s="118">
        <v>5392</v>
      </c>
      <c r="AI101" s="74">
        <f>+AH101/AG101</f>
        <v>0.90122012368377069</v>
      </c>
      <c r="AJ101" s="141">
        <f>AH101/5859-1</f>
        <v>-7.9706434545144256E-2</v>
      </c>
      <c r="AK101" s="118">
        <v>6040.1053277205319</v>
      </c>
      <c r="AL101" s="118">
        <v>5425</v>
      </c>
      <c r="AM101" s="74">
        <f>+AL101/AK101</f>
        <v>0.89816314545086484</v>
      </c>
      <c r="AN101" s="141">
        <f>AL101/6025-1</f>
        <v>-9.958506224066388E-2</v>
      </c>
      <c r="AP101" s="118">
        <v>5978.9580195398075</v>
      </c>
      <c r="AQ101" s="118">
        <v>5562</v>
      </c>
      <c r="AR101" s="13">
        <f>+AQ101/AP101</f>
        <v>0.93026242730302688</v>
      </c>
      <c r="AS101" s="141">
        <f>AQ101/6063-1</f>
        <v>-8.2632360217714029E-2</v>
      </c>
      <c r="AT101" s="118">
        <v>6040</v>
      </c>
      <c r="AU101" s="118">
        <v>5525</v>
      </c>
      <c r="AV101" s="74">
        <f>+AU101/AT101</f>
        <v>0.91473509933774833</v>
      </c>
      <c r="AW101" s="151">
        <f>AU101/6210-1</f>
        <v>-0.11030595813204513</v>
      </c>
      <c r="AX101" s="121">
        <v>6000</v>
      </c>
      <c r="AY101" s="121">
        <v>5402</v>
      </c>
      <c r="AZ101" s="80">
        <f t="shared" si="51"/>
        <v>0.90033333333333332</v>
      </c>
      <c r="BA101" s="239" t="str">
        <f t="shared" si="81"/>
        <v>revisar</v>
      </c>
      <c r="BD101" s="9" t="str">
        <f t="shared" si="77"/>
        <v>Cumplimiento afiliados totales región</v>
      </c>
      <c r="BE101" s="9" t="str">
        <f t="shared" si="78"/>
        <v>Tolerable</v>
      </c>
      <c r="BF101" t="s">
        <v>89</v>
      </c>
      <c r="BG101" s="81">
        <f t="shared" si="79"/>
        <v>0.90033333333333332</v>
      </c>
    </row>
    <row r="102" spans="1:59" ht="14.25" customHeight="1" x14ac:dyDescent="0.25">
      <c r="A102" s="653"/>
      <c r="B102" s="82" t="s">
        <v>69</v>
      </c>
      <c r="C102" s="101">
        <f>C101/5388-1</f>
        <v>1.1241706807813223E-2</v>
      </c>
      <c r="D102" s="101">
        <f>D101/5388-1</f>
        <v>0.10523385300668142</v>
      </c>
      <c r="E102" s="84">
        <f t="shared" si="82"/>
        <v>9.3610209557806368</v>
      </c>
      <c r="F102" s="74" t="s">
        <v>28</v>
      </c>
      <c r="G102" s="101">
        <f>G101/5701-1</f>
        <v>2.6071400601370698E-3</v>
      </c>
      <c r="H102" s="101">
        <f>H101/5701-1</f>
        <v>7.3320470092966161E-2</v>
      </c>
      <c r="I102" s="84">
        <f t="shared" si="83"/>
        <v>28.122950206638055</v>
      </c>
      <c r="J102" s="74" t="s">
        <v>28</v>
      </c>
      <c r="K102" s="101">
        <f>K101/5828-1</f>
        <v>-1.7146074147343149E-2</v>
      </c>
      <c r="L102" s="117">
        <f>L101/5828-1</f>
        <v>9.8490048043925915E-2</v>
      </c>
      <c r="M102" s="84">
        <f>-L102/K102</f>
        <v>5.7441748587788144</v>
      </c>
      <c r="N102" s="74" t="s">
        <v>28</v>
      </c>
      <c r="O102" s="27"/>
      <c r="P102" s="101">
        <f>P101/4491-1</f>
        <v>0.29725078098840929</v>
      </c>
      <c r="Q102" s="101">
        <f>Q101/4491-1</f>
        <v>0.18303273213092863</v>
      </c>
      <c r="R102" s="84">
        <f>Q102/P102</f>
        <v>0.61575189650406881</v>
      </c>
      <c r="S102" s="147" t="s">
        <v>28</v>
      </c>
      <c r="T102" s="101">
        <f>T101/5842-1</f>
        <v>1.457910101416493E-2</v>
      </c>
      <c r="U102" s="101">
        <f>U101/5842-1</f>
        <v>-6.9154399178363524E-2</v>
      </c>
      <c r="V102" s="84">
        <f>U102/T102</f>
        <v>-4.7433925528860597</v>
      </c>
      <c r="W102" s="147" t="s">
        <v>28</v>
      </c>
      <c r="X102" s="101">
        <f>X101/5762-1</f>
        <v>4.6685178757375878E-2</v>
      </c>
      <c r="Y102" s="117">
        <f>Y101/5762-1</f>
        <v>-4.6338077056577553E-2</v>
      </c>
      <c r="Z102" s="84">
        <f>Y102/X102</f>
        <v>-0.99256505576208198</v>
      </c>
      <c r="AA102" s="147" t="s">
        <v>28</v>
      </c>
      <c r="AC102" s="101">
        <f>AC101/5859-1</f>
        <v>3.4774036217529281E-2</v>
      </c>
      <c r="AD102" s="101">
        <f>AD101/5859-1</f>
        <v>-7.5780849974398379E-2</v>
      </c>
      <c r="AE102" s="84">
        <f>AD102/AC102</f>
        <v>-2.1792365286661179</v>
      </c>
      <c r="AF102" s="147" t="s">
        <v>28</v>
      </c>
      <c r="AG102" s="101">
        <f>AG101/5859-1</f>
        <v>2.1164021164021163E-2</v>
      </c>
      <c r="AH102" s="101">
        <f>AH101/5859-1</f>
        <v>-7.9706434545144256E-2</v>
      </c>
      <c r="AI102" s="84">
        <f>AH102/AG102</f>
        <v>-3.7661290322580663</v>
      </c>
      <c r="AJ102" s="147" t="s">
        <v>28</v>
      </c>
      <c r="AK102" s="101">
        <f>AK101/6025-1</f>
        <v>2.5071083353580548E-3</v>
      </c>
      <c r="AL102" s="101">
        <f>AL101/6025-1</f>
        <v>-9.958506224066388E-2</v>
      </c>
      <c r="AM102" s="84">
        <f>AL102/AK102</f>
        <v>-39.72108458027266</v>
      </c>
      <c r="AN102" s="147" t="s">
        <v>28</v>
      </c>
      <c r="AP102" s="101">
        <f>AP101/6063-1</f>
        <v>-1.3861451502588218E-2</v>
      </c>
      <c r="AQ102" s="101">
        <f>AQ101/6063-1</f>
        <v>-8.2632360217714029E-2</v>
      </c>
      <c r="AR102" s="13">
        <f>AQ102/AP102</f>
        <v>5.9613064477616122</v>
      </c>
      <c r="AS102" s="147" t="s">
        <v>28</v>
      </c>
      <c r="AT102" s="101">
        <f>AT101/6210-1</f>
        <v>-2.7375201288244777E-2</v>
      </c>
      <c r="AU102" s="101">
        <f>AU101/6210-1</f>
        <v>-0.11030595813204513</v>
      </c>
      <c r="AV102" s="84">
        <f>AU102/AT102</f>
        <v>4.0294117647058822</v>
      </c>
      <c r="AW102" s="148" t="s">
        <v>28</v>
      </c>
      <c r="AX102" s="104">
        <f>AX101/6059-1</f>
        <v>-9.7375804588215598E-3</v>
      </c>
      <c r="AY102" s="104">
        <f>AY101/6059-1</f>
        <v>-0.10843373493975905</v>
      </c>
      <c r="AZ102" s="80">
        <f t="shared" si="51"/>
        <v>-9.1355932203390164</v>
      </c>
      <c r="BA102" s="239" t="str">
        <f t="shared" si="81"/>
        <v>revisar</v>
      </c>
      <c r="BD102" s="9" t="str">
        <f t="shared" si="77"/>
        <v>Crecimiento afiliados totales región</v>
      </c>
      <c r="BE102" s="9" t="str">
        <f t="shared" si="78"/>
        <v>Incumple</v>
      </c>
      <c r="BF102" t="s">
        <v>89</v>
      </c>
      <c r="BG102" s="81">
        <f t="shared" si="79"/>
        <v>-9.1355932203390164</v>
      </c>
    </row>
    <row r="103" spans="1:59" ht="14.25" customHeight="1" x14ac:dyDescent="0.25">
      <c r="A103" s="653"/>
      <c r="B103" s="82" t="s">
        <v>70</v>
      </c>
      <c r="C103" s="133">
        <v>101</v>
      </c>
      <c r="D103" s="133">
        <v>41</v>
      </c>
      <c r="E103" s="84">
        <f t="shared" si="82"/>
        <v>0.40594059405940597</v>
      </c>
      <c r="F103" s="101">
        <f>D103/18-1</f>
        <v>1.2777777777777777</v>
      </c>
      <c r="G103" s="133">
        <v>214</v>
      </c>
      <c r="H103" s="133">
        <v>88</v>
      </c>
      <c r="I103" s="84">
        <f t="shared" si="83"/>
        <v>0.41121495327102803</v>
      </c>
      <c r="J103" s="101">
        <f>H103/60-1</f>
        <v>0.46666666666666656</v>
      </c>
      <c r="K103" s="133">
        <v>310</v>
      </c>
      <c r="L103" s="133">
        <v>216</v>
      </c>
      <c r="M103" s="93">
        <f>+L103/K103</f>
        <v>0.6967741935483871</v>
      </c>
      <c r="N103" s="101">
        <f>L103/139-1</f>
        <v>0.55395683453237421</v>
      </c>
      <c r="O103" s="27"/>
      <c r="P103" s="118">
        <v>413</v>
      </c>
      <c r="Q103" s="118">
        <v>307</v>
      </c>
      <c r="R103" s="74">
        <f>+Q103/P103</f>
        <v>0.7433414043583535</v>
      </c>
      <c r="S103" s="141">
        <f>Q103/228-1</f>
        <v>0.34649122807017552</v>
      </c>
      <c r="T103" s="118">
        <v>507</v>
      </c>
      <c r="U103" s="118">
        <v>378</v>
      </c>
      <c r="V103" s="74">
        <f>+U103/T103</f>
        <v>0.74556213017751483</v>
      </c>
      <c r="W103" s="141">
        <f>U103/238-1</f>
        <v>0.58823529411764697</v>
      </c>
      <c r="X103" s="118">
        <v>588</v>
      </c>
      <c r="Y103" s="118">
        <v>404</v>
      </c>
      <c r="Z103" s="74">
        <f>Y103/X103</f>
        <v>0.68707482993197277</v>
      </c>
      <c r="AA103" s="141">
        <f>Y103/282-1</f>
        <v>0.43262411347517737</v>
      </c>
      <c r="AC103" s="118">
        <v>677</v>
      </c>
      <c r="AD103" s="118">
        <v>402</v>
      </c>
      <c r="AE103" s="74">
        <f>+AD103/AC103</f>
        <v>0.59379615952732645</v>
      </c>
      <c r="AF103" s="141">
        <f>AD103/326-1</f>
        <v>0.23312883435582821</v>
      </c>
      <c r="AG103" s="118">
        <v>792</v>
      </c>
      <c r="AH103" s="118">
        <v>392</v>
      </c>
      <c r="AI103" s="74">
        <f>+AH103/AG103</f>
        <v>0.49494949494949497</v>
      </c>
      <c r="AJ103" s="141">
        <f>AH103/300-1</f>
        <v>0.30666666666666664</v>
      </c>
      <c r="AK103" s="118">
        <v>898</v>
      </c>
      <c r="AL103" s="118">
        <v>439</v>
      </c>
      <c r="AM103" s="74">
        <f>AL103/AK103</f>
        <v>0.48886414253897548</v>
      </c>
      <c r="AN103" s="141">
        <f>AL103/404-1</f>
        <v>8.6633663366336711E-2</v>
      </c>
      <c r="AP103" s="118">
        <v>1005.5703013418401</v>
      </c>
      <c r="AQ103" s="118">
        <v>503</v>
      </c>
      <c r="AR103" s="13">
        <f>+AQ103/AP103</f>
        <v>0.50021365918304594</v>
      </c>
      <c r="AS103" s="141">
        <f>AQ103/342-1</f>
        <v>0.47076023391812871</v>
      </c>
      <c r="AT103" s="118">
        <v>1106</v>
      </c>
      <c r="AU103" s="118">
        <v>519</v>
      </c>
      <c r="AV103" s="74">
        <f>+AU103/AT103</f>
        <v>0.46925858951175409</v>
      </c>
      <c r="AW103" s="151">
        <f>AU103/440-1</f>
        <v>0.17954545454545445</v>
      </c>
      <c r="AX103" s="121">
        <v>1188</v>
      </c>
      <c r="AY103" s="121">
        <v>521</v>
      </c>
      <c r="AZ103" s="80">
        <f t="shared" si="51"/>
        <v>0.43855218855218853</v>
      </c>
      <c r="BA103" s="239" t="str">
        <f t="shared" si="81"/>
        <v>revisar</v>
      </c>
      <c r="BD103" s="9" t="str">
        <f t="shared" si="77"/>
        <v>Cumplimiento de nuevos afiliados región</v>
      </c>
      <c r="BE103" s="9" t="str">
        <f t="shared" si="78"/>
        <v>Incumple</v>
      </c>
      <c r="BF103" t="s">
        <v>89</v>
      </c>
      <c r="BG103" s="81">
        <f t="shared" si="79"/>
        <v>0.43855218855218853</v>
      </c>
    </row>
    <row r="104" spans="1:59" ht="14.25" customHeight="1" x14ac:dyDescent="0.25">
      <c r="A104" s="654"/>
      <c r="B104" s="82" t="s">
        <v>78</v>
      </c>
      <c r="C104" s="94">
        <v>683</v>
      </c>
      <c r="D104" s="94">
        <v>19</v>
      </c>
      <c r="E104" s="84">
        <f t="shared" si="82"/>
        <v>2.7818448023426062E-2</v>
      </c>
      <c r="F104" s="93">
        <v>-0.86986301369863017</v>
      </c>
      <c r="G104" s="94">
        <v>133</v>
      </c>
      <c r="H104" s="94">
        <v>29</v>
      </c>
      <c r="I104" s="84">
        <f t="shared" si="83"/>
        <v>0.21804511278195488</v>
      </c>
      <c r="J104" s="93">
        <v>-0.88671875</v>
      </c>
      <c r="K104" s="94">
        <v>180</v>
      </c>
      <c r="L104" s="94">
        <v>122</v>
      </c>
      <c r="M104" s="93">
        <f>L104/K104</f>
        <v>0.67777777777777781</v>
      </c>
      <c r="N104" s="93">
        <v>6.0869565217391397E-2</v>
      </c>
      <c r="O104" s="27"/>
      <c r="P104" s="143"/>
      <c r="Q104" s="143"/>
      <c r="R104" s="143"/>
      <c r="S104" s="143"/>
      <c r="T104" s="143"/>
      <c r="U104" s="143"/>
      <c r="V104" s="143"/>
      <c r="W104" s="143"/>
      <c r="X104" s="143"/>
      <c r="Y104" s="143"/>
      <c r="Z104" s="143"/>
      <c r="AA104" s="143"/>
      <c r="AC104" s="143"/>
      <c r="AD104" s="143"/>
      <c r="AE104" s="143"/>
      <c r="AF104" s="143"/>
      <c r="AG104" s="143"/>
      <c r="AH104" s="143"/>
      <c r="AI104" s="143"/>
      <c r="AJ104" s="143"/>
      <c r="AK104" s="143"/>
      <c r="AL104" s="143"/>
      <c r="AM104" s="143"/>
      <c r="AN104" s="143"/>
      <c r="AP104" s="143"/>
      <c r="AQ104" s="143"/>
      <c r="AR104" s="143"/>
      <c r="AS104" s="143"/>
      <c r="AT104" s="143"/>
      <c r="AU104" s="143"/>
      <c r="AV104" s="143"/>
      <c r="AW104" s="143"/>
      <c r="AX104" s="144">
        <v>0.80933544303797467</v>
      </c>
      <c r="AY104" s="144">
        <v>13.844145569620252</v>
      </c>
      <c r="AZ104" s="80">
        <f t="shared" si="51"/>
        <v>17.105571847507331</v>
      </c>
      <c r="BA104" s="239" t="str">
        <f t="shared" si="81"/>
        <v>cumple</v>
      </c>
      <c r="BD104" s="9" t="str">
        <f t="shared" si="77"/>
        <v xml:space="preserve">Cumplimiento cobertura región </v>
      </c>
      <c r="BE104" s="9" t="str">
        <f t="shared" si="78"/>
        <v>Sobresaliente</v>
      </c>
      <c r="BF104" t="s">
        <v>89</v>
      </c>
      <c r="BG104" s="81">
        <f t="shared" si="79"/>
        <v>17.105571847507331</v>
      </c>
    </row>
    <row r="105" spans="1:59" ht="14.25" customHeight="1" thickBot="1" x14ac:dyDescent="0.3">
      <c r="A105" s="655"/>
      <c r="B105" s="82" t="s">
        <v>79</v>
      </c>
      <c r="C105" s="94">
        <v>289</v>
      </c>
      <c r="D105" s="165">
        <v>0</v>
      </c>
      <c r="E105" s="84">
        <f t="shared" si="82"/>
        <v>0</v>
      </c>
      <c r="F105" s="74">
        <v>-1</v>
      </c>
      <c r="G105" s="94">
        <v>40</v>
      </c>
      <c r="H105" s="94">
        <v>26</v>
      </c>
      <c r="I105" s="84">
        <f t="shared" si="83"/>
        <v>0.65</v>
      </c>
      <c r="J105" s="74">
        <v>0.13043478260869557</v>
      </c>
      <c r="K105" s="165">
        <v>0</v>
      </c>
      <c r="L105" s="94">
        <v>76</v>
      </c>
      <c r="M105" s="74"/>
      <c r="N105" s="116">
        <v>4.8461538461538458</v>
      </c>
      <c r="O105" s="27"/>
      <c r="P105" s="143"/>
      <c r="Q105" s="143"/>
      <c r="R105" s="143"/>
      <c r="S105" s="143"/>
      <c r="T105" s="143"/>
      <c r="U105" s="143"/>
      <c r="V105" s="143"/>
      <c r="W105" s="143"/>
      <c r="X105" s="143"/>
      <c r="Y105" s="143"/>
      <c r="Z105" s="143"/>
      <c r="AA105" s="143"/>
      <c r="AC105" s="143"/>
      <c r="AD105" s="143"/>
      <c r="AE105" s="143"/>
      <c r="AF105" s="143"/>
      <c r="AG105" s="143"/>
      <c r="AH105" s="143"/>
      <c r="AI105" s="143"/>
      <c r="AJ105" s="143"/>
      <c r="AK105" s="143"/>
      <c r="AL105" s="143"/>
      <c r="AM105" s="143"/>
      <c r="AN105" s="143"/>
      <c r="AP105" s="143"/>
      <c r="AQ105" s="143"/>
      <c r="AR105" s="143"/>
      <c r="AS105" s="143"/>
      <c r="AT105" s="143"/>
      <c r="AU105" s="143"/>
      <c r="AV105" s="143"/>
      <c r="AW105" s="143"/>
      <c r="AX105" s="144">
        <v>7.8705728027984256E-2</v>
      </c>
      <c r="AY105" s="144">
        <v>1.4034713709605785E-2</v>
      </c>
      <c r="AZ105" s="80">
        <f t="shared" si="51"/>
        <v>0.17831883474371349</v>
      </c>
      <c r="BA105" s="239" t="str">
        <f t="shared" si="81"/>
        <v>revisar</v>
      </c>
      <c r="BD105" s="9" t="str">
        <f t="shared" si="77"/>
        <v xml:space="preserve">Penetración de Uso en Población A y B región </v>
      </c>
      <c r="BE105" s="9" t="str">
        <f t="shared" si="78"/>
        <v>Incumple</v>
      </c>
      <c r="BF105" t="s">
        <v>89</v>
      </c>
      <c r="BG105" s="81">
        <f t="shared" si="79"/>
        <v>0.17831883474371349</v>
      </c>
    </row>
    <row r="106" spans="1:59" ht="14.25" customHeight="1" thickBot="1" x14ac:dyDescent="0.3">
      <c r="B106"/>
      <c r="C106" s="18"/>
      <c r="D106" s="18"/>
      <c r="E106" s="18"/>
      <c r="F106" s="18"/>
      <c r="G106" s="18"/>
      <c r="H106" s="18"/>
      <c r="I106" s="18"/>
      <c r="J106" s="18"/>
      <c r="K106" s="18"/>
      <c r="L106" s="18"/>
      <c r="M106" s="18"/>
      <c r="N106" s="27"/>
      <c r="O106" s="27"/>
      <c r="P106" s="143"/>
      <c r="Q106" s="143"/>
      <c r="R106" s="143"/>
      <c r="S106" s="143"/>
      <c r="T106" s="143"/>
      <c r="U106" s="143"/>
      <c r="V106" s="143"/>
      <c r="W106" s="143"/>
      <c r="X106" s="143"/>
      <c r="Y106" s="143"/>
      <c r="Z106" s="143"/>
      <c r="AA106" s="143"/>
      <c r="AC106" s="143"/>
      <c r="AD106" s="143"/>
      <c r="AE106" s="143"/>
      <c r="AF106" s="143"/>
      <c r="AG106" s="143"/>
      <c r="AH106" s="143"/>
      <c r="AI106" s="143"/>
      <c r="AJ106" s="143"/>
      <c r="AK106" s="143"/>
      <c r="AL106" s="143"/>
      <c r="AM106" s="143"/>
      <c r="AN106" s="143"/>
      <c r="AP106" s="143"/>
      <c r="AQ106" s="143"/>
      <c r="AR106" s="143"/>
      <c r="AS106" s="143"/>
      <c r="AT106" s="143"/>
      <c r="AU106" s="143"/>
      <c r="AV106" s="143"/>
      <c r="AW106" s="143"/>
      <c r="AX106" s="143"/>
      <c r="AY106" s="143"/>
      <c r="AZ106" s="143"/>
    </row>
    <row r="107" spans="1:59" ht="14.25" customHeight="1" x14ac:dyDescent="0.25">
      <c r="A107" s="651" t="s">
        <v>90</v>
      </c>
      <c r="B107" s="138" t="s">
        <v>59</v>
      </c>
      <c r="C107" s="74">
        <v>1.0639025264072557</v>
      </c>
      <c r="D107" s="74">
        <v>-0.55120130617202046</v>
      </c>
      <c r="E107" s="93">
        <f>+D107/C107</f>
        <v>-0.51809380322969911</v>
      </c>
      <c r="F107" s="74" t="s">
        <v>28</v>
      </c>
      <c r="G107" s="74">
        <v>0.31861600572290039</v>
      </c>
      <c r="H107" s="74">
        <v>-0.779412419408955</v>
      </c>
      <c r="I107" s="93">
        <f>+H107/G107</f>
        <v>-2.4462437712147085</v>
      </c>
      <c r="J107" s="74" t="s">
        <v>28</v>
      </c>
      <c r="K107" s="74">
        <v>0.20225367059976307</v>
      </c>
      <c r="L107" s="74">
        <v>-0.73600279543207803</v>
      </c>
      <c r="M107" s="93">
        <f>+L107/K107</f>
        <v>-3.639008346545876</v>
      </c>
      <c r="N107" s="74" t="s">
        <v>28</v>
      </c>
      <c r="O107" s="27"/>
      <c r="P107" s="143"/>
      <c r="Q107" s="143"/>
      <c r="R107" s="143"/>
      <c r="S107" s="143"/>
      <c r="T107" s="143"/>
      <c r="U107" s="143"/>
      <c r="V107" s="143"/>
      <c r="W107" s="143"/>
      <c r="X107" s="143"/>
      <c r="Y107" s="143"/>
      <c r="Z107" s="143"/>
      <c r="AA107" s="143"/>
      <c r="AC107" s="143"/>
      <c r="AD107" s="143"/>
      <c r="AE107" s="143"/>
      <c r="AF107" s="143"/>
      <c r="AG107" s="143"/>
      <c r="AH107" s="143"/>
      <c r="AI107" s="143"/>
      <c r="AJ107" s="143"/>
      <c r="AK107" s="143"/>
      <c r="AL107" s="143"/>
      <c r="AM107" s="143"/>
      <c r="AN107" s="143"/>
      <c r="AP107" s="143"/>
      <c r="AQ107" s="143"/>
      <c r="AR107" s="13" t="e">
        <f t="shared" ref="AR107" si="84">+IF(AP107&lt;0,1-(AQ107-AP107)/AP107,AQ107/AP107)</f>
        <v>#DIV/0!</v>
      </c>
      <c r="AS107" s="143"/>
      <c r="AT107" s="143"/>
      <c r="AU107" s="143"/>
      <c r="AV107" s="143"/>
      <c r="AW107" s="143"/>
      <c r="AX107" s="144">
        <v>1.4602290939477074</v>
      </c>
      <c r="AY107" s="144">
        <v>1.431124240392772</v>
      </c>
      <c r="AZ107" s="80">
        <f t="shared" si="51"/>
        <v>0.98006829635461457</v>
      </c>
      <c r="BA107" s="239" t="str">
        <f t="shared" ref="BA107:BA117" si="85">+IF(AY107&gt;=AX107,"cumple","revisar")</f>
        <v>revisar</v>
      </c>
      <c r="BD107" s="9" t="str">
        <f t="shared" si="77"/>
        <v>Crecimiento de ingresos (negocios)</v>
      </c>
      <c r="BE107" s="9" t="str">
        <f t="shared" si="78"/>
        <v>Satisfactorio</v>
      </c>
      <c r="BF107" t="s">
        <v>91</v>
      </c>
      <c r="BG107" s="81">
        <f t="shared" si="79"/>
        <v>0.98006829635461457</v>
      </c>
    </row>
    <row r="108" spans="1:59" ht="14.25" customHeight="1" x14ac:dyDescent="0.25">
      <c r="A108" s="653"/>
      <c r="B108" s="82" t="s">
        <v>62</v>
      </c>
      <c r="C108" s="133">
        <v>2</v>
      </c>
      <c r="D108" s="164">
        <v>7</v>
      </c>
      <c r="E108" s="84">
        <f>+D108/C108</f>
        <v>3.5</v>
      </c>
      <c r="F108" s="101">
        <f>D108/3-1</f>
        <v>1.3333333333333335</v>
      </c>
      <c r="G108" s="133">
        <v>5</v>
      </c>
      <c r="H108" s="133">
        <v>22</v>
      </c>
      <c r="I108" s="84">
        <f>+H108/G108</f>
        <v>4.4000000000000004</v>
      </c>
      <c r="J108" s="101">
        <f>H108/11-1</f>
        <v>1</v>
      </c>
      <c r="K108" s="133">
        <v>7</v>
      </c>
      <c r="L108" s="133">
        <v>34</v>
      </c>
      <c r="M108" s="84">
        <f>+L108/K108</f>
        <v>4.8571428571428568</v>
      </c>
      <c r="N108" s="101">
        <f>L108/17-1</f>
        <v>1</v>
      </c>
      <c r="O108" s="27"/>
      <c r="P108" s="118">
        <v>9</v>
      </c>
      <c r="Q108" s="118">
        <v>49</v>
      </c>
      <c r="R108" s="74">
        <f>+Q108/P108</f>
        <v>5.4444444444444446</v>
      </c>
      <c r="S108" s="151">
        <f>Q108/21-1</f>
        <v>1.3333333333333335</v>
      </c>
      <c r="T108" s="118">
        <v>11</v>
      </c>
      <c r="U108" s="118">
        <v>59</v>
      </c>
      <c r="V108" s="74">
        <f>+U108/T108</f>
        <v>5.3636363636363633</v>
      </c>
      <c r="W108" s="141">
        <f>U108/23-1</f>
        <v>1.5652173913043477</v>
      </c>
      <c r="X108" s="118">
        <v>13</v>
      </c>
      <c r="Y108" s="118">
        <v>67</v>
      </c>
      <c r="Z108" s="74">
        <f>+Y108/X108</f>
        <v>5.1538461538461542</v>
      </c>
      <c r="AA108" s="141">
        <f>Y108/26-1</f>
        <v>1.5769230769230771</v>
      </c>
      <c r="AB108" t="s">
        <v>63</v>
      </c>
      <c r="AC108" s="118">
        <v>15</v>
      </c>
      <c r="AD108" s="118">
        <v>74</v>
      </c>
      <c r="AE108" s="74">
        <f>+AD108/AC108</f>
        <v>4.9333333333333336</v>
      </c>
      <c r="AF108" s="151">
        <f>AD108/37-1</f>
        <v>1</v>
      </c>
      <c r="AG108" s="118">
        <v>17</v>
      </c>
      <c r="AH108" s="118">
        <v>88</v>
      </c>
      <c r="AI108" s="74">
        <f>+AH108/AG108</f>
        <v>5.1764705882352944</v>
      </c>
      <c r="AJ108" s="141">
        <f>AH108/44-1</f>
        <v>1</v>
      </c>
      <c r="AK108" s="118">
        <v>19</v>
      </c>
      <c r="AL108" s="118">
        <v>97</v>
      </c>
      <c r="AM108" s="74">
        <f>+AL108/AK108</f>
        <v>5.1052631578947372</v>
      </c>
      <c r="AN108" s="141">
        <f>AL108/50-1</f>
        <v>0.94</v>
      </c>
      <c r="AP108" s="118">
        <v>21</v>
      </c>
      <c r="AQ108" s="118">
        <v>103</v>
      </c>
      <c r="AR108" s="13">
        <f>+AQ108/AP108</f>
        <v>4.9047619047619051</v>
      </c>
      <c r="AS108" s="151">
        <f>AQ108/63-1</f>
        <v>0.63492063492063489</v>
      </c>
      <c r="AT108" s="118">
        <v>23</v>
      </c>
      <c r="AU108" s="118">
        <v>103</v>
      </c>
      <c r="AV108" s="74">
        <f>+AU108/AT108</f>
        <v>4.4782608695652177</v>
      </c>
      <c r="AW108" s="151">
        <f>AU108/70-1</f>
        <v>0.47142857142857153</v>
      </c>
      <c r="AX108" s="121">
        <v>25</v>
      </c>
      <c r="AY108" s="121">
        <v>117</v>
      </c>
      <c r="AZ108" s="80">
        <f t="shared" ref="AZ108:AZ141" si="86">+IF(AX108&lt;0,1-(AY108-AX108)/AX108,AY108/AX108)</f>
        <v>4.68</v>
      </c>
      <c r="BA108" s="239" t="str">
        <f t="shared" si="85"/>
        <v>cumple</v>
      </c>
      <c r="BD108" s="9" t="str">
        <f t="shared" si="77"/>
        <v>Cumplimiento de nuevas empresas afiliadas</v>
      </c>
      <c r="BE108" s="9" t="str">
        <f t="shared" si="78"/>
        <v>Sobresaliente</v>
      </c>
      <c r="BF108" t="s">
        <v>91</v>
      </c>
      <c r="BG108" s="81">
        <f t="shared" si="79"/>
        <v>4.68</v>
      </c>
    </row>
    <row r="109" spans="1:59" ht="14.25" customHeight="1" x14ac:dyDescent="0.25">
      <c r="A109" s="653"/>
      <c r="B109" s="82" t="s">
        <v>64</v>
      </c>
      <c r="C109" s="101">
        <f>C108/3-1</f>
        <v>-0.33333333333333337</v>
      </c>
      <c r="D109" s="101">
        <f>D108/3-1</f>
        <v>1.3333333333333335</v>
      </c>
      <c r="E109" s="84">
        <f>-D109/C109</f>
        <v>4</v>
      </c>
      <c r="F109" s="133" t="s">
        <v>28</v>
      </c>
      <c r="G109" s="101">
        <f>G108/11-1</f>
        <v>-0.54545454545454541</v>
      </c>
      <c r="H109" s="101">
        <f>H108/11-1</f>
        <v>1</v>
      </c>
      <c r="I109" s="84">
        <f>-H109/G109</f>
        <v>1.8333333333333335</v>
      </c>
      <c r="J109" s="133" t="s">
        <v>28</v>
      </c>
      <c r="K109" s="101">
        <f>K108/17-1</f>
        <v>-0.58823529411764708</v>
      </c>
      <c r="L109" s="117">
        <f>L108/17-1</f>
        <v>1</v>
      </c>
      <c r="M109" s="84">
        <f>-L109/K109</f>
        <v>1.7</v>
      </c>
      <c r="N109" s="133" t="s">
        <v>28</v>
      </c>
      <c r="O109" s="27"/>
      <c r="P109" s="101">
        <f>P108/21-1</f>
        <v>-0.5714285714285714</v>
      </c>
      <c r="Q109" s="101">
        <f>Q108/21-1</f>
        <v>1.3333333333333335</v>
      </c>
      <c r="R109" s="84">
        <f>-Q109/P109</f>
        <v>2.3333333333333339</v>
      </c>
      <c r="S109" s="166" t="s">
        <v>28</v>
      </c>
      <c r="T109" s="101">
        <f>T108/23-1</f>
        <v>-0.52173913043478259</v>
      </c>
      <c r="U109" s="141">
        <f>U108/23-1</f>
        <v>1.5652173913043477</v>
      </c>
      <c r="V109" s="84">
        <f>-U109/T109</f>
        <v>3</v>
      </c>
      <c r="W109" s="167" t="s">
        <v>28</v>
      </c>
      <c r="X109" s="101">
        <f>X108/26-1</f>
        <v>-0.5</v>
      </c>
      <c r="Y109" s="101">
        <f>Y108/26-1</f>
        <v>1.5769230769230771</v>
      </c>
      <c r="Z109" s="84">
        <f>-Y109/X109</f>
        <v>3.1538461538461542</v>
      </c>
      <c r="AA109" s="167" t="s">
        <v>28</v>
      </c>
      <c r="AC109" s="101">
        <f>AC108/37-1</f>
        <v>-0.59459459459459452</v>
      </c>
      <c r="AD109" s="101">
        <f>AD108/37-1</f>
        <v>1</v>
      </c>
      <c r="AE109" s="84">
        <f>-AD109/AC109</f>
        <v>1.6818181818181821</v>
      </c>
      <c r="AF109" s="166" t="s">
        <v>28</v>
      </c>
      <c r="AG109" s="101">
        <f>AG108/44-1</f>
        <v>-0.61363636363636365</v>
      </c>
      <c r="AH109" s="101">
        <f>AH108/44-1</f>
        <v>1</v>
      </c>
      <c r="AI109" s="84">
        <f>-AH109/AG109</f>
        <v>1.6296296296296295</v>
      </c>
      <c r="AJ109" s="167" t="s">
        <v>28</v>
      </c>
      <c r="AK109" s="101">
        <f>AK108/50-1</f>
        <v>-0.62</v>
      </c>
      <c r="AL109" s="101">
        <f>AL108/50-1</f>
        <v>0.94</v>
      </c>
      <c r="AM109" s="84">
        <f>-AL109/AK109</f>
        <v>1.5161290322580645</v>
      </c>
      <c r="AN109" s="167" t="s">
        <v>28</v>
      </c>
      <c r="AP109" s="101">
        <f>AP108/63-1</f>
        <v>-0.66666666666666674</v>
      </c>
      <c r="AQ109" s="101">
        <f>AQ108/63-1</f>
        <v>0.63492063492063489</v>
      </c>
      <c r="AR109" s="13">
        <f>-AQ109/AP109</f>
        <v>0.95238095238095222</v>
      </c>
      <c r="AS109" s="166" t="s">
        <v>28</v>
      </c>
      <c r="AT109" s="101">
        <f>AT108/70-1</f>
        <v>-0.67142857142857149</v>
      </c>
      <c r="AU109" s="101">
        <f>AU108/70-1</f>
        <v>0.47142857142857153</v>
      </c>
      <c r="AV109" s="84">
        <f>-AU109/AT109</f>
        <v>0.70212765957446821</v>
      </c>
      <c r="AW109" s="166" t="s">
        <v>28</v>
      </c>
      <c r="AX109" s="104">
        <f>AX108/75-1</f>
        <v>-0.66666666666666674</v>
      </c>
      <c r="AY109" s="104">
        <f>AY108/75-1</f>
        <v>0.56000000000000005</v>
      </c>
      <c r="AZ109" s="80">
        <f t="shared" si="86"/>
        <v>2.84</v>
      </c>
      <c r="BA109" s="239" t="str">
        <f t="shared" si="85"/>
        <v>cumple</v>
      </c>
      <c r="BD109" s="9" t="str">
        <f t="shared" si="77"/>
        <v>Crecimiento de nuevas empresas afiliadas</v>
      </c>
      <c r="BE109" s="9" t="str">
        <f t="shared" si="78"/>
        <v>Sobresaliente</v>
      </c>
      <c r="BF109" t="s">
        <v>91</v>
      </c>
      <c r="BG109" s="81">
        <f t="shared" si="79"/>
        <v>2.84</v>
      </c>
    </row>
    <row r="110" spans="1:59" ht="14.25" customHeight="1" x14ac:dyDescent="0.25">
      <c r="A110" s="653"/>
      <c r="B110" s="82" t="s">
        <v>65</v>
      </c>
      <c r="C110" s="134">
        <v>169463614.22144276</v>
      </c>
      <c r="D110" s="134">
        <v>178487115</v>
      </c>
      <c r="E110" s="84">
        <f t="shared" ref="E110:E117" si="87">+D110/C110</f>
        <v>1.0532474231711237</v>
      </c>
      <c r="F110" s="101">
        <f>D110/164385550-1</f>
        <v>8.578348279395609E-2</v>
      </c>
      <c r="G110" s="134">
        <v>347250753</v>
      </c>
      <c r="H110" s="134">
        <v>349440269</v>
      </c>
      <c r="I110" s="84">
        <f t="shared" ref="I110:I117" si="88">+H110/G110</f>
        <v>1.0063052879830616</v>
      </c>
      <c r="J110" s="101">
        <f>H110/329703308-1</f>
        <v>5.9862793369364731E-2</v>
      </c>
      <c r="K110" s="134">
        <v>522467774</v>
      </c>
      <c r="L110" s="134">
        <v>512646338</v>
      </c>
      <c r="M110" s="84">
        <f t="shared" ref="M110:M116" si="89">+L110/K110</f>
        <v>0.98120183389530935</v>
      </c>
      <c r="N110" s="101">
        <f>L110/496247641-1</f>
        <v>3.3045390335669111E-2</v>
      </c>
      <c r="O110" s="27"/>
      <c r="P110" s="118">
        <v>690532394</v>
      </c>
      <c r="Q110" s="118">
        <v>705339347</v>
      </c>
      <c r="R110" s="74">
        <f>+Q110/P110</f>
        <v>1.0214428072146315</v>
      </c>
      <c r="S110" s="151">
        <f>Q110/737266214-1</f>
        <v>-4.3304394523631329E-2</v>
      </c>
      <c r="T110" s="118">
        <v>861838719</v>
      </c>
      <c r="U110" s="118">
        <v>893015007</v>
      </c>
      <c r="V110" s="74">
        <f>+U110/T110</f>
        <v>1.0361741556890993</v>
      </c>
      <c r="W110" s="141">
        <f>U110/912502163-1</f>
        <v>-2.1355736775387824E-2</v>
      </c>
      <c r="X110" s="168">
        <v>1028305561</v>
      </c>
      <c r="Y110" s="169">
        <v>1075505231</v>
      </c>
      <c r="Z110" s="74">
        <f>+Y110/X110</f>
        <v>1.0459004325077261</v>
      </c>
      <c r="AA110" s="141">
        <f>Y110/1090844671-1</f>
        <v>-1.4061983715736526E-2</v>
      </c>
      <c r="AC110" s="118">
        <v>1202427910.1120303</v>
      </c>
      <c r="AD110" s="118">
        <v>1261466237</v>
      </c>
      <c r="AE110" s="74">
        <f>+AD110/AC110</f>
        <v>1.0490992652378379</v>
      </c>
      <c r="AF110" s="151">
        <f>AD110/1271387022-1</f>
        <v>-7.8031196074298537E-3</v>
      </c>
      <c r="AG110" s="118">
        <v>1363523059.1013629</v>
      </c>
      <c r="AH110" s="118">
        <v>1431933644</v>
      </c>
      <c r="AI110" s="74">
        <f>+AH110/AG110</f>
        <v>1.0501719310443665</v>
      </c>
      <c r="AJ110" s="141">
        <f>AH110/1472000845-1</f>
        <v>-2.7219550271385895E-2</v>
      </c>
      <c r="AK110" s="168">
        <v>1540211256.419611</v>
      </c>
      <c r="AL110" s="170">
        <v>1623213699</v>
      </c>
      <c r="AM110" s="74">
        <f>+AL110/AK110</f>
        <v>1.0538902973435846</v>
      </c>
      <c r="AN110" s="141">
        <f>AL110/1659170407-1</f>
        <v>-2.1671497905398684E-2</v>
      </c>
      <c r="AP110" s="118">
        <v>1708156733.5805488</v>
      </c>
      <c r="AQ110" s="118">
        <v>1810893111.7046325</v>
      </c>
      <c r="AR110" s="13">
        <f>+AQ110/AP110</f>
        <v>1.0601445851568509</v>
      </c>
      <c r="AS110" s="151">
        <f>AQ110/1852028697-1</f>
        <v>-2.2211094980332025E-2</v>
      </c>
      <c r="AT110" s="118">
        <v>1885865004.8197865</v>
      </c>
      <c r="AU110" s="118">
        <v>2006471883.8910103</v>
      </c>
      <c r="AV110" s="74">
        <f>+AU110/AT110</f>
        <v>1.0639530818817802</v>
      </c>
      <c r="AW110" s="151">
        <f>AU110/2036924245-1</f>
        <v>-1.4950168708404599E-2</v>
      </c>
      <c r="AX110" s="121">
        <v>2059778837.2280312</v>
      </c>
      <c r="AY110" s="121">
        <v>2204928523.7236285</v>
      </c>
      <c r="AZ110" s="80">
        <f t="shared" si="86"/>
        <v>1.0704685784086092</v>
      </c>
      <c r="BA110" s="239" t="str">
        <f t="shared" si="85"/>
        <v>cumple</v>
      </c>
      <c r="BD110" s="9" t="str">
        <f t="shared" si="77"/>
        <v>Cumplimiento de aportes totales región</v>
      </c>
      <c r="BE110" s="9" t="str">
        <f t="shared" si="78"/>
        <v>Sobresaliente</v>
      </c>
      <c r="BF110" t="s">
        <v>91</v>
      </c>
      <c r="BG110" s="81">
        <f t="shared" si="79"/>
        <v>1.0704685784086092</v>
      </c>
    </row>
    <row r="111" spans="1:59" ht="14.25" customHeight="1" x14ac:dyDescent="0.25">
      <c r="A111" s="653"/>
      <c r="B111" s="82" t="s">
        <v>66</v>
      </c>
      <c r="C111" s="101">
        <f>C110/164385550-1</f>
        <v>3.0891183692500768E-2</v>
      </c>
      <c r="D111" s="101">
        <f>D110/164385550-1</f>
        <v>8.578348279395609E-2</v>
      </c>
      <c r="E111" s="84">
        <f t="shared" si="87"/>
        <v>2.7769568057950829</v>
      </c>
      <c r="F111" s="133" t="s">
        <v>28</v>
      </c>
      <c r="G111" s="101">
        <f>G110/329703308-1</f>
        <v>5.3221925817013682E-2</v>
      </c>
      <c r="H111" s="101">
        <f>H110/329703308-1</f>
        <v>5.9862793369364731E-2</v>
      </c>
      <c r="I111" s="84">
        <f t="shared" si="88"/>
        <v>1.1247769119663862</v>
      </c>
      <c r="J111" s="133" t="s">
        <v>28</v>
      </c>
      <c r="K111" s="101">
        <f>K110/496247641-1</f>
        <v>5.2836791218116907E-2</v>
      </c>
      <c r="L111" s="101">
        <f>+L110/496247641-1</f>
        <v>3.3045390335669111E-2</v>
      </c>
      <c r="M111" s="84">
        <f t="shared" si="89"/>
        <v>0.62542386798724381</v>
      </c>
      <c r="N111" s="133" t="s">
        <v>28</v>
      </c>
      <c r="O111" s="27"/>
      <c r="P111" s="101">
        <f>P110/737266214-1</f>
        <v>-6.3387985387866941E-2</v>
      </c>
      <c r="Q111" s="117">
        <f>Q110/737266214-1</f>
        <v>-4.3304394523631329E-2</v>
      </c>
      <c r="R111" s="84">
        <f>Q111/P111</f>
        <v>0.68316407689335079</v>
      </c>
      <c r="S111" s="166" t="s">
        <v>28</v>
      </c>
      <c r="T111" s="101">
        <f>T110/912502163-1</f>
        <v>-5.5521450857097809E-2</v>
      </c>
      <c r="U111" s="117">
        <f>U110/912502163-1</f>
        <v>-2.1355736775387824E-2</v>
      </c>
      <c r="V111" s="84">
        <f>U111/T111</f>
        <v>0.38463938614200904</v>
      </c>
      <c r="W111" s="167" t="s">
        <v>28</v>
      </c>
      <c r="X111" s="101">
        <f>X110/1090844671-1</f>
        <v>-5.7330902980594955E-2</v>
      </c>
      <c r="Y111" s="117">
        <f>Y110/1090844671-1</f>
        <v>-1.4061983715736526E-2</v>
      </c>
      <c r="Z111" s="84">
        <f>Y111/X111</f>
        <v>0.2452775551171093</v>
      </c>
      <c r="AA111" s="167" t="s">
        <v>28</v>
      </c>
      <c r="AC111" s="101">
        <f>AC110/1271387022-1</f>
        <v>-5.4239276235092615E-2</v>
      </c>
      <c r="AD111" s="117">
        <f>AD110/1271387022-1</f>
        <v>-7.8031196074298537E-3</v>
      </c>
      <c r="AE111" s="84">
        <f>AD111/AC111</f>
        <v>0.14386474431569321</v>
      </c>
      <c r="AF111" s="166" t="s">
        <v>28</v>
      </c>
      <c r="AG111" s="101">
        <f>AG110/1472000845-1</f>
        <v>-7.3694105724944059E-2</v>
      </c>
      <c r="AH111" s="101">
        <f>AH110/1472000845-1</f>
        <v>-2.7219550271385895E-2</v>
      </c>
      <c r="AI111" s="84">
        <f>AH111/AG111</f>
        <v>0.36935858035892538</v>
      </c>
      <c r="AJ111" s="167" t="s">
        <v>28</v>
      </c>
      <c r="AK111" s="101">
        <f>AK110/1659170407-1</f>
        <v>-7.1697970310043657E-2</v>
      </c>
      <c r="AL111" s="101">
        <f>AL110/1659170407-1</f>
        <v>-2.1671497905398684E-2</v>
      </c>
      <c r="AM111" s="84">
        <f>AL111/AK111</f>
        <v>0.3022609679421131</v>
      </c>
      <c r="AN111" s="167" t="s">
        <v>28</v>
      </c>
      <c r="AP111" s="101">
        <f>AP110/1852258697-1</f>
        <v>-7.7797968314493593E-2</v>
      </c>
      <c r="AQ111" s="101">
        <f>AQ110/1852258697-1</f>
        <v>-2.2332509687963631E-2</v>
      </c>
      <c r="AR111" s="13">
        <f>AQ111/AP111</f>
        <v>0.28705774934489042</v>
      </c>
      <c r="AS111" s="166" t="s">
        <v>28</v>
      </c>
      <c r="AT111" s="101">
        <f>AT110/2036924245-1</f>
        <v>-7.4160460582182064E-2</v>
      </c>
      <c r="AU111" s="101">
        <f>AU110/2036924245-1</f>
        <v>-1.4950168708404599E-2</v>
      </c>
      <c r="AV111" s="84">
        <f>AU111/AT111</f>
        <v>0.20159217716612396</v>
      </c>
      <c r="AW111" s="166" t="s">
        <v>28</v>
      </c>
      <c r="AX111" s="104">
        <f>AX110/2215011804-1</f>
        <v>-7.0082230032201154E-2</v>
      </c>
      <c r="AY111" s="104">
        <f>AY110/2215011804-1</f>
        <v>-4.552246745666344E-3</v>
      </c>
      <c r="AZ111" s="80">
        <f t="shared" si="86"/>
        <v>1.9350442081598334</v>
      </c>
      <c r="BA111" s="239" t="str">
        <f t="shared" si="85"/>
        <v>cumple</v>
      </c>
      <c r="BD111" s="9" t="str">
        <f t="shared" si="77"/>
        <v>Crecimiento de aportes totales región</v>
      </c>
      <c r="BE111" s="9" t="str">
        <f t="shared" si="78"/>
        <v>Sobresaliente</v>
      </c>
      <c r="BF111" t="s">
        <v>91</v>
      </c>
      <c r="BG111" s="81">
        <f t="shared" si="79"/>
        <v>1.9350442081598334</v>
      </c>
    </row>
    <row r="112" spans="1:59" ht="14.25" customHeight="1" x14ac:dyDescent="0.25">
      <c r="A112" s="653"/>
      <c r="B112" s="82" t="s">
        <v>67</v>
      </c>
      <c r="C112" s="134">
        <v>667442.60023682762</v>
      </c>
      <c r="D112" s="134">
        <v>35200</v>
      </c>
      <c r="E112" s="84">
        <f t="shared" si="87"/>
        <v>5.2738617504351742E-2</v>
      </c>
      <c r="F112" s="101">
        <f>D112/495700-1</f>
        <v>-0.92898930804922331</v>
      </c>
      <c r="G112" s="134">
        <v>2080182</v>
      </c>
      <c r="H112" s="134">
        <v>689100</v>
      </c>
      <c r="I112" s="84">
        <f t="shared" si="88"/>
        <v>0.33126909087762513</v>
      </c>
      <c r="J112" s="101">
        <f>H112/3618100-1</f>
        <v>-0.80954091926701865</v>
      </c>
      <c r="K112" s="134">
        <v>4123501</v>
      </c>
      <c r="L112" s="134">
        <v>4073900</v>
      </c>
      <c r="M112" s="84">
        <f t="shared" si="89"/>
        <v>0.98797114393812446</v>
      </c>
      <c r="N112" s="101">
        <f>L112/5182800-1</f>
        <v>-0.21395770625916488</v>
      </c>
      <c r="O112" s="27"/>
      <c r="P112" s="118">
        <v>6846081</v>
      </c>
      <c r="Q112" s="118">
        <v>8161700</v>
      </c>
      <c r="R112" s="74">
        <f>+Q112/P112</f>
        <v>1.1921711122027332</v>
      </c>
      <c r="S112" s="151">
        <f>Q112/6913000-1</f>
        <v>0.18063069579053947</v>
      </c>
      <c r="T112" s="118">
        <v>10187072</v>
      </c>
      <c r="U112" s="118">
        <v>15532400</v>
      </c>
      <c r="V112" s="74">
        <f>+U112/T112</f>
        <v>1.5247168175507153</v>
      </c>
      <c r="W112" s="141">
        <f>U112/9203200-1</f>
        <v>0.68771731571627259</v>
      </c>
      <c r="X112" s="118">
        <v>14061931.548270626</v>
      </c>
      <c r="Y112" s="118">
        <v>23254000</v>
      </c>
      <c r="Z112" s="74">
        <f>+Y112/X112</f>
        <v>1.6536846250584856</v>
      </c>
      <c r="AA112" s="141">
        <f>Y112/11609900-1</f>
        <v>1.0029457618067341</v>
      </c>
      <c r="AC112" s="118">
        <v>18527331.006793577</v>
      </c>
      <c r="AD112" s="118">
        <v>31851300</v>
      </c>
      <c r="AE112" s="74">
        <f>+AD112/AC112</f>
        <v>1.7191520995830867</v>
      </c>
      <c r="AF112" s="151">
        <f>AD112/15684500-1</f>
        <v>1.0307501036054703</v>
      </c>
      <c r="AG112" s="118">
        <v>23747851.485182043</v>
      </c>
      <c r="AH112" s="118">
        <v>40821100</v>
      </c>
      <c r="AI112" s="74">
        <f>+AH112/AG112</f>
        <v>1.7189386595865803</v>
      </c>
      <c r="AJ112" s="141">
        <f>AH112/19944100-1</f>
        <v>1.0467757381882361</v>
      </c>
      <c r="AK112" s="118">
        <v>29669915.019217607</v>
      </c>
      <c r="AL112" s="118">
        <v>52359500</v>
      </c>
      <c r="AM112" s="74">
        <f>+AL112/AK112</f>
        <v>1.7647337367190314</v>
      </c>
      <c r="AN112" s="141">
        <f>AL112/11609900-1</f>
        <v>3.5099010327393003</v>
      </c>
      <c r="AP112" s="118">
        <v>36300804.206215955</v>
      </c>
      <c r="AQ112" s="118">
        <v>63943100</v>
      </c>
      <c r="AR112" s="13">
        <f>+AQ112/AP112</f>
        <v>1.7614788817557581</v>
      </c>
      <c r="AS112" s="151">
        <f>AQ112/32132300-1</f>
        <v>0.98999449152410501</v>
      </c>
      <c r="AT112" s="118">
        <v>43593085.637697153</v>
      </c>
      <c r="AU112" s="118">
        <v>76559600</v>
      </c>
      <c r="AV112" s="74">
        <f>+AU112/AT112</f>
        <v>1.7562326428619457</v>
      </c>
      <c r="AW112" s="151">
        <f>AU112/38382300-1</f>
        <v>0.99465899646451628</v>
      </c>
      <c r="AX112" s="121">
        <v>51429623.910924666</v>
      </c>
      <c r="AY112" s="121">
        <v>90549100</v>
      </c>
      <c r="AZ112" s="80">
        <f t="shared" si="86"/>
        <v>1.7606409130432235</v>
      </c>
      <c r="BA112" s="239" t="str">
        <f t="shared" si="85"/>
        <v>cumple</v>
      </c>
      <c r="BD112" s="9" t="str">
        <f t="shared" si="77"/>
        <v>Cumplimiento de nuevos aportes</v>
      </c>
      <c r="BE112" s="9" t="str">
        <f t="shared" si="78"/>
        <v>Sobresaliente</v>
      </c>
      <c r="BF112" t="s">
        <v>91</v>
      </c>
      <c r="BG112" s="81">
        <f t="shared" si="79"/>
        <v>1.7606409130432235</v>
      </c>
    </row>
    <row r="113" spans="1:59" ht="14.25" customHeight="1" x14ac:dyDescent="0.25">
      <c r="A113" s="653"/>
      <c r="B113" s="82" t="s">
        <v>68</v>
      </c>
      <c r="C113" s="132">
        <v>2518.1122181781284</v>
      </c>
      <c r="D113" s="132">
        <v>2716</v>
      </c>
      <c r="E113" s="84">
        <f t="shared" si="87"/>
        <v>1.0785857677006327</v>
      </c>
      <c r="F113" s="101">
        <f>D113/2422-1</f>
        <v>0.12138728323699421</v>
      </c>
      <c r="G113" s="132">
        <v>2474.8894242837164</v>
      </c>
      <c r="H113" s="132">
        <v>2762</v>
      </c>
      <c r="I113" s="84">
        <f t="shared" si="88"/>
        <v>1.1160094559777674</v>
      </c>
      <c r="J113" s="101">
        <f>H113/2458-1</f>
        <v>0.12367778681855168</v>
      </c>
      <c r="K113" s="132">
        <v>2542.5984698706352</v>
      </c>
      <c r="L113" s="132">
        <v>2776</v>
      </c>
      <c r="M113" s="84">
        <f t="shared" si="89"/>
        <v>1.0917964566152043</v>
      </c>
      <c r="N113" s="101">
        <f>L113/2538-1</f>
        <v>9.3774625689519331E-2</v>
      </c>
      <c r="O113" s="27"/>
      <c r="P113" s="118">
        <v>2533.7165406944328</v>
      </c>
      <c r="Q113" s="118">
        <v>2860</v>
      </c>
      <c r="R113" s="74">
        <f>+Q113/P113</f>
        <v>1.1287766228246434</v>
      </c>
      <c r="S113" s="151">
        <f>Q113/2390-1</f>
        <v>0.19665271966527187</v>
      </c>
      <c r="T113" s="118">
        <v>2577.2034374741593</v>
      </c>
      <c r="U113" s="118">
        <v>2881</v>
      </c>
      <c r="V113" s="74">
        <f>+U113/T113</f>
        <v>1.1178783785976876</v>
      </c>
      <c r="W113" s="141">
        <f>U113/2345-1</f>
        <v>0.22857142857142865</v>
      </c>
      <c r="X113" s="118">
        <v>2561</v>
      </c>
      <c r="Y113" s="118">
        <v>2944</v>
      </c>
      <c r="Z113" s="74">
        <f>+Y113/X113</f>
        <v>1.1495509566575557</v>
      </c>
      <c r="AA113" s="141">
        <f>Y113/2385-1</f>
        <v>0.23438155136268346</v>
      </c>
      <c r="AC113" s="118">
        <v>2622</v>
      </c>
      <c r="AD113" s="118">
        <v>3001</v>
      </c>
      <c r="AE113" s="74">
        <f>+AD113/AC113</f>
        <v>1.1445461479786423</v>
      </c>
      <c r="AF113" s="151">
        <f>AD113/2444-1</f>
        <v>0.22790507364975454</v>
      </c>
      <c r="AG113" s="118">
        <v>2562</v>
      </c>
      <c r="AH113" s="118">
        <v>3123</v>
      </c>
      <c r="AI113" s="74">
        <f>+AH113/AG113</f>
        <v>1.2189695550351287</v>
      </c>
      <c r="AJ113" s="141">
        <f>AH113/2512-1</f>
        <v>0.24323248407643305</v>
      </c>
      <c r="AK113" s="118">
        <v>2706.3854098241795</v>
      </c>
      <c r="AL113" s="118">
        <v>3120</v>
      </c>
      <c r="AM113" s="74">
        <f>+AL113/AK113</f>
        <v>1.1528291531111567</v>
      </c>
      <c r="AN113" s="141">
        <f>AL113/2602-1</f>
        <v>0.19907763259031519</v>
      </c>
      <c r="AP113" s="118">
        <v>2708.0216719301011</v>
      </c>
      <c r="AQ113" s="118">
        <v>3082</v>
      </c>
      <c r="AR113" s="13">
        <f>+AQ113/AP113</f>
        <v>1.1381001976263179</v>
      </c>
      <c r="AS113" s="151">
        <f>AQ113/2663-1</f>
        <v>0.15734134434847924</v>
      </c>
      <c r="AT113" s="118">
        <v>2666</v>
      </c>
      <c r="AU113" s="118">
        <v>3160</v>
      </c>
      <c r="AV113" s="74">
        <f>+AU113/AT113</f>
        <v>1.1852963240810201</v>
      </c>
      <c r="AW113" s="151">
        <f>AU113/2706-1</f>
        <v>0.16777531411677749</v>
      </c>
      <c r="AX113" s="121">
        <v>2665</v>
      </c>
      <c r="AY113" s="121">
        <v>3090</v>
      </c>
      <c r="AZ113" s="80">
        <f t="shared" si="86"/>
        <v>1.1594746716697937</v>
      </c>
      <c r="BA113" s="239" t="str">
        <f t="shared" si="85"/>
        <v>cumple</v>
      </c>
      <c r="BD113" s="9" t="str">
        <f t="shared" si="77"/>
        <v>Cumplimiento afiliados totales región</v>
      </c>
      <c r="BE113" s="9" t="str">
        <f t="shared" si="78"/>
        <v>Sobresaliente</v>
      </c>
      <c r="BF113" t="s">
        <v>91</v>
      </c>
      <c r="BG113" s="81">
        <f t="shared" si="79"/>
        <v>1.1594746716697937</v>
      </c>
    </row>
    <row r="114" spans="1:59" ht="14.25" customHeight="1" x14ac:dyDescent="0.25">
      <c r="A114" s="653"/>
      <c r="B114" s="82" t="s">
        <v>69</v>
      </c>
      <c r="C114" s="101">
        <f>C113/2422-1</f>
        <v>3.9682996770490586E-2</v>
      </c>
      <c r="D114" s="101">
        <f>D113/2422-1</f>
        <v>0.12138728323699421</v>
      </c>
      <c r="E114" s="84">
        <f t="shared" si="87"/>
        <v>3.0589243029967252</v>
      </c>
      <c r="F114" s="133" t="s">
        <v>28</v>
      </c>
      <c r="G114" s="101">
        <f>G113/2458-1</f>
        <v>6.8712059738471609E-3</v>
      </c>
      <c r="H114" s="101">
        <f>H113/2458-1</f>
        <v>0.12367778681855168</v>
      </c>
      <c r="I114" s="84">
        <f t="shared" si="88"/>
        <v>17.999429399917258</v>
      </c>
      <c r="J114" s="133" t="s">
        <v>28</v>
      </c>
      <c r="K114" s="101">
        <f>K113/2538-1</f>
        <v>1.8118478607702659E-3</v>
      </c>
      <c r="L114" s="117">
        <f>L113/2538-1</f>
        <v>9.3774625689519331E-2</v>
      </c>
      <c r="M114" s="84">
        <f t="shared" si="89"/>
        <v>51.756346501219575</v>
      </c>
      <c r="N114" s="133" t="s">
        <v>28</v>
      </c>
      <c r="O114" s="27"/>
      <c r="P114" s="101">
        <f>P113/2390-1</f>
        <v>6.0132443805201996E-2</v>
      </c>
      <c r="Q114" s="101">
        <f>Q113/2390-1</f>
        <v>0.19665271966527187</v>
      </c>
      <c r="R114" s="84">
        <f>+Q114/P114</f>
        <v>3.2703264198329429</v>
      </c>
      <c r="S114" s="166" t="s">
        <v>28</v>
      </c>
      <c r="T114" s="101">
        <f>T113/2345-1</f>
        <v>9.9020655639300292E-2</v>
      </c>
      <c r="U114" s="101">
        <f>U113/2345-1</f>
        <v>0.22857142857142865</v>
      </c>
      <c r="V114" s="84">
        <f>U114/T114</f>
        <v>2.3083206942603898</v>
      </c>
      <c r="W114" s="167" t="s">
        <v>28</v>
      </c>
      <c r="X114" s="101">
        <f>X113/2385-1</f>
        <v>7.3794549266247289E-2</v>
      </c>
      <c r="Y114" s="101">
        <f>Y113/2385-1</f>
        <v>0.23438155136268346</v>
      </c>
      <c r="Z114" s="84">
        <f>Y114/X114</f>
        <v>3.1761363636363678</v>
      </c>
      <c r="AA114" s="167" t="s">
        <v>28</v>
      </c>
      <c r="AC114" s="101">
        <f>AC113/2444-1</f>
        <v>7.2831423895253655E-2</v>
      </c>
      <c r="AD114" s="101">
        <f>AD113/2444-1</f>
        <v>0.22790507364975454</v>
      </c>
      <c r="AE114" s="84">
        <f>+AD114/AC114</f>
        <v>3.129213483146069</v>
      </c>
      <c r="AF114" s="166" t="s">
        <v>28</v>
      </c>
      <c r="AG114" s="101">
        <f>AG113/2512-1</f>
        <v>1.9904458598726027E-2</v>
      </c>
      <c r="AH114" s="101">
        <f>AH113/2512-1</f>
        <v>0.24323248407643305</v>
      </c>
      <c r="AI114" s="84">
        <f>AH114/AG114</f>
        <v>12.22000000000005</v>
      </c>
      <c r="AJ114" s="167" t="s">
        <v>28</v>
      </c>
      <c r="AK114" s="101">
        <f>AK113/2602-1</f>
        <v>4.0117375028508651E-2</v>
      </c>
      <c r="AL114" s="101">
        <f>AL113/2602-1</f>
        <v>0.19907763259031519</v>
      </c>
      <c r="AM114" s="84">
        <f>AL114/AK114</f>
        <v>4.9623793293764722</v>
      </c>
      <c r="AN114" s="167" t="s">
        <v>28</v>
      </c>
      <c r="AP114" s="101">
        <f>AP113/2663-1</f>
        <v>1.6906373236988737E-2</v>
      </c>
      <c r="AQ114" s="101">
        <f>AQ113/2663-1</f>
        <v>0.15734134434847924</v>
      </c>
      <c r="AR114" s="13">
        <f>+AQ114/AP114</f>
        <v>9.3066290530152731</v>
      </c>
      <c r="AS114" s="166" t="s">
        <v>28</v>
      </c>
      <c r="AT114" s="101">
        <f>AT113/2706-1</f>
        <v>-1.4781966001478186E-2</v>
      </c>
      <c r="AU114" s="101">
        <f>AU113/2706-1</f>
        <v>0.16777531411677749</v>
      </c>
      <c r="AV114" s="84">
        <f>AU114/AT114</f>
        <v>-11.350000000000005</v>
      </c>
      <c r="AW114" s="166" t="s">
        <v>28</v>
      </c>
      <c r="AX114" s="104">
        <f>AX113/2684-1</f>
        <v>-7.0789865871833113E-3</v>
      </c>
      <c r="AY114" s="104">
        <f>AY113/2684-1</f>
        <v>0.15126676602086442</v>
      </c>
      <c r="AZ114" s="80">
        <f t="shared" si="86"/>
        <v>23.368421052631575</v>
      </c>
      <c r="BA114" s="239" t="str">
        <f t="shared" si="85"/>
        <v>cumple</v>
      </c>
      <c r="BD114" s="9" t="str">
        <f t="shared" si="77"/>
        <v>Crecimiento afiliados totales región</v>
      </c>
      <c r="BE114" s="9" t="str">
        <f t="shared" si="78"/>
        <v>Sobresaliente</v>
      </c>
      <c r="BF114" t="s">
        <v>91</v>
      </c>
      <c r="BG114" s="81">
        <f t="shared" si="79"/>
        <v>23.368421052631575</v>
      </c>
    </row>
    <row r="115" spans="1:59" ht="14.25" customHeight="1" x14ac:dyDescent="0.25">
      <c r="A115" s="653"/>
      <c r="B115" s="82" t="s">
        <v>70</v>
      </c>
      <c r="C115" s="133">
        <v>20</v>
      </c>
      <c r="D115" s="133">
        <v>45</v>
      </c>
      <c r="E115" s="84">
        <f t="shared" si="87"/>
        <v>2.25</v>
      </c>
      <c r="F115" s="101">
        <f>D115/44-1</f>
        <v>2.2727272727272707E-2</v>
      </c>
      <c r="G115" s="133">
        <v>42</v>
      </c>
      <c r="H115" s="133">
        <v>66</v>
      </c>
      <c r="I115" s="84">
        <f t="shared" si="88"/>
        <v>1.5714285714285714</v>
      </c>
      <c r="J115" s="101">
        <f>H115/50-1</f>
        <v>0.32000000000000006</v>
      </c>
      <c r="K115" s="133">
        <v>61</v>
      </c>
      <c r="L115" s="133">
        <v>117</v>
      </c>
      <c r="M115" s="84">
        <f t="shared" si="89"/>
        <v>1.9180327868852458</v>
      </c>
      <c r="N115" s="101">
        <f>L115/88-1</f>
        <v>0.32954545454545459</v>
      </c>
      <c r="O115" s="27"/>
      <c r="P115" s="118">
        <v>82</v>
      </c>
      <c r="Q115" s="118">
        <v>119</v>
      </c>
      <c r="R115" s="74">
        <f>+Q115/P115</f>
        <v>1.4512195121951219</v>
      </c>
      <c r="S115" s="151">
        <f>Q115/73-1</f>
        <v>0.63013698630136994</v>
      </c>
      <c r="T115" s="118">
        <v>100</v>
      </c>
      <c r="U115" s="118">
        <v>202</v>
      </c>
      <c r="V115" s="74">
        <f>+U115/T115</f>
        <v>2.02</v>
      </c>
      <c r="W115" s="141">
        <f>U115/84-1</f>
        <v>1.4047619047619047</v>
      </c>
      <c r="X115" s="118">
        <v>116</v>
      </c>
      <c r="Y115" s="118">
        <v>226</v>
      </c>
      <c r="Z115" s="74">
        <f>+Y115/X115</f>
        <v>1.9482758620689655</v>
      </c>
      <c r="AA115" s="141">
        <f>Y115/81-1</f>
        <v>1.7901234567901234</v>
      </c>
      <c r="AC115" s="118">
        <v>134</v>
      </c>
      <c r="AD115" s="118">
        <v>247</v>
      </c>
      <c r="AE115" s="74">
        <f>+AD115/AC115</f>
        <v>1.8432835820895523</v>
      </c>
      <c r="AF115" s="151">
        <f>AD115/141-1</f>
        <v>0.75177304964539005</v>
      </c>
      <c r="AG115" s="118">
        <v>157</v>
      </c>
      <c r="AH115" s="118">
        <v>288</v>
      </c>
      <c r="AI115" s="74">
        <f>+AH115/AG115</f>
        <v>1.8343949044585988</v>
      </c>
      <c r="AJ115" s="141">
        <f>AH115/155-1</f>
        <v>0.85806451612903234</v>
      </c>
      <c r="AK115" s="118">
        <v>178</v>
      </c>
      <c r="AL115" s="118">
        <v>271</v>
      </c>
      <c r="AM115" s="74">
        <f>+AL115/AK115</f>
        <v>1.5224719101123596</v>
      </c>
      <c r="AN115" s="141">
        <f>AL115/187-1</f>
        <v>0.44919786096256686</v>
      </c>
      <c r="AP115" s="118">
        <v>199</v>
      </c>
      <c r="AQ115" s="118">
        <v>303</v>
      </c>
      <c r="AR115" s="13">
        <f>+AQ115/AP115</f>
        <v>1.5226130653266332</v>
      </c>
      <c r="AS115" s="151">
        <f>AQ115/179-1</f>
        <v>0.6927374301675977</v>
      </c>
      <c r="AT115" s="118">
        <v>219</v>
      </c>
      <c r="AU115" s="118">
        <v>336</v>
      </c>
      <c r="AV115" s="74">
        <f>+AU115/AT115</f>
        <v>1.5342465753424657</v>
      </c>
      <c r="AW115" s="151">
        <f>AU115/210-1</f>
        <v>0.60000000000000009</v>
      </c>
      <c r="AX115" s="121">
        <v>236</v>
      </c>
      <c r="AY115" s="121">
        <v>387</v>
      </c>
      <c r="AZ115" s="80">
        <f t="shared" si="86"/>
        <v>1.6398305084745763</v>
      </c>
      <c r="BA115" s="239" t="str">
        <f t="shared" si="85"/>
        <v>cumple</v>
      </c>
      <c r="BD115" s="9" t="str">
        <f t="shared" si="77"/>
        <v>Cumplimiento de nuevos afiliados región</v>
      </c>
      <c r="BE115" s="9" t="str">
        <f t="shared" si="78"/>
        <v>Sobresaliente</v>
      </c>
      <c r="BF115" t="s">
        <v>91</v>
      </c>
      <c r="BG115" s="81">
        <f t="shared" si="79"/>
        <v>1.6398305084745763</v>
      </c>
    </row>
    <row r="116" spans="1:59" ht="14.25" customHeight="1" x14ac:dyDescent="0.25">
      <c r="A116" s="654"/>
      <c r="B116" s="82" t="s">
        <v>78</v>
      </c>
      <c r="C116" s="171">
        <v>291</v>
      </c>
      <c r="D116" s="171">
        <v>40</v>
      </c>
      <c r="E116" s="84">
        <f t="shared" si="87"/>
        <v>0.13745704467353953</v>
      </c>
      <c r="F116" s="93">
        <v>-0.76744186046511631</v>
      </c>
      <c r="G116" s="171">
        <v>203</v>
      </c>
      <c r="H116" s="94">
        <v>4</v>
      </c>
      <c r="I116" s="84">
        <f t="shared" si="88"/>
        <v>1.9704433497536946E-2</v>
      </c>
      <c r="J116" s="93">
        <v>-0.98620689655172411</v>
      </c>
      <c r="K116" s="133">
        <v>197</v>
      </c>
      <c r="L116" s="133">
        <v>53</v>
      </c>
      <c r="M116" s="84">
        <f t="shared" si="89"/>
        <v>0.26903553299492383</v>
      </c>
      <c r="N116" s="93">
        <v>-0.75117370892018775</v>
      </c>
      <c r="O116" s="27"/>
      <c r="P116" s="143"/>
      <c r="Q116" s="143"/>
      <c r="R116" s="143"/>
      <c r="S116" s="143"/>
      <c r="T116" s="143"/>
      <c r="U116" s="143"/>
      <c r="V116" s="143"/>
      <c r="W116" s="143"/>
      <c r="X116" s="143"/>
      <c r="Y116" s="143"/>
      <c r="Z116" s="143"/>
      <c r="AA116" s="143"/>
      <c r="AC116" s="143"/>
      <c r="AD116" s="143"/>
      <c r="AE116" s="143"/>
      <c r="AF116" s="143"/>
      <c r="AG116" s="143"/>
      <c r="AH116" s="143"/>
      <c r="AI116" s="143"/>
      <c r="AJ116" s="143"/>
      <c r="AK116" s="143"/>
      <c r="AL116" s="143"/>
      <c r="AM116" s="143"/>
      <c r="AN116" s="143"/>
      <c r="AP116" s="143"/>
      <c r="AQ116" s="143"/>
      <c r="AR116" s="143"/>
      <c r="AS116" s="143"/>
      <c r="AT116" s="143"/>
      <c r="AU116" s="143"/>
      <c r="AV116" s="143"/>
      <c r="AW116" s="143"/>
      <c r="AX116" s="144">
        <v>3.1602914389799635</v>
      </c>
      <c r="AY116" s="144">
        <v>3.0446265938069219</v>
      </c>
      <c r="AZ116" s="80">
        <f t="shared" si="86"/>
        <v>0.96340057636887622</v>
      </c>
      <c r="BA116" s="239" t="str">
        <f t="shared" si="85"/>
        <v>revisar</v>
      </c>
      <c r="BD116" s="9" t="str">
        <f t="shared" si="77"/>
        <v xml:space="preserve">Cumplimiento cobertura región </v>
      </c>
      <c r="BE116" s="9" t="str">
        <f t="shared" si="78"/>
        <v>Satisfactorio</v>
      </c>
      <c r="BF116" t="s">
        <v>91</v>
      </c>
      <c r="BG116" s="81">
        <f t="shared" si="79"/>
        <v>0.96340057636887622</v>
      </c>
    </row>
    <row r="117" spans="1:59" ht="14.25" customHeight="1" thickBot="1" x14ac:dyDescent="0.3">
      <c r="A117" s="655"/>
      <c r="B117" s="82" t="s">
        <v>79</v>
      </c>
      <c r="C117" s="94">
        <v>93</v>
      </c>
      <c r="D117" s="165">
        <v>0</v>
      </c>
      <c r="E117" s="84">
        <f t="shared" si="87"/>
        <v>0</v>
      </c>
      <c r="F117" s="74">
        <v>0</v>
      </c>
      <c r="G117" s="94">
        <v>68</v>
      </c>
      <c r="H117" s="94">
        <v>4</v>
      </c>
      <c r="I117" s="84">
        <f t="shared" si="88"/>
        <v>5.8823529411764705E-2</v>
      </c>
      <c r="J117" s="74">
        <v>-0.90476190476190477</v>
      </c>
      <c r="K117" s="94">
        <v>59</v>
      </c>
      <c r="L117" s="165">
        <v>0</v>
      </c>
      <c r="M117" s="84">
        <f>+L117/K117</f>
        <v>0</v>
      </c>
      <c r="N117" s="116">
        <v>-1</v>
      </c>
      <c r="O117" s="27"/>
      <c r="P117" s="143"/>
      <c r="Q117" s="143"/>
      <c r="R117" s="143"/>
      <c r="S117" s="143"/>
      <c r="T117" s="143"/>
      <c r="U117" s="143"/>
      <c r="V117" s="143"/>
      <c r="W117" s="143"/>
      <c r="X117" s="143"/>
      <c r="Y117" s="143"/>
      <c r="Z117" s="143"/>
      <c r="AA117" s="143"/>
      <c r="AC117" s="143"/>
      <c r="AD117" s="143"/>
      <c r="AE117" s="143"/>
      <c r="AF117" s="143"/>
      <c r="AG117" s="143"/>
      <c r="AH117" s="143"/>
      <c r="AI117" s="143"/>
      <c r="AJ117" s="143"/>
      <c r="AK117" s="143"/>
      <c r="AL117" s="143"/>
      <c r="AM117" s="143"/>
      <c r="AN117" s="143"/>
      <c r="AP117" s="143"/>
      <c r="AQ117" s="143"/>
      <c r="AR117" s="143"/>
      <c r="AS117" s="143"/>
      <c r="AT117" s="143"/>
      <c r="AU117" s="143"/>
      <c r="AV117" s="143"/>
      <c r="AW117" s="143"/>
      <c r="AX117" s="144">
        <v>7.333625218914186E-2</v>
      </c>
      <c r="AY117" s="144">
        <v>0.15762215717180816</v>
      </c>
      <c r="AZ117" s="80">
        <f t="shared" si="86"/>
        <v>2.1493075043606558</v>
      </c>
      <c r="BA117" s="239" t="str">
        <f t="shared" si="85"/>
        <v>cumple</v>
      </c>
      <c r="BD117" s="9" t="str">
        <f t="shared" si="77"/>
        <v xml:space="preserve">Penetración de Uso en Población A y B región </v>
      </c>
      <c r="BE117" s="9" t="str">
        <f t="shared" si="78"/>
        <v>Sobresaliente</v>
      </c>
      <c r="BF117" t="s">
        <v>91</v>
      </c>
      <c r="BG117" s="81">
        <f t="shared" si="79"/>
        <v>2.1493075043606558</v>
      </c>
    </row>
    <row r="118" spans="1:59" ht="14.25" customHeight="1" thickBot="1" x14ac:dyDescent="0.3">
      <c r="B118"/>
      <c r="C118" s="18"/>
      <c r="D118" s="18"/>
      <c r="E118" s="18"/>
      <c r="F118" s="18"/>
      <c r="G118" s="18"/>
      <c r="H118" s="18"/>
      <c r="I118" s="18"/>
      <c r="J118" s="18"/>
      <c r="K118" s="18"/>
      <c r="L118" s="18"/>
      <c r="M118" s="18"/>
      <c r="N118" s="27"/>
      <c r="O118" s="27"/>
      <c r="P118" s="143"/>
      <c r="Q118" s="143"/>
      <c r="R118" s="143"/>
      <c r="S118" s="143"/>
      <c r="T118" s="143"/>
      <c r="U118" s="143"/>
      <c r="V118" s="143"/>
      <c r="W118" s="143"/>
      <c r="X118" s="143"/>
      <c r="Y118" s="143"/>
      <c r="Z118" s="143"/>
      <c r="AA118" s="143"/>
      <c r="AC118" s="143"/>
      <c r="AD118" s="143"/>
      <c r="AE118" s="143"/>
      <c r="AF118" s="143"/>
      <c r="AG118" s="143"/>
      <c r="AH118" s="143"/>
      <c r="AI118" s="143"/>
      <c r="AJ118" s="143"/>
      <c r="AK118" s="143"/>
      <c r="AL118" s="143"/>
      <c r="AM118" s="143"/>
      <c r="AN118" s="143"/>
      <c r="AP118" s="143"/>
      <c r="AQ118" s="143"/>
      <c r="AR118" s="143"/>
      <c r="AS118" s="143"/>
      <c r="AT118" s="143"/>
      <c r="AU118" s="143"/>
      <c r="AV118" s="143"/>
      <c r="AW118" s="143"/>
      <c r="AX118" s="143"/>
      <c r="AY118" s="143"/>
      <c r="AZ118" s="143"/>
    </row>
    <row r="119" spans="1:59" ht="14.25" customHeight="1" x14ac:dyDescent="0.25">
      <c r="A119" s="651" t="s">
        <v>92</v>
      </c>
      <c r="B119" s="138" t="s">
        <v>59</v>
      </c>
      <c r="C119" s="74">
        <v>21.240568238292404</v>
      </c>
      <c r="D119" s="74">
        <v>-0.94046427538127808</v>
      </c>
      <c r="E119" s="93">
        <f>+D119/C119</f>
        <v>-4.4276794520299749E-2</v>
      </c>
      <c r="F119" s="74" t="s">
        <v>28</v>
      </c>
      <c r="G119" s="74">
        <v>7.7516476156339706</v>
      </c>
      <c r="H119" s="74">
        <v>-0.76283305046134731</v>
      </c>
      <c r="I119" s="93">
        <f>+H119/G119</f>
        <v>-9.8409149678427274E-2</v>
      </c>
      <c r="J119" s="74" t="s">
        <v>28</v>
      </c>
      <c r="K119" s="74">
        <v>2.1147835039821312</v>
      </c>
      <c r="L119" s="74">
        <v>0.18617379331028672</v>
      </c>
      <c r="M119" s="93">
        <f>+L119/K119</f>
        <v>8.8034445587324664E-2</v>
      </c>
      <c r="N119" s="74" t="s">
        <v>28</v>
      </c>
      <c r="O119" s="27"/>
      <c r="P119" s="143"/>
      <c r="Q119" s="143"/>
      <c r="R119" s="143"/>
      <c r="S119" s="143"/>
      <c r="T119" s="143"/>
      <c r="U119" s="143"/>
      <c r="V119" s="143"/>
      <c r="W119" s="143"/>
      <c r="X119" s="143"/>
      <c r="Y119" s="143"/>
      <c r="Z119" s="143"/>
      <c r="AA119" s="143"/>
      <c r="AC119" s="143"/>
      <c r="AD119" s="143"/>
      <c r="AE119" s="143"/>
      <c r="AF119" s="143"/>
      <c r="AG119" s="143"/>
      <c r="AH119" s="143"/>
      <c r="AI119" s="143"/>
      <c r="AJ119" s="143"/>
      <c r="AK119" s="143"/>
      <c r="AL119" s="143"/>
      <c r="AM119" s="143"/>
      <c r="AN119" s="143"/>
      <c r="AP119" s="143"/>
      <c r="AQ119" s="143"/>
      <c r="AR119" s="13" t="e">
        <f t="shared" ref="AR119" si="90">+IF(AP119&lt;0,1-(AQ119-AP119)/AP119,AQ119/AP119)</f>
        <v>#DIV/0!</v>
      </c>
      <c r="AS119" s="143"/>
      <c r="AT119" s="143"/>
      <c r="AU119" s="143"/>
      <c r="AV119" s="143"/>
      <c r="AW119" s="143"/>
      <c r="AX119" s="144">
        <v>1.2386081930163679</v>
      </c>
      <c r="AY119" s="144">
        <v>2.3238935779772398</v>
      </c>
      <c r="AZ119" s="80">
        <f t="shared" si="86"/>
        <v>1.8762136332377144</v>
      </c>
      <c r="BA119" s="239" t="str">
        <f t="shared" ref="BA119:BA129" si="91">+IF(AY119&gt;=AX119,"cumple","revisar")</f>
        <v>cumple</v>
      </c>
      <c r="BD119" s="9" t="str">
        <f t="shared" si="77"/>
        <v>Crecimiento de ingresos (negocios)</v>
      </c>
      <c r="BE119" s="9" t="str">
        <f t="shared" si="78"/>
        <v>Sobresaliente</v>
      </c>
      <c r="BF119" t="s">
        <v>93</v>
      </c>
      <c r="BG119" s="81">
        <f t="shared" si="79"/>
        <v>1.8762136332377144</v>
      </c>
    </row>
    <row r="120" spans="1:59" ht="14.25" customHeight="1" x14ac:dyDescent="0.25">
      <c r="A120" s="653"/>
      <c r="B120" s="82" t="s">
        <v>62</v>
      </c>
      <c r="C120" s="133">
        <v>3</v>
      </c>
      <c r="D120" s="164">
        <v>3</v>
      </c>
      <c r="E120" s="84">
        <f>+D120/C120</f>
        <v>1</v>
      </c>
      <c r="F120" s="101">
        <f>+D120/3-1</f>
        <v>0</v>
      </c>
      <c r="G120" s="133">
        <v>6</v>
      </c>
      <c r="H120" s="133">
        <v>9</v>
      </c>
      <c r="I120" s="84">
        <f>+H120/G120</f>
        <v>1.5</v>
      </c>
      <c r="J120" s="101">
        <f>+H120/7-1</f>
        <v>0.28571428571428581</v>
      </c>
      <c r="K120" s="133">
        <v>8</v>
      </c>
      <c r="L120" s="133">
        <v>16</v>
      </c>
      <c r="M120" s="84">
        <f>+L120/K120</f>
        <v>2</v>
      </c>
      <c r="N120" s="101">
        <f>+L120/11-1</f>
        <v>0.45454545454545459</v>
      </c>
      <c r="O120" s="27"/>
      <c r="P120" s="154">
        <v>11</v>
      </c>
      <c r="Q120" s="154">
        <v>18</v>
      </c>
      <c r="R120" s="146">
        <f>+Q120/P120</f>
        <v>1.6363636363636365</v>
      </c>
      <c r="S120" s="151">
        <f>+Q120/17-1</f>
        <v>5.8823529411764719E-2</v>
      </c>
      <c r="T120" s="154">
        <v>14</v>
      </c>
      <c r="U120" s="154">
        <v>23</v>
      </c>
      <c r="V120" s="146">
        <f>+U120/T120</f>
        <v>1.6428571428571428</v>
      </c>
      <c r="W120" s="151">
        <f>+U120/19-1</f>
        <v>0.21052631578947367</v>
      </c>
      <c r="X120" s="154">
        <v>16</v>
      </c>
      <c r="Y120" s="154">
        <v>28</v>
      </c>
      <c r="Z120" s="146">
        <f>+Y120/X120</f>
        <v>1.75</v>
      </c>
      <c r="AA120" s="141">
        <f>+Y120/21-1</f>
        <v>0.33333333333333326</v>
      </c>
      <c r="AC120" s="154">
        <v>18</v>
      </c>
      <c r="AD120" s="154">
        <v>30</v>
      </c>
      <c r="AE120" s="146">
        <f>+AD120/AC120</f>
        <v>1.6666666666666667</v>
      </c>
      <c r="AF120" s="151">
        <f>+AD120/31-1</f>
        <v>-3.2258064516129004E-2</v>
      </c>
      <c r="AG120" s="154">
        <v>21</v>
      </c>
      <c r="AH120" s="154">
        <v>35</v>
      </c>
      <c r="AI120" s="146">
        <f>+AH120/AG120</f>
        <v>1.6666666666666667</v>
      </c>
      <c r="AJ120" s="151">
        <f>+AH120/32-1</f>
        <v>9.375E-2</v>
      </c>
      <c r="AK120" s="154">
        <v>24</v>
      </c>
      <c r="AL120" s="154">
        <v>39</v>
      </c>
      <c r="AM120" s="146">
        <f>+AL120/AK120</f>
        <v>1.625</v>
      </c>
      <c r="AN120" s="141">
        <f>+AL120/35-1</f>
        <v>0.11428571428571432</v>
      </c>
      <c r="AP120" s="154">
        <v>27</v>
      </c>
      <c r="AQ120" s="154">
        <v>42</v>
      </c>
      <c r="AR120" s="13">
        <f>+AQ120/AP120</f>
        <v>1.5555555555555556</v>
      </c>
      <c r="AS120" s="151">
        <f>+AQ120/41-1</f>
        <v>2.4390243902439046E-2</v>
      </c>
      <c r="AT120" s="154">
        <v>30</v>
      </c>
      <c r="AU120" s="154">
        <v>52</v>
      </c>
      <c r="AV120" s="146">
        <f>+AU120/AT120</f>
        <v>1.7333333333333334</v>
      </c>
      <c r="AW120" s="151">
        <f>+AU120/49-1</f>
        <v>6.1224489795918435E-2</v>
      </c>
      <c r="AX120" s="121">
        <v>32</v>
      </c>
      <c r="AY120" s="121">
        <v>53</v>
      </c>
      <c r="AZ120" s="80">
        <f t="shared" si="86"/>
        <v>1.65625</v>
      </c>
      <c r="BA120" s="239" t="str">
        <f t="shared" si="91"/>
        <v>cumple</v>
      </c>
      <c r="BD120" s="9" t="str">
        <f t="shared" si="77"/>
        <v>Cumplimiento de nuevas empresas afiliadas</v>
      </c>
      <c r="BE120" s="9" t="str">
        <f t="shared" si="78"/>
        <v>Sobresaliente</v>
      </c>
      <c r="BF120" t="s">
        <v>93</v>
      </c>
      <c r="BG120" s="81">
        <f t="shared" si="79"/>
        <v>1.65625</v>
      </c>
    </row>
    <row r="121" spans="1:59" ht="14.25" customHeight="1" x14ac:dyDescent="0.25">
      <c r="A121" s="653"/>
      <c r="B121" s="82" t="s">
        <v>64</v>
      </c>
      <c r="C121" s="101">
        <f>+C120/3-1</f>
        <v>0</v>
      </c>
      <c r="D121" s="101">
        <f>+D120/3-1</f>
        <v>0</v>
      </c>
      <c r="E121" s="84"/>
      <c r="F121" s="133" t="s">
        <v>28</v>
      </c>
      <c r="G121" s="101">
        <f>+G120/7-1</f>
        <v>-0.1428571428571429</v>
      </c>
      <c r="H121" s="101">
        <f>+H120/7-1</f>
        <v>0.28571428571428581</v>
      </c>
      <c r="I121" s="84">
        <f>-H121/G121</f>
        <v>2</v>
      </c>
      <c r="J121" s="133" t="s">
        <v>28</v>
      </c>
      <c r="K121" s="101">
        <f>K120/11-1</f>
        <v>-0.27272727272727271</v>
      </c>
      <c r="L121" s="101">
        <f>L120/11-1</f>
        <v>0.45454545454545459</v>
      </c>
      <c r="M121" s="84">
        <f>-L121/K121</f>
        <v>1.666666666666667</v>
      </c>
      <c r="N121" s="133" t="s">
        <v>28</v>
      </c>
      <c r="O121" s="27"/>
      <c r="P121" s="152">
        <f>P120/17-1</f>
        <v>-0.3529411764705882</v>
      </c>
      <c r="Q121" s="152">
        <f>Q120/17-1</f>
        <v>5.8823529411764719E-2</v>
      </c>
      <c r="R121" s="153">
        <f>Q121/P121</f>
        <v>-0.16666666666666671</v>
      </c>
      <c r="S121" s="166" t="s">
        <v>28</v>
      </c>
      <c r="T121" s="152">
        <f>T120/19-1</f>
        <v>-0.26315789473684215</v>
      </c>
      <c r="U121" s="152">
        <f>U120/19-1</f>
        <v>0.21052631578947367</v>
      </c>
      <c r="V121" s="153">
        <f>-U121/T121</f>
        <v>0.79999999999999982</v>
      </c>
      <c r="W121" s="167" t="s">
        <v>28</v>
      </c>
      <c r="X121" s="152">
        <f>X120/21-1</f>
        <v>-0.23809523809523814</v>
      </c>
      <c r="Y121" s="152">
        <f>Y120/21-1</f>
        <v>0.33333333333333326</v>
      </c>
      <c r="Z121" s="153">
        <f>-Y121/X121</f>
        <v>1.3999999999999995</v>
      </c>
      <c r="AA121" s="167" t="s">
        <v>28</v>
      </c>
      <c r="AC121" s="152">
        <f>AC120/31-1</f>
        <v>-0.41935483870967738</v>
      </c>
      <c r="AD121" s="152">
        <f>AD120/31-1</f>
        <v>-3.2258064516129004E-2</v>
      </c>
      <c r="AE121" s="153">
        <f>AD121/AC121</f>
        <v>7.6923076923076858E-2</v>
      </c>
      <c r="AF121" s="166" t="s">
        <v>28</v>
      </c>
      <c r="AG121" s="152">
        <f>AG120/32-1</f>
        <v>-0.34375</v>
      </c>
      <c r="AH121" s="152">
        <f>AH120/32-1</f>
        <v>9.375E-2</v>
      </c>
      <c r="AI121" s="153">
        <f>-AH121/AG121</f>
        <v>0.27272727272727271</v>
      </c>
      <c r="AJ121" s="167" t="s">
        <v>28</v>
      </c>
      <c r="AK121" s="152">
        <f>AK120/35-1</f>
        <v>-0.31428571428571428</v>
      </c>
      <c r="AL121" s="152">
        <f>AL120/35-1</f>
        <v>0.11428571428571432</v>
      </c>
      <c r="AM121" s="153">
        <f>-AL121/AK121</f>
        <v>0.36363636363636376</v>
      </c>
      <c r="AN121" s="167" t="s">
        <v>28</v>
      </c>
      <c r="AP121" s="152">
        <f>AP120/41-1</f>
        <v>-0.34146341463414631</v>
      </c>
      <c r="AQ121" s="152">
        <f>AQ120/41-1</f>
        <v>2.4390243902439046E-2</v>
      </c>
      <c r="AR121" s="13">
        <f>AQ121/AP121</f>
        <v>-7.1428571428571494E-2</v>
      </c>
      <c r="AS121" s="166" t="s">
        <v>28</v>
      </c>
      <c r="AT121" s="152">
        <f>AT120/49-1</f>
        <v>-0.38775510204081631</v>
      </c>
      <c r="AU121" s="152">
        <f>AU120/49-1</f>
        <v>6.1224489795918435E-2</v>
      </c>
      <c r="AV121" s="153">
        <f>-AU121/AT121</f>
        <v>0.15789473684210545</v>
      </c>
      <c r="AW121" s="166" t="s">
        <v>28</v>
      </c>
      <c r="AX121" s="104">
        <f>AX120/56-1</f>
        <v>-0.4285714285714286</v>
      </c>
      <c r="AY121" s="104">
        <f>AY120/56-1</f>
        <v>-5.3571428571428603E-2</v>
      </c>
      <c r="AZ121" s="80">
        <f t="shared" si="86"/>
        <v>1.875</v>
      </c>
      <c r="BA121" s="239" t="str">
        <f t="shared" si="91"/>
        <v>cumple</v>
      </c>
      <c r="BD121" s="9" t="str">
        <f t="shared" si="77"/>
        <v>Crecimiento de nuevas empresas afiliadas</v>
      </c>
      <c r="BE121" s="9" t="str">
        <f t="shared" si="78"/>
        <v>Sobresaliente</v>
      </c>
      <c r="BF121" t="s">
        <v>93</v>
      </c>
      <c r="BG121" s="81">
        <f t="shared" si="79"/>
        <v>1.875</v>
      </c>
    </row>
    <row r="122" spans="1:59" ht="14.25" customHeight="1" x14ac:dyDescent="0.25">
      <c r="A122" s="653"/>
      <c r="B122" s="82" t="s">
        <v>65</v>
      </c>
      <c r="C122" s="134">
        <v>138090070.58082357</v>
      </c>
      <c r="D122" s="134">
        <v>145621869</v>
      </c>
      <c r="E122" s="84">
        <f t="shared" ref="E122:E129" si="92">+D122/C122</f>
        <v>1.0545426502245727</v>
      </c>
      <c r="F122" s="101">
        <f>D122/123243312-1</f>
        <v>0.18158029540783516</v>
      </c>
      <c r="G122" s="134">
        <v>265066008</v>
      </c>
      <c r="H122" s="134">
        <v>293595349</v>
      </c>
      <c r="I122" s="84">
        <f t="shared" ref="I122:I129" si="93">+H122/G122</f>
        <v>1.1076310810852821</v>
      </c>
      <c r="J122" s="101">
        <f>H122/246664646-1</f>
        <v>0.19026116535565452</v>
      </c>
      <c r="K122" s="134">
        <v>393513100</v>
      </c>
      <c r="L122" s="134">
        <v>435901413</v>
      </c>
      <c r="M122" s="84">
        <f>+L122/K122</f>
        <v>1.1077176668324384</v>
      </c>
      <c r="N122" s="101">
        <f>L122/370216058-1</f>
        <v>0.17742438119742499</v>
      </c>
      <c r="O122" s="27"/>
      <c r="P122" s="154">
        <v>529677710</v>
      </c>
      <c r="Q122" s="154">
        <v>587380330</v>
      </c>
      <c r="R122" s="146">
        <f>+Q122/P122</f>
        <v>1.1089391131826181</v>
      </c>
      <c r="S122" s="151">
        <f>Q122/519730239-1</f>
        <v>0.13016385409893383</v>
      </c>
      <c r="T122" s="154">
        <v>661866124</v>
      </c>
      <c r="U122" s="154">
        <v>740634738</v>
      </c>
      <c r="V122" s="146">
        <f>+U122/T122</f>
        <v>1.1190098890753926</v>
      </c>
      <c r="W122" s="141">
        <f>U122/647365965-1</f>
        <v>0.14407426099393406</v>
      </c>
      <c r="X122" s="154">
        <v>793432556.06742585</v>
      </c>
      <c r="Y122" s="154">
        <v>899499480</v>
      </c>
      <c r="Z122" s="146">
        <f>+Y122/X122</f>
        <v>1.133681083693219</v>
      </c>
      <c r="AA122" s="141">
        <f>Y122/790194802-1</f>
        <v>0.13832624274843064</v>
      </c>
      <c r="AC122" s="154">
        <v>926580431.1940074</v>
      </c>
      <c r="AD122" s="154">
        <v>1061077399</v>
      </c>
      <c r="AE122" s="146">
        <f>+AD122/AC122</f>
        <v>1.1451541207628111</v>
      </c>
      <c r="AF122" s="151">
        <f>AD122/936123765-1</f>
        <v>0.13347982251043478</v>
      </c>
      <c r="AG122" s="154">
        <v>1057000434.5830932</v>
      </c>
      <c r="AH122" s="154">
        <v>1219968861</v>
      </c>
      <c r="AI122" s="146">
        <f>+AH122/AG122</f>
        <v>1.1541800940518872</v>
      </c>
      <c r="AJ122" s="141">
        <f>AH122/1080058939-1</f>
        <v>0.12953915471459276</v>
      </c>
      <c r="AK122" s="154">
        <v>1186273958.1883547</v>
      </c>
      <c r="AL122" s="154">
        <v>1380058027</v>
      </c>
      <c r="AM122" s="146">
        <f>+AL122/AK122</f>
        <v>1.1633552414044281</v>
      </c>
      <c r="AN122" s="141">
        <f>AL122/1223065700-1</f>
        <v>0.12835968419358013</v>
      </c>
      <c r="AP122" s="154">
        <v>1321535855.4293423</v>
      </c>
      <c r="AQ122" s="154">
        <v>1557168083.0837202</v>
      </c>
      <c r="AR122" s="13">
        <f>+AQ122/AP122</f>
        <v>1.1783018044393698</v>
      </c>
      <c r="AS122" s="151">
        <f>AQ122/1371533834-1</f>
        <v>0.13534791813507696</v>
      </c>
      <c r="AT122" s="154">
        <v>1454273197.8479638</v>
      </c>
      <c r="AU122" s="154">
        <v>1727840549.3810649</v>
      </c>
      <c r="AV122" s="146">
        <f>+AU122/AT122</f>
        <v>1.188112764464013</v>
      </c>
      <c r="AW122" s="151">
        <f>AU122/1517507642-1</f>
        <v>0.138604183306686</v>
      </c>
      <c r="AX122" s="121">
        <v>1583185442.2313356</v>
      </c>
      <c r="AY122" s="121">
        <v>1912506212.8164501</v>
      </c>
      <c r="AZ122" s="80">
        <f t="shared" si="86"/>
        <v>1.2080114949269436</v>
      </c>
      <c r="BA122" s="239" t="str">
        <f t="shared" si="91"/>
        <v>cumple</v>
      </c>
      <c r="BD122" s="9" t="str">
        <f t="shared" si="77"/>
        <v>Cumplimiento de aportes totales región</v>
      </c>
      <c r="BE122" s="9" t="str">
        <f t="shared" si="78"/>
        <v>Sobresaliente</v>
      </c>
      <c r="BF122" t="s">
        <v>93</v>
      </c>
      <c r="BG122" s="81">
        <f t="shared" si="79"/>
        <v>1.2080114949269436</v>
      </c>
    </row>
    <row r="123" spans="1:59" ht="14.25" customHeight="1" x14ac:dyDescent="0.25">
      <c r="A123" s="653"/>
      <c r="B123" s="82" t="s">
        <v>66</v>
      </c>
      <c r="C123" s="101">
        <f>C122/123243312-1</f>
        <v>0.1204670528557652</v>
      </c>
      <c r="D123" s="101">
        <f>D122/123243312-1</f>
        <v>0.18158029540783516</v>
      </c>
      <c r="E123" s="84">
        <f t="shared" si="92"/>
        <v>1.5073025454124842</v>
      </c>
      <c r="F123" s="133" t="s">
        <v>28</v>
      </c>
      <c r="G123" s="123">
        <f>G122/246664646-1</f>
        <v>7.4600727337309714E-2</v>
      </c>
      <c r="H123" s="101">
        <f>H122/246664646-1</f>
        <v>0.19026116535565452</v>
      </c>
      <c r="I123" s="84">
        <f t="shared" si="93"/>
        <v>2.550392900264661</v>
      </c>
      <c r="J123" s="133" t="s">
        <v>28</v>
      </c>
      <c r="K123" s="101">
        <f>K122/370216058-1</f>
        <v>6.2928232032549936E-2</v>
      </c>
      <c r="L123" s="101">
        <f>L122/370216058-1</f>
        <v>0.17742438119742499</v>
      </c>
      <c r="M123" s="84">
        <f>+L123/K123</f>
        <v>2.8194718883195597</v>
      </c>
      <c r="N123" s="133" t="s">
        <v>28</v>
      </c>
      <c r="O123" s="27"/>
      <c r="P123" s="152">
        <f>P122/519730239-1</f>
        <v>1.9139681037493084E-2</v>
      </c>
      <c r="Q123" s="152">
        <f>Q122/519730239-1</f>
        <v>0.13016385409893383</v>
      </c>
      <c r="R123" s="153">
        <f>Q123/P123</f>
        <v>6.8007326686350407</v>
      </c>
      <c r="S123" s="166" t="s">
        <v>28</v>
      </c>
      <c r="T123" s="152">
        <f>T122/647365965-1</f>
        <v>2.2398704571995776E-2</v>
      </c>
      <c r="U123" s="152">
        <f>U122/647365965-1</f>
        <v>0.14407426099393406</v>
      </c>
      <c r="V123" s="153">
        <f>U123/T123</f>
        <v>6.4322586393707999</v>
      </c>
      <c r="W123" s="167" t="s">
        <v>28</v>
      </c>
      <c r="X123" s="152">
        <f>X122/790194802-1</f>
        <v>4.0974125104733528E-3</v>
      </c>
      <c r="Y123" s="152">
        <f>Y122/790194802-1</f>
        <v>0.13832624274843064</v>
      </c>
      <c r="Z123" s="153">
        <f>Y123/X123</f>
        <v>33.759413384631493</v>
      </c>
      <c r="AA123" s="167" t="s">
        <v>28</v>
      </c>
      <c r="AC123" s="152">
        <f>AC122/936123765-1</f>
        <v>-1.0194521454107708E-2</v>
      </c>
      <c r="AD123" s="152">
        <f>AD122/936123765-1</f>
        <v>0.13347982251043478</v>
      </c>
      <c r="AE123" s="153">
        <f>AD123/AC123</f>
        <v>-13.093289676353702</v>
      </c>
      <c r="AF123" s="166" t="s">
        <v>28</v>
      </c>
      <c r="AG123" s="152">
        <f>AG122/1080058939-1</f>
        <v>-2.1349301954073141E-2</v>
      </c>
      <c r="AH123" s="152">
        <f>AH122/1080058939-1</f>
        <v>0.12953915471459276</v>
      </c>
      <c r="AI123" s="153">
        <f>AH123/AG123</f>
        <v>-6.0676060975323152</v>
      </c>
      <c r="AJ123" s="167" t="s">
        <v>28</v>
      </c>
      <c r="AK123" s="152">
        <f>AK122/1223065700-1</f>
        <v>-3.0081574368118758E-2</v>
      </c>
      <c r="AL123" s="152">
        <f>AL122/1223065700-1</f>
        <v>0.12835968419358013</v>
      </c>
      <c r="AM123" s="153">
        <f>AL123/AK123</f>
        <v>-4.267053400290747</v>
      </c>
      <c r="AN123" s="167" t="s">
        <v>28</v>
      </c>
      <c r="AP123" s="152">
        <f>AP122/1371533834-1</f>
        <v>-3.6454061380929659E-2</v>
      </c>
      <c r="AQ123" s="152">
        <f>AQ122/1371533834-1</f>
        <v>0.13534791813507696</v>
      </c>
      <c r="AR123" s="13">
        <f>AQ123/AP123</f>
        <v>-3.7128350863501316</v>
      </c>
      <c r="AS123" s="166" t="s">
        <v>28</v>
      </c>
      <c r="AT123" s="152">
        <f>AT122/1517507642-1</f>
        <v>-4.1669934570277567E-2</v>
      </c>
      <c r="AU123" s="152">
        <f>AU122/1517507642-1</f>
        <v>0.138604183306686</v>
      </c>
      <c r="AV123" s="153">
        <f>AU123/AT123</f>
        <v>-3.3262395234368793</v>
      </c>
      <c r="AW123" s="166" t="s">
        <v>28</v>
      </c>
      <c r="AX123" s="104">
        <f>AX122/1664581544-1</f>
        <v>-4.8898837105371795E-2</v>
      </c>
      <c r="AY123" s="104">
        <f>AY122/1664581544-1</f>
        <v>0.1489411376150942</v>
      </c>
      <c r="AZ123" s="80">
        <f t="shared" si="86"/>
        <v>5.0459034699361434</v>
      </c>
      <c r="BA123" s="239" t="str">
        <f t="shared" si="91"/>
        <v>cumple</v>
      </c>
      <c r="BD123" s="9" t="str">
        <f t="shared" si="77"/>
        <v>Crecimiento de aportes totales región</v>
      </c>
      <c r="BE123" s="9" t="str">
        <f t="shared" si="78"/>
        <v>Sobresaliente</v>
      </c>
      <c r="BF123" t="s">
        <v>93</v>
      </c>
      <c r="BG123" s="81">
        <f t="shared" si="79"/>
        <v>5.0459034699361434</v>
      </c>
    </row>
    <row r="124" spans="1:59" ht="14.25" customHeight="1" x14ac:dyDescent="0.25">
      <c r="A124" s="653"/>
      <c r="B124" s="82" t="s">
        <v>67</v>
      </c>
      <c r="C124" s="134">
        <v>1771991.3223456456</v>
      </c>
      <c r="D124" s="134">
        <v>72800</v>
      </c>
      <c r="E124" s="84">
        <f t="shared" si="92"/>
        <v>4.1083722635634666E-2</v>
      </c>
      <c r="F124" s="103">
        <f>D124/433300-1</f>
        <v>-0.83198707592891763</v>
      </c>
      <c r="G124" s="154">
        <v>5522668.8630017517</v>
      </c>
      <c r="H124" s="172">
        <v>276600</v>
      </c>
      <c r="I124" s="84">
        <f t="shared" si="93"/>
        <v>5.00844803230985E-2</v>
      </c>
      <c r="J124" s="101">
        <f>H124/1102900-1</f>
        <v>-0.74920663704778312</v>
      </c>
      <c r="K124" s="134">
        <v>10947470</v>
      </c>
      <c r="L124" s="134">
        <v>977400</v>
      </c>
      <c r="M124" s="84">
        <f>+L124/K124</f>
        <v>8.9280902345473423E-2</v>
      </c>
      <c r="N124" s="101">
        <f>L124/2398900-1</f>
        <v>-0.59256325815999</v>
      </c>
      <c r="O124" s="27"/>
      <c r="P124" s="154">
        <v>18175640.556027047</v>
      </c>
      <c r="Q124" s="154">
        <v>2495800</v>
      </c>
      <c r="R124" s="146">
        <f>+Q124/P124</f>
        <v>0.1373156556604764</v>
      </c>
      <c r="S124" s="151">
        <f>Q124/8360200-1</f>
        <v>-0.70146647209396906</v>
      </c>
      <c r="T124" s="154">
        <v>27045627</v>
      </c>
      <c r="U124" s="154">
        <v>4085700</v>
      </c>
      <c r="V124" s="146">
        <f>+U124/T124</f>
        <v>0.15106693588579034</v>
      </c>
      <c r="W124" s="141">
        <f>U124/11440500-1</f>
        <v>-0.6428740002622263</v>
      </c>
      <c r="X124" s="154">
        <v>37332979.150735274</v>
      </c>
      <c r="Y124" s="154">
        <v>6799100</v>
      </c>
      <c r="Z124" s="146">
        <f>+Y124/X124</f>
        <v>0.18212047778314236</v>
      </c>
      <c r="AA124" s="141">
        <f>Y124/18171600-1</f>
        <v>-0.62583922164256311</v>
      </c>
      <c r="AC124" s="154">
        <v>49188154.544847041</v>
      </c>
      <c r="AD124" s="154">
        <v>9848700</v>
      </c>
      <c r="AE124" s="146">
        <f>+AD124/AC124</f>
        <v>0.20022503570489719</v>
      </c>
      <c r="AF124" s="151">
        <f>AD124/24794900-1</f>
        <v>-0.60279331636747879</v>
      </c>
      <c r="AG124" s="154">
        <v>63048098.429983653</v>
      </c>
      <c r="AH124" s="154">
        <v>12375400</v>
      </c>
      <c r="AI124" s="146">
        <f>+AH124/AG124</f>
        <v>0.19628506343840271</v>
      </c>
      <c r="AJ124" s="141">
        <f>AH124/32104900-1</f>
        <v>-0.61453236110375675</v>
      </c>
      <c r="AK124" s="154">
        <v>78770566.832460657</v>
      </c>
      <c r="AL124" s="154">
        <v>16547100</v>
      </c>
      <c r="AM124" s="146">
        <f>+AL124/AK124</f>
        <v>0.21006704236614793</v>
      </c>
      <c r="AN124" s="141">
        <f>AL124/18171600-1</f>
        <v>-8.9397741530740316E-2</v>
      </c>
      <c r="AP124" s="154">
        <v>96374894.297665089</v>
      </c>
      <c r="AQ124" s="154">
        <v>21407000</v>
      </c>
      <c r="AR124" s="13">
        <f>+AQ124/AP124</f>
        <v>0.22212216320447509</v>
      </c>
      <c r="AS124" s="151">
        <f>AQ124/47698500-1</f>
        <v>-0.55120181976372429</v>
      </c>
      <c r="AT124" s="154">
        <v>115735150.01418951</v>
      </c>
      <c r="AU124" s="154">
        <v>26480400</v>
      </c>
      <c r="AV124" s="146">
        <f>+AU124/AT124</f>
        <v>0.22880170800965322</v>
      </c>
      <c r="AW124" s="151">
        <f>AU124/56692300-1</f>
        <v>-0.53291011301358382</v>
      </c>
      <c r="AX124" s="121">
        <v>136540351.55880389</v>
      </c>
      <c r="AY124" s="121">
        <v>33654900</v>
      </c>
      <c r="AZ124" s="80">
        <f t="shared" si="86"/>
        <v>0.24648317962991204</v>
      </c>
      <c r="BA124" s="239" t="str">
        <f t="shared" si="91"/>
        <v>revisar</v>
      </c>
      <c r="BD124" s="9" t="str">
        <f t="shared" si="77"/>
        <v>Cumplimiento de nuevos aportes</v>
      </c>
      <c r="BE124" s="9" t="str">
        <f t="shared" si="78"/>
        <v>Incumple</v>
      </c>
      <c r="BF124" t="s">
        <v>93</v>
      </c>
      <c r="BG124" s="81">
        <f t="shared" si="79"/>
        <v>0.24648317962991204</v>
      </c>
    </row>
    <row r="125" spans="1:59" ht="14.25" customHeight="1" x14ac:dyDescent="0.25">
      <c r="A125" s="653"/>
      <c r="B125" s="82" t="s">
        <v>68</v>
      </c>
      <c r="C125" s="132">
        <v>1769.4842614224688</v>
      </c>
      <c r="D125" s="132">
        <v>2106</v>
      </c>
      <c r="E125" s="84">
        <f t="shared" si="92"/>
        <v>1.1901772996313682</v>
      </c>
      <c r="F125" s="101">
        <f>D125/1717-1</f>
        <v>0.22655794991263822</v>
      </c>
      <c r="G125" s="127">
        <v>1829.8701276580484</v>
      </c>
      <c r="H125" s="132">
        <v>2070</v>
      </c>
      <c r="I125" s="84">
        <f t="shared" si="93"/>
        <v>1.1312278225172629</v>
      </c>
      <c r="J125" s="101">
        <f>H125/1798-1</f>
        <v>0.15127919911012233</v>
      </c>
      <c r="K125" s="132">
        <v>1840</v>
      </c>
      <c r="L125" s="132">
        <v>2124</v>
      </c>
      <c r="M125" s="84">
        <f>+L125/K125</f>
        <v>1.1543478260869566</v>
      </c>
      <c r="N125" s="101">
        <f>L125/1998-1</f>
        <v>6.3063063063063085E-2</v>
      </c>
      <c r="O125" s="27"/>
      <c r="P125" s="154">
        <v>1858.9226390224694</v>
      </c>
      <c r="Q125" s="154">
        <v>2204</v>
      </c>
      <c r="R125" s="146">
        <f>+Q125/P125</f>
        <v>1.1856329864049602</v>
      </c>
      <c r="S125" s="151">
        <f>Q125/1917-1</f>
        <v>0.14971309337506522</v>
      </c>
      <c r="T125" s="154">
        <v>1844</v>
      </c>
      <c r="U125" s="154">
        <v>2278</v>
      </c>
      <c r="V125" s="146">
        <f>+U125/T125</f>
        <v>1.235357917570499</v>
      </c>
      <c r="W125" s="141">
        <f>U125/1930-1</f>
        <v>0.18031088082901547</v>
      </c>
      <c r="X125" s="154">
        <v>1891</v>
      </c>
      <c r="Y125" s="154">
        <v>2306</v>
      </c>
      <c r="Z125" s="146">
        <f>+Y125/X125</f>
        <v>1.2194606028556318</v>
      </c>
      <c r="AA125" s="141">
        <f>Y125/1952-1</f>
        <v>0.18135245901639352</v>
      </c>
      <c r="AC125" s="154">
        <v>1856</v>
      </c>
      <c r="AD125" s="154">
        <v>2251</v>
      </c>
      <c r="AE125" s="146">
        <f>+AD125/AC125</f>
        <v>1.212823275862069</v>
      </c>
      <c r="AF125" s="151">
        <f>AD125/2079-1</f>
        <v>8.2732082732082768E-2</v>
      </c>
      <c r="AG125" s="154">
        <v>1881.1143738484911</v>
      </c>
      <c r="AH125" s="154">
        <v>2276</v>
      </c>
      <c r="AI125" s="146">
        <f>+AH125/AG125</f>
        <v>1.2099211146548359</v>
      </c>
      <c r="AJ125" s="141">
        <f>AH125/2170-1</f>
        <v>4.8847926267281183E-2</v>
      </c>
      <c r="AK125" s="154">
        <v>1825.7042734920915</v>
      </c>
      <c r="AL125" s="154">
        <v>2333</v>
      </c>
      <c r="AM125" s="146">
        <f>+AL125/AK125</f>
        <v>1.2778630328435314</v>
      </c>
      <c r="AN125" s="141">
        <f>AL125/2129-1</f>
        <v>9.5819633630812584E-2</v>
      </c>
      <c r="AP125" s="154">
        <v>1826.4570816247192</v>
      </c>
      <c r="AQ125" s="154">
        <v>2345</v>
      </c>
      <c r="AR125" s="13">
        <f>+AQ125/AP125</f>
        <v>1.283906434808757</v>
      </c>
      <c r="AS125" s="151">
        <f>AQ125/2158-1</f>
        <v>8.6654309545875829E-2</v>
      </c>
      <c r="AT125" s="154">
        <v>1933</v>
      </c>
      <c r="AU125" s="154">
        <v>2449</v>
      </c>
      <c r="AV125" s="146">
        <f>+AU125/AT125</f>
        <v>1.2669425763062596</v>
      </c>
      <c r="AW125" s="151">
        <f>AU125/2198-1</f>
        <v>0.11419472247497731</v>
      </c>
      <c r="AX125" s="121">
        <v>1914</v>
      </c>
      <c r="AY125" s="121">
        <v>2158</v>
      </c>
      <c r="AZ125" s="80">
        <f t="shared" si="86"/>
        <v>1.1274817136886102</v>
      </c>
      <c r="BA125" s="239" t="str">
        <f t="shared" si="91"/>
        <v>cumple</v>
      </c>
      <c r="BD125" s="9" t="str">
        <f t="shared" si="77"/>
        <v>Cumplimiento afiliados totales región</v>
      </c>
      <c r="BE125" s="9" t="str">
        <f t="shared" si="78"/>
        <v>Sobresaliente</v>
      </c>
      <c r="BF125" t="s">
        <v>93</v>
      </c>
      <c r="BG125" s="81">
        <f t="shared" si="79"/>
        <v>1.1274817136886102</v>
      </c>
    </row>
    <row r="126" spans="1:59" ht="14.25" customHeight="1" x14ac:dyDescent="0.25">
      <c r="A126" s="653"/>
      <c r="B126" s="82" t="s">
        <v>69</v>
      </c>
      <c r="C126" s="101">
        <f>C125/1717-1</f>
        <v>3.0567420746924201E-2</v>
      </c>
      <c r="D126" s="101">
        <f>D125/1717-1</f>
        <v>0.22655794991263822</v>
      </c>
      <c r="E126" s="84">
        <f t="shared" si="92"/>
        <v>7.4117457206602966</v>
      </c>
      <c r="F126" s="133" t="s">
        <v>28</v>
      </c>
      <c r="G126" s="101">
        <f>G125/1798-1</f>
        <v>1.7725321278113659E-2</v>
      </c>
      <c r="H126" s="101">
        <f>H125/1798-1</f>
        <v>0.15127919911012233</v>
      </c>
      <c r="I126" s="84">
        <f t="shared" si="93"/>
        <v>8.5346379191961006</v>
      </c>
      <c r="J126" s="133" t="s">
        <v>28</v>
      </c>
      <c r="K126" s="101">
        <f>K125/1998-1</f>
        <v>-7.9079079079079073E-2</v>
      </c>
      <c r="L126" s="101">
        <f>L125/1998-1</f>
        <v>6.3063063063063085E-2</v>
      </c>
      <c r="M126" s="84">
        <f>-L126/K126</f>
        <v>0.79746835443038011</v>
      </c>
      <c r="N126" s="133" t="s">
        <v>28</v>
      </c>
      <c r="O126" s="27"/>
      <c r="P126" s="152">
        <f>P125/1917-1</f>
        <v>-3.0295962951241817E-2</v>
      </c>
      <c r="Q126" s="152">
        <f>Q125/1917-1</f>
        <v>0.14971309337506522</v>
      </c>
      <c r="R126" s="153">
        <f>-Q126/P126</f>
        <v>4.9416845939511074</v>
      </c>
      <c r="S126" s="166" t="s">
        <v>28</v>
      </c>
      <c r="T126" s="152">
        <f>T125/1930-1</f>
        <v>-4.4559585492227938E-2</v>
      </c>
      <c r="U126" s="152">
        <f>U125/1930-1</f>
        <v>0.18031088082901547</v>
      </c>
      <c r="V126" s="153">
        <f>-U126/T126</f>
        <v>4.0465116279069786</v>
      </c>
      <c r="W126" s="167" t="s">
        <v>28</v>
      </c>
      <c r="X126" s="152">
        <f>X125/1952-1</f>
        <v>-3.125E-2</v>
      </c>
      <c r="Y126" s="152">
        <f>Y125/1952-1</f>
        <v>0.18135245901639352</v>
      </c>
      <c r="Z126" s="153">
        <f>-Y126/X126</f>
        <v>5.8032786885245926</v>
      </c>
      <c r="AA126" s="167" t="s">
        <v>28</v>
      </c>
      <c r="AC126" s="152">
        <f>AC125/2079-1</f>
        <v>-0.10726310726310728</v>
      </c>
      <c r="AD126" s="152">
        <f>AD125/2079-1</f>
        <v>8.2732082732082768E-2</v>
      </c>
      <c r="AE126" s="153">
        <f>-AD126/AC126</f>
        <v>0.7713004484304935</v>
      </c>
      <c r="AF126" s="166" t="s">
        <v>28</v>
      </c>
      <c r="AG126" s="152">
        <f>AG125/2170-1</f>
        <v>-0.13312701665968152</v>
      </c>
      <c r="AH126" s="152">
        <f>AH125/2170-1</f>
        <v>4.8847926267281183E-2</v>
      </c>
      <c r="AI126" s="153">
        <f>-AH126/AG126</f>
        <v>0.36692722103247682</v>
      </c>
      <c r="AJ126" s="167" t="s">
        <v>28</v>
      </c>
      <c r="AK126" s="152">
        <f>AK125/2129-1</f>
        <v>-0.14245924213617123</v>
      </c>
      <c r="AL126" s="152">
        <f>AL125/2129-1</f>
        <v>9.5819633630812584E-2</v>
      </c>
      <c r="AM126" s="153">
        <f>-AL126/AK126</f>
        <v>0.67261086184371488</v>
      </c>
      <c r="AN126" s="167" t="s">
        <v>28</v>
      </c>
      <c r="AP126" s="152">
        <f>AP125/2158-1</f>
        <v>-0.1536343458643562</v>
      </c>
      <c r="AQ126" s="152">
        <f>AQ125/2158-1</f>
        <v>8.6654309545875829E-2</v>
      </c>
      <c r="AR126" s="13">
        <f>-AQ126/AP126</f>
        <v>0.56402954077978718</v>
      </c>
      <c r="AS126" s="166" t="s">
        <v>28</v>
      </c>
      <c r="AT126" s="152">
        <f>AT125/2198-1</f>
        <v>-0.12056414922656966</v>
      </c>
      <c r="AU126" s="152">
        <f>AU125/2198-1</f>
        <v>0.11419472247497731</v>
      </c>
      <c r="AV126" s="153">
        <f>-AU126/AT126</f>
        <v>0.94716981132075473</v>
      </c>
      <c r="AW126" s="166" t="s">
        <v>28</v>
      </c>
      <c r="AX126" s="104">
        <f>AX125/2266-1</f>
        <v>-0.15533980582524276</v>
      </c>
      <c r="AY126" s="104">
        <f>AY125/2266-1</f>
        <v>-4.7661076787290368E-2</v>
      </c>
      <c r="AZ126" s="80">
        <f t="shared" si="86"/>
        <v>1.6931818181818183</v>
      </c>
      <c r="BA126" s="239" t="str">
        <f t="shared" si="91"/>
        <v>cumple</v>
      </c>
      <c r="BD126" s="9" t="str">
        <f t="shared" si="77"/>
        <v>Crecimiento afiliados totales región</v>
      </c>
      <c r="BE126" s="9" t="str">
        <f t="shared" si="78"/>
        <v>Sobresaliente</v>
      </c>
      <c r="BF126" t="s">
        <v>93</v>
      </c>
      <c r="BG126" s="81">
        <f t="shared" si="79"/>
        <v>1.6931818181818183</v>
      </c>
    </row>
    <row r="127" spans="1:59" ht="14.25" customHeight="1" x14ac:dyDescent="0.25">
      <c r="A127" s="653"/>
      <c r="B127" s="82" t="s">
        <v>70</v>
      </c>
      <c r="C127" s="133">
        <v>27</v>
      </c>
      <c r="D127" s="133">
        <v>0</v>
      </c>
      <c r="E127" s="84">
        <f t="shared" si="92"/>
        <v>0</v>
      </c>
      <c r="F127" s="101">
        <f>D127/12-1</f>
        <v>-1</v>
      </c>
      <c r="G127" s="133">
        <v>57</v>
      </c>
      <c r="H127" s="133">
        <v>7</v>
      </c>
      <c r="I127" s="84">
        <f t="shared" si="93"/>
        <v>0.12280701754385964</v>
      </c>
      <c r="J127" s="101">
        <f>H127/25-1</f>
        <v>-0.72</v>
      </c>
      <c r="K127" s="133">
        <v>82</v>
      </c>
      <c r="L127" s="133">
        <v>30</v>
      </c>
      <c r="M127" s="84">
        <f>+L127/K127</f>
        <v>0.36585365853658536</v>
      </c>
      <c r="N127" s="101">
        <f>L127/126-1</f>
        <v>-0.76190476190476186</v>
      </c>
      <c r="O127" s="27"/>
      <c r="P127" s="154">
        <v>110</v>
      </c>
      <c r="Q127" s="154">
        <v>48</v>
      </c>
      <c r="R127" s="146">
        <f>+Q127/P127</f>
        <v>0.43636363636363634</v>
      </c>
      <c r="S127" s="151">
        <f>Q127/135-1</f>
        <v>-0.64444444444444438</v>
      </c>
      <c r="T127" s="154">
        <v>135</v>
      </c>
      <c r="U127" s="154">
        <v>67</v>
      </c>
      <c r="V127" s="146">
        <f>+U127/T127</f>
        <v>0.49629629629629629</v>
      </c>
      <c r="W127" s="141">
        <f>U127/138-1</f>
        <v>-0.51449275362318847</v>
      </c>
      <c r="X127" s="154">
        <v>156</v>
      </c>
      <c r="Y127" s="154">
        <v>77</v>
      </c>
      <c r="Z127" s="146">
        <f>+Y127/X127</f>
        <v>0.49358974358974361</v>
      </c>
      <c r="AA127" s="141">
        <f>Y127/137-1</f>
        <v>-0.43795620437956206</v>
      </c>
      <c r="AC127" s="154">
        <v>180</v>
      </c>
      <c r="AD127" s="154">
        <v>73</v>
      </c>
      <c r="AE127" s="146">
        <f>+AD127/AC127</f>
        <v>0.40555555555555556</v>
      </c>
      <c r="AF127" s="151">
        <f>AD127/157-1</f>
        <v>-0.53503184713375795</v>
      </c>
      <c r="AG127" s="154">
        <v>211</v>
      </c>
      <c r="AH127" s="154">
        <v>72</v>
      </c>
      <c r="AI127" s="146">
        <f>+AH127/AG127</f>
        <v>0.34123222748815168</v>
      </c>
      <c r="AJ127" s="141">
        <f>AH127/178-1</f>
        <v>-0.5955056179775281</v>
      </c>
      <c r="AK127" s="154">
        <v>239</v>
      </c>
      <c r="AL127" s="154">
        <v>104</v>
      </c>
      <c r="AM127" s="146">
        <f>+AL127/AK127</f>
        <v>0.43514644351464438</v>
      </c>
      <c r="AN127" s="141">
        <f>AL127/170-1</f>
        <v>-0.38823529411764701</v>
      </c>
      <c r="AP127" s="154">
        <v>268</v>
      </c>
      <c r="AQ127" s="154">
        <v>117</v>
      </c>
      <c r="AR127" s="13">
        <f>+AQ127/AP127</f>
        <v>0.43656716417910446</v>
      </c>
      <c r="AS127" s="151">
        <f>AQ127/176-1</f>
        <v>-0.33522727272727271</v>
      </c>
      <c r="AT127" s="154">
        <v>294</v>
      </c>
      <c r="AU127" s="154">
        <v>143</v>
      </c>
      <c r="AV127" s="146">
        <f>+AU127/AT127</f>
        <v>0.48639455782312924</v>
      </c>
      <c r="AW127" s="151">
        <f>AU127/193-1</f>
        <v>-0.2590673575129534</v>
      </c>
      <c r="AX127" s="121">
        <v>316</v>
      </c>
      <c r="AY127" s="121">
        <v>144</v>
      </c>
      <c r="AZ127" s="80">
        <f t="shared" si="86"/>
        <v>0.45569620253164556</v>
      </c>
      <c r="BA127" s="239" t="str">
        <f t="shared" si="91"/>
        <v>revisar</v>
      </c>
      <c r="BD127" s="9" t="str">
        <f t="shared" si="77"/>
        <v>Cumplimiento de nuevos afiliados región</v>
      </c>
      <c r="BE127" s="9" t="str">
        <f t="shared" si="78"/>
        <v>Incumple</v>
      </c>
      <c r="BF127" t="s">
        <v>93</v>
      </c>
      <c r="BG127" s="81">
        <f t="shared" si="79"/>
        <v>0.45569620253164556</v>
      </c>
    </row>
    <row r="128" spans="1:59" ht="14.25" customHeight="1" x14ac:dyDescent="0.25">
      <c r="A128" s="654"/>
      <c r="B128" s="82" t="s">
        <v>78</v>
      </c>
      <c r="C128" s="94">
        <v>209</v>
      </c>
      <c r="D128" s="171">
        <v>0</v>
      </c>
      <c r="E128" s="84">
        <f t="shared" si="92"/>
        <v>0</v>
      </c>
      <c r="F128" s="93">
        <v>-1</v>
      </c>
      <c r="G128" s="94">
        <v>122</v>
      </c>
      <c r="H128" s="94">
        <v>45</v>
      </c>
      <c r="I128" s="84">
        <f t="shared" si="93"/>
        <v>0.36885245901639346</v>
      </c>
      <c r="J128" s="93">
        <v>-0.4943820224719101</v>
      </c>
      <c r="K128" s="94">
        <v>181</v>
      </c>
      <c r="L128" s="94">
        <v>105</v>
      </c>
      <c r="M128" s="84">
        <f t="shared" ref="M128:M129" si="94">+L128/K128</f>
        <v>0.58011049723756902</v>
      </c>
      <c r="N128" s="93">
        <v>0.52173913043478271</v>
      </c>
      <c r="O128" s="27"/>
      <c r="P128" s="143"/>
      <c r="Q128" s="143"/>
      <c r="R128" s="143"/>
      <c r="S128" s="143"/>
      <c r="T128" s="143"/>
      <c r="U128" s="143"/>
      <c r="V128" s="143"/>
      <c r="W128" s="143"/>
      <c r="X128" s="143"/>
      <c r="Y128" s="143"/>
      <c r="Z128" s="143"/>
      <c r="AA128" s="143"/>
      <c r="AC128" s="143"/>
      <c r="AD128" s="143"/>
      <c r="AE128" s="143"/>
      <c r="AF128" s="143"/>
      <c r="AG128" s="143"/>
      <c r="AH128" s="143"/>
      <c r="AI128" s="143"/>
      <c r="AJ128" s="143"/>
      <c r="AK128" s="143"/>
      <c r="AL128" s="143"/>
      <c r="AM128" s="143"/>
      <c r="AN128" s="143"/>
      <c r="AP128" s="143"/>
      <c r="AQ128" s="143"/>
      <c r="AR128" s="143"/>
      <c r="AS128" s="143"/>
      <c r="AT128" s="143"/>
      <c r="AU128" s="143"/>
      <c r="AV128" s="143"/>
      <c r="AW128" s="143"/>
      <c r="AX128" s="144">
        <v>6.2992565055762073</v>
      </c>
      <c r="AY128" s="144">
        <v>5.529739776951673</v>
      </c>
      <c r="AZ128" s="80">
        <f t="shared" si="86"/>
        <v>0.87784007081735038</v>
      </c>
      <c r="BA128" s="239" t="str">
        <f t="shared" si="91"/>
        <v>revisar</v>
      </c>
      <c r="BD128" s="9" t="str">
        <f t="shared" si="77"/>
        <v xml:space="preserve">Cumplimiento cobertura región </v>
      </c>
      <c r="BE128" s="9" t="str">
        <f t="shared" si="78"/>
        <v>Tolerable</v>
      </c>
      <c r="BF128" t="s">
        <v>93</v>
      </c>
      <c r="BG128" s="81">
        <f t="shared" si="79"/>
        <v>0.87784007081735038</v>
      </c>
    </row>
    <row r="129" spans="1:59" ht="14.25" customHeight="1" thickBot="1" x14ac:dyDescent="0.3">
      <c r="A129" s="655"/>
      <c r="B129" s="82" t="s">
        <v>79</v>
      </c>
      <c r="C129" s="94">
        <v>123</v>
      </c>
      <c r="D129" s="165">
        <v>0</v>
      </c>
      <c r="E129" s="84">
        <f t="shared" si="92"/>
        <v>0</v>
      </c>
      <c r="F129" s="74">
        <v>-1</v>
      </c>
      <c r="G129" s="94">
        <v>39</v>
      </c>
      <c r="H129" s="94">
        <v>41</v>
      </c>
      <c r="I129" s="84">
        <f t="shared" si="93"/>
        <v>1.0512820512820513</v>
      </c>
      <c r="J129" s="74">
        <v>0</v>
      </c>
      <c r="K129" s="94">
        <v>77</v>
      </c>
      <c r="L129" s="165">
        <v>0</v>
      </c>
      <c r="M129" s="84">
        <f t="shared" si="94"/>
        <v>0</v>
      </c>
      <c r="N129" s="74">
        <v>-1</v>
      </c>
      <c r="O129" s="27"/>
      <c r="P129" s="143"/>
      <c r="Q129" s="143"/>
      <c r="R129" s="143"/>
      <c r="S129" s="143"/>
      <c r="T129" s="143"/>
      <c r="U129" s="143"/>
      <c r="V129" s="143"/>
      <c r="W129" s="143"/>
      <c r="X129" s="143"/>
      <c r="Y129" s="143"/>
      <c r="Z129" s="143"/>
      <c r="AA129" s="143"/>
      <c r="AC129" s="143"/>
      <c r="AD129" s="143"/>
      <c r="AE129" s="143"/>
      <c r="AF129" s="143"/>
      <c r="AG129" s="143"/>
      <c r="AH129" s="143"/>
      <c r="AI129" s="143"/>
      <c r="AJ129" s="143"/>
      <c r="AK129" s="143"/>
      <c r="AL129" s="143"/>
      <c r="AM129" s="143"/>
      <c r="AN129" s="143"/>
      <c r="AP129" s="143"/>
      <c r="AQ129" s="143"/>
      <c r="AR129" s="143"/>
      <c r="AS129" s="143"/>
      <c r="AT129" s="143"/>
      <c r="AU129" s="143"/>
      <c r="AV129" s="143"/>
      <c r="AW129" s="143"/>
      <c r="AX129" s="144">
        <v>0.20295390883626177</v>
      </c>
      <c r="AY129" s="144">
        <v>0.11557073726159978</v>
      </c>
      <c r="AZ129" s="80">
        <f t="shared" si="86"/>
        <v>0.56944326879084362</v>
      </c>
      <c r="BA129" s="239" t="str">
        <f t="shared" si="91"/>
        <v>revisar</v>
      </c>
      <c r="BD129" s="9" t="str">
        <f t="shared" si="77"/>
        <v xml:space="preserve">Penetración de Uso en Población A y B región </v>
      </c>
      <c r="BE129" s="9" t="str">
        <f t="shared" si="78"/>
        <v>Incumple</v>
      </c>
      <c r="BF129" t="s">
        <v>93</v>
      </c>
      <c r="BG129" s="81">
        <f t="shared" si="79"/>
        <v>0.56944326879084362</v>
      </c>
    </row>
    <row r="130" spans="1:59" ht="14.25" customHeight="1" thickBot="1" x14ac:dyDescent="0.3">
      <c r="B130"/>
      <c r="C130" s="18"/>
      <c r="D130" s="18"/>
      <c r="E130" s="18"/>
      <c r="F130" s="18"/>
      <c r="G130" s="18"/>
      <c r="H130" s="18"/>
      <c r="I130" s="18"/>
      <c r="J130" s="18"/>
      <c r="K130" s="18"/>
      <c r="L130" s="18"/>
      <c r="M130" s="18"/>
      <c r="N130" s="173"/>
      <c r="O130" s="27"/>
      <c r="P130" s="143"/>
      <c r="Q130" s="143"/>
      <c r="R130" s="143"/>
      <c r="S130" s="143"/>
      <c r="T130" s="143"/>
      <c r="U130" s="143"/>
      <c r="V130" s="143"/>
      <c r="W130" s="143"/>
      <c r="X130" s="143"/>
      <c r="Y130" s="143"/>
      <c r="Z130" s="143"/>
      <c r="AA130" s="143"/>
      <c r="AC130" s="143"/>
      <c r="AD130" s="143"/>
      <c r="AE130" s="143"/>
      <c r="AF130" s="143"/>
      <c r="AG130" s="143"/>
      <c r="AH130" s="143"/>
      <c r="AI130" s="143"/>
      <c r="AJ130" s="143"/>
      <c r="AK130" s="143"/>
      <c r="AL130" s="143"/>
      <c r="AM130" s="143"/>
      <c r="AN130" s="143"/>
      <c r="AP130" s="143"/>
      <c r="AQ130" s="143"/>
      <c r="AR130" s="143"/>
      <c r="AS130" s="143"/>
      <c r="AT130" s="143"/>
      <c r="AU130" s="143"/>
      <c r="AV130" s="143"/>
      <c r="AW130" s="143"/>
      <c r="AX130" s="143"/>
      <c r="AY130" s="143"/>
      <c r="AZ130" s="143"/>
    </row>
    <row r="131" spans="1:59" ht="14.25" customHeight="1" x14ac:dyDescent="0.25">
      <c r="A131" s="660" t="s">
        <v>94</v>
      </c>
      <c r="B131" s="174" t="s">
        <v>59</v>
      </c>
      <c r="C131" s="74">
        <v>9.7688078266946192</v>
      </c>
      <c r="D131" s="74">
        <v>-0.99590356394129975</v>
      </c>
      <c r="E131" s="93">
        <f t="shared" ref="E131:E137" si="95">+D131/C131</f>
        <v>-0.10194729813599726</v>
      </c>
      <c r="F131" s="74" t="s">
        <v>28</v>
      </c>
      <c r="G131" s="74">
        <v>2.7342737200143219</v>
      </c>
      <c r="H131" s="74">
        <v>-0.83562522377372006</v>
      </c>
      <c r="I131" s="93">
        <f>+H131/G131</f>
        <v>-0.30561140154225053</v>
      </c>
      <c r="J131" s="74" t="s">
        <v>28</v>
      </c>
      <c r="K131" s="74">
        <v>4.157920620505597</v>
      </c>
      <c r="L131" s="74">
        <v>-0.60817758914671205</v>
      </c>
      <c r="M131" s="93">
        <f>+L131/K131</f>
        <v>-0.14626964885942401</v>
      </c>
      <c r="N131" s="74" t="s">
        <v>28</v>
      </c>
      <c r="O131" s="27"/>
      <c r="P131" s="143"/>
      <c r="Q131" s="143"/>
      <c r="R131" s="143"/>
      <c r="S131" s="143"/>
      <c r="T131" s="143"/>
      <c r="U131" s="143"/>
      <c r="V131" s="143"/>
      <c r="W131" s="143"/>
      <c r="X131" s="143"/>
      <c r="Y131" s="143"/>
      <c r="Z131" s="143"/>
      <c r="AA131" s="143"/>
      <c r="AC131" s="143"/>
      <c r="AD131" s="143"/>
      <c r="AE131" s="143"/>
      <c r="AF131" s="143"/>
      <c r="AG131" s="143"/>
      <c r="AH131" s="143"/>
      <c r="AI131" s="143"/>
      <c r="AJ131" s="143"/>
      <c r="AK131" s="143"/>
      <c r="AL131" s="143"/>
      <c r="AM131" s="143"/>
      <c r="AN131" s="143"/>
      <c r="AP131" s="143"/>
      <c r="AQ131" s="143"/>
      <c r="AR131" s="13" t="e">
        <f t="shared" ref="AR131" si="96">+IF(AP131&lt;0,1-(AQ131-AP131)/AP131,AQ131/AP131)</f>
        <v>#DIV/0!</v>
      </c>
      <c r="AS131" s="143"/>
      <c r="AT131" s="143"/>
      <c r="AU131" s="143"/>
      <c r="AV131" s="143"/>
      <c r="AW131" s="143"/>
      <c r="AX131" s="144">
        <v>2.1566293509792152</v>
      </c>
      <c r="AY131" s="144">
        <v>1.5946857260564018</v>
      </c>
      <c r="AZ131" s="80">
        <f t="shared" si="86"/>
        <v>0.73943430535819077</v>
      </c>
      <c r="BA131" s="239" t="str">
        <f t="shared" ref="BA131:BA141" si="97">+IF(AY131&gt;=AX131,"cumple","revisar")</f>
        <v>revisar</v>
      </c>
      <c r="BD131" s="9" t="str">
        <f t="shared" si="77"/>
        <v>Crecimiento de ingresos (negocios)</v>
      </c>
      <c r="BE131" s="9" t="str">
        <f t="shared" si="78"/>
        <v>Incumple</v>
      </c>
      <c r="BF131" t="s">
        <v>95</v>
      </c>
      <c r="BG131" s="81">
        <f t="shared" si="79"/>
        <v>0.73943430535819077</v>
      </c>
    </row>
    <row r="132" spans="1:59" ht="14.25" customHeight="1" x14ac:dyDescent="0.25">
      <c r="A132" s="661"/>
      <c r="B132" s="82" t="s">
        <v>62</v>
      </c>
      <c r="C132" s="133">
        <v>4</v>
      </c>
      <c r="D132" s="133">
        <v>1</v>
      </c>
      <c r="E132" s="84">
        <f t="shared" si="95"/>
        <v>0.25</v>
      </c>
      <c r="F132" s="101">
        <f>D132/2-1</f>
        <v>-0.5</v>
      </c>
      <c r="G132" s="133">
        <v>8</v>
      </c>
      <c r="H132" s="133">
        <v>2</v>
      </c>
      <c r="I132" s="84">
        <f>+H132/G132</f>
        <v>0.25</v>
      </c>
      <c r="J132" s="101">
        <f>H132/6-1</f>
        <v>-0.66666666666666674</v>
      </c>
      <c r="K132" s="133">
        <v>12</v>
      </c>
      <c r="L132" s="133">
        <v>4</v>
      </c>
      <c r="M132" s="84">
        <f>+L132/K132</f>
        <v>0.33333333333333331</v>
      </c>
      <c r="N132" s="101">
        <f>L132/7-1</f>
        <v>-0.4285714285714286</v>
      </c>
      <c r="O132" s="27"/>
      <c r="P132" s="140">
        <v>16</v>
      </c>
      <c r="Q132" s="175">
        <v>6</v>
      </c>
      <c r="R132" s="146">
        <f>Q132/P132</f>
        <v>0.375</v>
      </c>
      <c r="S132" s="141">
        <f>Q132/7-1</f>
        <v>-0.1428571428571429</v>
      </c>
      <c r="T132" s="140">
        <v>20</v>
      </c>
      <c r="U132" s="175">
        <v>12</v>
      </c>
      <c r="V132" s="146">
        <f>+U132/T132</f>
        <v>0.6</v>
      </c>
      <c r="W132" s="141">
        <f>U132/11-1</f>
        <v>9.0909090909090828E-2</v>
      </c>
      <c r="X132" s="140">
        <v>23</v>
      </c>
      <c r="Y132" s="175">
        <v>12</v>
      </c>
      <c r="Z132" s="146">
        <f>+Y132/X132</f>
        <v>0.52173913043478259</v>
      </c>
      <c r="AA132" s="141">
        <f>Y132/11-1</f>
        <v>9.0909090909090828E-2</v>
      </c>
      <c r="AC132" s="140">
        <v>26</v>
      </c>
      <c r="AD132" s="175">
        <v>13</v>
      </c>
      <c r="AE132" s="146">
        <f>AD132/AC132</f>
        <v>0.5</v>
      </c>
      <c r="AF132" s="141">
        <f>AD132/15-1</f>
        <v>-0.1333333333333333</v>
      </c>
      <c r="AG132" s="140">
        <v>30</v>
      </c>
      <c r="AH132" s="175">
        <v>16</v>
      </c>
      <c r="AI132" s="146">
        <f>+AH132/AG132</f>
        <v>0.53333333333333333</v>
      </c>
      <c r="AJ132" s="141">
        <f>AH132/16-1</f>
        <v>0</v>
      </c>
      <c r="AK132" s="140">
        <v>34</v>
      </c>
      <c r="AL132" s="175">
        <v>21</v>
      </c>
      <c r="AM132" s="146">
        <f>+AL132/AK132</f>
        <v>0.61764705882352944</v>
      </c>
      <c r="AN132" s="141">
        <f>AL132/21-1</f>
        <v>0</v>
      </c>
      <c r="AP132" s="140">
        <v>38</v>
      </c>
      <c r="AQ132" s="175">
        <v>22</v>
      </c>
      <c r="AR132" s="13">
        <f>AQ132/AP132</f>
        <v>0.57894736842105265</v>
      </c>
      <c r="AS132" s="141">
        <f>AQ132/24-1</f>
        <v>-8.333333333333337E-2</v>
      </c>
      <c r="AT132" s="140">
        <v>42</v>
      </c>
      <c r="AU132" s="175">
        <v>23</v>
      </c>
      <c r="AV132" s="146">
        <f>+AU132/AT132</f>
        <v>0.54761904761904767</v>
      </c>
      <c r="AW132" s="151">
        <f>AU132/25-1</f>
        <v>-7.999999999999996E-2</v>
      </c>
      <c r="AX132" s="142">
        <v>45</v>
      </c>
      <c r="AY132" s="142">
        <v>23</v>
      </c>
      <c r="AZ132" s="80">
        <f t="shared" si="86"/>
        <v>0.51111111111111107</v>
      </c>
      <c r="BA132" s="239" t="str">
        <f t="shared" si="97"/>
        <v>revisar</v>
      </c>
      <c r="BD132" s="9" t="str">
        <f t="shared" si="77"/>
        <v>Cumplimiento de nuevas empresas afiliadas</v>
      </c>
      <c r="BE132" s="9" t="str">
        <f t="shared" si="78"/>
        <v>Incumple</v>
      </c>
      <c r="BF132" t="s">
        <v>95</v>
      </c>
      <c r="BG132" s="81">
        <f t="shared" si="79"/>
        <v>0.51111111111111107</v>
      </c>
    </row>
    <row r="133" spans="1:59" ht="14.25" customHeight="1" x14ac:dyDescent="0.25">
      <c r="A133" s="661"/>
      <c r="B133" s="82" t="s">
        <v>64</v>
      </c>
      <c r="C133" s="101">
        <f>C132/2-1</f>
        <v>1</v>
      </c>
      <c r="D133" s="101">
        <f>D132/2-1</f>
        <v>-0.5</v>
      </c>
      <c r="E133" s="84">
        <f t="shared" si="95"/>
        <v>-0.5</v>
      </c>
      <c r="F133" s="133" t="s">
        <v>28</v>
      </c>
      <c r="G133" s="101">
        <f>G132/6-1</f>
        <v>0.33333333333333326</v>
      </c>
      <c r="H133" s="101">
        <f>H132/6-1</f>
        <v>-0.66666666666666674</v>
      </c>
      <c r="I133" s="84">
        <f>+H133/G133</f>
        <v>-2.0000000000000009</v>
      </c>
      <c r="J133" s="133" t="s">
        <v>28</v>
      </c>
      <c r="K133" s="93">
        <f>K132/7-1</f>
        <v>0.71428571428571419</v>
      </c>
      <c r="L133" s="117">
        <f>L132/7-1</f>
        <v>-0.4285714285714286</v>
      </c>
      <c r="M133" s="84">
        <f>+L133/K133</f>
        <v>-0.60000000000000009</v>
      </c>
      <c r="N133" s="133" t="s">
        <v>28</v>
      </c>
      <c r="O133" s="27"/>
      <c r="P133" s="93">
        <f>P132/7-1</f>
        <v>1.2857142857142856</v>
      </c>
      <c r="Q133" s="176">
        <f>Q132/7-1</f>
        <v>-0.1428571428571429</v>
      </c>
      <c r="R133" s="146">
        <f>Q133/P133</f>
        <v>-0.11111111111111116</v>
      </c>
      <c r="S133" s="167" t="s">
        <v>28</v>
      </c>
      <c r="T133" s="93">
        <f>T132/11-1</f>
        <v>0.81818181818181812</v>
      </c>
      <c r="U133" s="176">
        <f>U132/11-1</f>
        <v>9.0909090909090828E-2</v>
      </c>
      <c r="V133" s="146">
        <f>+U133/T133</f>
        <v>0.11111111111111102</v>
      </c>
      <c r="W133" s="167" t="s">
        <v>28</v>
      </c>
      <c r="X133" s="93">
        <f>X132/11-1</f>
        <v>1.0909090909090908</v>
      </c>
      <c r="Y133" s="176">
        <f>Y132/11-1</f>
        <v>9.0909090909090828E-2</v>
      </c>
      <c r="Z133" s="146">
        <f>+Y133/X133</f>
        <v>8.3333333333333259E-2</v>
      </c>
      <c r="AA133" s="167" t="s">
        <v>28</v>
      </c>
      <c r="AC133" s="93">
        <f>AC132/15-1</f>
        <v>0.73333333333333339</v>
      </c>
      <c r="AD133" s="93">
        <f>AD132/15-1</f>
        <v>-0.1333333333333333</v>
      </c>
      <c r="AE133" s="146">
        <f>AD133/AC133</f>
        <v>-0.18181818181818177</v>
      </c>
      <c r="AF133" s="167" t="s">
        <v>28</v>
      </c>
      <c r="AG133" s="93">
        <f>AG132/16-1</f>
        <v>0.875</v>
      </c>
      <c r="AH133" s="101">
        <f>AH132/16-1</f>
        <v>0</v>
      </c>
      <c r="AI133" s="146">
        <f>+AH133/AG133</f>
        <v>0</v>
      </c>
      <c r="AJ133" s="167" t="s">
        <v>28</v>
      </c>
      <c r="AK133" s="93">
        <f>AK132/21-1</f>
        <v>0.61904761904761907</v>
      </c>
      <c r="AL133" s="93">
        <f>AL132/21-1</f>
        <v>0</v>
      </c>
      <c r="AM133" s="146">
        <f>+AL133/AK133</f>
        <v>0</v>
      </c>
      <c r="AN133" s="167" t="s">
        <v>28</v>
      </c>
      <c r="AP133" s="93">
        <f>AP132/24-1</f>
        <v>0.58333333333333326</v>
      </c>
      <c r="AQ133" s="93">
        <f>AQ132/24-1</f>
        <v>-8.333333333333337E-2</v>
      </c>
      <c r="AR133" s="13">
        <f>AQ133/AP133</f>
        <v>-0.14285714285714293</v>
      </c>
      <c r="AS133" s="167" t="s">
        <v>28</v>
      </c>
      <c r="AT133" s="93">
        <f>AT132/25-1</f>
        <v>0.67999999999999994</v>
      </c>
      <c r="AU133" s="93">
        <f>AU132/25-1</f>
        <v>-7.999999999999996E-2</v>
      </c>
      <c r="AV133" s="146">
        <f>+AU133/AT133</f>
        <v>-0.11764705882352937</v>
      </c>
      <c r="AW133" s="166" t="s">
        <v>28</v>
      </c>
      <c r="AX133" s="158">
        <f>AX132/30-1</f>
        <v>0.5</v>
      </c>
      <c r="AY133" s="158">
        <f>AY132/30-1</f>
        <v>-0.23333333333333328</v>
      </c>
      <c r="AZ133" s="80">
        <f t="shared" si="86"/>
        <v>-0.46666666666666656</v>
      </c>
      <c r="BA133" s="239" t="str">
        <f t="shared" si="97"/>
        <v>revisar</v>
      </c>
      <c r="BD133" s="9" t="str">
        <f t="shared" si="77"/>
        <v>Crecimiento de nuevas empresas afiliadas</v>
      </c>
      <c r="BE133" s="9" t="str">
        <f t="shared" si="78"/>
        <v>Incumple</v>
      </c>
      <c r="BF133" t="s">
        <v>95</v>
      </c>
      <c r="BG133" s="81">
        <f t="shared" si="79"/>
        <v>-0.46666666666666656</v>
      </c>
    </row>
    <row r="134" spans="1:59" ht="14.25" customHeight="1" x14ac:dyDescent="0.25">
      <c r="A134" s="661"/>
      <c r="B134" s="82" t="s">
        <v>65</v>
      </c>
      <c r="C134" s="134">
        <v>83258919.880882502</v>
      </c>
      <c r="D134" s="134">
        <v>91055690</v>
      </c>
      <c r="E134" s="84">
        <f t="shared" si="95"/>
        <v>1.0936448626798454</v>
      </c>
      <c r="F134" s="101">
        <f>D134/91369795-1</f>
        <v>-3.4377334435302664E-3</v>
      </c>
      <c r="G134" s="134">
        <v>152089456</v>
      </c>
      <c r="H134" s="134">
        <v>183102425</v>
      </c>
      <c r="I134" s="84">
        <f>+H134/G134</f>
        <v>1.203912682809517</v>
      </c>
      <c r="J134" s="101">
        <f>H134/174265275-1</f>
        <v>5.0710906117125143E-2</v>
      </c>
      <c r="K134" s="134">
        <v>219725647</v>
      </c>
      <c r="L134" s="134">
        <v>273337453</v>
      </c>
      <c r="M134" s="84">
        <f>+L134/K134</f>
        <v>1.243994302585897</v>
      </c>
      <c r="N134" s="101">
        <f>L134/260310290-1</f>
        <v>5.0044748519161519E-2</v>
      </c>
      <c r="O134" s="27"/>
      <c r="P134" s="134">
        <v>290829238</v>
      </c>
      <c r="Q134" s="177">
        <v>367187816</v>
      </c>
      <c r="R134" s="146">
        <f>+Q134/P134</f>
        <v>1.2625546816582451</v>
      </c>
      <c r="S134" s="141">
        <f>Q134/337726203-1</f>
        <v>8.7235200402854041E-2</v>
      </c>
      <c r="T134" s="134">
        <v>364038864</v>
      </c>
      <c r="U134" s="177">
        <v>463373656</v>
      </c>
      <c r="V134" s="146">
        <f>+U134/T134</f>
        <v>1.2728686462443197</v>
      </c>
      <c r="W134" s="141">
        <f>U134/396795776-1</f>
        <v>0.16778878210639014</v>
      </c>
      <c r="X134" s="134">
        <v>444008382.68293655</v>
      </c>
      <c r="Y134" s="177">
        <v>565373272</v>
      </c>
      <c r="Z134" s="146">
        <f>+Y134/X134</f>
        <v>1.2733391846877118</v>
      </c>
      <c r="AA134" s="141">
        <f>Y134/447239303-1</f>
        <v>0.26414040136360728</v>
      </c>
      <c r="AC134" s="134">
        <v>541583449.84301817</v>
      </c>
      <c r="AD134" s="177">
        <v>659845057</v>
      </c>
      <c r="AE134" s="146">
        <f>+AD134/AC134</f>
        <v>1.2183626681931672</v>
      </c>
      <c r="AF134" s="141">
        <f>AD134/507444702-1</f>
        <v>0.30032899033006366</v>
      </c>
      <c r="AG134" s="134">
        <v>637265058.68404078</v>
      </c>
      <c r="AH134" s="177">
        <v>759688718</v>
      </c>
      <c r="AI134" s="146">
        <f>+AH134/AG134</f>
        <v>1.1921079112179247</v>
      </c>
      <c r="AJ134" s="141">
        <f>AH134/568569142-1</f>
        <v>0.33614130961753808</v>
      </c>
      <c r="AK134" s="134">
        <v>734184961.50316298</v>
      </c>
      <c r="AL134" s="177">
        <v>862525984</v>
      </c>
      <c r="AM134" s="146">
        <f>+AL134/AK134</f>
        <v>1.1748074793497172</v>
      </c>
      <c r="AN134" s="141">
        <f>AL134/631501130-1</f>
        <v>0.365834426931271</v>
      </c>
      <c r="AP134" s="134">
        <v>834466635.21719515</v>
      </c>
      <c r="AQ134" s="177">
        <v>959161630.17635584</v>
      </c>
      <c r="AR134" s="13">
        <f>+AQ134/AP134</f>
        <v>1.1494307737381315</v>
      </c>
      <c r="AS134" s="141">
        <f>AQ134/698633046-1</f>
        <v>0.37291191086365516</v>
      </c>
      <c r="AT134" s="134">
        <v>937331849.02144885</v>
      </c>
      <c r="AU134" s="177">
        <v>1067163036.1242838</v>
      </c>
      <c r="AV134" s="146">
        <f>+AU134/AT134</f>
        <v>1.1385114431333743</v>
      </c>
      <c r="AW134" s="151">
        <f>AU134/766783485-1</f>
        <v>0.39173972444683502</v>
      </c>
      <c r="AX134" s="178">
        <v>1025012783.7085872</v>
      </c>
      <c r="AY134" s="178">
        <v>1179657488.0399201</v>
      </c>
      <c r="AZ134" s="80">
        <f t="shared" si="86"/>
        <v>1.1508710006248064</v>
      </c>
      <c r="BA134" s="239" t="str">
        <f t="shared" si="97"/>
        <v>cumple</v>
      </c>
      <c r="BD134" s="9" t="str">
        <f t="shared" si="77"/>
        <v>Cumplimiento de aportes totales región</v>
      </c>
      <c r="BE134" s="9" t="str">
        <f t="shared" si="78"/>
        <v>Sobresaliente</v>
      </c>
      <c r="BF134" t="s">
        <v>95</v>
      </c>
      <c r="BG134" s="81">
        <f t="shared" si="79"/>
        <v>1.1508710006248064</v>
      </c>
    </row>
    <row r="135" spans="1:59" ht="14.25" customHeight="1" x14ac:dyDescent="0.25">
      <c r="A135" s="661"/>
      <c r="B135" s="82" t="s">
        <v>66</v>
      </c>
      <c r="C135" s="101">
        <f>C134/91369795-1</f>
        <v>-8.8769763783726363E-2</v>
      </c>
      <c r="D135" s="101">
        <f>D134/91369795-1</f>
        <v>-3.4377334435302664E-3</v>
      </c>
      <c r="E135" s="84">
        <f t="shared" si="95"/>
        <v>3.8726400713488054E-2</v>
      </c>
      <c r="F135" s="133" t="s">
        <v>28</v>
      </c>
      <c r="G135" s="101">
        <f>G134/174265275-1</f>
        <v>-0.12725322930801908</v>
      </c>
      <c r="H135" s="101">
        <f>H134/174265275-1</f>
        <v>5.0710906117125143E-2</v>
      </c>
      <c r="I135" s="84">
        <f>-H135/G135</f>
        <v>0.39850388389263069</v>
      </c>
      <c r="J135" s="133" t="s">
        <v>28</v>
      </c>
      <c r="K135" s="101">
        <f>K134/260310290-1</f>
        <v>-0.15590871571000897</v>
      </c>
      <c r="L135" s="117">
        <f>L134/260310290-1</f>
        <v>5.0044748519161519E-2</v>
      </c>
      <c r="M135" s="84">
        <f>-L135/K135</f>
        <v>0.32098749766013734</v>
      </c>
      <c r="N135" s="133" t="s">
        <v>28</v>
      </c>
      <c r="O135" s="27"/>
      <c r="P135" s="101">
        <f>P134/337726203-1</f>
        <v>-0.13886090147408547</v>
      </c>
      <c r="Q135" s="103">
        <f>Q134/337726203-1</f>
        <v>8.7235200402854041E-2</v>
      </c>
      <c r="R135" s="146">
        <f>-Q135/P135</f>
        <v>0.62822003513446922</v>
      </c>
      <c r="S135" s="167" t="s">
        <v>28</v>
      </c>
      <c r="T135" s="101">
        <f>T134/396795776-1</f>
        <v>-8.2553580409081784E-2</v>
      </c>
      <c r="U135" s="101">
        <f>U134/396795776-1</f>
        <v>0.16778878210639014</v>
      </c>
      <c r="V135" s="146">
        <f>-U135/T135</f>
        <v>2.0324834038080262</v>
      </c>
      <c r="W135" s="167" t="s">
        <v>28</v>
      </c>
      <c r="X135" s="101">
        <f>X134/447239303-1</f>
        <v>-7.224142188289373E-3</v>
      </c>
      <c r="Y135" s="101">
        <f>Y134/447239303-1</f>
        <v>0.26414040136360728</v>
      </c>
      <c r="Z135" s="146">
        <f>-Y135/X135</f>
        <v>36.563566230989963</v>
      </c>
      <c r="AA135" s="167" t="s">
        <v>28</v>
      </c>
      <c r="AC135" s="101">
        <f>AC134/507444702-1</f>
        <v>6.7275799133317493E-2</v>
      </c>
      <c r="AD135" s="101">
        <f>AD134/507444702-1</f>
        <v>0.30032899033006366</v>
      </c>
      <c r="AE135" s="146">
        <f>-AD135/AC135</f>
        <v>-4.4641460108844626</v>
      </c>
      <c r="AF135" s="167" t="s">
        <v>28</v>
      </c>
      <c r="AG135" s="101">
        <f>AG134/568569142-1</f>
        <v>0.12082244991769309</v>
      </c>
      <c r="AH135" s="101">
        <f>AH134/568569142-1</f>
        <v>0.33614130961753808</v>
      </c>
      <c r="AI135" s="146">
        <f>-AH135/AG135</f>
        <v>-2.7821096977136692</v>
      </c>
      <c r="AJ135" s="167" t="s">
        <v>28</v>
      </c>
      <c r="AK135" s="101">
        <f>AK134/631501130-1</f>
        <v>0.16260276763584414</v>
      </c>
      <c r="AL135" s="101">
        <f>AL134/631501130-1</f>
        <v>0.365834426931271</v>
      </c>
      <c r="AM135" s="146">
        <f>-AL135/AK135</f>
        <v>-2.2498659294076275</v>
      </c>
      <c r="AN135" s="167" t="s">
        <v>28</v>
      </c>
      <c r="AP135" s="101">
        <f>AP134/698633046-1</f>
        <v>0.19442766126639133</v>
      </c>
      <c r="AQ135" s="101">
        <f>AQ134/698633046-1</f>
        <v>0.37291191086365516</v>
      </c>
      <c r="AR135" s="13">
        <f>-AQ135/AP135</f>
        <v>-1.9179982335575032</v>
      </c>
      <c r="AS135" s="167" t="s">
        <v>28</v>
      </c>
      <c r="AT135" s="101">
        <f>AT134/766783485-1</f>
        <v>0.2224204972560786</v>
      </c>
      <c r="AU135" s="101">
        <f>AU134/766783485-1</f>
        <v>0.39173972444683502</v>
      </c>
      <c r="AV135" s="146">
        <f>-AU135/AT135</f>
        <v>-1.7612572999322753</v>
      </c>
      <c r="AW135" s="166" t="s">
        <v>28</v>
      </c>
      <c r="AX135" s="104">
        <f>AX134/838479204-1</f>
        <v>0.22246655470847809</v>
      </c>
      <c r="AY135" s="104">
        <f>AY134/838479204-1</f>
        <v>0.40690130704770588</v>
      </c>
      <c r="AZ135" s="80">
        <f t="shared" si="86"/>
        <v>1.8290448538698885</v>
      </c>
      <c r="BA135" s="239" t="str">
        <f t="shared" si="97"/>
        <v>cumple</v>
      </c>
      <c r="BD135" s="9" t="str">
        <f t="shared" si="77"/>
        <v>Crecimiento de aportes totales región</v>
      </c>
      <c r="BE135" s="9" t="str">
        <f t="shared" si="78"/>
        <v>Sobresaliente</v>
      </c>
      <c r="BF135" t="s">
        <v>95</v>
      </c>
      <c r="BG135" s="81">
        <f t="shared" si="79"/>
        <v>1.8290448538698885</v>
      </c>
    </row>
    <row r="136" spans="1:59" ht="14.25" customHeight="1" x14ac:dyDescent="0.25">
      <c r="A136" s="661"/>
      <c r="B136" s="82" t="s">
        <v>67</v>
      </c>
      <c r="C136" s="134">
        <v>1569037</v>
      </c>
      <c r="D136" s="134">
        <v>17135300</v>
      </c>
      <c r="E136" s="84">
        <f t="shared" si="95"/>
        <v>10.920902438884488</v>
      </c>
      <c r="F136" s="179" t="e">
        <f>D136/0-1</f>
        <v>#DIV/0!</v>
      </c>
      <c r="G136" s="134">
        <v>4890134</v>
      </c>
      <c r="H136" s="134">
        <v>34224400</v>
      </c>
      <c r="I136" s="84">
        <f>+H136/G136</f>
        <v>6.9986630223220878</v>
      </c>
      <c r="J136" s="93">
        <f>H136/669300-1</f>
        <v>50.134618257881371</v>
      </c>
      <c r="K136" s="134">
        <v>9693609</v>
      </c>
      <c r="L136" s="134">
        <v>51753600</v>
      </c>
      <c r="M136" s="84">
        <f>+L136/K136</f>
        <v>5.3389403265594888</v>
      </c>
      <c r="N136" s="101">
        <f>L136/2719200-1</f>
        <v>18.032656663724627</v>
      </c>
      <c r="O136" s="27"/>
      <c r="P136" s="134">
        <v>16093905</v>
      </c>
      <c r="Q136" s="177">
        <v>69655500</v>
      </c>
      <c r="R136" s="146">
        <f>Q136/P136</f>
        <v>4.3280670539561408</v>
      </c>
      <c r="S136" s="141">
        <f>Q136/4016700-1</f>
        <v>16.34147434461125</v>
      </c>
      <c r="T136" s="134">
        <v>23947974</v>
      </c>
      <c r="U136" s="177">
        <v>90480600</v>
      </c>
      <c r="V136" s="146">
        <f>+U136/T136</f>
        <v>3.7782152260562833</v>
      </c>
      <c r="W136" s="141">
        <f>U136/5301600-1</f>
        <v>16.06665912177456</v>
      </c>
      <c r="X136" s="134">
        <v>33057070.626332968</v>
      </c>
      <c r="Y136" s="177">
        <v>110713700</v>
      </c>
      <c r="Z136" s="146">
        <f>+Y136/X136</f>
        <v>3.3491685107695672</v>
      </c>
      <c r="AA136" s="141">
        <f>Y136/6725200-1</f>
        <v>15.46251412597395</v>
      </c>
      <c r="AC136" s="134">
        <v>43554421.204983458</v>
      </c>
      <c r="AD136" s="177">
        <v>130971000</v>
      </c>
      <c r="AE136" s="146">
        <f>AD136/AC136</f>
        <v>3.00706556020114</v>
      </c>
      <c r="AF136" s="141">
        <f>AD136/9344400-1</f>
        <v>13.015988185437267</v>
      </c>
      <c r="AG136" s="134">
        <v>55826925.417360231</v>
      </c>
      <c r="AH136" s="177">
        <v>151682200</v>
      </c>
      <c r="AI136" s="146">
        <f>+AH136/AG136</f>
        <v>2.7170079467215675</v>
      </c>
      <c r="AJ136" s="141">
        <f>AH136/135542001</f>
        <v>1.1190789488197095</v>
      </c>
      <c r="AK136" s="134">
        <v>69748631.11093691</v>
      </c>
      <c r="AL136" s="177">
        <v>174396900</v>
      </c>
      <c r="AM136" s="146">
        <f>+AL136/AK136</f>
        <v>2.5003630497438358</v>
      </c>
      <c r="AN136" s="141">
        <f>AL136/6725200-1</f>
        <v>24.931853327782072</v>
      </c>
      <c r="AP136" s="134">
        <v>85336658.361499757</v>
      </c>
      <c r="AQ136" s="177">
        <v>196712300</v>
      </c>
      <c r="AR136" s="13">
        <f>AQ136/AP136</f>
        <v>2.3051324457385616</v>
      </c>
      <c r="AS136" s="141">
        <f>AQ136/23826400-1</f>
        <v>7.2560647013396906</v>
      </c>
      <c r="AT136" s="134">
        <v>102479499.76135117</v>
      </c>
      <c r="AU136" s="177">
        <v>218290500</v>
      </c>
      <c r="AV136" s="146">
        <f>+AU136/AT136</f>
        <v>2.1300894374810899</v>
      </c>
      <c r="AW136" s="151">
        <f>AU136/31245200-1</f>
        <v>5.9863691062947266</v>
      </c>
      <c r="AX136" s="178">
        <v>120901791.05716552</v>
      </c>
      <c r="AY136" s="178">
        <v>222455100</v>
      </c>
      <c r="AZ136" s="80">
        <f t="shared" si="86"/>
        <v>1.8399652979071039</v>
      </c>
      <c r="BA136" s="239" t="str">
        <f t="shared" si="97"/>
        <v>cumple</v>
      </c>
      <c r="BD136" s="9" t="str">
        <f t="shared" si="77"/>
        <v>Cumplimiento de nuevos aportes</v>
      </c>
      <c r="BE136" s="9" t="str">
        <f t="shared" si="78"/>
        <v>Sobresaliente</v>
      </c>
      <c r="BF136" t="s">
        <v>95</v>
      </c>
      <c r="BG136" s="81">
        <f t="shared" si="79"/>
        <v>1.8399652979071039</v>
      </c>
    </row>
    <row r="137" spans="1:59" ht="14.25" customHeight="1" x14ac:dyDescent="0.25">
      <c r="A137" s="661"/>
      <c r="B137" s="82" t="s">
        <v>68</v>
      </c>
      <c r="C137" s="132">
        <v>770.64642607200278</v>
      </c>
      <c r="D137" s="132">
        <v>1292</v>
      </c>
      <c r="E137" s="84">
        <f t="shared" si="95"/>
        <v>1.6765146197917828</v>
      </c>
      <c r="F137" s="101">
        <f>D137/942-1</f>
        <v>0.37154989384288739</v>
      </c>
      <c r="G137" s="132">
        <v>759</v>
      </c>
      <c r="H137" s="132">
        <v>1291</v>
      </c>
      <c r="I137" s="84">
        <f>+H137/G137</f>
        <v>1.7009222661396575</v>
      </c>
      <c r="J137" s="101">
        <f>H137/972-1</f>
        <v>0.32818930041152261</v>
      </c>
      <c r="K137" s="132">
        <v>769</v>
      </c>
      <c r="L137" s="132">
        <v>1361</v>
      </c>
      <c r="M137" s="84">
        <f>+L137/K137</f>
        <v>1.7698309492847855</v>
      </c>
      <c r="N137" s="101">
        <f>L137/959-1</f>
        <v>0.41918665276329503</v>
      </c>
      <c r="O137" s="27"/>
      <c r="P137" s="132">
        <v>776</v>
      </c>
      <c r="Q137" s="180">
        <v>1383</v>
      </c>
      <c r="R137" s="146">
        <f>Q137/P137</f>
        <v>1.7822164948453609</v>
      </c>
      <c r="S137" s="141">
        <f>Q137/908-1</f>
        <v>0.52312775330396466</v>
      </c>
      <c r="T137" s="132">
        <v>790</v>
      </c>
      <c r="U137" s="180">
        <v>1368</v>
      </c>
      <c r="V137" s="146">
        <f>+U137/T137</f>
        <v>1.7316455696202531</v>
      </c>
      <c r="W137" s="141">
        <f>U137/863-1</f>
        <v>0.5851680185399768</v>
      </c>
      <c r="X137" s="132">
        <v>782</v>
      </c>
      <c r="Y137" s="180">
        <v>1417</v>
      </c>
      <c r="Z137" s="146">
        <f>+Y137/X137</f>
        <v>1.8120204603580563</v>
      </c>
      <c r="AA137" s="141">
        <f>Y137/868-1</f>
        <v>0.63248847926267282</v>
      </c>
      <c r="AC137" s="132">
        <v>825</v>
      </c>
      <c r="AD137" s="180">
        <v>1418</v>
      </c>
      <c r="AE137" s="146">
        <f>AD137/AC137</f>
        <v>1.7187878787878788</v>
      </c>
      <c r="AF137" s="141">
        <f>AD137/908-1</f>
        <v>0.56167400881057272</v>
      </c>
      <c r="AG137" s="132">
        <v>859</v>
      </c>
      <c r="AH137" s="180">
        <v>1322</v>
      </c>
      <c r="AI137" s="146">
        <f>+AH137/AG137</f>
        <v>1.5389988358556461</v>
      </c>
      <c r="AJ137" s="141">
        <f>AH137/909-1</f>
        <v>0.45434543454345433</v>
      </c>
      <c r="AK137" s="132">
        <v>931</v>
      </c>
      <c r="AL137" s="180">
        <v>1297</v>
      </c>
      <c r="AM137" s="146">
        <f>+AL137/AK137</f>
        <v>1.3931256713211599</v>
      </c>
      <c r="AN137" s="141">
        <f>AL137/969-1</f>
        <v>0.33849329205366363</v>
      </c>
      <c r="AP137" s="132">
        <v>930</v>
      </c>
      <c r="AQ137" s="180">
        <v>1343</v>
      </c>
      <c r="AR137" s="13">
        <f>AQ137/AP137</f>
        <v>1.4440860215053763</v>
      </c>
      <c r="AS137" s="141">
        <f>AQ137/974-1</f>
        <v>0.37885010266940444</v>
      </c>
      <c r="AT137" s="132">
        <v>939</v>
      </c>
      <c r="AU137" s="180">
        <v>1401</v>
      </c>
      <c r="AV137" s="146">
        <f>+AU137/AT137</f>
        <v>1.4920127795527156</v>
      </c>
      <c r="AW137" s="151">
        <f>AU137/1069-1</f>
        <v>0.31057062675397562</v>
      </c>
      <c r="AX137" s="181">
        <v>966</v>
      </c>
      <c r="AY137" s="181">
        <v>1326</v>
      </c>
      <c r="AZ137" s="80">
        <f t="shared" si="86"/>
        <v>1.3726708074534162</v>
      </c>
      <c r="BA137" s="239" t="str">
        <f t="shared" si="97"/>
        <v>cumple</v>
      </c>
      <c r="BD137" s="9" t="str">
        <f t="shared" si="77"/>
        <v>Cumplimiento afiliados totales región</v>
      </c>
      <c r="BE137" s="9" t="str">
        <f t="shared" si="78"/>
        <v>Sobresaliente</v>
      </c>
      <c r="BF137" t="s">
        <v>95</v>
      </c>
      <c r="BG137" s="81">
        <f t="shared" si="79"/>
        <v>1.3726708074534162</v>
      </c>
    </row>
    <row r="138" spans="1:59" ht="14.25" customHeight="1" x14ac:dyDescent="0.25">
      <c r="A138" s="661"/>
      <c r="B138" s="82" t="s">
        <v>69</v>
      </c>
      <c r="C138" s="101">
        <f>C137/942-1</f>
        <v>-0.18190400629299064</v>
      </c>
      <c r="D138" s="101">
        <f>D137/942-1</f>
        <v>0.37154989384288739</v>
      </c>
      <c r="E138" s="84">
        <f>-D138/C138</f>
        <v>2.0425602569986081</v>
      </c>
      <c r="F138" s="133" t="s">
        <v>28</v>
      </c>
      <c r="G138" s="101">
        <f>G137/972-1</f>
        <v>-0.21913580246913578</v>
      </c>
      <c r="H138" s="101">
        <f>H137/972-1</f>
        <v>0.32818930041152261</v>
      </c>
      <c r="I138" s="84">
        <f>-H138/G138</f>
        <v>1.4976525821596245</v>
      </c>
      <c r="J138" s="133" t="s">
        <v>28</v>
      </c>
      <c r="K138" s="101">
        <f>K137/959-1</f>
        <v>-0.19812304483837329</v>
      </c>
      <c r="L138" s="101">
        <f>L137/959-1</f>
        <v>0.41918665276329503</v>
      </c>
      <c r="M138" s="84">
        <f>-L138/K138</f>
        <v>2.1157894736842104</v>
      </c>
      <c r="N138" s="133" t="s">
        <v>28</v>
      </c>
      <c r="O138" s="27"/>
      <c r="P138" s="101">
        <f>P137/908-1</f>
        <v>-0.14537444933920707</v>
      </c>
      <c r="Q138" s="101">
        <f>Q137/908-1</f>
        <v>0.52312775330396466</v>
      </c>
      <c r="R138" s="146">
        <f>-Q138/P138</f>
        <v>3.5984848484848473</v>
      </c>
      <c r="S138" s="167" t="s">
        <v>28</v>
      </c>
      <c r="T138" s="101">
        <f>T137/863-1</f>
        <v>-8.4588644264194657E-2</v>
      </c>
      <c r="U138" s="101">
        <f>U137/863-1</f>
        <v>0.5851680185399768</v>
      </c>
      <c r="V138" s="146">
        <f>-U138/T138</f>
        <v>6.9178082191780828</v>
      </c>
      <c r="W138" s="167" t="s">
        <v>28</v>
      </c>
      <c r="X138" s="101">
        <f>X137/868-1</f>
        <v>-9.9078341013824844E-2</v>
      </c>
      <c r="Y138" s="101">
        <f>Y137/868-1</f>
        <v>0.63248847926267282</v>
      </c>
      <c r="Z138" s="146">
        <f>-Y138/X138</f>
        <v>6.3837209302325606</v>
      </c>
      <c r="AA138" s="167" t="s">
        <v>28</v>
      </c>
      <c r="AC138" s="101">
        <f>AC137/908-1</f>
        <v>-9.1409691629955936E-2</v>
      </c>
      <c r="AD138" s="101">
        <f>AD137/908-1</f>
        <v>0.56167400881057272</v>
      </c>
      <c r="AE138" s="146">
        <f>-AD138/AC138</f>
        <v>6.144578313253013</v>
      </c>
      <c r="AF138" s="167" t="s">
        <v>28</v>
      </c>
      <c r="AG138" s="101">
        <f>AG137/909-1</f>
        <v>-5.5005500550055042E-2</v>
      </c>
      <c r="AH138" s="101">
        <f>AH137/909-1</f>
        <v>0.45434543454345433</v>
      </c>
      <c r="AI138" s="146">
        <f>-AH138/AG138</f>
        <v>8.2599999999999945</v>
      </c>
      <c r="AJ138" s="167" t="s">
        <v>28</v>
      </c>
      <c r="AK138" s="101">
        <f>AK137/969-1</f>
        <v>-3.9215686274509776E-2</v>
      </c>
      <c r="AL138" s="101">
        <f>AL137/969-1</f>
        <v>0.33849329205366363</v>
      </c>
      <c r="AM138" s="146">
        <f>-AL138/AK138</f>
        <v>8.6315789473684283</v>
      </c>
      <c r="AN138" s="167"/>
      <c r="AP138" s="101">
        <f>AP137/974-1</f>
        <v>-4.5174537987679675E-2</v>
      </c>
      <c r="AQ138" s="101">
        <f>AQ137/974-1</f>
        <v>0.37885010266940444</v>
      </c>
      <c r="AR138" s="13">
        <f>-AQ138/AP138</f>
        <v>8.3863636363636349</v>
      </c>
      <c r="AS138" s="167" t="s">
        <v>28</v>
      </c>
      <c r="AT138" s="101">
        <f>AT137/1069-1</f>
        <v>-0.12160898035547241</v>
      </c>
      <c r="AU138" s="101">
        <f>AU137/1069-1</f>
        <v>0.31057062675397562</v>
      </c>
      <c r="AV138" s="146">
        <f>-AU138/AT138</f>
        <v>2.5538461538461532</v>
      </c>
      <c r="AW138" s="166" t="s">
        <v>28</v>
      </c>
      <c r="AX138" s="104">
        <f>AX137/1262-1</f>
        <v>-0.23454833597464342</v>
      </c>
      <c r="AY138" s="104">
        <f>AY137/1262-1</f>
        <v>5.0713153724247118E-2</v>
      </c>
      <c r="AZ138" s="80">
        <f t="shared" si="86"/>
        <v>2.2162162162162158</v>
      </c>
      <c r="BA138" s="239" t="str">
        <f t="shared" si="97"/>
        <v>cumple</v>
      </c>
      <c r="BD138" s="9" t="str">
        <f t="shared" si="77"/>
        <v>Crecimiento afiliados totales región</v>
      </c>
      <c r="BE138" s="9" t="str">
        <f t="shared" si="78"/>
        <v>Sobresaliente</v>
      </c>
      <c r="BF138" t="s">
        <v>95</v>
      </c>
      <c r="BG138" s="81">
        <f t="shared" si="79"/>
        <v>2.2162162162162158</v>
      </c>
    </row>
    <row r="139" spans="1:59" ht="14.25" customHeight="1" x14ac:dyDescent="0.25">
      <c r="A139" s="661"/>
      <c r="B139" s="82" t="s">
        <v>70</v>
      </c>
      <c r="C139" s="133">
        <v>39</v>
      </c>
      <c r="D139" s="133">
        <v>204</v>
      </c>
      <c r="E139" s="84">
        <f>+D139/C139</f>
        <v>5.2307692307692308</v>
      </c>
      <c r="F139" s="101">
        <f>D139/13-1</f>
        <v>14.692307692307692</v>
      </c>
      <c r="G139" s="133">
        <v>83</v>
      </c>
      <c r="H139" s="133">
        <v>205</v>
      </c>
      <c r="I139" s="84">
        <f>+H139/G139</f>
        <v>2.4698795180722892</v>
      </c>
      <c r="J139" s="101">
        <f>H139/27-1</f>
        <v>6.5925925925925926</v>
      </c>
      <c r="K139" s="133">
        <v>120</v>
      </c>
      <c r="L139" s="133">
        <v>228</v>
      </c>
      <c r="M139" s="84">
        <f>+L139/K139</f>
        <v>1.9</v>
      </c>
      <c r="N139" s="101">
        <f>L139/47-1</f>
        <v>3.8510638297872344</v>
      </c>
      <c r="O139" s="27"/>
      <c r="P139" s="140">
        <v>159</v>
      </c>
      <c r="Q139" s="175">
        <v>240</v>
      </c>
      <c r="R139" s="146">
        <f>Q139/P139</f>
        <v>1.5094339622641511</v>
      </c>
      <c r="S139" s="141">
        <f>Q139/43-1</f>
        <v>4.5813953488372094</v>
      </c>
      <c r="T139" s="140">
        <v>196</v>
      </c>
      <c r="U139" s="175">
        <v>256</v>
      </c>
      <c r="V139" s="146">
        <f>+U139/T139</f>
        <v>1.3061224489795917</v>
      </c>
      <c r="W139" s="141">
        <f>U139/50-1</f>
        <v>4.12</v>
      </c>
      <c r="X139" s="140">
        <v>227</v>
      </c>
      <c r="Y139" s="175">
        <v>276</v>
      </c>
      <c r="Z139" s="146">
        <f>+Y139/X139</f>
        <v>1.2158590308370043</v>
      </c>
      <c r="AA139" s="141">
        <f>Y139/70-1</f>
        <v>2.9428571428571431</v>
      </c>
      <c r="AC139" s="140">
        <v>261</v>
      </c>
      <c r="AD139" s="175">
        <v>277</v>
      </c>
      <c r="AE139" s="146">
        <f>AD139/AC139</f>
        <v>1.0613026819923372</v>
      </c>
      <c r="AF139" s="141">
        <f>AD139/61-1</f>
        <v>3.5409836065573774</v>
      </c>
      <c r="AG139" s="140">
        <v>306</v>
      </c>
      <c r="AH139" s="175">
        <v>283</v>
      </c>
      <c r="AI139" s="146">
        <f>+AH139/AG139</f>
        <v>0.92483660130718959</v>
      </c>
      <c r="AJ139" s="141">
        <f>AH139/78-1</f>
        <v>2.6282051282051282</v>
      </c>
      <c r="AK139" s="140">
        <v>347</v>
      </c>
      <c r="AL139" s="175">
        <v>270</v>
      </c>
      <c r="AM139" s="146">
        <f>+AL139/AK139</f>
        <v>0.77809798270893371</v>
      </c>
      <c r="AN139" s="141">
        <f>AL139/104-1</f>
        <v>1.5961538461538463</v>
      </c>
      <c r="AP139" s="140">
        <v>388</v>
      </c>
      <c r="AQ139" s="175">
        <v>298</v>
      </c>
      <c r="AR139" s="13">
        <f>AQ139/AP139</f>
        <v>0.76804123711340211</v>
      </c>
      <c r="AS139" s="141">
        <f>AQ139/143-1</f>
        <v>1.0839160839160837</v>
      </c>
      <c r="AT139" s="140">
        <v>427</v>
      </c>
      <c r="AU139" s="175">
        <v>312</v>
      </c>
      <c r="AV139" s="146">
        <f>+AU139/AT139</f>
        <v>0.73067915690866514</v>
      </c>
      <c r="AW139" s="151">
        <f>AU139/212-1</f>
        <v>0.47169811320754707</v>
      </c>
      <c r="AX139" s="142">
        <v>459</v>
      </c>
      <c r="AY139" s="142">
        <v>89</v>
      </c>
      <c r="AZ139" s="80">
        <f t="shared" si="86"/>
        <v>0.19389978213507625</v>
      </c>
      <c r="BA139" s="239" t="str">
        <f t="shared" si="97"/>
        <v>revisar</v>
      </c>
      <c r="BD139" s="9" t="str">
        <f t="shared" si="77"/>
        <v>Cumplimiento de nuevos afiliados región</v>
      </c>
      <c r="BE139" s="9" t="str">
        <f t="shared" si="78"/>
        <v>Incumple</v>
      </c>
      <c r="BF139" t="s">
        <v>95</v>
      </c>
      <c r="BG139" s="81">
        <f t="shared" si="79"/>
        <v>0.19389978213507625</v>
      </c>
    </row>
    <row r="140" spans="1:59" ht="14.25" customHeight="1" x14ac:dyDescent="0.25">
      <c r="A140" s="662"/>
      <c r="B140" s="124" t="s">
        <v>78</v>
      </c>
      <c r="C140" s="94">
        <v>108</v>
      </c>
      <c r="D140" s="171">
        <v>0</v>
      </c>
      <c r="E140" s="84">
        <f>+D140/C140</f>
        <v>0</v>
      </c>
      <c r="F140" s="93">
        <v>0</v>
      </c>
      <c r="G140" s="94">
        <v>92</v>
      </c>
      <c r="H140" s="94">
        <v>17</v>
      </c>
      <c r="I140" s="84">
        <f t="shared" ref="I140:I141" si="98">+H140/G140</f>
        <v>0.18478260869565216</v>
      </c>
      <c r="J140" s="93">
        <v>-0.75714285714285712</v>
      </c>
      <c r="K140" s="94">
        <v>150</v>
      </c>
      <c r="L140" s="94">
        <v>55</v>
      </c>
      <c r="M140" s="84">
        <f>+L140/K140</f>
        <v>0.36666666666666664</v>
      </c>
      <c r="N140" s="93">
        <v>0</v>
      </c>
      <c r="O140" s="27"/>
      <c r="AX140" s="144">
        <v>4.0234986945169711</v>
      </c>
      <c r="AY140" s="144">
        <v>1.5169712793733683</v>
      </c>
      <c r="AZ140" s="80">
        <f t="shared" si="86"/>
        <v>0.37702790395846858</v>
      </c>
      <c r="BA140" s="239" t="str">
        <f t="shared" si="97"/>
        <v>revisar</v>
      </c>
      <c r="BD140" s="9" t="str">
        <f t="shared" si="77"/>
        <v xml:space="preserve">Cumplimiento cobertura región </v>
      </c>
      <c r="BE140" s="9" t="str">
        <f t="shared" si="78"/>
        <v>Incumple</v>
      </c>
      <c r="BF140" t="s">
        <v>95</v>
      </c>
      <c r="BG140" s="81">
        <f t="shared" si="79"/>
        <v>0.37702790395846858</v>
      </c>
    </row>
    <row r="141" spans="1:59" ht="14.25" customHeight="1" thickBot="1" x14ac:dyDescent="0.3">
      <c r="A141" s="663"/>
      <c r="B141" s="124" t="s">
        <v>79</v>
      </c>
      <c r="C141" s="94">
        <v>30</v>
      </c>
      <c r="D141" s="165">
        <v>0</v>
      </c>
      <c r="E141" s="182">
        <f>+D141/C141</f>
        <v>0</v>
      </c>
      <c r="F141" s="74">
        <v>0</v>
      </c>
      <c r="G141" s="94">
        <v>37</v>
      </c>
      <c r="H141" s="94">
        <v>17</v>
      </c>
      <c r="I141" s="182">
        <f t="shared" si="98"/>
        <v>0.45945945945945948</v>
      </c>
      <c r="J141" s="74">
        <v>0</v>
      </c>
      <c r="K141" s="94">
        <v>43</v>
      </c>
      <c r="L141" s="94">
        <v>17</v>
      </c>
      <c r="M141" s="182">
        <f>+L141/K141</f>
        <v>0.39534883720930231</v>
      </c>
      <c r="N141" s="74">
        <v>0</v>
      </c>
      <c r="O141" s="27"/>
      <c r="AX141" s="183">
        <v>0.23336798336798339</v>
      </c>
      <c r="AY141" s="183">
        <v>0.31639004149377592</v>
      </c>
      <c r="AZ141" s="80">
        <f t="shared" si="86"/>
        <v>1.3557559907216588</v>
      </c>
      <c r="BA141" s="239" t="str">
        <f t="shared" si="97"/>
        <v>cumple</v>
      </c>
      <c r="BD141" s="9" t="str">
        <f t="shared" si="77"/>
        <v xml:space="preserve">Penetración de Uso en Población A y B región </v>
      </c>
      <c r="BE141" s="9" t="str">
        <f t="shared" si="78"/>
        <v>Sobresaliente</v>
      </c>
      <c r="BF141" t="s">
        <v>95</v>
      </c>
      <c r="BG141" s="81">
        <f t="shared" si="79"/>
        <v>1.3557559907216588</v>
      </c>
    </row>
    <row r="142" spans="1:59" x14ac:dyDescent="0.25">
      <c r="B142" s="184"/>
      <c r="C142" s="18"/>
      <c r="D142" s="18"/>
      <c r="E142" s="18"/>
      <c r="F142" s="18"/>
      <c r="G142" s="18"/>
      <c r="H142" s="18"/>
      <c r="I142" s="18"/>
      <c r="J142" s="18"/>
      <c r="K142" s="18"/>
      <c r="L142" s="18"/>
      <c r="M142" s="18"/>
      <c r="N142" s="18"/>
      <c r="O142" s="27"/>
    </row>
    <row r="143" spans="1:59" x14ac:dyDescent="0.25">
      <c r="B143"/>
      <c r="C143" s="173"/>
      <c r="D143" s="173"/>
      <c r="E143" s="173"/>
      <c r="F143" s="173"/>
      <c r="G143" s="173"/>
      <c r="H143" s="173"/>
      <c r="I143" s="173"/>
      <c r="J143" s="173"/>
      <c r="K143" s="173"/>
      <c r="L143" s="173"/>
      <c r="M143" s="173"/>
      <c r="N143" s="27"/>
      <c r="O143" s="27"/>
    </row>
    <row r="144" spans="1:59" s="1" customFormat="1" x14ac:dyDescent="0.25">
      <c r="B144" s="1" t="s">
        <v>62</v>
      </c>
      <c r="C144" s="185">
        <f>+C7+C20+C33+C45+C58+C71+C84+C96+C108+C120+C132</f>
        <v>256</v>
      </c>
      <c r="D144" s="185">
        <f>+D7+D20+D33+D45+D58+D71+D84+D96+D108+D120+D132</f>
        <v>282</v>
      </c>
      <c r="E144" s="173"/>
      <c r="F144" s="173"/>
      <c r="G144" s="185">
        <f>+G7+G20+G33+G45+G58+G71+G84+G96+G108+G120+G132</f>
        <v>541</v>
      </c>
      <c r="H144" s="185">
        <f>+H7+H20+H33+H45+H58+H71+H84+H96+H108+H120+H132</f>
        <v>678</v>
      </c>
      <c r="I144" s="173"/>
      <c r="J144" s="173"/>
      <c r="K144" s="185">
        <f>+K7+K20+K33+K45+K58+K71+K84+K96+K108+K120+K132</f>
        <v>782</v>
      </c>
      <c r="L144" s="186">
        <f>+L7+L20+L33+L45+L58+L71+L84+L96+L108+L120+L132</f>
        <v>1083</v>
      </c>
      <c r="M144" s="173"/>
      <c r="N144" s="173"/>
      <c r="O144" s="173"/>
      <c r="P144" s="185">
        <f>+P7+P20+P33+P45+P58+P71+P84+P96+P108+P120+P132</f>
        <v>1042</v>
      </c>
      <c r="Q144" s="185">
        <f>+Q7+Q20+Q33+Q45+Q58+Q71+Q84+Q96+Q108+Q120+Q132</f>
        <v>1426</v>
      </c>
      <c r="T144" s="185">
        <f>+T7+T20+T33+T45+T58+T71+T84+T96+T108+T120+T132</f>
        <v>1279</v>
      </c>
      <c r="U144" s="185">
        <f>+U7+U20+U33+U45+U58+U71+U84+U96+U108+U120+U132</f>
        <v>1767</v>
      </c>
      <c r="X144" s="185">
        <f>+X7+X20+X33+X45+X58+X71+X84+X96+X108+X120+X132</f>
        <v>1483</v>
      </c>
      <c r="Y144" s="185">
        <f>+Y7+Y20+Y33+Y45+Y58+Y71+Y84+Y96+Y108+Y120+Y132</f>
        <v>2037</v>
      </c>
      <c r="AC144" s="185">
        <f>+AC7+AC20+AC33+AC45+AC58+AC71+AC84+AC96+AC108+AC120+AC132</f>
        <v>1709</v>
      </c>
      <c r="AD144" s="185">
        <f>+AD7+AD20+AD33+AD45+AD58+AD71+AD84+AD96+AD108+AD120+AD132</f>
        <v>2353</v>
      </c>
      <c r="AG144" s="185">
        <f>+AG7+AG20+AG33+AG45+AG58+AG71+AG84+AG96+AG108+AG120+AG132</f>
        <v>1998</v>
      </c>
      <c r="AH144" s="185">
        <f>+AH7+AH20+AH33+AH45+AH58+AH71+AH84+AH96+AH108+AH120+AH132</f>
        <v>2731</v>
      </c>
      <c r="AI144" s="186">
        <f>+AH144-AH154</f>
        <v>0</v>
      </c>
      <c r="AK144" s="185">
        <f>+AK7+AK20+AK33+AK45+AK58+AK71+AK84+AK96+AK108+AK120+AK132</f>
        <v>2267</v>
      </c>
      <c r="AL144" s="185">
        <f>+AL7+AL20+AL33+AL45+AL58+AL71+AL84+AL96+AL108+AL120+AL132</f>
        <v>3083</v>
      </c>
      <c r="AP144" s="185">
        <f>+AP7+AP20+AP33+AP45+AP58+AP71+AP84+AP96+AP108+AP120+AP132</f>
        <v>2538</v>
      </c>
      <c r="AQ144" s="185">
        <f>+AQ7+AQ20+AQ33+AQ45+AQ58+AQ71+AQ84+AQ96+AQ108+AQ120+AQ132</f>
        <v>3393</v>
      </c>
      <c r="AT144" s="185">
        <f>+AT7+AT20+AT33+AT45+AT58+AT71+AT84+AT96+AT108+AT120+AT132</f>
        <v>2792</v>
      </c>
      <c r="AU144" s="185">
        <f>+AU7+AU20+AU33+AU45+AU58+AU71+AU84+AU96+AU108+AU120+AU132</f>
        <v>3751</v>
      </c>
      <c r="AV144" s="186">
        <f>+AU144-AU154</f>
        <v>-3</v>
      </c>
      <c r="AX144" s="185">
        <f>+AX7+AX20+AX33+AX45+AX58+AX71+AX84+AX96+AX108+AX120+AX132</f>
        <v>2999</v>
      </c>
      <c r="AY144" s="185">
        <f>+AY7+AY20+AY33+AY45+AY58+AY71+AY84+AY96+AY108+AY120+AY132</f>
        <v>3981</v>
      </c>
      <c r="BA144" s="239"/>
    </row>
    <row r="145" spans="2:53" s="1" customFormat="1" x14ac:dyDescent="0.25">
      <c r="C145" s="186"/>
      <c r="D145" s="186"/>
      <c r="E145" s="173"/>
      <c r="F145" s="173"/>
      <c r="G145" s="186"/>
      <c r="H145" s="186"/>
      <c r="I145" s="173"/>
      <c r="J145" s="173"/>
      <c r="K145" s="186"/>
      <c r="L145" s="186"/>
      <c r="M145" s="173"/>
      <c r="N145" s="173"/>
      <c r="O145" s="173"/>
      <c r="P145" s="186"/>
      <c r="Q145" s="186"/>
      <c r="T145" s="186"/>
      <c r="U145" s="186"/>
      <c r="X145" s="186"/>
      <c r="Y145" s="186"/>
      <c r="AC145" s="186"/>
      <c r="AD145" s="186"/>
      <c r="AG145" s="186"/>
      <c r="AH145" s="186"/>
      <c r="AK145" s="186"/>
      <c r="AL145" s="186"/>
      <c r="AP145" s="186"/>
      <c r="AQ145" s="186"/>
      <c r="AT145" s="186"/>
      <c r="AU145" s="186"/>
      <c r="AX145" s="186"/>
      <c r="AY145" s="186"/>
      <c r="BA145" s="239"/>
    </row>
    <row r="146" spans="2:53" s="1" customFormat="1" x14ac:dyDescent="0.25">
      <c r="B146" s="1" t="s">
        <v>65</v>
      </c>
      <c r="C146" s="186">
        <f t="shared" ref="C146:D146" si="99">+C9+C22+C35+C47+C60+C73+C86+C98+C110+C122+C134</f>
        <v>31494773249.697182</v>
      </c>
      <c r="D146" s="186">
        <f t="shared" si="99"/>
        <v>32602240843</v>
      </c>
      <c r="E146" s="173"/>
      <c r="F146" s="173"/>
      <c r="G146" s="186">
        <f>+G9+G22+G35+G47+G60+G73+G86+G98+G110+G122+G134</f>
        <v>59903650427.488007</v>
      </c>
      <c r="H146" s="186">
        <f t="shared" ref="H146" si="100">+H9+H22+H35+H47+H60+H73+H86+H98+H110+H122+H134</f>
        <v>65032723591</v>
      </c>
      <c r="I146" s="173"/>
      <c r="J146" s="173"/>
      <c r="K146" s="186">
        <f t="shared" ref="K146:L146" si="101">+K9+K22+K35+K47+K60+K73+K86+K98+K110+K122+K134</f>
        <v>89027706822.34491</v>
      </c>
      <c r="L146" s="186">
        <f t="shared" si="101"/>
        <v>96262570244</v>
      </c>
      <c r="M146" s="173"/>
      <c r="N146" s="173"/>
      <c r="O146" s="173"/>
      <c r="P146" s="186">
        <f t="shared" ref="P146:Q146" si="102">+P9+P22+P35+P47+P60+P73+P86+P98+P110+P122+P134</f>
        <v>119182603495.26752</v>
      </c>
      <c r="Q146" s="186">
        <f t="shared" si="102"/>
        <v>128356286766</v>
      </c>
      <c r="T146" s="186">
        <f t="shared" ref="T146:U146" si="103">+T9+T22+T35+T47+T60+T73+T86+T98+T110+T122+T134</f>
        <v>149365300204.97821</v>
      </c>
      <c r="U146" s="186">
        <f t="shared" si="103"/>
        <v>159661111239</v>
      </c>
      <c r="X146" s="186">
        <f t="shared" ref="X146:Y146" si="104">+X9+X22+X35+X47+X60+X73+X86+X98+X110+X122+X134</f>
        <v>179697280674.83731</v>
      </c>
      <c r="Y146" s="186">
        <f t="shared" si="104"/>
        <v>190919174898</v>
      </c>
      <c r="AC146" s="186">
        <f t="shared" ref="AC146:AD146" si="105">+AC9+AC22+AC35+AC47+AC60+AC73+AC86+AC98+AC110+AC122+AC134</f>
        <v>211408591563.02853</v>
      </c>
      <c r="AD146" s="186">
        <f t="shared" si="105"/>
        <v>223819818669</v>
      </c>
      <c r="AG146" s="186">
        <f t="shared" ref="AG146:AH146" si="106">+AG9+AG22+AG35+AG47+AG60+AG73+AG86+AG98+AG110+AG122+AG134</f>
        <v>243789489692.95813</v>
      </c>
      <c r="AH146" s="186">
        <f t="shared" si="106"/>
        <v>257656626966</v>
      </c>
      <c r="AK146" s="186">
        <f>+AK9+AK22+AK35+AK47+AK60+AK73+AK86+AK98+AK110+AK122+AK134</f>
        <v>275287710435.33612</v>
      </c>
      <c r="AL146" s="186">
        <f t="shared" ref="AL146" si="107">+AL9+AL22+AL35+AL47+AL60+AL73+AL86+AL98+AL110+AL122+AL134</f>
        <v>290295736083</v>
      </c>
      <c r="AP146" s="186">
        <f t="shared" ref="AP146:AQ146" si="108">+AP9+AP22+AP35+AP47+AP60+AP73+AP86+AP98+AP110+AP122+AP134</f>
        <v>306778591909.70618</v>
      </c>
      <c r="AQ146" s="186">
        <f t="shared" si="108"/>
        <v>324606100537</v>
      </c>
      <c r="AT146" s="186">
        <f>+AT9+AT22+AT35+AT47+AT60+AT73+AT86+AT98+AT110+AT122+AT134</f>
        <v>339084232519.54541</v>
      </c>
      <c r="AU146" s="186">
        <f t="shared" ref="AU146" si="109">+AU9+AU22+AU35+AU47+AU60+AU73+AU86+AU98+AU110+AU122+AU134</f>
        <v>358512955803.99994</v>
      </c>
      <c r="AX146" s="186">
        <f>+AX9+AX22+AX35+AX47+AX60+AX73+AX86+AX98+AX110+AX122+AX134</f>
        <v>372132391468.56409</v>
      </c>
      <c r="AY146" s="186">
        <f t="shared" ref="AY146" si="110">+AY9+AY22+AY35+AY47+AY60+AY73+AY86+AY98+AY110+AY122+AY134</f>
        <v>385527923879</v>
      </c>
      <c r="BA146" s="239"/>
    </row>
    <row r="147" spans="2:53" s="1" customFormat="1" x14ac:dyDescent="0.25">
      <c r="C147" s="186"/>
      <c r="D147" s="186"/>
      <c r="E147" s="173"/>
      <c r="F147" s="173"/>
      <c r="G147" s="186"/>
      <c r="H147" s="186"/>
      <c r="I147" s="173"/>
      <c r="J147" s="173"/>
      <c r="K147" s="186"/>
      <c r="L147" s="186"/>
      <c r="M147" s="173"/>
      <c r="N147" s="173"/>
      <c r="O147" s="173"/>
      <c r="P147" s="186"/>
      <c r="Q147" s="186"/>
      <c r="T147" s="186"/>
      <c r="U147" s="186"/>
      <c r="X147" s="186"/>
      <c r="Y147" s="186"/>
      <c r="AC147" s="186"/>
      <c r="AD147" s="186"/>
      <c r="AG147" s="186"/>
      <c r="AH147" s="186"/>
      <c r="AK147" s="186"/>
      <c r="AL147" s="186"/>
      <c r="AP147" s="186"/>
      <c r="AQ147" s="186"/>
      <c r="AT147" s="186"/>
      <c r="AU147" s="186"/>
      <c r="AX147" s="186"/>
      <c r="AY147" s="186"/>
      <c r="BA147" s="239"/>
    </row>
    <row r="148" spans="2:53" s="1" customFormat="1" x14ac:dyDescent="0.25">
      <c r="B148" s="1" t="s">
        <v>67</v>
      </c>
      <c r="C148" s="186">
        <f t="shared" ref="C148:D149" si="111">+C11+C24+C37+C49+C62+C75+C88+C100+C112+C124+C136</f>
        <v>91988758.247442961</v>
      </c>
      <c r="D148" s="186">
        <f t="shared" si="111"/>
        <v>109393900</v>
      </c>
      <c r="E148" s="173"/>
      <c r="F148" s="173"/>
      <c r="G148" s="186">
        <f t="shared" ref="G148:H149" si="112">+G11+G24+G37+G49+G62+G75+G88+G100+G112+G124+G136</f>
        <v>286695497.98107618</v>
      </c>
      <c r="H148" s="186">
        <f t="shared" si="112"/>
        <v>388639900</v>
      </c>
      <c r="I148" s="173"/>
      <c r="J148" s="173"/>
      <c r="K148" s="186">
        <f t="shared" ref="K148:L149" si="113">+K11+K24+K37+K49+K62+K75+K88+K100+K112+K124+K136</f>
        <v>568311042.87352777</v>
      </c>
      <c r="L148" s="186">
        <f t="shared" si="113"/>
        <v>822931400</v>
      </c>
      <c r="M148" s="173"/>
      <c r="N148" s="173"/>
      <c r="O148" s="173"/>
      <c r="P148" s="186">
        <f t="shared" ref="P148:Q149" si="114">+P11+P24+P37+P49+P62+P75+P88+P100+P112+P124+P136</f>
        <v>943544582.20392418</v>
      </c>
      <c r="Q148" s="186">
        <f t="shared" si="114"/>
        <v>1337762700</v>
      </c>
      <c r="T148" s="186">
        <f t="shared" ref="T148:U149" si="115">+T11+T24+T37+T49+T62+T75+T88+T100+T112+T124+T136</f>
        <v>1404009012.1358781</v>
      </c>
      <c r="U148" s="186">
        <f t="shared" si="115"/>
        <v>2049856500</v>
      </c>
      <c r="X148" s="186">
        <f t="shared" ref="X148:Y149" si="116">+X11+X24+X37+X49+X62+X75+X88+X100+X112+X124+X136</f>
        <v>1938051862.3268137</v>
      </c>
      <c r="Y148" s="186">
        <f t="shared" si="116"/>
        <v>2921802500</v>
      </c>
      <c r="AC148" s="186">
        <f t="shared" ref="AC148:AD149" si="117">+AC11+AC24+AC37+AC49+AC62+AC75+AC88+AC100+AC112+AC124+AC136</f>
        <v>2553485085.2126951</v>
      </c>
      <c r="AD148" s="186">
        <f t="shared" si="117"/>
        <v>3995423100</v>
      </c>
      <c r="AG148" s="186">
        <f>+AG11+AG24+AG37+AG49+AG62+AG75+AG88+AG100+AG112+AG124+AG136</f>
        <v>3272990320.4895558</v>
      </c>
      <c r="AH148" s="186">
        <f t="shared" ref="AH148" si="118">+AH11+AH24+AH37+AH49+AH62+AH75+AH88+AH100+AH112+AH124+AH136</f>
        <v>5078276800</v>
      </c>
      <c r="AK148" s="186">
        <f>+AK11+AK24+AK37+AK49+AK62+AK75+AK88+AK100+AK112+AK124+AK136</f>
        <v>4089184386.9554</v>
      </c>
      <c r="AL148" s="186">
        <f t="shared" ref="AL148" si="119">+AL11+AL24+AL37+AL49+AL62+AL75+AL88+AL100+AL112+AL124+AL136</f>
        <v>6413732000</v>
      </c>
      <c r="AP148" s="186">
        <f t="shared" ref="AP148:AQ149" si="120">+AP11+AP24+AP37+AP49+AP62+AP75+AP88+AP100+AP112+AP124+AP136</f>
        <v>5003071071.3346443</v>
      </c>
      <c r="AQ148" s="186">
        <f t="shared" si="120"/>
        <v>8222419600</v>
      </c>
      <c r="AT148" s="186">
        <f>+AT11+AT24+AT37+AT49+AT62+AT75+AT88+AT100+AT112+AT124+AT136</f>
        <v>6008111749.802886</v>
      </c>
      <c r="AU148" s="186">
        <f t="shared" ref="AU148" si="121">+AU11+AU24+AU37+AU49+AU62+AU75+AU88+AU100+AU112+AU124+AU136</f>
        <v>10135253200</v>
      </c>
      <c r="AX148" s="186">
        <f>+AX11+AX24+AX37+AX49+AX62+AX75+AX88+AX100+AX112+AX124+AX136</f>
        <v>7088163535.9611187</v>
      </c>
      <c r="AY148" s="186">
        <f t="shared" ref="AY148" si="122">+AY11+AY24+AY37+AY49+AY62+AY75+AY88+AY100+AY112+AY124+AY136</f>
        <v>12032769700</v>
      </c>
      <c r="BA148" s="239"/>
    </row>
    <row r="149" spans="2:53" s="1" customFormat="1" x14ac:dyDescent="0.25">
      <c r="B149" s="1" t="s">
        <v>68</v>
      </c>
      <c r="C149" s="186">
        <f t="shared" si="111"/>
        <v>384696.84814188129</v>
      </c>
      <c r="D149" s="186">
        <f t="shared" si="111"/>
        <v>371997</v>
      </c>
      <c r="E149" s="173"/>
      <c r="F149" s="173"/>
      <c r="G149" s="186">
        <f t="shared" si="112"/>
        <v>387426.04874359019</v>
      </c>
      <c r="H149" s="186">
        <f t="shared" si="112"/>
        <v>381719</v>
      </c>
      <c r="I149" s="173"/>
      <c r="J149" s="173"/>
      <c r="K149" s="186">
        <f t="shared" si="113"/>
        <v>390701.88921740995</v>
      </c>
      <c r="L149" s="186">
        <f t="shared" si="113"/>
        <v>389195</v>
      </c>
      <c r="M149" s="173"/>
      <c r="N149" s="173"/>
      <c r="O149" s="173"/>
      <c r="P149" s="186">
        <f t="shared" si="114"/>
        <v>393294.32210821414</v>
      </c>
      <c r="Q149" s="186">
        <f t="shared" si="114"/>
        <v>391195</v>
      </c>
      <c r="T149" s="186">
        <f t="shared" si="115"/>
        <v>395889.05860944034</v>
      </c>
      <c r="U149" s="186">
        <f t="shared" si="115"/>
        <v>393860</v>
      </c>
      <c r="X149" s="186">
        <f t="shared" si="116"/>
        <v>398615.64677634789</v>
      </c>
      <c r="Y149" s="186">
        <f t="shared" si="116"/>
        <v>397307</v>
      </c>
      <c r="AC149" s="186">
        <f t="shared" si="117"/>
        <v>400256.18578406173</v>
      </c>
      <c r="AD149" s="186">
        <f t="shared" si="117"/>
        <v>401478</v>
      </c>
      <c r="AG149" s="186">
        <f t="shared" ref="AG149:AH149" si="123">+AG12+AG25+AG38+AG50+AG63+AG76+AG89+AG101+AG113+AG125+AG137</f>
        <v>402985.54664446606</v>
      </c>
      <c r="AH149" s="186">
        <f t="shared" si="123"/>
        <v>405006</v>
      </c>
      <c r="AK149" s="186">
        <f t="shared" ref="AK149:AL149" si="124">+AK12+AK25+AK38+AK50+AK63+AK76+AK89+AK101+AK113+AK125+AK137</f>
        <v>405578.84855052119</v>
      </c>
      <c r="AL149" s="186">
        <f t="shared" si="124"/>
        <v>410340</v>
      </c>
      <c r="AP149" s="186">
        <f t="shared" si="120"/>
        <v>407899.21683035069</v>
      </c>
      <c r="AQ149" s="186">
        <f t="shared" si="120"/>
        <v>411345</v>
      </c>
      <c r="AT149" s="186">
        <f t="shared" ref="AT149:AU149" si="125">+AT12+AT25+AT38+AT50+AT63+AT76+AT89+AT101+AT113+AT125+AT137</f>
        <v>410218.83073439758</v>
      </c>
      <c r="AU149" s="186">
        <f t="shared" si="125"/>
        <v>419861</v>
      </c>
      <c r="AX149" s="186">
        <f t="shared" ref="AX149:AY149" si="126">+AX12+AX25+AX38+AX50+AX63+AX76+AX89+AX101+AX113+AX125+AX137</f>
        <v>409264.43906817958</v>
      </c>
      <c r="AY149" s="186">
        <f t="shared" si="126"/>
        <v>413356</v>
      </c>
      <c r="BA149" s="239"/>
    </row>
    <row r="150" spans="2:53" s="1" customFormat="1" x14ac:dyDescent="0.25">
      <c r="C150" s="186"/>
      <c r="D150" s="186"/>
      <c r="E150" s="173"/>
      <c r="F150" s="173"/>
      <c r="G150" s="186"/>
      <c r="H150" s="186"/>
      <c r="I150" s="173"/>
      <c r="J150" s="173"/>
      <c r="K150" s="186"/>
      <c r="L150" s="186"/>
      <c r="M150" s="173"/>
      <c r="N150" s="173"/>
      <c r="O150" s="173"/>
      <c r="P150" s="186"/>
      <c r="Q150" s="186"/>
      <c r="T150" s="186"/>
      <c r="U150" s="186"/>
      <c r="X150" s="186"/>
      <c r="Y150" s="186"/>
      <c r="AC150" s="186"/>
      <c r="AD150" s="186"/>
      <c r="AG150" s="186"/>
      <c r="AH150" s="186"/>
      <c r="AK150" s="186"/>
      <c r="AL150" s="186"/>
      <c r="AP150" s="186"/>
      <c r="AQ150" s="186"/>
      <c r="AT150" s="186"/>
      <c r="AU150" s="186"/>
      <c r="AX150" s="186"/>
      <c r="AY150" s="186"/>
      <c r="BA150" s="239"/>
    </row>
    <row r="151" spans="2:53" s="1" customFormat="1" x14ac:dyDescent="0.25">
      <c r="B151" s="187" t="s">
        <v>70</v>
      </c>
      <c r="C151" s="186">
        <f t="shared" ref="C151:D151" si="127">+C14+C27+C40+C52+C65+C78+C91+C103+C115+C127+C139</f>
        <v>1984</v>
      </c>
      <c r="D151" s="186">
        <f t="shared" si="127"/>
        <v>3065</v>
      </c>
      <c r="E151" s="173"/>
      <c r="F151" s="173"/>
      <c r="G151" s="186">
        <f t="shared" ref="G151:H151" si="128">+G14+G27+G40+G52+G65+G78+G91+G103+G115+G127+G139</f>
        <v>4199</v>
      </c>
      <c r="H151" s="186">
        <f t="shared" si="128"/>
        <v>6557</v>
      </c>
      <c r="I151" s="173"/>
      <c r="J151" s="173"/>
      <c r="K151" s="186">
        <f t="shared" ref="K151:L151" si="129">+K14+K27+K40+K52+K65+K78+K91+K103+K115+K127+K139</f>
        <v>6075</v>
      </c>
      <c r="L151" s="186">
        <f t="shared" si="129"/>
        <v>8168</v>
      </c>
      <c r="M151" s="173"/>
      <c r="N151" s="173"/>
      <c r="O151" s="173"/>
      <c r="P151" s="186">
        <f t="shared" ref="P151:Q151" si="130">+P14+P27+P40+P52+P65+P78+P91+P103+P115+P127+P139</f>
        <v>8093</v>
      </c>
      <c r="Q151" s="186">
        <f t="shared" si="130"/>
        <v>8943</v>
      </c>
      <c r="T151" s="186">
        <f t="shared" ref="T151:U151" si="131">+T14+T27+T40+T52+T65+T78+T91+T103+T115+T127+T139</f>
        <v>9931</v>
      </c>
      <c r="U151" s="186">
        <f t="shared" si="131"/>
        <v>12533</v>
      </c>
      <c r="X151" s="186">
        <f t="shared" ref="X151:Y151" si="132">+X14+X27+X40+X52+X65+X78+X91+X103+X115+X127+X139</f>
        <v>11518.008551639616</v>
      </c>
      <c r="Y151" s="186">
        <f t="shared" si="132"/>
        <v>14197</v>
      </c>
      <c r="AC151" s="186">
        <f t="shared" ref="AC151:AD151" si="133">+AC14+AC27+AC40+AC52+AC65+AC78+AC91+AC103+AC115+AC127+AC139</f>
        <v>13271.565478346931</v>
      </c>
      <c r="AD151" s="186">
        <f t="shared" si="133"/>
        <v>16443</v>
      </c>
      <c r="AG151" s="186">
        <f t="shared" ref="AG151:AH151" si="134">+AG14+AG27+AG40+AG52+AG65+AG78+AG91+AG103+AG115+AG127+AG139</f>
        <v>15520.063133142394</v>
      </c>
      <c r="AH151" s="186">
        <f t="shared" si="134"/>
        <v>18850</v>
      </c>
      <c r="AK151" s="186">
        <f t="shared" ref="AK151:AL151" si="135">+AK14+AK27+AK40+AK52+AK65+AK78+AK91+AK103+AK115+AK127+AK139</f>
        <v>17603.494688913197</v>
      </c>
      <c r="AL151" s="186">
        <f t="shared" si="135"/>
        <v>23149</v>
      </c>
      <c r="AP151" s="186">
        <f>+AP14+AP27+AP40+AP52+AP65+AP78+AP91+AP103+AP115+AP127+AP139</f>
        <v>19709.778751046335</v>
      </c>
      <c r="AQ151" s="186">
        <f t="shared" ref="AQ151" si="136">+AQ14+AQ27+AQ40+AQ52+AQ65+AQ78+AQ91+AQ103+AQ115+AQ127+AQ139</f>
        <v>24684</v>
      </c>
      <c r="AT151" s="186">
        <f t="shared" ref="AT151:AU151" si="137">+AT14+AT27+AT40+AT52+AT65+AT78+AT91+AT103+AT115+AT127+AT139</f>
        <v>21677</v>
      </c>
      <c r="AU151" s="186">
        <f t="shared" si="137"/>
        <v>27636</v>
      </c>
      <c r="AX151" s="186">
        <f t="shared" ref="AX151:AY151" si="138">+AX14+AX27+AX40+AX52+AX65+AX78+AX91+AX103+AX115+AX127+AX139</f>
        <v>23294</v>
      </c>
      <c r="AY151" s="186">
        <f t="shared" si="138"/>
        <v>26040</v>
      </c>
      <c r="BA151" s="239"/>
    </row>
    <row r="152" spans="2:53" s="1" customFormat="1" ht="15" customHeight="1" x14ac:dyDescent="0.25">
      <c r="C152" s="186"/>
      <c r="D152" s="186"/>
      <c r="E152" s="173"/>
      <c r="F152" s="173"/>
      <c r="G152" s="186"/>
      <c r="H152" s="186"/>
      <c r="I152" s="173"/>
      <c r="J152" s="173"/>
      <c r="K152" s="186"/>
      <c r="L152" s="186"/>
      <c r="M152" s="173"/>
      <c r="N152" s="173"/>
      <c r="O152" s="173"/>
      <c r="P152" s="186"/>
      <c r="Q152" s="186"/>
      <c r="T152" s="186"/>
      <c r="U152" s="186"/>
      <c r="X152" s="186"/>
      <c r="Y152" s="186"/>
      <c r="AC152" s="186"/>
      <c r="AD152" s="186"/>
      <c r="AG152" s="186"/>
      <c r="AH152" s="186"/>
      <c r="AK152" s="186"/>
      <c r="AL152" s="186"/>
      <c r="AP152" s="186"/>
      <c r="AQ152" s="186"/>
      <c r="AT152" s="186"/>
      <c r="AU152" s="186"/>
      <c r="AX152" s="186"/>
      <c r="AY152" s="186"/>
      <c r="BA152" s="239"/>
    </row>
    <row r="153" spans="2:53" s="1" customFormat="1" x14ac:dyDescent="0.25">
      <c r="C153" s="173"/>
      <c r="D153" s="173"/>
      <c r="E153" s="173"/>
      <c r="F153" s="173"/>
      <c r="G153" s="173"/>
      <c r="H153" s="173"/>
      <c r="I153" s="173"/>
      <c r="J153" s="173"/>
      <c r="K153" s="173"/>
      <c r="L153" s="173"/>
      <c r="M153" s="173"/>
      <c r="N153" s="173"/>
      <c r="O153" s="173"/>
      <c r="BA153" s="239"/>
    </row>
    <row r="154" spans="2:53" s="1" customFormat="1" x14ac:dyDescent="0.25">
      <c r="B154" s="188" t="s">
        <v>96</v>
      </c>
      <c r="C154" s="189">
        <v>256</v>
      </c>
      <c r="D154" s="189">
        <v>282</v>
      </c>
      <c r="E154" s="190"/>
      <c r="F154" s="191"/>
      <c r="G154" s="189">
        <v>541</v>
      </c>
      <c r="H154" s="189">
        <v>678</v>
      </c>
      <c r="I154" s="190"/>
      <c r="J154" s="95"/>
      <c r="K154" s="189">
        <v>782</v>
      </c>
      <c r="L154" s="133">
        <v>1083</v>
      </c>
      <c r="M154" s="190"/>
      <c r="N154" s="101"/>
      <c r="O154" s="192"/>
      <c r="P154" s="193">
        <v>1042</v>
      </c>
      <c r="Q154" s="193">
        <v>1426</v>
      </c>
      <c r="R154" s="194"/>
      <c r="S154" s="195"/>
      <c r="T154" s="193">
        <v>1279</v>
      </c>
      <c r="U154" s="193">
        <v>1767</v>
      </c>
      <c r="V154" s="194"/>
      <c r="W154" s="195"/>
      <c r="X154" s="193">
        <v>1483</v>
      </c>
      <c r="Y154" s="193">
        <v>2037</v>
      </c>
      <c r="Z154" s="194"/>
      <c r="AA154" s="196"/>
      <c r="AB154" s="197"/>
      <c r="AC154" s="193">
        <v>1709</v>
      </c>
      <c r="AD154" s="193">
        <v>2353</v>
      </c>
      <c r="AE154" s="198"/>
      <c r="AF154" s="199"/>
      <c r="AG154" s="193">
        <v>1998</v>
      </c>
      <c r="AH154" s="200">
        <v>2731</v>
      </c>
      <c r="AI154" s="201"/>
      <c r="AJ154" s="195"/>
      <c r="AK154" s="193">
        <v>2267</v>
      </c>
      <c r="AL154" s="193">
        <v>3083</v>
      </c>
      <c r="AM154" s="198"/>
      <c r="AN154" s="199"/>
      <c r="AP154" s="193">
        <v>1709</v>
      </c>
      <c r="AQ154" s="193">
        <v>2353</v>
      </c>
      <c r="AR154" s="198"/>
      <c r="AS154" s="199"/>
      <c r="AT154" s="193">
        <v>2791</v>
      </c>
      <c r="AU154" s="200">
        <v>3754</v>
      </c>
      <c r="AV154" s="201"/>
      <c r="AW154" s="195"/>
      <c r="AX154" s="193">
        <v>3000</v>
      </c>
      <c r="AY154" s="193">
        <v>3980</v>
      </c>
      <c r="AZ154" s="198"/>
      <c r="BA154" s="239"/>
    </row>
    <row r="155" spans="2:53" s="1" customFormat="1" x14ac:dyDescent="0.25">
      <c r="B155" s="188"/>
      <c r="C155" s="101"/>
      <c r="D155" s="101"/>
      <c r="E155" s="202"/>
      <c r="F155" s="101"/>
      <c r="G155" s="101"/>
      <c r="H155" s="101"/>
      <c r="I155" s="190"/>
      <c r="J155" s="101"/>
      <c r="K155" s="101"/>
      <c r="L155" s="101"/>
      <c r="M155" s="190"/>
      <c r="N155" s="101"/>
      <c r="O155" s="192"/>
      <c r="P155" s="101"/>
      <c r="Q155" s="101"/>
      <c r="R155" s="190"/>
      <c r="S155" s="101"/>
      <c r="T155" s="101"/>
      <c r="U155" s="101"/>
      <c r="V155" s="190"/>
      <c r="W155" s="101"/>
      <c r="X155" s="101"/>
      <c r="Y155" s="101"/>
      <c r="Z155" s="190"/>
      <c r="AA155" s="101"/>
      <c r="AB155" s="197"/>
      <c r="AC155" s="203"/>
      <c r="AD155" s="203"/>
      <c r="AE155" s="204"/>
      <c r="AF155" s="203"/>
      <c r="AG155" s="101"/>
      <c r="AH155" s="205"/>
      <c r="AI155" s="101"/>
      <c r="AJ155" s="93"/>
      <c r="AK155" s="203">
        <f>AK154/2078-1</f>
        <v>9.0952839268527486E-2</v>
      </c>
      <c r="AL155" s="203">
        <f>AL154/2078-1</f>
        <v>0.48363811357074105</v>
      </c>
      <c r="AM155" s="204"/>
      <c r="AN155" s="203"/>
      <c r="AP155" s="203"/>
      <c r="AQ155" s="203"/>
      <c r="AR155" s="204"/>
      <c r="AS155" s="203"/>
      <c r="AT155" s="101"/>
      <c r="AU155" s="205"/>
      <c r="AV155" s="101"/>
      <c r="AW155" s="93"/>
      <c r="AX155" s="203">
        <v>-0.18189255522225256</v>
      </c>
      <c r="AY155" s="203">
        <v>8.5355876738478331E-2</v>
      </c>
      <c r="AZ155" s="204"/>
      <c r="BA155" s="239"/>
    </row>
    <row r="156" spans="2:53" s="1" customFormat="1" x14ac:dyDescent="0.25">
      <c r="B156" s="188" t="s">
        <v>97</v>
      </c>
      <c r="C156" s="134">
        <v>31494773250</v>
      </c>
      <c r="D156" s="134">
        <v>32602240843</v>
      </c>
      <c r="E156" s="190"/>
      <c r="F156" s="191"/>
      <c r="G156" s="134">
        <v>59903650429</v>
      </c>
      <c r="H156" s="134">
        <v>65032723591</v>
      </c>
      <c r="I156" s="190"/>
      <c r="J156" s="101"/>
      <c r="K156" s="134">
        <v>89027706824</v>
      </c>
      <c r="L156" s="134">
        <v>96262570244</v>
      </c>
      <c r="M156" s="190"/>
      <c r="N156" s="101"/>
      <c r="O156" s="192"/>
      <c r="P156" s="134">
        <v>119182603498</v>
      </c>
      <c r="Q156" s="134">
        <v>128356286767</v>
      </c>
      <c r="R156" s="194"/>
      <c r="S156" s="206"/>
      <c r="T156" s="134">
        <v>149365300206</v>
      </c>
      <c r="U156" s="134">
        <v>159661111239</v>
      </c>
      <c r="V156" s="194"/>
      <c r="W156" s="196"/>
      <c r="X156" s="134">
        <v>179697280676</v>
      </c>
      <c r="Y156" s="134">
        <v>190919174898</v>
      </c>
      <c r="Z156" s="194"/>
      <c r="AA156" s="196"/>
      <c r="AB156" s="197"/>
      <c r="AC156" s="207">
        <v>211408591564</v>
      </c>
      <c r="AD156" s="207">
        <v>223819818669</v>
      </c>
      <c r="AE156" s="198"/>
      <c r="AF156" s="199"/>
      <c r="AG156" s="134">
        <v>243789489694</v>
      </c>
      <c r="AH156" s="208">
        <v>257656626966</v>
      </c>
      <c r="AI156" s="134"/>
      <c r="AJ156" s="195"/>
      <c r="AK156" s="207">
        <v>275287710436</v>
      </c>
      <c r="AL156" s="207">
        <v>290295736084</v>
      </c>
      <c r="AM156" s="198"/>
      <c r="AN156" s="199"/>
      <c r="AP156" s="207">
        <v>306778591910</v>
      </c>
      <c r="AQ156" s="207">
        <v>324606100538</v>
      </c>
      <c r="AR156" s="198"/>
      <c r="AS156" s="199"/>
      <c r="AT156" s="134">
        <v>339084232520</v>
      </c>
      <c r="AU156" s="208">
        <v>358512955805</v>
      </c>
      <c r="AV156" s="134"/>
      <c r="AW156" s="195"/>
      <c r="AX156" s="207">
        <v>372132391469</v>
      </c>
      <c r="AY156" s="207">
        <v>385527923880</v>
      </c>
      <c r="AZ156" s="198"/>
      <c r="BA156" s="239"/>
    </row>
    <row r="157" spans="2:53" s="1" customFormat="1" x14ac:dyDescent="0.25">
      <c r="B157" s="188"/>
      <c r="C157" s="209">
        <f>+C156-C146</f>
        <v>0.30281829833984375</v>
      </c>
      <c r="D157" s="209">
        <f>+D156-D146</f>
        <v>0</v>
      </c>
      <c r="E157" s="190"/>
      <c r="F157" s="101"/>
      <c r="G157" s="209">
        <f>+G156-G146</f>
        <v>1.511993408203125</v>
      </c>
      <c r="H157" s="209">
        <f>+H156-H146</f>
        <v>0</v>
      </c>
      <c r="I157" s="190"/>
      <c r="J157" s="101"/>
      <c r="K157" s="209">
        <f>+K156-K146</f>
        <v>1.65509033203125</v>
      </c>
      <c r="L157" s="209">
        <f>+L156-L146</f>
        <v>0</v>
      </c>
      <c r="M157" s="190"/>
      <c r="N157" s="101"/>
      <c r="O157" s="192"/>
      <c r="P157" s="209">
        <f>+P156-P146</f>
        <v>2.73248291015625</v>
      </c>
      <c r="Q157" s="209">
        <f>+Q156-Q146</f>
        <v>1</v>
      </c>
      <c r="R157" s="190"/>
      <c r="S157" s="101"/>
      <c r="T157" s="209">
        <f>+T156-T146</f>
        <v>1.02178955078125</v>
      </c>
      <c r="U157" s="209">
        <f>+U156-U146</f>
        <v>0</v>
      </c>
      <c r="V157" s="190"/>
      <c r="W157" s="101"/>
      <c r="X157" s="209">
        <f>+X156-X146</f>
        <v>1.162689208984375</v>
      </c>
      <c r="Y157" s="209">
        <f>+Y156-Y146</f>
        <v>0</v>
      </c>
      <c r="Z157" s="190"/>
      <c r="AA157" s="101"/>
      <c r="AB157" s="197"/>
      <c r="AC157" s="209">
        <f>+AC156-AC146</f>
        <v>0.971466064453125</v>
      </c>
      <c r="AD157" s="209">
        <f>+AD156-AD146</f>
        <v>0</v>
      </c>
      <c r="AE157" s="204"/>
      <c r="AF157" s="203"/>
      <c r="AG157" s="209">
        <f>+AG156-AG146</f>
        <v>1.0418701171875</v>
      </c>
      <c r="AH157" s="209">
        <f>+AH156-AH146</f>
        <v>0</v>
      </c>
      <c r="AI157" s="101"/>
      <c r="AJ157" s="93"/>
      <c r="AK157" s="209">
        <f>+AK156-AK146</f>
        <v>0.66387939453125</v>
      </c>
      <c r="AL157" s="209">
        <f>+AL156-AL146</f>
        <v>1</v>
      </c>
      <c r="AM157" s="204"/>
      <c r="AN157" s="203"/>
      <c r="AP157" s="209">
        <f>+AP156-AP146</f>
        <v>0.2938232421875</v>
      </c>
      <c r="AQ157" s="209">
        <f>+AQ156-AQ146</f>
        <v>1</v>
      </c>
      <c r="AR157" s="204"/>
      <c r="AS157" s="203"/>
      <c r="AT157" s="209">
        <f>+AT156-AT146</f>
        <v>0.45458984375</v>
      </c>
      <c r="AU157" s="209">
        <f>+AU156-AU146</f>
        <v>1.00006103515625</v>
      </c>
      <c r="AV157" s="101"/>
      <c r="AW157" s="93"/>
      <c r="AX157" s="209">
        <v>5.1991375351268632E-2</v>
      </c>
      <c r="AY157" s="209">
        <v>8.9859577334390872E-2</v>
      </c>
      <c r="AZ157" s="204"/>
      <c r="BA157" s="239"/>
    </row>
    <row r="158" spans="2:53" s="1" customFormat="1" x14ac:dyDescent="0.25">
      <c r="B158" s="188" t="s">
        <v>98</v>
      </c>
      <c r="C158" s="210">
        <v>392866</v>
      </c>
      <c r="D158" s="210">
        <v>379933</v>
      </c>
      <c r="E158" s="211"/>
      <c r="F158" s="196"/>
      <c r="G158" s="210">
        <v>395632</v>
      </c>
      <c r="H158" s="210">
        <v>390095</v>
      </c>
      <c r="I158" s="211"/>
      <c r="J158" s="196"/>
      <c r="K158" s="210">
        <v>398944</v>
      </c>
      <c r="L158" s="210">
        <v>398034</v>
      </c>
      <c r="M158" s="211"/>
      <c r="N158" s="196"/>
      <c r="O158" s="212"/>
      <c r="P158" s="210">
        <v>401574</v>
      </c>
      <c r="Q158" s="210">
        <v>400174</v>
      </c>
      <c r="R158" s="211"/>
      <c r="S158" s="196"/>
      <c r="T158" s="210">
        <v>404204</v>
      </c>
      <c r="U158" s="210">
        <v>403318</v>
      </c>
      <c r="V158" s="211"/>
      <c r="W158" s="196"/>
      <c r="X158" s="210">
        <v>406970</v>
      </c>
      <c r="Y158" s="210">
        <v>407015</v>
      </c>
      <c r="Z158" s="190"/>
      <c r="AA158" s="196"/>
      <c r="AB158" s="197"/>
      <c r="AC158" s="213">
        <v>408644</v>
      </c>
      <c r="AD158" s="213">
        <v>411042</v>
      </c>
      <c r="AE158" s="198"/>
      <c r="AF158" s="199"/>
      <c r="AG158" s="210">
        <v>411410</v>
      </c>
      <c r="AH158" s="33">
        <v>414224</v>
      </c>
      <c r="AI158" s="210"/>
      <c r="AJ158" s="195"/>
      <c r="AK158" s="213">
        <v>414040</v>
      </c>
      <c r="AL158" s="213">
        <v>419867</v>
      </c>
      <c r="AM158" s="198"/>
      <c r="AN158" s="199"/>
      <c r="AP158" s="213">
        <v>416396</v>
      </c>
      <c r="AQ158" s="213">
        <v>420852</v>
      </c>
      <c r="AR158" s="198"/>
      <c r="AS158" s="199"/>
      <c r="AT158" s="210">
        <v>411410</v>
      </c>
      <c r="AU158" s="33">
        <v>414224</v>
      </c>
      <c r="AV158" s="210"/>
      <c r="AW158" s="195"/>
      <c r="AX158" s="213">
        <v>417834</v>
      </c>
      <c r="AY158" s="213">
        <v>423385</v>
      </c>
      <c r="AZ158" s="198"/>
      <c r="BA158" s="239"/>
    </row>
    <row r="159" spans="2:53" s="1" customFormat="1" x14ac:dyDescent="0.25">
      <c r="B159" s="188"/>
      <c r="C159" s="101"/>
      <c r="D159" s="101"/>
      <c r="E159" s="214"/>
      <c r="F159" s="101"/>
      <c r="G159" s="101"/>
      <c r="H159" s="101"/>
      <c r="I159" s="215"/>
      <c r="J159" s="101"/>
      <c r="K159" s="101"/>
      <c r="L159" s="101"/>
      <c r="M159" s="215"/>
      <c r="N159" s="101"/>
      <c r="O159" s="192"/>
      <c r="P159" s="101"/>
      <c r="Q159" s="101"/>
      <c r="R159" s="216"/>
      <c r="S159" s="101"/>
      <c r="T159" s="101"/>
      <c r="U159" s="101"/>
      <c r="V159" s="202"/>
      <c r="W159" s="101"/>
      <c r="X159" s="117"/>
      <c r="Y159" s="117"/>
      <c r="Z159" s="190"/>
      <c r="AA159" s="101"/>
      <c r="AB159" s="197"/>
      <c r="AC159" s="203"/>
      <c r="AD159" s="203"/>
      <c r="AE159" s="204"/>
      <c r="AF159" s="203"/>
      <c r="AG159" s="101"/>
      <c r="AH159" s="205"/>
      <c r="AI159" s="101"/>
      <c r="AJ159" s="93"/>
      <c r="AK159" s="217"/>
      <c r="AL159" s="217"/>
      <c r="AM159" s="204"/>
      <c r="AN159" s="203"/>
      <c r="AP159" s="203"/>
      <c r="AQ159" s="203"/>
      <c r="AR159" s="204"/>
      <c r="AS159" s="203"/>
      <c r="AT159" s="101"/>
      <c r="AU159" s="205"/>
      <c r="AV159" s="101"/>
      <c r="AW159" s="93"/>
      <c r="AX159" s="217">
        <v>7.1094591130479445E-2</v>
      </c>
      <c r="AY159" s="217">
        <v>8.5324275826711204E-2</v>
      </c>
      <c r="AZ159" s="204"/>
      <c r="BA159" s="239"/>
    </row>
    <row r="160" spans="2:53" s="1" customFormat="1" x14ac:dyDescent="0.25">
      <c r="B160" s="218" t="s">
        <v>99</v>
      </c>
      <c r="C160" s="219">
        <v>-1.9258653306775101E-4</v>
      </c>
      <c r="D160" s="219">
        <v>3.6789824985539177E-4</v>
      </c>
      <c r="E160" s="220"/>
      <c r="F160" s="221"/>
      <c r="G160" s="222">
        <v>1.4356446586132332E-3</v>
      </c>
      <c r="H160" s="219">
        <v>3.4687549272087725E-3</v>
      </c>
      <c r="I160" s="223"/>
      <c r="J160" s="221"/>
      <c r="K160" s="222">
        <v>3.758945574927619E-3</v>
      </c>
      <c r="L160" s="219">
        <v>4.7301203552845283E-3</v>
      </c>
      <c r="M160" s="224"/>
      <c r="N160" s="221"/>
      <c r="O160" s="192"/>
      <c r="P160" s="222">
        <v>4.0135637317224599E-3</v>
      </c>
      <c r="Q160" s="225">
        <v>3.7840962842277102E-3</v>
      </c>
      <c r="R160" s="216"/>
      <c r="S160" s="221"/>
      <c r="T160" s="222">
        <v>4.5875855871702099E-3</v>
      </c>
      <c r="U160" s="226">
        <v>6.83239606874442E-3</v>
      </c>
      <c r="V160" s="190"/>
      <c r="W160" s="196"/>
      <c r="X160" s="222">
        <v>6.6499554005485795E-3</v>
      </c>
      <c r="Y160" s="226">
        <v>4.4147789982655894E-3</v>
      </c>
      <c r="Z160" s="215"/>
      <c r="AA160" s="196"/>
      <c r="AB160" s="197"/>
      <c r="AC160" s="227">
        <v>7.9035293713130006E-3</v>
      </c>
      <c r="AD160" s="228">
        <v>5.0000000000000001E-3</v>
      </c>
      <c r="AE160" s="204"/>
      <c r="AF160" s="203"/>
      <c r="AG160" s="222">
        <v>9.4657920538705476E-3</v>
      </c>
      <c r="AH160" s="37">
        <v>1.1194618174173554E-2</v>
      </c>
      <c r="AI160" s="226"/>
      <c r="AJ160" s="93"/>
      <c r="AK160" s="227">
        <v>1.0523135507443548E-2</v>
      </c>
      <c r="AL160" s="228">
        <v>1.3349450780469896E-2</v>
      </c>
      <c r="AM160" s="204"/>
      <c r="AN160" s="203"/>
      <c r="AP160" s="227">
        <v>7.9035293713130006E-3</v>
      </c>
      <c r="AQ160" s="228">
        <v>5.0000000000000001E-3</v>
      </c>
      <c r="AR160" s="204"/>
      <c r="AS160" s="203"/>
      <c r="AT160" s="222">
        <v>9.4657920538705476E-3</v>
      </c>
      <c r="AU160" s="37">
        <v>1.1194618174173554E-2</v>
      </c>
      <c r="AV160" s="226"/>
      <c r="AW160" s="93"/>
      <c r="AX160" s="227">
        <v>1.2E-2</v>
      </c>
      <c r="AY160" s="228">
        <v>1.4999999999999999E-2</v>
      </c>
      <c r="AZ160" s="204"/>
      <c r="BA160" s="239"/>
    </row>
    <row r="161" spans="2:15" x14ac:dyDescent="0.25">
      <c r="B161"/>
      <c r="C161" s="27"/>
      <c r="D161" s="27"/>
      <c r="E161" s="27"/>
      <c r="F161" s="27"/>
      <c r="G161" s="27"/>
      <c r="H161" s="27"/>
      <c r="I161" s="27"/>
      <c r="J161" s="27"/>
      <c r="K161" s="27"/>
      <c r="L161" s="27"/>
      <c r="M161" s="27"/>
      <c r="N161" s="27"/>
      <c r="O161" s="27"/>
    </row>
    <row r="162" spans="2:15" x14ac:dyDescent="0.25">
      <c r="B162"/>
      <c r="C162" s="27"/>
      <c r="D162" s="27"/>
      <c r="E162" s="27"/>
      <c r="F162" s="27"/>
      <c r="G162" s="27"/>
      <c r="H162" s="27"/>
      <c r="I162" s="27"/>
      <c r="J162" s="27"/>
      <c r="K162" s="27"/>
      <c r="L162" s="27"/>
      <c r="M162" s="27"/>
      <c r="N162" s="27"/>
      <c r="O162" s="27"/>
    </row>
    <row r="163" spans="2:15" x14ac:dyDescent="0.25">
      <c r="B163"/>
      <c r="C163" s="27"/>
      <c r="D163" s="27"/>
      <c r="E163" s="27"/>
      <c r="F163" s="27"/>
      <c r="G163" s="27"/>
      <c r="H163" s="27"/>
      <c r="I163" s="27"/>
      <c r="J163" s="27"/>
      <c r="K163" s="27"/>
      <c r="L163" s="27"/>
      <c r="M163" s="27"/>
      <c r="N163" s="27"/>
      <c r="O163" s="27"/>
    </row>
    <row r="164" spans="2:15" x14ac:dyDescent="0.25">
      <c r="B164"/>
      <c r="C164" s="27"/>
      <c r="D164" s="27"/>
      <c r="E164" s="27"/>
      <c r="F164" s="27"/>
      <c r="G164" s="27"/>
      <c r="H164" s="27"/>
      <c r="I164" s="27"/>
      <c r="J164" s="27"/>
      <c r="K164" s="27"/>
      <c r="L164" s="27"/>
      <c r="M164" s="27"/>
      <c r="N164" s="27"/>
      <c r="O164" s="27"/>
    </row>
    <row r="165" spans="2:15" x14ac:dyDescent="0.25">
      <c r="B165"/>
      <c r="C165" s="27"/>
      <c r="D165" s="27"/>
      <c r="E165" s="27"/>
      <c r="F165" s="27"/>
      <c r="G165" s="27"/>
      <c r="H165" s="27"/>
      <c r="I165" s="27"/>
      <c r="J165" s="27"/>
      <c r="K165" s="27"/>
      <c r="L165" s="27"/>
      <c r="M165" s="27"/>
      <c r="N165" s="27"/>
      <c r="O165" s="27"/>
    </row>
    <row r="166" spans="2:15" x14ac:dyDescent="0.25">
      <c r="B166"/>
      <c r="C166" s="27"/>
      <c r="D166" s="27"/>
      <c r="E166" s="27"/>
      <c r="F166" s="27"/>
      <c r="G166" s="27"/>
      <c r="H166" s="27"/>
      <c r="I166" s="27"/>
      <c r="J166" s="27"/>
      <c r="K166" s="27"/>
      <c r="L166" s="27"/>
      <c r="M166" s="27"/>
      <c r="N166" s="27"/>
      <c r="O166" s="27"/>
    </row>
    <row r="167" spans="2:15" x14ac:dyDescent="0.25">
      <c r="B167"/>
      <c r="C167" s="27"/>
      <c r="D167" s="27"/>
      <c r="E167" s="27"/>
      <c r="F167" s="27"/>
      <c r="G167" s="27"/>
      <c r="H167" s="27"/>
      <c r="I167" s="27"/>
      <c r="J167" s="27"/>
      <c r="K167" s="27"/>
      <c r="L167" s="27"/>
      <c r="M167" s="27"/>
      <c r="N167" s="27"/>
      <c r="O167" s="27"/>
    </row>
    <row r="168" spans="2:15" x14ac:dyDescent="0.25">
      <c r="B168"/>
      <c r="C168" s="27"/>
      <c r="D168" s="27"/>
      <c r="E168" s="27"/>
      <c r="F168" s="27"/>
      <c r="G168" s="27"/>
      <c r="H168" s="27"/>
      <c r="I168" s="27"/>
      <c r="J168" s="27"/>
      <c r="K168" s="27"/>
      <c r="L168" s="27"/>
      <c r="M168" s="27"/>
      <c r="N168" s="27"/>
      <c r="O168" s="27"/>
    </row>
    <row r="169" spans="2:15" x14ac:dyDescent="0.25">
      <c r="B169"/>
    </row>
    <row r="170" spans="2:15" x14ac:dyDescent="0.25">
      <c r="B170" s="229"/>
      <c r="C170" s="230"/>
      <c r="D170" s="230"/>
      <c r="E170" s="230"/>
      <c r="F170" s="230"/>
      <c r="G170" s="230"/>
      <c r="H170" s="230"/>
      <c r="I170" s="230"/>
      <c r="J170" s="230"/>
      <c r="K170" s="230"/>
      <c r="L170" s="230"/>
      <c r="M170" s="230"/>
      <c r="N170" s="230"/>
    </row>
    <row r="171" spans="2:15" x14ac:dyDescent="0.25">
      <c r="B171"/>
    </row>
    <row r="172" spans="2:15" x14ac:dyDescent="0.25">
      <c r="B172"/>
    </row>
    <row r="173" spans="2:15" x14ac:dyDescent="0.25">
      <c r="B173"/>
    </row>
    <row r="174" spans="2:15" x14ac:dyDescent="0.25">
      <c r="B174"/>
    </row>
    <row r="175" spans="2:15" x14ac:dyDescent="0.25">
      <c r="B175"/>
    </row>
    <row r="176" spans="2:15" x14ac:dyDescent="0.25">
      <c r="B176"/>
    </row>
    <row r="177" spans="2:14" x14ac:dyDescent="0.25">
      <c r="B177"/>
    </row>
    <row r="178" spans="2:14" x14ac:dyDescent="0.25">
      <c r="B178"/>
    </row>
    <row r="179" spans="2:14" x14ac:dyDescent="0.25">
      <c r="B179"/>
    </row>
    <row r="180" spans="2:14" x14ac:dyDescent="0.25">
      <c r="B180" s="229"/>
      <c r="C180" s="230"/>
      <c r="D180" s="230"/>
      <c r="E180" s="230"/>
      <c r="F180" s="230"/>
      <c r="G180" s="230"/>
      <c r="H180" s="230"/>
      <c r="I180" s="230"/>
      <c r="J180" s="230"/>
      <c r="K180" s="230"/>
      <c r="L180" s="230"/>
      <c r="M180" s="230"/>
      <c r="N180" s="230"/>
    </row>
    <row r="181" spans="2:14" x14ac:dyDescent="0.25">
      <c r="B181"/>
    </row>
    <row r="182" spans="2:14" x14ac:dyDescent="0.25">
      <c r="B182"/>
    </row>
    <row r="183" spans="2:14" x14ac:dyDescent="0.25">
      <c r="B183"/>
    </row>
    <row r="184" spans="2:14" x14ac:dyDescent="0.25">
      <c r="B184"/>
    </row>
    <row r="185" spans="2:14" x14ac:dyDescent="0.25">
      <c r="B185"/>
    </row>
    <row r="186" spans="2:14" x14ac:dyDescent="0.25">
      <c r="B186"/>
    </row>
    <row r="187" spans="2:14" x14ac:dyDescent="0.25">
      <c r="B187"/>
    </row>
    <row r="188" spans="2:14" x14ac:dyDescent="0.25">
      <c r="B188"/>
    </row>
    <row r="189" spans="2:14" x14ac:dyDescent="0.25">
      <c r="B189"/>
    </row>
  </sheetData>
  <mergeCells count="25">
    <mergeCell ref="A131:A141"/>
    <mergeCell ref="A56:A67"/>
    <mergeCell ref="A69:A80"/>
    <mergeCell ref="A82:A93"/>
    <mergeCell ref="A95:A105"/>
    <mergeCell ref="A107:A117"/>
    <mergeCell ref="A119:A129"/>
    <mergeCell ref="AX2:AZ2"/>
    <mergeCell ref="A5:A16"/>
    <mergeCell ref="BO5:BP5"/>
    <mergeCell ref="A18:A29"/>
    <mergeCell ref="A31:A42"/>
    <mergeCell ref="AP2:AS2"/>
    <mergeCell ref="AT2:AW2"/>
    <mergeCell ref="A44:A54"/>
    <mergeCell ref="X2:AA2"/>
    <mergeCell ref="AC2:AF2"/>
    <mergeCell ref="AG2:AJ2"/>
    <mergeCell ref="AK2:AN2"/>
    <mergeCell ref="T2:W2"/>
    <mergeCell ref="L1:N1"/>
    <mergeCell ref="C2:F2"/>
    <mergeCell ref="G2:J2"/>
    <mergeCell ref="K2:N2"/>
    <mergeCell ref="P2:S2"/>
  </mergeCells>
  <conditionalFormatting sqref="AR6">
    <cfRule type="cellIs" dxfId="978" priority="281" operator="lessThan">
      <formula>0.79999999</formula>
    </cfRule>
    <cfRule type="cellIs" dxfId="977" priority="282" operator="greaterThan">
      <formula>0.999999</formula>
    </cfRule>
    <cfRule type="cellIs" dxfId="976" priority="283" operator="between">
      <formula>0.9</formula>
      <formula>0.9999999</formula>
    </cfRule>
    <cfRule type="cellIs" dxfId="975" priority="284" operator="between">
      <formula>0.8</formula>
      <formula>0.94999999</formula>
    </cfRule>
  </conditionalFormatting>
  <conditionalFormatting sqref="AR7:AR14">
    <cfRule type="cellIs" dxfId="974" priority="277" operator="lessThan">
      <formula>0.79999999</formula>
    </cfRule>
    <cfRule type="cellIs" dxfId="973" priority="278" operator="greaterThan">
      <formula>0.999999</formula>
    </cfRule>
    <cfRule type="cellIs" dxfId="972" priority="279" operator="between">
      <formula>0.9</formula>
      <formula>0.9999999</formula>
    </cfRule>
    <cfRule type="cellIs" dxfId="971" priority="280" operator="between">
      <formula>0.8</formula>
      <formula>0.94999999</formula>
    </cfRule>
  </conditionalFormatting>
  <conditionalFormatting sqref="AR19:AR27">
    <cfRule type="cellIs" dxfId="970" priority="269" operator="lessThan">
      <formula>0.79999999</formula>
    </cfRule>
    <cfRule type="cellIs" dxfId="969" priority="270" operator="greaterThan">
      <formula>0.999999</formula>
    </cfRule>
    <cfRule type="cellIs" dxfId="968" priority="271" operator="between">
      <formula>0.9</formula>
      <formula>0.9999999</formula>
    </cfRule>
    <cfRule type="cellIs" dxfId="967" priority="272" operator="between">
      <formula>0.8</formula>
      <formula>0.94999999</formula>
    </cfRule>
  </conditionalFormatting>
  <conditionalFormatting sqref="AR32:AR40">
    <cfRule type="cellIs" dxfId="966" priority="261" operator="lessThan">
      <formula>0.79999999</formula>
    </cfRule>
    <cfRule type="cellIs" dxfId="965" priority="262" operator="greaterThan">
      <formula>0.999999</formula>
    </cfRule>
    <cfRule type="cellIs" dxfId="964" priority="263" operator="between">
      <formula>0.9</formula>
      <formula>0.9999999</formula>
    </cfRule>
    <cfRule type="cellIs" dxfId="963" priority="264" operator="between">
      <formula>0.8</formula>
      <formula>0.94999999</formula>
    </cfRule>
  </conditionalFormatting>
  <conditionalFormatting sqref="AR45:AR52">
    <cfRule type="cellIs" dxfId="962" priority="253" operator="lessThan">
      <formula>0.79999999</formula>
    </cfRule>
    <cfRule type="cellIs" dxfId="961" priority="254" operator="greaterThan">
      <formula>0.999999</formula>
    </cfRule>
    <cfRule type="cellIs" dxfId="960" priority="255" operator="between">
      <formula>0.9</formula>
      <formula>0.9999999</formula>
    </cfRule>
    <cfRule type="cellIs" dxfId="959" priority="256" operator="between">
      <formula>0.8</formula>
      <formula>0.94999999</formula>
    </cfRule>
  </conditionalFormatting>
  <conditionalFormatting sqref="AR57:AR65">
    <cfRule type="cellIs" dxfId="958" priority="241" operator="lessThan">
      <formula>0.79999999</formula>
    </cfRule>
    <cfRule type="cellIs" dxfId="957" priority="242" operator="greaterThan">
      <formula>0.999999</formula>
    </cfRule>
    <cfRule type="cellIs" dxfId="956" priority="243" operator="between">
      <formula>0.9</formula>
      <formula>0.9999999</formula>
    </cfRule>
    <cfRule type="cellIs" dxfId="955" priority="244" operator="between">
      <formula>0.8</formula>
      <formula>0.94999999</formula>
    </cfRule>
  </conditionalFormatting>
  <conditionalFormatting sqref="AR70:AR78">
    <cfRule type="cellIs" dxfId="954" priority="233" operator="lessThan">
      <formula>0.79999999</formula>
    </cfRule>
    <cfRule type="cellIs" dxfId="953" priority="234" operator="greaterThan">
      <formula>0.999999</formula>
    </cfRule>
    <cfRule type="cellIs" dxfId="952" priority="235" operator="between">
      <formula>0.9</formula>
      <formula>0.9999999</formula>
    </cfRule>
    <cfRule type="cellIs" dxfId="951" priority="236" operator="between">
      <formula>0.8</formula>
      <formula>0.94999999</formula>
    </cfRule>
  </conditionalFormatting>
  <conditionalFormatting sqref="AR83:AR91">
    <cfRule type="cellIs" dxfId="950" priority="225" operator="lessThan">
      <formula>0.79999999</formula>
    </cfRule>
    <cfRule type="cellIs" dxfId="949" priority="226" operator="greaterThan">
      <formula>0.999999</formula>
    </cfRule>
    <cfRule type="cellIs" dxfId="948" priority="227" operator="between">
      <formula>0.9</formula>
      <formula>0.9999999</formula>
    </cfRule>
    <cfRule type="cellIs" dxfId="947" priority="228" operator="between">
      <formula>0.8</formula>
      <formula>0.94999999</formula>
    </cfRule>
  </conditionalFormatting>
  <conditionalFormatting sqref="AR96:AR103">
    <cfRule type="cellIs" dxfId="946" priority="217" operator="lessThan">
      <formula>0.79999999</formula>
    </cfRule>
    <cfRule type="cellIs" dxfId="945" priority="218" operator="greaterThan">
      <formula>0.999999</formula>
    </cfRule>
    <cfRule type="cellIs" dxfId="944" priority="219" operator="between">
      <formula>0.9</formula>
      <formula>0.9999999</formula>
    </cfRule>
    <cfRule type="cellIs" dxfId="943" priority="220" operator="between">
      <formula>0.8</formula>
      <formula>0.94999999</formula>
    </cfRule>
  </conditionalFormatting>
  <conditionalFormatting sqref="AR108:AR115">
    <cfRule type="cellIs" dxfId="942" priority="209" operator="lessThan">
      <formula>0.79999999</formula>
    </cfRule>
    <cfRule type="cellIs" dxfId="941" priority="210" operator="greaterThan">
      <formula>0.999999</formula>
    </cfRule>
    <cfRule type="cellIs" dxfId="940" priority="211" operator="between">
      <formula>0.9</formula>
      <formula>0.9999999</formula>
    </cfRule>
    <cfRule type="cellIs" dxfId="939" priority="212" operator="between">
      <formula>0.8</formula>
      <formula>0.94999999</formula>
    </cfRule>
  </conditionalFormatting>
  <conditionalFormatting sqref="AR120:AR127">
    <cfRule type="cellIs" dxfId="938" priority="201" operator="lessThan">
      <formula>0.79999999</formula>
    </cfRule>
    <cfRule type="cellIs" dxfId="937" priority="202" operator="greaterThan">
      <formula>0.999999</formula>
    </cfRule>
    <cfRule type="cellIs" dxfId="936" priority="203" operator="between">
      <formula>0.9</formula>
      <formula>0.9999999</formula>
    </cfRule>
    <cfRule type="cellIs" dxfId="935" priority="204" operator="between">
      <formula>0.8</formula>
      <formula>0.94999999</formula>
    </cfRule>
  </conditionalFormatting>
  <conditionalFormatting sqref="AR132:AR139">
    <cfRule type="cellIs" dxfId="934" priority="193" operator="lessThan">
      <formula>0.79999999</formula>
    </cfRule>
    <cfRule type="cellIs" dxfId="933" priority="194" operator="greaterThan">
      <formula>0.999999</formula>
    </cfRule>
    <cfRule type="cellIs" dxfId="932" priority="195" operator="between">
      <formula>0.9</formula>
      <formula>0.9999999</formula>
    </cfRule>
    <cfRule type="cellIs" dxfId="931" priority="196" operator="between">
      <formula>0.8</formula>
      <formula>0.94999999</formula>
    </cfRule>
  </conditionalFormatting>
  <conditionalFormatting sqref="AR5">
    <cfRule type="cellIs" dxfId="930" priority="185" operator="lessThan">
      <formula>0.79999999</formula>
    </cfRule>
    <cfRule type="cellIs" dxfId="929" priority="186" operator="greaterThan">
      <formula>0.999999</formula>
    </cfRule>
    <cfRule type="cellIs" dxfId="928" priority="187" operator="between">
      <formula>0.9</formula>
      <formula>0.9999999</formula>
    </cfRule>
    <cfRule type="cellIs" dxfId="927" priority="188" operator="between">
      <formula>0.8</formula>
      <formula>0.94999999</formula>
    </cfRule>
  </conditionalFormatting>
  <conditionalFormatting sqref="AZ5">
    <cfRule type="cellIs" dxfId="926" priority="181" operator="lessThan">
      <formula>0.79999999</formula>
    </cfRule>
    <cfRule type="cellIs" dxfId="925" priority="182" operator="greaterThan">
      <formula>0.999999</formula>
    </cfRule>
    <cfRule type="cellIs" dxfId="924" priority="183" operator="between">
      <formula>0.9</formula>
      <formula>0.9999999</formula>
    </cfRule>
    <cfRule type="cellIs" dxfId="923" priority="184" operator="between">
      <formula>0.8</formula>
      <formula>0.94999999</formula>
    </cfRule>
  </conditionalFormatting>
  <conditionalFormatting sqref="AR18">
    <cfRule type="cellIs" dxfId="922" priority="177" operator="lessThan">
      <formula>0.79999999</formula>
    </cfRule>
    <cfRule type="cellIs" dxfId="921" priority="178" operator="greaterThan">
      <formula>0.999999</formula>
    </cfRule>
    <cfRule type="cellIs" dxfId="920" priority="179" operator="between">
      <formula>0.9</formula>
      <formula>0.9999999</formula>
    </cfRule>
    <cfRule type="cellIs" dxfId="919" priority="180" operator="between">
      <formula>0.8</formula>
      <formula>0.94999999</formula>
    </cfRule>
  </conditionalFormatting>
  <conditionalFormatting sqref="AR31">
    <cfRule type="cellIs" dxfId="918" priority="169" operator="lessThan">
      <formula>0.79999999</formula>
    </cfRule>
    <cfRule type="cellIs" dxfId="917" priority="170" operator="greaterThan">
      <formula>0.999999</formula>
    </cfRule>
    <cfRule type="cellIs" dxfId="916" priority="171" operator="between">
      <formula>0.9</formula>
      <formula>0.9999999</formula>
    </cfRule>
    <cfRule type="cellIs" dxfId="915" priority="172" operator="between">
      <formula>0.8</formula>
      <formula>0.94999999</formula>
    </cfRule>
  </conditionalFormatting>
  <conditionalFormatting sqref="AR44">
    <cfRule type="cellIs" dxfId="914" priority="165" operator="lessThan">
      <formula>0.79999999</formula>
    </cfRule>
    <cfRule type="cellIs" dxfId="913" priority="166" operator="greaterThan">
      <formula>0.999999</formula>
    </cfRule>
    <cfRule type="cellIs" dxfId="912" priority="167" operator="between">
      <formula>0.9</formula>
      <formula>0.9999999</formula>
    </cfRule>
    <cfRule type="cellIs" dxfId="911" priority="168" operator="between">
      <formula>0.8</formula>
      <formula>0.94999999</formula>
    </cfRule>
  </conditionalFormatting>
  <conditionalFormatting sqref="AR56">
    <cfRule type="cellIs" dxfId="910" priority="157" operator="lessThan">
      <formula>0.79999999</formula>
    </cfRule>
    <cfRule type="cellIs" dxfId="909" priority="158" operator="greaterThan">
      <formula>0.999999</formula>
    </cfRule>
    <cfRule type="cellIs" dxfId="908" priority="159" operator="between">
      <formula>0.9</formula>
      <formula>0.9999999</formula>
    </cfRule>
    <cfRule type="cellIs" dxfId="907" priority="160" operator="between">
      <formula>0.8</formula>
      <formula>0.94999999</formula>
    </cfRule>
  </conditionalFormatting>
  <conditionalFormatting sqref="AR69">
    <cfRule type="cellIs" dxfId="906" priority="149" operator="lessThan">
      <formula>0.79999999</formula>
    </cfRule>
    <cfRule type="cellIs" dxfId="905" priority="150" operator="greaterThan">
      <formula>0.999999</formula>
    </cfRule>
    <cfRule type="cellIs" dxfId="904" priority="151" operator="between">
      <formula>0.9</formula>
      <formula>0.9999999</formula>
    </cfRule>
    <cfRule type="cellIs" dxfId="903" priority="152" operator="between">
      <formula>0.8</formula>
      <formula>0.94999999</formula>
    </cfRule>
  </conditionalFormatting>
  <conditionalFormatting sqref="AR82">
    <cfRule type="cellIs" dxfId="902" priority="141" operator="lessThan">
      <formula>0.79999999</formula>
    </cfRule>
    <cfRule type="cellIs" dxfId="901" priority="142" operator="greaterThan">
      <formula>0.999999</formula>
    </cfRule>
    <cfRule type="cellIs" dxfId="900" priority="143" operator="between">
      <formula>0.9</formula>
      <formula>0.9999999</formula>
    </cfRule>
    <cfRule type="cellIs" dxfId="899" priority="144" operator="between">
      <formula>0.8</formula>
      <formula>0.94999999</formula>
    </cfRule>
  </conditionalFormatting>
  <conditionalFormatting sqref="AR95">
    <cfRule type="cellIs" dxfId="898" priority="133" operator="lessThan">
      <formula>0.79999999</formula>
    </cfRule>
    <cfRule type="cellIs" dxfId="897" priority="134" operator="greaterThan">
      <formula>0.999999</formula>
    </cfRule>
    <cfRule type="cellIs" dxfId="896" priority="135" operator="between">
      <formula>0.9</formula>
      <formula>0.9999999</formula>
    </cfRule>
    <cfRule type="cellIs" dxfId="895" priority="136" operator="between">
      <formula>0.8</formula>
      <formula>0.94999999</formula>
    </cfRule>
  </conditionalFormatting>
  <conditionalFormatting sqref="AR107">
    <cfRule type="cellIs" dxfId="894" priority="125" operator="lessThan">
      <formula>0.79999999</formula>
    </cfRule>
    <cfRule type="cellIs" dxfId="893" priority="126" operator="greaterThan">
      <formula>0.999999</formula>
    </cfRule>
    <cfRule type="cellIs" dxfId="892" priority="127" operator="between">
      <formula>0.9</formula>
      <formula>0.9999999</formula>
    </cfRule>
    <cfRule type="cellIs" dxfId="891" priority="128" operator="between">
      <formula>0.8</formula>
      <formula>0.94999999</formula>
    </cfRule>
  </conditionalFormatting>
  <conditionalFormatting sqref="AR119">
    <cfRule type="cellIs" dxfId="890" priority="117" operator="lessThan">
      <formula>0.79999999</formula>
    </cfRule>
    <cfRule type="cellIs" dxfId="889" priority="118" operator="greaterThan">
      <formula>0.999999</formula>
    </cfRule>
    <cfRule type="cellIs" dxfId="888" priority="119" operator="between">
      <formula>0.9</formula>
      <formula>0.9999999</formula>
    </cfRule>
    <cfRule type="cellIs" dxfId="887" priority="120" operator="between">
      <formula>0.8</formula>
      <formula>0.94999999</formula>
    </cfRule>
  </conditionalFormatting>
  <conditionalFormatting sqref="AR131">
    <cfRule type="cellIs" dxfId="886" priority="109" operator="lessThan">
      <formula>0.79999999</formula>
    </cfRule>
    <cfRule type="cellIs" dxfId="885" priority="110" operator="greaterThan">
      <formula>0.999999</formula>
    </cfRule>
    <cfRule type="cellIs" dxfId="884" priority="111" operator="between">
      <formula>0.9</formula>
      <formula>0.9999999</formula>
    </cfRule>
    <cfRule type="cellIs" dxfId="883" priority="112" operator="between">
      <formula>0.8</formula>
      <formula>0.94999999</formula>
    </cfRule>
  </conditionalFormatting>
  <conditionalFormatting sqref="AZ41">
    <cfRule type="cellIs" dxfId="882" priority="89" operator="lessThan">
      <formula>0.79999999</formula>
    </cfRule>
    <cfRule type="cellIs" dxfId="881" priority="90" operator="greaterThan">
      <formula>0.999999</formula>
    </cfRule>
    <cfRule type="cellIs" dxfId="880" priority="91" operator="between">
      <formula>0.9</formula>
      <formula>0.9999999</formula>
    </cfRule>
    <cfRule type="cellIs" dxfId="879" priority="92" operator="between">
      <formula>0.8</formula>
      <formula>0.94999999</formula>
    </cfRule>
  </conditionalFormatting>
  <conditionalFormatting sqref="AZ42">
    <cfRule type="cellIs" dxfId="878" priority="85" operator="lessThan">
      <formula>0.79999999</formula>
    </cfRule>
    <cfRule type="cellIs" dxfId="877" priority="86" operator="greaterThan">
      <formula>0.999999</formula>
    </cfRule>
    <cfRule type="cellIs" dxfId="876" priority="87" operator="between">
      <formula>0.9</formula>
      <formula>0.9999999</formula>
    </cfRule>
    <cfRule type="cellIs" dxfId="875" priority="88" operator="between">
      <formula>0.8</formula>
      <formula>0.94999999</formula>
    </cfRule>
  </conditionalFormatting>
  <conditionalFormatting sqref="AZ31">
    <cfRule type="cellIs" dxfId="874" priority="81" operator="lessThan">
      <formula>0.79999999</formula>
    </cfRule>
    <cfRule type="cellIs" dxfId="873" priority="82" operator="greaterThan">
      <formula>0.999999</formula>
    </cfRule>
    <cfRule type="cellIs" dxfId="872" priority="83" operator="between">
      <formula>0.9</formula>
      <formula>0.9999999</formula>
    </cfRule>
    <cfRule type="cellIs" dxfId="871" priority="84" operator="between">
      <formula>0.8</formula>
      <formula>0.94999999</formula>
    </cfRule>
  </conditionalFormatting>
  <conditionalFormatting sqref="AZ6:AZ16">
    <cfRule type="cellIs" dxfId="870" priority="41" operator="lessThan">
      <formula>0.79999999</formula>
    </cfRule>
    <cfRule type="cellIs" dxfId="869" priority="42" operator="greaterThan">
      <formula>0.999999</formula>
    </cfRule>
    <cfRule type="cellIs" dxfId="868" priority="43" operator="between">
      <formula>0.9</formula>
      <formula>0.9999999</formula>
    </cfRule>
    <cfRule type="cellIs" dxfId="867" priority="44" operator="between">
      <formula>0.8</formula>
      <formula>0.94999999</formula>
    </cfRule>
  </conditionalFormatting>
  <conditionalFormatting sqref="AZ18:AZ29">
    <cfRule type="cellIs" dxfId="866" priority="37" operator="lessThan">
      <formula>0.79999999</formula>
    </cfRule>
    <cfRule type="cellIs" dxfId="865" priority="38" operator="greaterThan">
      <formula>0.999999</formula>
    </cfRule>
    <cfRule type="cellIs" dxfId="864" priority="39" operator="between">
      <formula>0.9</formula>
      <formula>0.9999999</formula>
    </cfRule>
    <cfRule type="cellIs" dxfId="863" priority="40" operator="between">
      <formula>0.8</formula>
      <formula>0.94999999</formula>
    </cfRule>
  </conditionalFormatting>
  <conditionalFormatting sqref="AZ32:AZ40">
    <cfRule type="cellIs" dxfId="862" priority="33" operator="lessThan">
      <formula>0.79999999</formula>
    </cfRule>
    <cfRule type="cellIs" dxfId="861" priority="34" operator="greaterThan">
      <formula>0.999999</formula>
    </cfRule>
    <cfRule type="cellIs" dxfId="860" priority="35" operator="between">
      <formula>0.9</formula>
      <formula>0.9999999</formula>
    </cfRule>
    <cfRule type="cellIs" dxfId="859" priority="36" operator="between">
      <formula>0.8</formula>
      <formula>0.94999999</formula>
    </cfRule>
  </conditionalFormatting>
  <conditionalFormatting sqref="AZ44:AZ54">
    <cfRule type="cellIs" dxfId="858" priority="29" operator="lessThan">
      <formula>0.79999999</formula>
    </cfRule>
    <cfRule type="cellIs" dxfId="857" priority="30" operator="greaterThan">
      <formula>0.999999</formula>
    </cfRule>
    <cfRule type="cellIs" dxfId="856" priority="31" operator="between">
      <formula>0.9</formula>
      <formula>0.9999999</formula>
    </cfRule>
    <cfRule type="cellIs" dxfId="855" priority="32" operator="between">
      <formula>0.8</formula>
      <formula>0.94999999</formula>
    </cfRule>
  </conditionalFormatting>
  <conditionalFormatting sqref="AZ56:AZ67">
    <cfRule type="cellIs" dxfId="854" priority="25" operator="lessThan">
      <formula>0.79999999</formula>
    </cfRule>
    <cfRule type="cellIs" dxfId="853" priority="26" operator="greaterThan">
      <formula>0.999999</formula>
    </cfRule>
    <cfRule type="cellIs" dxfId="852" priority="27" operator="between">
      <formula>0.9</formula>
      <formula>0.9999999</formula>
    </cfRule>
    <cfRule type="cellIs" dxfId="851" priority="28" operator="between">
      <formula>0.8</formula>
      <formula>0.94999999</formula>
    </cfRule>
  </conditionalFormatting>
  <conditionalFormatting sqref="AZ69:AZ80">
    <cfRule type="cellIs" dxfId="850" priority="21" operator="lessThan">
      <formula>0.79999999</formula>
    </cfRule>
    <cfRule type="cellIs" dxfId="849" priority="22" operator="greaterThan">
      <formula>0.999999</formula>
    </cfRule>
    <cfRule type="cellIs" dxfId="848" priority="23" operator="between">
      <formula>0.9</formula>
      <formula>0.9999999</formula>
    </cfRule>
    <cfRule type="cellIs" dxfId="847" priority="24" operator="between">
      <formula>0.8</formula>
      <formula>0.94999999</formula>
    </cfRule>
  </conditionalFormatting>
  <conditionalFormatting sqref="AZ82:AZ93">
    <cfRule type="cellIs" dxfId="846" priority="17" operator="lessThan">
      <formula>0.79999999</formula>
    </cfRule>
    <cfRule type="cellIs" dxfId="845" priority="18" operator="greaterThan">
      <formula>0.999999</formula>
    </cfRule>
    <cfRule type="cellIs" dxfId="844" priority="19" operator="between">
      <formula>0.9</formula>
      <formula>0.9999999</formula>
    </cfRule>
    <cfRule type="cellIs" dxfId="843" priority="20" operator="between">
      <formula>0.8</formula>
      <formula>0.94999999</formula>
    </cfRule>
  </conditionalFormatting>
  <conditionalFormatting sqref="AZ95:AZ105">
    <cfRule type="cellIs" dxfId="842" priority="13" operator="lessThan">
      <formula>0.79999999</formula>
    </cfRule>
    <cfRule type="cellIs" dxfId="841" priority="14" operator="greaterThan">
      <formula>0.999999</formula>
    </cfRule>
    <cfRule type="cellIs" dxfId="840" priority="15" operator="between">
      <formula>0.9</formula>
      <formula>0.9999999</formula>
    </cfRule>
    <cfRule type="cellIs" dxfId="839" priority="16" operator="between">
      <formula>0.8</formula>
      <formula>0.94999999</formula>
    </cfRule>
  </conditionalFormatting>
  <conditionalFormatting sqref="AZ107:AZ117">
    <cfRule type="cellIs" dxfId="838" priority="9" operator="lessThan">
      <formula>0.79999999</formula>
    </cfRule>
    <cfRule type="cellIs" dxfId="837" priority="10" operator="greaterThan">
      <formula>0.999999</formula>
    </cfRule>
    <cfRule type="cellIs" dxfId="836" priority="11" operator="between">
      <formula>0.9</formula>
      <formula>0.9999999</formula>
    </cfRule>
    <cfRule type="cellIs" dxfId="835" priority="12" operator="between">
      <formula>0.8</formula>
      <formula>0.94999999</formula>
    </cfRule>
  </conditionalFormatting>
  <conditionalFormatting sqref="AZ119:AZ129">
    <cfRule type="cellIs" dxfId="834" priority="5" operator="lessThan">
      <formula>0.79999999</formula>
    </cfRule>
    <cfRule type="cellIs" dxfId="833" priority="6" operator="greaterThan">
      <formula>0.999999</formula>
    </cfRule>
    <cfRule type="cellIs" dxfId="832" priority="7" operator="between">
      <formula>0.9</formula>
      <formula>0.9999999</formula>
    </cfRule>
    <cfRule type="cellIs" dxfId="831" priority="8" operator="between">
      <formula>0.8</formula>
      <formula>0.94999999</formula>
    </cfRule>
  </conditionalFormatting>
  <conditionalFormatting sqref="AZ131:AZ141">
    <cfRule type="cellIs" dxfId="830" priority="1" operator="lessThan">
      <formula>0.79999999</formula>
    </cfRule>
    <cfRule type="cellIs" dxfId="829" priority="2" operator="greaterThan">
      <formula>0.999999</formula>
    </cfRule>
    <cfRule type="cellIs" dxfId="828" priority="3" operator="between">
      <formula>0.9</formula>
      <formula>0.9999999</formula>
    </cfRule>
    <cfRule type="cellIs" dxfId="827" priority="4" operator="between">
      <formula>0.8</formula>
      <formula>0.94999999</formula>
    </cfRule>
  </conditionalFormatting>
  <hyperlinks>
    <hyperlink ref="K1" location="Regiones!A1" display="Regiones " xr:uid="{A1FAF375-49CE-444D-9C70-75FB35FE6771}"/>
    <hyperlink ref="L1" location="Negocios!A1" display="Negocios " xr:uid="{5B1C28BB-6328-4FF2-A872-51FAB2F2C17D}"/>
    <hyperlink ref="L1:N1" location="'Causas y Acciones Regiones'!A1" display="Causas y planes de acción" xr:uid="{FBEDF881-BD10-4B82-93ED-47D24EF3519E}"/>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D1DFE-5E1C-4DA2-8694-C7871B835694}">
  <dimension ref="A3:S78"/>
  <sheetViews>
    <sheetView showGridLines="0" zoomScaleNormal="100" workbookViewId="0">
      <selection activeCell="S13" sqref="S13"/>
    </sheetView>
  </sheetViews>
  <sheetFormatPr baseColWidth="10" defaultRowHeight="15" x14ac:dyDescent="0.25"/>
  <cols>
    <col min="1" max="1" width="31" customWidth="1"/>
    <col min="3" max="3" width="14.5703125" bestFit="1" customWidth="1"/>
    <col min="4" max="5" width="11.42578125" customWidth="1"/>
    <col min="6" max="6" width="21.42578125" bestFit="1" customWidth="1"/>
    <col min="7" max="10" width="11.42578125" customWidth="1"/>
    <col min="11" max="11" width="70.7109375" bestFit="1" customWidth="1"/>
    <col min="12" max="12" width="21.42578125" bestFit="1" customWidth="1"/>
    <col min="16" max="16" width="43.7109375" customWidth="1"/>
    <col min="17" max="17" width="21.5703125" customWidth="1"/>
    <col min="18" max="18" width="16.42578125" customWidth="1"/>
  </cols>
  <sheetData>
    <row r="3" spans="2:18" ht="33.75" customHeight="1" x14ac:dyDescent="0.25">
      <c r="L3" s="667"/>
      <c r="M3" s="667"/>
    </row>
    <row r="9" spans="2:18" x14ac:dyDescent="0.25">
      <c r="B9" s="143" t="s">
        <v>123</v>
      </c>
      <c r="K9" s="143" t="s">
        <v>127</v>
      </c>
      <c r="L9" t="s">
        <v>124</v>
      </c>
      <c r="P9" t="s">
        <v>128</v>
      </c>
    </row>
    <row r="10" spans="2:18" ht="60" x14ac:dyDescent="0.25">
      <c r="L10" t="s">
        <v>125</v>
      </c>
      <c r="M10" t="s">
        <v>126</v>
      </c>
      <c r="P10" t="s">
        <v>129</v>
      </c>
      <c r="Q10" t="s">
        <v>132</v>
      </c>
      <c r="R10" s="65" t="s">
        <v>133</v>
      </c>
    </row>
    <row r="11" spans="2:18" x14ac:dyDescent="0.25">
      <c r="P11" t="s">
        <v>130</v>
      </c>
    </row>
    <row r="12" spans="2:18" x14ac:dyDescent="0.25">
      <c r="P12" t="s">
        <v>131</v>
      </c>
    </row>
    <row r="13" spans="2:18" x14ac:dyDescent="0.25">
      <c r="L13" t="s">
        <v>135</v>
      </c>
    </row>
    <row r="14" spans="2:18" x14ac:dyDescent="0.25">
      <c r="L14" t="s">
        <v>136</v>
      </c>
    </row>
    <row r="15" spans="2:18" x14ac:dyDescent="0.25">
      <c r="L15" s="143" t="s">
        <v>137</v>
      </c>
    </row>
    <row r="17" spans="1:16" x14ac:dyDescent="0.25">
      <c r="B17" s="143" t="s">
        <v>137</v>
      </c>
      <c r="F17" s="143" t="s">
        <v>171</v>
      </c>
      <c r="G17" s="143" t="s">
        <v>173</v>
      </c>
      <c r="K17" s="143" t="s">
        <v>236</v>
      </c>
      <c r="L17" s="143" t="s">
        <v>202</v>
      </c>
      <c r="M17" s="143" t="s">
        <v>173</v>
      </c>
      <c r="P17" s="143" t="s">
        <v>137</v>
      </c>
    </row>
    <row r="19" spans="1:16" x14ac:dyDescent="0.25">
      <c r="A19" t="s">
        <v>159</v>
      </c>
      <c r="B19" t="s">
        <v>140</v>
      </c>
      <c r="F19" t="s">
        <v>172</v>
      </c>
      <c r="G19" t="s">
        <v>174</v>
      </c>
      <c r="K19" t="s">
        <v>106</v>
      </c>
      <c r="L19" t="s">
        <v>172</v>
      </c>
      <c r="M19" t="s">
        <v>174</v>
      </c>
    </row>
    <row r="20" spans="1:16" x14ac:dyDescent="0.25">
      <c r="B20" t="s">
        <v>141</v>
      </c>
      <c r="F20" t="s">
        <v>172</v>
      </c>
      <c r="G20" t="s">
        <v>174</v>
      </c>
      <c r="K20" t="s">
        <v>13</v>
      </c>
      <c r="L20" t="s">
        <v>172</v>
      </c>
      <c r="M20" t="s">
        <v>174</v>
      </c>
    </row>
    <row r="21" spans="1:16" x14ac:dyDescent="0.25">
      <c r="B21" t="s">
        <v>142</v>
      </c>
      <c r="F21" t="s">
        <v>175</v>
      </c>
      <c r="G21" t="s">
        <v>176</v>
      </c>
      <c r="K21" t="s">
        <v>14</v>
      </c>
      <c r="L21" t="s">
        <v>172</v>
      </c>
      <c r="M21" t="s">
        <v>174</v>
      </c>
    </row>
    <row r="22" spans="1:16" x14ac:dyDescent="0.25">
      <c r="B22" t="s">
        <v>143</v>
      </c>
      <c r="F22" t="s">
        <v>172</v>
      </c>
      <c r="G22" t="s">
        <v>174</v>
      </c>
      <c r="K22" t="s">
        <v>15</v>
      </c>
      <c r="L22" t="s">
        <v>172</v>
      </c>
      <c r="M22" t="s">
        <v>174</v>
      </c>
    </row>
    <row r="23" spans="1:16" x14ac:dyDescent="0.25">
      <c r="B23" t="s">
        <v>144</v>
      </c>
      <c r="F23" t="s">
        <v>172</v>
      </c>
      <c r="G23" t="s">
        <v>174</v>
      </c>
      <c r="K23" t="s">
        <v>16</v>
      </c>
      <c r="L23" t="s">
        <v>172</v>
      </c>
      <c r="M23" t="s">
        <v>174</v>
      </c>
    </row>
    <row r="24" spans="1:16" x14ac:dyDescent="0.25">
      <c r="B24" t="s">
        <v>145</v>
      </c>
      <c r="F24" t="s">
        <v>172</v>
      </c>
      <c r="G24" t="s">
        <v>174</v>
      </c>
      <c r="K24" t="s">
        <v>17</v>
      </c>
      <c r="L24" t="s">
        <v>179</v>
      </c>
      <c r="M24" t="s">
        <v>180</v>
      </c>
    </row>
    <row r="25" spans="1:16" x14ac:dyDescent="0.25">
      <c r="B25" t="s">
        <v>146</v>
      </c>
      <c r="F25" t="s">
        <v>172</v>
      </c>
      <c r="G25" t="s">
        <v>174</v>
      </c>
      <c r="K25" t="s">
        <v>18</v>
      </c>
      <c r="L25" t="s">
        <v>179</v>
      </c>
      <c r="M25" t="s">
        <v>180</v>
      </c>
    </row>
    <row r="26" spans="1:16" x14ac:dyDescent="0.25">
      <c r="B26" t="s">
        <v>147</v>
      </c>
      <c r="F26" t="s">
        <v>172</v>
      </c>
      <c r="G26" t="s">
        <v>174</v>
      </c>
      <c r="K26" t="s">
        <v>19</v>
      </c>
      <c r="L26" t="s">
        <v>183</v>
      </c>
      <c r="M26" t="s">
        <v>182</v>
      </c>
    </row>
    <row r="27" spans="1:16" x14ac:dyDescent="0.25">
      <c r="A27" t="s">
        <v>158</v>
      </c>
      <c r="B27" t="s">
        <v>96</v>
      </c>
      <c r="F27" t="s">
        <v>175</v>
      </c>
      <c r="G27" t="s">
        <v>176</v>
      </c>
      <c r="K27" t="s">
        <v>20</v>
      </c>
      <c r="L27" t="s">
        <v>183</v>
      </c>
      <c r="M27" t="s">
        <v>182</v>
      </c>
    </row>
    <row r="28" spans="1:16" x14ac:dyDescent="0.25">
      <c r="B28" t="s">
        <v>148</v>
      </c>
      <c r="F28" t="s">
        <v>175</v>
      </c>
      <c r="G28" t="s">
        <v>176</v>
      </c>
      <c r="K28" s="297" t="s">
        <v>225</v>
      </c>
      <c r="L28" t="s">
        <v>115</v>
      </c>
      <c r="M28" t="s">
        <v>228</v>
      </c>
    </row>
    <row r="29" spans="1:16" ht="30" x14ac:dyDescent="0.25">
      <c r="B29" t="s">
        <v>149</v>
      </c>
      <c r="F29" t="s">
        <v>175</v>
      </c>
      <c r="G29" t="s">
        <v>176</v>
      </c>
      <c r="K29" s="297" t="s">
        <v>226</v>
      </c>
      <c r="L29" t="s">
        <v>115</v>
      </c>
      <c r="M29" t="s">
        <v>228</v>
      </c>
    </row>
    <row r="30" spans="1:16" x14ac:dyDescent="0.25">
      <c r="B30" t="s">
        <v>150</v>
      </c>
      <c r="F30" t="s">
        <v>175</v>
      </c>
      <c r="G30" t="s">
        <v>176</v>
      </c>
      <c r="K30" s="297" t="s">
        <v>227</v>
      </c>
      <c r="L30" t="s">
        <v>115</v>
      </c>
      <c r="M30" t="s">
        <v>228</v>
      </c>
    </row>
    <row r="31" spans="1:16" x14ac:dyDescent="0.25">
      <c r="B31" t="s">
        <v>98</v>
      </c>
      <c r="F31" t="s">
        <v>175</v>
      </c>
      <c r="G31" t="s">
        <v>176</v>
      </c>
    </row>
    <row r="32" spans="1:16" x14ac:dyDescent="0.25">
      <c r="B32" t="s">
        <v>151</v>
      </c>
      <c r="F32" t="s">
        <v>175</v>
      </c>
      <c r="G32" t="s">
        <v>176</v>
      </c>
    </row>
    <row r="33" spans="1:13" x14ac:dyDescent="0.25">
      <c r="B33" t="s">
        <v>99</v>
      </c>
      <c r="F33" t="s">
        <v>175</v>
      </c>
      <c r="G33" t="s">
        <v>176</v>
      </c>
      <c r="K33" s="143" t="s">
        <v>237</v>
      </c>
    </row>
    <row r="34" spans="1:13" x14ac:dyDescent="0.25">
      <c r="B34" t="s">
        <v>152</v>
      </c>
      <c r="F34" t="s">
        <v>172</v>
      </c>
      <c r="G34" t="s">
        <v>174</v>
      </c>
      <c r="K34" t="s">
        <v>59</v>
      </c>
      <c r="L34" t="s">
        <v>172</v>
      </c>
      <c r="M34" t="s">
        <v>174</v>
      </c>
    </row>
    <row r="35" spans="1:13" x14ac:dyDescent="0.25">
      <c r="B35" t="s">
        <v>153</v>
      </c>
      <c r="F35" t="s">
        <v>172</v>
      </c>
      <c r="G35" t="s">
        <v>174</v>
      </c>
      <c r="K35" t="s">
        <v>61</v>
      </c>
      <c r="L35" t="s">
        <v>175</v>
      </c>
      <c r="M35" t="s">
        <v>176</v>
      </c>
    </row>
    <row r="36" spans="1:13" x14ac:dyDescent="0.25">
      <c r="B36" t="s">
        <v>154</v>
      </c>
      <c r="D36" s="143" t="s">
        <v>177</v>
      </c>
      <c r="F36" t="s">
        <v>172</v>
      </c>
      <c r="G36" t="s">
        <v>178</v>
      </c>
      <c r="K36" t="s">
        <v>62</v>
      </c>
      <c r="L36" t="s">
        <v>175</v>
      </c>
      <c r="M36" t="s">
        <v>176</v>
      </c>
    </row>
    <row r="37" spans="1:13" x14ac:dyDescent="0.25">
      <c r="B37" t="s">
        <v>155</v>
      </c>
      <c r="D37" s="143" t="s">
        <v>177</v>
      </c>
      <c r="F37" t="s">
        <v>172</v>
      </c>
      <c r="G37" t="s">
        <v>178</v>
      </c>
      <c r="K37" t="s">
        <v>64</v>
      </c>
      <c r="L37" t="s">
        <v>175</v>
      </c>
      <c r="M37" t="s">
        <v>176</v>
      </c>
    </row>
    <row r="38" spans="1:13" x14ac:dyDescent="0.25">
      <c r="B38" t="s">
        <v>156</v>
      </c>
      <c r="D38" s="143" t="s">
        <v>177</v>
      </c>
      <c r="F38" t="s">
        <v>172</v>
      </c>
      <c r="G38" t="s">
        <v>178</v>
      </c>
      <c r="K38" t="s">
        <v>65</v>
      </c>
      <c r="L38" t="s">
        <v>175</v>
      </c>
      <c r="M38" t="s">
        <v>176</v>
      </c>
    </row>
    <row r="39" spans="1:13" x14ac:dyDescent="0.25">
      <c r="B39" t="s">
        <v>157</v>
      </c>
      <c r="D39" s="143" t="s">
        <v>177</v>
      </c>
      <c r="F39" t="s">
        <v>172</v>
      </c>
      <c r="G39" t="s">
        <v>178</v>
      </c>
      <c r="K39" t="s">
        <v>66</v>
      </c>
      <c r="L39" t="s">
        <v>175</v>
      </c>
      <c r="M39" t="s">
        <v>176</v>
      </c>
    </row>
    <row r="40" spans="1:13" x14ac:dyDescent="0.25">
      <c r="A40" s="143" t="s">
        <v>160</v>
      </c>
      <c r="B40" t="s">
        <v>17</v>
      </c>
      <c r="D40" s="143" t="s">
        <v>126</v>
      </c>
      <c r="F40" t="s">
        <v>179</v>
      </c>
      <c r="G40" t="s">
        <v>180</v>
      </c>
      <c r="K40" t="s">
        <v>67</v>
      </c>
      <c r="L40" t="s">
        <v>175</v>
      </c>
      <c r="M40" t="s">
        <v>176</v>
      </c>
    </row>
    <row r="41" spans="1:13" x14ac:dyDescent="0.25">
      <c r="A41" s="143"/>
      <c r="B41" t="s">
        <v>181</v>
      </c>
      <c r="D41" s="143" t="s">
        <v>164</v>
      </c>
      <c r="F41" t="s">
        <v>179</v>
      </c>
      <c r="G41" t="s">
        <v>180</v>
      </c>
      <c r="K41" t="s">
        <v>68</v>
      </c>
      <c r="L41" t="s">
        <v>175</v>
      </c>
      <c r="M41" t="s">
        <v>176</v>
      </c>
    </row>
    <row r="42" spans="1:13" x14ac:dyDescent="0.25">
      <c r="A42" s="143" t="s">
        <v>163</v>
      </c>
      <c r="B42" t="s">
        <v>161</v>
      </c>
      <c r="F42" t="s">
        <v>183</v>
      </c>
      <c r="G42" t="s">
        <v>182</v>
      </c>
      <c r="K42" t="s">
        <v>69</v>
      </c>
      <c r="L42" t="s">
        <v>175</v>
      </c>
      <c r="M42" t="s">
        <v>176</v>
      </c>
    </row>
    <row r="43" spans="1:13" x14ac:dyDescent="0.25">
      <c r="B43" t="s">
        <v>162</v>
      </c>
      <c r="F43" t="s">
        <v>183</v>
      </c>
      <c r="G43" t="s">
        <v>182</v>
      </c>
      <c r="K43" t="s">
        <v>70</v>
      </c>
      <c r="L43" t="s">
        <v>175</v>
      </c>
      <c r="M43" t="s">
        <v>176</v>
      </c>
    </row>
    <row r="44" spans="1:13" x14ac:dyDescent="0.25">
      <c r="B44" t="s">
        <v>18</v>
      </c>
      <c r="F44" t="s">
        <v>179</v>
      </c>
      <c r="G44" t="s">
        <v>180</v>
      </c>
      <c r="K44" t="s">
        <v>71</v>
      </c>
      <c r="L44" t="s">
        <v>183</v>
      </c>
      <c r="M44" t="s">
        <v>182</v>
      </c>
    </row>
    <row r="45" spans="1:13" x14ac:dyDescent="0.25">
      <c r="A45" s="143" t="s">
        <v>187</v>
      </c>
      <c r="B45" t="s">
        <v>184</v>
      </c>
      <c r="F45" t="s">
        <v>190</v>
      </c>
      <c r="G45" t="s">
        <v>189</v>
      </c>
      <c r="K45" t="s">
        <v>72</v>
      </c>
      <c r="L45" t="s">
        <v>183</v>
      </c>
      <c r="M45" t="s">
        <v>182</v>
      </c>
    </row>
    <row r="46" spans="1:13" x14ac:dyDescent="0.25">
      <c r="B46" t="s">
        <v>185</v>
      </c>
      <c r="F46" t="s">
        <v>192</v>
      </c>
      <c r="G46" t="s">
        <v>191</v>
      </c>
    </row>
    <row r="47" spans="1:13" x14ac:dyDescent="0.25">
      <c r="B47" t="s">
        <v>186</v>
      </c>
      <c r="F47" t="s">
        <v>192</v>
      </c>
      <c r="G47" t="s">
        <v>191</v>
      </c>
    </row>
    <row r="48" spans="1:13" x14ac:dyDescent="0.25">
      <c r="B48" t="s">
        <v>193</v>
      </c>
      <c r="F48" t="s">
        <v>196</v>
      </c>
      <c r="G48" t="s">
        <v>197</v>
      </c>
    </row>
    <row r="49" spans="1:7" x14ac:dyDescent="0.25">
      <c r="B49" t="s">
        <v>194</v>
      </c>
      <c r="F49" t="s">
        <v>196</v>
      </c>
      <c r="G49" t="s">
        <v>197</v>
      </c>
    </row>
    <row r="50" spans="1:7" x14ac:dyDescent="0.25">
      <c r="B50" t="s">
        <v>195</v>
      </c>
      <c r="F50" t="s">
        <v>196</v>
      </c>
      <c r="G50" t="s">
        <v>197</v>
      </c>
    </row>
    <row r="51" spans="1:7" x14ac:dyDescent="0.25">
      <c r="A51" s="143" t="s">
        <v>188</v>
      </c>
      <c r="B51" t="s">
        <v>20</v>
      </c>
      <c r="F51" t="s">
        <v>183</v>
      </c>
      <c r="G51" t="s">
        <v>182</v>
      </c>
    </row>
    <row r="52" spans="1:7" ht="45" x14ac:dyDescent="0.25">
      <c r="A52" s="295" t="s">
        <v>198</v>
      </c>
      <c r="B52" t="s">
        <v>199</v>
      </c>
      <c r="D52" s="143" t="s">
        <v>164</v>
      </c>
      <c r="F52" s="65" t="s">
        <v>201</v>
      </c>
      <c r="G52" s="143" t="s">
        <v>200</v>
      </c>
    </row>
    <row r="53" spans="1:7" x14ac:dyDescent="0.25">
      <c r="B53" t="s">
        <v>203</v>
      </c>
      <c r="D53" s="143" t="s">
        <v>164</v>
      </c>
      <c r="F53" t="s">
        <v>204</v>
      </c>
      <c r="G53" s="296" t="s">
        <v>205</v>
      </c>
    </row>
    <row r="54" spans="1:7" x14ac:dyDescent="0.25">
      <c r="B54" t="s">
        <v>206</v>
      </c>
      <c r="D54" s="143" t="s">
        <v>164</v>
      </c>
      <c r="F54" t="s">
        <v>208</v>
      </c>
      <c r="G54" t="s">
        <v>207</v>
      </c>
    </row>
    <row r="55" spans="1:7" ht="30" x14ac:dyDescent="0.25">
      <c r="A55" s="295" t="s">
        <v>209</v>
      </c>
      <c r="B55" t="s">
        <v>210</v>
      </c>
      <c r="D55" s="143" t="s">
        <v>220</v>
      </c>
      <c r="F55" t="s">
        <v>222</v>
      </c>
      <c r="G55" t="s">
        <v>221</v>
      </c>
    </row>
    <row r="56" spans="1:7" x14ac:dyDescent="0.25">
      <c r="B56" t="s">
        <v>211</v>
      </c>
      <c r="D56" s="143" t="s">
        <v>220</v>
      </c>
      <c r="F56" t="s">
        <v>222</v>
      </c>
      <c r="G56" t="s">
        <v>221</v>
      </c>
    </row>
    <row r="57" spans="1:7" x14ac:dyDescent="0.25">
      <c r="B57" t="s">
        <v>212</v>
      </c>
      <c r="F57" t="s">
        <v>204</v>
      </c>
      <c r="G57" t="s">
        <v>221</v>
      </c>
    </row>
    <row r="58" spans="1:7" x14ac:dyDescent="0.25">
      <c r="B58" t="s">
        <v>213</v>
      </c>
      <c r="F58" t="s">
        <v>204</v>
      </c>
      <c r="G58" t="s">
        <v>221</v>
      </c>
    </row>
    <row r="59" spans="1:7" x14ac:dyDescent="0.25">
      <c r="B59" t="s">
        <v>214</v>
      </c>
      <c r="D59" s="143" t="s">
        <v>164</v>
      </c>
      <c r="F59" t="s">
        <v>222</v>
      </c>
      <c r="G59" t="s">
        <v>221</v>
      </c>
    </row>
    <row r="60" spans="1:7" x14ac:dyDescent="0.25">
      <c r="B60" t="s">
        <v>215</v>
      </c>
      <c r="F60" t="s">
        <v>204</v>
      </c>
      <c r="G60" t="s">
        <v>221</v>
      </c>
    </row>
    <row r="61" spans="1:7" ht="30" x14ac:dyDescent="0.25">
      <c r="A61" s="295" t="s">
        <v>216</v>
      </c>
      <c r="B61" t="s">
        <v>217</v>
      </c>
      <c r="D61" t="s">
        <v>229</v>
      </c>
      <c r="F61" t="s">
        <v>179</v>
      </c>
      <c r="G61" t="s">
        <v>180</v>
      </c>
    </row>
    <row r="62" spans="1:7" ht="30" customHeight="1" x14ac:dyDescent="0.25">
      <c r="A62" s="295" t="s">
        <v>218</v>
      </c>
      <c r="B62" s="667" t="s">
        <v>219</v>
      </c>
      <c r="C62" s="667"/>
      <c r="D62" s="299" t="s">
        <v>164</v>
      </c>
      <c r="E62" s="298"/>
      <c r="F62" t="s">
        <v>223</v>
      </c>
      <c r="G62" t="s">
        <v>224</v>
      </c>
    </row>
    <row r="63" spans="1:7" x14ac:dyDescent="0.25">
      <c r="B63" s="667"/>
      <c r="C63" s="667"/>
      <c r="D63" s="298"/>
      <c r="E63" s="298"/>
    </row>
    <row r="66" spans="2:19" x14ac:dyDescent="0.25">
      <c r="B66" s="143" t="s">
        <v>165</v>
      </c>
    </row>
    <row r="71" spans="2:19" x14ac:dyDescent="0.25">
      <c r="B71" s="143" t="s">
        <v>138</v>
      </c>
      <c r="L71" s="143" t="s">
        <v>138</v>
      </c>
      <c r="P71" s="143" t="s">
        <v>138</v>
      </c>
    </row>
    <row r="72" spans="2:19" x14ac:dyDescent="0.25">
      <c r="L72" t="s">
        <v>139</v>
      </c>
    </row>
    <row r="73" spans="2:19" ht="29.25" customHeight="1" x14ac:dyDescent="0.25">
      <c r="B73" s="668" t="s">
        <v>134</v>
      </c>
      <c r="C73" s="668"/>
      <c r="L73" s="668" t="s">
        <v>134</v>
      </c>
      <c r="M73" s="668"/>
      <c r="P73" s="667" t="s">
        <v>166</v>
      </c>
      <c r="Q73" s="667"/>
      <c r="R73" s="667"/>
      <c r="S73" s="667"/>
    </row>
    <row r="74" spans="2:19" x14ac:dyDescent="0.25">
      <c r="P74" s="667"/>
      <c r="Q74" s="667"/>
      <c r="R74" s="667"/>
      <c r="S74" s="667"/>
    </row>
    <row r="75" spans="2:19" x14ac:dyDescent="0.25">
      <c r="P75" t="s">
        <v>167</v>
      </c>
    </row>
    <row r="76" spans="2:19" x14ac:dyDescent="0.25">
      <c r="P76" s="143" t="s">
        <v>168</v>
      </c>
    </row>
    <row r="77" spans="2:19" x14ac:dyDescent="0.25">
      <c r="P77" s="143" t="s">
        <v>169</v>
      </c>
    </row>
    <row r="78" spans="2:19" x14ac:dyDescent="0.25">
      <c r="P78" t="s">
        <v>170</v>
      </c>
    </row>
  </sheetData>
  <mergeCells count="5">
    <mergeCell ref="L3:M3"/>
    <mergeCell ref="L73:M73"/>
    <mergeCell ref="B73:C73"/>
    <mergeCell ref="P73:S74"/>
    <mergeCell ref="B62:C6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0CAA2-C893-4A5A-99F3-2121E231D9B7}">
  <dimension ref="B3:AB73"/>
  <sheetViews>
    <sheetView showGridLines="0" zoomScale="80" zoomScaleNormal="80" workbookViewId="0">
      <selection activeCell="D36" sqref="D36"/>
    </sheetView>
  </sheetViews>
  <sheetFormatPr baseColWidth="10" defaultRowHeight="15" x14ac:dyDescent="0.25"/>
  <cols>
    <col min="2" max="2" width="37.7109375" customWidth="1"/>
    <col min="3" max="3" width="22" customWidth="1"/>
    <col min="4" max="4" width="84.5703125" customWidth="1"/>
    <col min="5" max="5" width="46" customWidth="1"/>
    <col min="6" max="7" width="29.7109375" customWidth="1"/>
    <col min="8" max="8" width="38.85546875" bestFit="1" customWidth="1"/>
    <col min="13" max="13" width="40.7109375" bestFit="1" customWidth="1"/>
    <col min="14" max="14" width="13.42578125" bestFit="1" customWidth="1"/>
    <col min="15" max="16" width="22.28515625" bestFit="1" customWidth="1"/>
    <col min="17" max="18" width="15" bestFit="1" customWidth="1"/>
    <col min="19" max="28" width="22.28515625" bestFit="1" customWidth="1"/>
    <col min="29" max="29" width="10" bestFit="1" customWidth="1"/>
    <col min="30" max="30" width="13" bestFit="1" customWidth="1"/>
  </cols>
  <sheetData>
    <row r="3" spans="2:8" x14ac:dyDescent="0.25">
      <c r="B3" s="300" t="s">
        <v>230</v>
      </c>
      <c r="C3" s="300" t="s">
        <v>233</v>
      </c>
      <c r="D3" s="300" t="s">
        <v>101</v>
      </c>
      <c r="E3" s="300" t="s">
        <v>234</v>
      </c>
      <c r="F3" s="300" t="s">
        <v>231</v>
      </c>
      <c r="G3" s="300" t="s">
        <v>258</v>
      </c>
      <c r="H3" s="300" t="s">
        <v>232</v>
      </c>
    </row>
    <row r="4" spans="2:8" x14ac:dyDescent="0.25">
      <c r="B4" s="284" t="s">
        <v>159</v>
      </c>
      <c r="C4" s="284" t="s">
        <v>122</v>
      </c>
      <c r="D4" s="297" t="s">
        <v>140</v>
      </c>
      <c r="E4" s="285" t="s">
        <v>126</v>
      </c>
      <c r="F4" s="284" t="s">
        <v>172</v>
      </c>
      <c r="G4" s="284"/>
      <c r="H4" s="284" t="s">
        <v>174</v>
      </c>
    </row>
    <row r="5" spans="2:8" x14ac:dyDescent="0.25">
      <c r="B5" s="284" t="s">
        <v>159</v>
      </c>
      <c r="C5" s="284" t="s">
        <v>122</v>
      </c>
      <c r="D5" s="297" t="s">
        <v>141</v>
      </c>
      <c r="E5" s="285" t="s">
        <v>126</v>
      </c>
      <c r="F5" s="284" t="s">
        <v>172</v>
      </c>
      <c r="G5" s="284"/>
      <c r="H5" s="284" t="s">
        <v>174</v>
      </c>
    </row>
    <row r="6" spans="2:8" x14ac:dyDescent="0.25">
      <c r="B6" s="284" t="s">
        <v>159</v>
      </c>
      <c r="C6" s="284" t="s">
        <v>122</v>
      </c>
      <c r="D6" s="297" t="s">
        <v>142</v>
      </c>
      <c r="E6" s="285" t="s">
        <v>126</v>
      </c>
      <c r="F6" s="284" t="s">
        <v>175</v>
      </c>
      <c r="G6" s="284"/>
      <c r="H6" s="284" t="s">
        <v>176</v>
      </c>
    </row>
    <row r="7" spans="2:8" x14ac:dyDescent="0.25">
      <c r="B7" s="284" t="s">
        <v>159</v>
      </c>
      <c r="C7" s="284" t="s">
        <v>122</v>
      </c>
      <c r="D7" s="297" t="s">
        <v>143</v>
      </c>
      <c r="E7" s="285" t="s">
        <v>126</v>
      </c>
      <c r="F7" s="284" t="s">
        <v>172</v>
      </c>
      <c r="G7" s="284"/>
      <c r="H7" s="284" t="s">
        <v>174</v>
      </c>
    </row>
    <row r="8" spans="2:8" x14ac:dyDescent="0.25">
      <c r="B8" s="284" t="s">
        <v>159</v>
      </c>
      <c r="C8" s="284" t="s">
        <v>122</v>
      </c>
      <c r="D8" s="297" t="s">
        <v>144</v>
      </c>
      <c r="E8" s="285" t="s">
        <v>126</v>
      </c>
      <c r="F8" s="284" t="s">
        <v>172</v>
      </c>
      <c r="G8" s="284"/>
      <c r="H8" s="284" t="s">
        <v>174</v>
      </c>
    </row>
    <row r="9" spans="2:8" x14ac:dyDescent="0.25">
      <c r="B9" s="284" t="s">
        <v>159</v>
      </c>
      <c r="C9" s="284" t="s">
        <v>122</v>
      </c>
      <c r="D9" s="297" t="s">
        <v>145</v>
      </c>
      <c r="E9" s="285" t="s">
        <v>126</v>
      </c>
      <c r="F9" s="284" t="s">
        <v>172</v>
      </c>
      <c r="G9" s="284"/>
      <c r="H9" s="284" t="s">
        <v>174</v>
      </c>
    </row>
    <row r="10" spans="2:8" x14ac:dyDescent="0.25">
      <c r="B10" s="284" t="s">
        <v>159</v>
      </c>
      <c r="C10" s="284" t="s">
        <v>122</v>
      </c>
      <c r="D10" s="297" t="s">
        <v>146</v>
      </c>
      <c r="E10" s="285" t="s">
        <v>126</v>
      </c>
      <c r="F10" s="284" t="s">
        <v>172</v>
      </c>
      <c r="G10" s="284"/>
      <c r="H10" s="284" t="s">
        <v>174</v>
      </c>
    </row>
    <row r="11" spans="2:8" x14ac:dyDescent="0.25">
      <c r="B11" s="284" t="s">
        <v>159</v>
      </c>
      <c r="C11" s="284" t="s">
        <v>122</v>
      </c>
      <c r="D11" s="297" t="s">
        <v>147</v>
      </c>
      <c r="E11" s="285" t="s">
        <v>126</v>
      </c>
      <c r="F11" s="284" t="s">
        <v>172</v>
      </c>
      <c r="G11" s="284"/>
      <c r="H11" s="284" t="s">
        <v>174</v>
      </c>
    </row>
    <row r="12" spans="2:8" x14ac:dyDescent="0.25">
      <c r="B12" s="284" t="s">
        <v>158</v>
      </c>
      <c r="C12" s="284" t="s">
        <v>122</v>
      </c>
      <c r="D12" s="297" t="s">
        <v>96</v>
      </c>
      <c r="E12" s="285" t="s">
        <v>126</v>
      </c>
      <c r="F12" s="284" t="s">
        <v>175</v>
      </c>
      <c r="G12" s="284"/>
      <c r="H12" s="284" t="s">
        <v>176</v>
      </c>
    </row>
    <row r="13" spans="2:8" x14ac:dyDescent="0.25">
      <c r="B13" s="284" t="s">
        <v>158</v>
      </c>
      <c r="C13" s="284" t="s">
        <v>122</v>
      </c>
      <c r="D13" s="297" t="s">
        <v>148</v>
      </c>
      <c r="E13" s="285" t="s">
        <v>126</v>
      </c>
      <c r="F13" s="284" t="s">
        <v>175</v>
      </c>
      <c r="G13" s="284"/>
      <c r="H13" s="284" t="s">
        <v>176</v>
      </c>
    </row>
    <row r="14" spans="2:8" x14ac:dyDescent="0.25">
      <c r="B14" s="284" t="s">
        <v>158</v>
      </c>
      <c r="C14" s="284" t="s">
        <v>122</v>
      </c>
      <c r="D14" s="297" t="s">
        <v>149</v>
      </c>
      <c r="E14" s="285" t="s">
        <v>126</v>
      </c>
      <c r="F14" s="284" t="s">
        <v>175</v>
      </c>
      <c r="G14" s="284"/>
      <c r="H14" s="284" t="s">
        <v>176</v>
      </c>
    </row>
    <row r="15" spans="2:8" x14ac:dyDescent="0.25">
      <c r="B15" s="284" t="s">
        <v>158</v>
      </c>
      <c r="C15" s="284" t="s">
        <v>122</v>
      </c>
      <c r="D15" s="297" t="s">
        <v>150</v>
      </c>
      <c r="E15" s="285" t="s">
        <v>126</v>
      </c>
      <c r="F15" s="284" t="s">
        <v>175</v>
      </c>
      <c r="G15" s="284"/>
      <c r="H15" s="284" t="s">
        <v>176</v>
      </c>
    </row>
    <row r="16" spans="2:8" x14ac:dyDescent="0.25">
      <c r="B16" s="284" t="s">
        <v>158</v>
      </c>
      <c r="C16" s="284" t="s">
        <v>122</v>
      </c>
      <c r="D16" s="297" t="s">
        <v>98</v>
      </c>
      <c r="E16" s="285" t="s">
        <v>126</v>
      </c>
      <c r="F16" s="284" t="s">
        <v>175</v>
      </c>
      <c r="G16" s="284"/>
      <c r="H16" s="284" t="s">
        <v>176</v>
      </c>
    </row>
    <row r="17" spans="2:28" x14ac:dyDescent="0.25">
      <c r="B17" s="284" t="s">
        <v>158</v>
      </c>
      <c r="C17" s="284" t="s">
        <v>122</v>
      </c>
      <c r="D17" s="297" t="s">
        <v>151</v>
      </c>
      <c r="E17" s="285" t="s">
        <v>126</v>
      </c>
      <c r="F17" s="284" t="s">
        <v>175</v>
      </c>
      <c r="G17" s="284"/>
      <c r="H17" s="284" t="s">
        <v>176</v>
      </c>
    </row>
    <row r="18" spans="2:28" x14ac:dyDescent="0.25">
      <c r="B18" s="284" t="s">
        <v>158</v>
      </c>
      <c r="C18" s="284" t="s">
        <v>122</v>
      </c>
      <c r="D18" s="297" t="s">
        <v>99</v>
      </c>
      <c r="E18" s="285" t="s">
        <v>126</v>
      </c>
      <c r="F18" s="284" t="s">
        <v>175</v>
      </c>
      <c r="G18" s="284"/>
      <c r="H18" s="284" t="s">
        <v>176</v>
      </c>
    </row>
    <row r="19" spans="2:28" x14ac:dyDescent="0.25">
      <c r="B19" s="284" t="s">
        <v>158</v>
      </c>
      <c r="C19" s="284" t="s">
        <v>122</v>
      </c>
      <c r="D19" s="297" t="s">
        <v>152</v>
      </c>
      <c r="E19" s="285" t="s">
        <v>126</v>
      </c>
      <c r="F19" s="284" t="s">
        <v>172</v>
      </c>
      <c r="G19" s="284"/>
      <c r="H19" s="284" t="s">
        <v>174</v>
      </c>
    </row>
    <row r="20" spans="2:28" x14ac:dyDescent="0.25">
      <c r="B20" s="284" t="s">
        <v>158</v>
      </c>
      <c r="C20" s="284" t="s">
        <v>122</v>
      </c>
      <c r="D20" s="297" t="s">
        <v>153</v>
      </c>
      <c r="E20" s="285" t="s">
        <v>126</v>
      </c>
      <c r="F20" s="284" t="s">
        <v>172</v>
      </c>
      <c r="G20" s="284"/>
      <c r="H20" s="284" t="s">
        <v>174</v>
      </c>
      <c r="M20" s="235" t="s">
        <v>230</v>
      </c>
      <c r="N20" t="s">
        <v>120</v>
      </c>
    </row>
    <row r="21" spans="2:28" x14ac:dyDescent="0.25">
      <c r="B21" s="284" t="s">
        <v>158</v>
      </c>
      <c r="C21" s="284" t="s">
        <v>122</v>
      </c>
      <c r="D21" s="297" t="s">
        <v>154</v>
      </c>
      <c r="E21" s="285" t="s">
        <v>177</v>
      </c>
      <c r="F21" s="284" t="s">
        <v>172</v>
      </c>
      <c r="G21" s="284"/>
      <c r="H21" s="284" t="s">
        <v>178</v>
      </c>
      <c r="M21" s="235" t="s">
        <v>232</v>
      </c>
      <c r="N21" t="s">
        <v>120</v>
      </c>
    </row>
    <row r="22" spans="2:28" x14ac:dyDescent="0.25">
      <c r="B22" s="284" t="s">
        <v>158</v>
      </c>
      <c r="C22" s="284" t="s">
        <v>122</v>
      </c>
      <c r="D22" s="297" t="s">
        <v>155</v>
      </c>
      <c r="E22" s="285" t="s">
        <v>177</v>
      </c>
      <c r="F22" s="284" t="s">
        <v>172</v>
      </c>
      <c r="G22" s="284"/>
      <c r="H22" s="284" t="s">
        <v>178</v>
      </c>
    </row>
    <row r="23" spans="2:28" ht="15" customHeight="1" x14ac:dyDescent="0.25">
      <c r="B23" s="284" t="s">
        <v>158</v>
      </c>
      <c r="C23" s="284" t="s">
        <v>122</v>
      </c>
      <c r="D23" s="297" t="s">
        <v>156</v>
      </c>
      <c r="E23" s="285" t="s">
        <v>177</v>
      </c>
      <c r="F23" s="284" t="s">
        <v>172</v>
      </c>
      <c r="G23" s="284"/>
      <c r="H23" s="284" t="s">
        <v>178</v>
      </c>
      <c r="O23" s="235" t="s">
        <v>234</v>
      </c>
      <c r="P23" s="235" t="s">
        <v>238</v>
      </c>
      <c r="S23" s="669" t="s">
        <v>346</v>
      </c>
      <c r="T23" s="669" t="s">
        <v>349</v>
      </c>
      <c r="U23" s="669" t="s">
        <v>350</v>
      </c>
      <c r="V23" s="669" t="s">
        <v>351</v>
      </c>
      <c r="W23" s="669" t="s">
        <v>352</v>
      </c>
      <c r="X23" s="669" t="s">
        <v>353</v>
      </c>
      <c r="Y23" s="669" t="s">
        <v>354</v>
      </c>
      <c r="Z23" s="669" t="s">
        <v>355</v>
      </c>
      <c r="AA23" s="669" t="s">
        <v>119</v>
      </c>
      <c r="AB23" s="284"/>
    </row>
    <row r="24" spans="2:28" ht="30" x14ac:dyDescent="0.25">
      <c r="B24" s="284" t="s">
        <v>158</v>
      </c>
      <c r="C24" s="284" t="s">
        <v>122</v>
      </c>
      <c r="D24" s="297" t="s">
        <v>157</v>
      </c>
      <c r="E24" s="285" t="s">
        <v>177</v>
      </c>
      <c r="F24" s="284" t="s">
        <v>172</v>
      </c>
      <c r="G24" s="284"/>
      <c r="H24" s="284" t="s">
        <v>178</v>
      </c>
      <c r="O24" s="301" t="s">
        <v>126</v>
      </c>
      <c r="P24" s="301"/>
      <c r="Q24" s="301" t="s">
        <v>239</v>
      </c>
      <c r="R24" s="301" t="s">
        <v>240</v>
      </c>
      <c r="S24" s="669"/>
      <c r="T24" s="669"/>
      <c r="U24" s="669"/>
      <c r="V24" s="669"/>
      <c r="W24" s="669"/>
      <c r="X24" s="669"/>
      <c r="Y24" s="669"/>
      <c r="Z24" s="669"/>
      <c r="AA24" s="669"/>
      <c r="AB24" s="284"/>
    </row>
    <row r="25" spans="2:28" x14ac:dyDescent="0.25">
      <c r="B25" s="284" t="s">
        <v>160</v>
      </c>
      <c r="C25" s="284" t="s">
        <v>122</v>
      </c>
      <c r="D25" s="297" t="s">
        <v>17</v>
      </c>
      <c r="E25" s="285" t="s">
        <v>126</v>
      </c>
      <c r="F25" s="284" t="s">
        <v>179</v>
      </c>
      <c r="G25" s="284"/>
      <c r="H25" s="284" t="s">
        <v>180</v>
      </c>
      <c r="M25" s="329" t="s">
        <v>231</v>
      </c>
      <c r="N25" s="235" t="s">
        <v>101</v>
      </c>
      <c r="O25" t="s">
        <v>121</v>
      </c>
      <c r="P25" t="s">
        <v>241</v>
      </c>
      <c r="Q25" s="301"/>
      <c r="R25" s="301"/>
      <c r="S25" s="669"/>
      <c r="T25" s="669"/>
      <c r="U25" s="669"/>
      <c r="V25" s="669"/>
      <c r="W25" s="669"/>
      <c r="X25" s="669"/>
      <c r="Y25" s="669"/>
      <c r="Z25" s="669"/>
      <c r="AA25" s="669"/>
      <c r="AB25" s="284"/>
    </row>
    <row r="26" spans="2:28" x14ac:dyDescent="0.25">
      <c r="B26" s="284" t="s">
        <v>160</v>
      </c>
      <c r="C26" s="284" t="s">
        <v>122</v>
      </c>
      <c r="D26" s="297" t="s">
        <v>181</v>
      </c>
      <c r="E26" s="285" t="s">
        <v>164</v>
      </c>
      <c r="F26" s="284" t="s">
        <v>179</v>
      </c>
      <c r="G26" s="284"/>
      <c r="H26" s="284" t="s">
        <v>180</v>
      </c>
      <c r="M26" s="143" t="s">
        <v>115</v>
      </c>
      <c r="O26" s="290">
        <v>3</v>
      </c>
      <c r="P26" s="291">
        <v>5.5555555555555552E-2</v>
      </c>
      <c r="Q26" s="290">
        <v>3</v>
      </c>
      <c r="R26" s="291">
        <v>5.5555555555555552E-2</v>
      </c>
      <c r="S26" s="284"/>
      <c r="T26" s="284"/>
      <c r="U26" s="284"/>
      <c r="V26" s="284"/>
      <c r="W26" s="284"/>
      <c r="X26" s="284"/>
      <c r="Y26" s="284"/>
      <c r="Z26" s="284"/>
      <c r="AA26" s="284"/>
      <c r="AB26" s="284"/>
    </row>
    <row r="27" spans="2:28" ht="90" x14ac:dyDescent="0.25">
      <c r="B27" s="284" t="s">
        <v>163</v>
      </c>
      <c r="C27" s="284" t="s">
        <v>122</v>
      </c>
      <c r="D27" s="297" t="s">
        <v>161</v>
      </c>
      <c r="E27" s="285" t="s">
        <v>126</v>
      </c>
      <c r="F27" s="284" t="s">
        <v>183</v>
      </c>
      <c r="G27" s="284"/>
      <c r="H27" s="284" t="s">
        <v>254</v>
      </c>
      <c r="M27" s="143" t="s">
        <v>172</v>
      </c>
      <c r="O27" s="290">
        <v>15</v>
      </c>
      <c r="P27" s="291">
        <v>0.27777777777777779</v>
      </c>
      <c r="Q27" s="290">
        <v>15</v>
      </c>
      <c r="R27" s="291">
        <v>0.27777777777777779</v>
      </c>
      <c r="S27" s="479" t="s">
        <v>344</v>
      </c>
      <c r="T27" s="480">
        <v>44691</v>
      </c>
      <c r="U27" s="481">
        <v>44721</v>
      </c>
      <c r="V27" s="481">
        <v>44754</v>
      </c>
      <c r="W27" s="481">
        <v>44782</v>
      </c>
      <c r="X27" s="481">
        <v>44813</v>
      </c>
      <c r="Y27" s="481">
        <v>44845</v>
      </c>
      <c r="Z27" s="481">
        <v>44875</v>
      </c>
      <c r="AA27" s="481">
        <v>44907</v>
      </c>
      <c r="AB27" s="284"/>
    </row>
    <row r="28" spans="2:28" x14ac:dyDescent="0.25">
      <c r="B28" s="284" t="s">
        <v>163</v>
      </c>
      <c r="C28" s="284" t="s">
        <v>122</v>
      </c>
      <c r="D28" s="297" t="s">
        <v>162</v>
      </c>
      <c r="E28" s="285" t="s">
        <v>126</v>
      </c>
      <c r="F28" s="284" t="s">
        <v>183</v>
      </c>
      <c r="G28" s="284"/>
      <c r="H28" s="284" t="s">
        <v>254</v>
      </c>
      <c r="M28" s="143" t="s">
        <v>196</v>
      </c>
      <c r="O28" s="290">
        <v>3</v>
      </c>
      <c r="P28" s="291">
        <v>5.5555555555555552E-2</v>
      </c>
      <c r="Q28" s="290">
        <v>3</v>
      </c>
      <c r="R28" s="291">
        <v>5.5555555555555552E-2</v>
      </c>
      <c r="S28" s="284"/>
      <c r="T28" s="284"/>
      <c r="U28" s="284"/>
      <c r="V28" s="284"/>
      <c r="W28" s="284"/>
      <c r="X28" s="284"/>
      <c r="Y28" s="284"/>
      <c r="Z28" s="284"/>
      <c r="AA28" s="284"/>
      <c r="AB28" s="284"/>
    </row>
    <row r="29" spans="2:28" ht="27" customHeight="1" x14ac:dyDescent="0.25">
      <c r="B29" s="284" t="s">
        <v>163</v>
      </c>
      <c r="C29" s="284" t="s">
        <v>122</v>
      </c>
      <c r="D29" s="297" t="s">
        <v>18</v>
      </c>
      <c r="E29" s="285" t="s">
        <v>126</v>
      </c>
      <c r="F29" s="284" t="s">
        <v>179</v>
      </c>
      <c r="G29" s="284"/>
      <c r="H29" s="284" t="s">
        <v>180</v>
      </c>
      <c r="M29" s="143" t="s">
        <v>179</v>
      </c>
      <c r="O29" s="290">
        <v>4</v>
      </c>
      <c r="P29" s="291">
        <v>7.407407407407407E-2</v>
      </c>
      <c r="Q29" s="290">
        <v>4</v>
      </c>
      <c r="R29" s="291">
        <v>7.407407407407407E-2</v>
      </c>
      <c r="S29" s="479" t="s">
        <v>345</v>
      </c>
      <c r="T29" s="284"/>
      <c r="U29" s="284"/>
      <c r="V29" s="284"/>
      <c r="W29" s="284"/>
      <c r="X29" s="284"/>
      <c r="Y29" s="284"/>
      <c r="Z29" s="284"/>
      <c r="AA29" s="284"/>
      <c r="AB29" s="284"/>
    </row>
    <row r="30" spans="2:28" x14ac:dyDescent="0.25">
      <c r="B30" s="284" t="s">
        <v>187</v>
      </c>
      <c r="C30" s="284" t="s">
        <v>122</v>
      </c>
      <c r="D30" s="297" t="s">
        <v>184</v>
      </c>
      <c r="E30" s="285" t="s">
        <v>126</v>
      </c>
      <c r="F30" s="284" t="s">
        <v>190</v>
      </c>
      <c r="G30" s="284"/>
      <c r="H30" s="284" t="s">
        <v>189</v>
      </c>
      <c r="M30" s="143" t="s">
        <v>192</v>
      </c>
      <c r="O30" s="290">
        <v>2</v>
      </c>
      <c r="P30" s="291">
        <v>3.7037037037037035E-2</v>
      </c>
      <c r="Q30" s="290">
        <v>2</v>
      </c>
      <c r="R30" s="291">
        <v>3.7037037037037035E-2</v>
      </c>
      <c r="S30" s="284"/>
      <c r="T30" s="284"/>
      <c r="U30" s="284"/>
      <c r="V30" s="284"/>
      <c r="W30" s="284"/>
      <c r="X30" s="284"/>
      <c r="Y30" s="284"/>
      <c r="Z30" s="284"/>
      <c r="AA30" s="284"/>
      <c r="AB30" s="284"/>
    </row>
    <row r="31" spans="2:28" x14ac:dyDescent="0.25">
      <c r="B31" s="284" t="s">
        <v>187</v>
      </c>
      <c r="C31" s="284" t="s">
        <v>122</v>
      </c>
      <c r="D31" s="297" t="s">
        <v>185</v>
      </c>
      <c r="E31" s="285" t="s">
        <v>126</v>
      </c>
      <c r="F31" s="284" t="s">
        <v>192</v>
      </c>
      <c r="G31" s="284"/>
      <c r="H31" s="284" t="s">
        <v>191</v>
      </c>
      <c r="M31" s="143" t="s">
        <v>175</v>
      </c>
      <c r="O31" s="290">
        <v>17</v>
      </c>
      <c r="P31" s="291">
        <v>0.31481481481481483</v>
      </c>
      <c r="Q31" s="290">
        <v>17</v>
      </c>
      <c r="R31" s="291">
        <v>0.31481481481481483</v>
      </c>
      <c r="S31" s="479" t="s">
        <v>347</v>
      </c>
      <c r="T31" s="481">
        <v>44693</v>
      </c>
      <c r="U31" s="481">
        <v>44694</v>
      </c>
      <c r="V31" s="481">
        <v>44754</v>
      </c>
      <c r="W31" s="481">
        <v>44785</v>
      </c>
      <c r="X31" s="481">
        <v>44817</v>
      </c>
      <c r="Y31" s="481">
        <v>44847</v>
      </c>
      <c r="Z31" s="481">
        <v>44876</v>
      </c>
      <c r="AA31" s="481">
        <v>44908</v>
      </c>
      <c r="AB31" s="284"/>
    </row>
    <row r="32" spans="2:28" x14ac:dyDescent="0.25">
      <c r="B32" s="284" t="s">
        <v>187</v>
      </c>
      <c r="C32" s="284" t="s">
        <v>122</v>
      </c>
      <c r="D32" s="297" t="s">
        <v>186</v>
      </c>
      <c r="E32" s="285" t="s">
        <v>126</v>
      </c>
      <c r="F32" s="284" t="s">
        <v>192</v>
      </c>
      <c r="G32" s="284"/>
      <c r="H32" s="284" t="s">
        <v>191</v>
      </c>
      <c r="M32" s="143" t="s">
        <v>190</v>
      </c>
      <c r="O32" s="290">
        <v>1</v>
      </c>
      <c r="P32" s="291">
        <v>1.8518518518518517E-2</v>
      </c>
      <c r="Q32" s="290">
        <v>1</v>
      </c>
      <c r="R32" s="291">
        <v>1.8518518518518517E-2</v>
      </c>
      <c r="S32" s="284"/>
      <c r="T32" s="284"/>
      <c r="U32" s="284"/>
      <c r="V32" s="284"/>
      <c r="W32" s="284"/>
      <c r="X32" s="284"/>
      <c r="Y32" s="284"/>
      <c r="Z32" s="284"/>
      <c r="AA32" s="284"/>
      <c r="AB32" s="284"/>
    </row>
    <row r="33" spans="2:28" ht="30" customHeight="1" x14ac:dyDescent="0.25">
      <c r="B33" s="284" t="s">
        <v>187</v>
      </c>
      <c r="C33" s="284" t="s">
        <v>122</v>
      </c>
      <c r="D33" s="297" t="s">
        <v>193</v>
      </c>
      <c r="E33" s="285" t="s">
        <v>126</v>
      </c>
      <c r="F33" s="284" t="s">
        <v>196</v>
      </c>
      <c r="G33" s="284"/>
      <c r="H33" s="284" t="s">
        <v>197</v>
      </c>
      <c r="M33" s="143" t="s">
        <v>183</v>
      </c>
      <c r="O33" s="290">
        <v>7</v>
      </c>
      <c r="P33" s="291">
        <v>0.12962962962962962</v>
      </c>
      <c r="Q33" s="290">
        <v>7</v>
      </c>
      <c r="R33" s="291">
        <v>0.12962962962962962</v>
      </c>
      <c r="S33" s="479" t="s">
        <v>348</v>
      </c>
      <c r="T33" s="481">
        <v>44693</v>
      </c>
      <c r="U33" s="481">
        <v>44694</v>
      </c>
      <c r="V33" s="481">
        <v>44755</v>
      </c>
      <c r="W33" s="481">
        <v>44785</v>
      </c>
      <c r="X33" s="481">
        <v>44817</v>
      </c>
      <c r="Y33" s="481">
        <v>44847</v>
      </c>
      <c r="Z33" s="481">
        <v>44876</v>
      </c>
      <c r="AA33" s="481">
        <v>44908</v>
      </c>
      <c r="AB33" s="284"/>
    </row>
    <row r="34" spans="2:28" x14ac:dyDescent="0.25">
      <c r="B34" s="284" t="s">
        <v>187</v>
      </c>
      <c r="C34" s="284" t="s">
        <v>122</v>
      </c>
      <c r="D34" s="297" t="s">
        <v>194</v>
      </c>
      <c r="E34" s="285" t="s">
        <v>126</v>
      </c>
      <c r="F34" s="284" t="s">
        <v>196</v>
      </c>
      <c r="G34" s="284"/>
      <c r="H34" s="284" t="s">
        <v>197</v>
      </c>
      <c r="M34" s="143" t="s">
        <v>252</v>
      </c>
      <c r="O34" s="290">
        <v>1</v>
      </c>
      <c r="P34" s="291">
        <v>1.8518518518518517E-2</v>
      </c>
      <c r="Q34" s="290">
        <v>1</v>
      </c>
      <c r="R34" s="291">
        <v>1.8518518518518517E-2</v>
      </c>
      <c r="S34" s="284"/>
      <c r="T34" s="284"/>
      <c r="U34" s="284"/>
      <c r="V34" s="284"/>
      <c r="W34" s="284"/>
      <c r="X34" s="284"/>
      <c r="Y34" s="284"/>
      <c r="Z34" s="284"/>
      <c r="AA34" s="284"/>
      <c r="AB34" s="284"/>
    </row>
    <row r="35" spans="2:28" ht="30" x14ac:dyDescent="0.25">
      <c r="B35" s="284" t="s">
        <v>187</v>
      </c>
      <c r="C35" s="284" t="s">
        <v>122</v>
      </c>
      <c r="D35" s="297" t="s">
        <v>195</v>
      </c>
      <c r="E35" s="285" t="s">
        <v>126</v>
      </c>
      <c r="F35" s="284" t="s">
        <v>196</v>
      </c>
      <c r="G35" s="284"/>
      <c r="H35" s="284" t="s">
        <v>197</v>
      </c>
      <c r="M35" s="295" t="s">
        <v>257</v>
      </c>
      <c r="O35" s="290">
        <v>1</v>
      </c>
      <c r="P35" s="291">
        <v>1.8518518518518517E-2</v>
      </c>
      <c r="Q35" s="290">
        <v>1</v>
      </c>
      <c r="R35" s="291">
        <v>1.8518518518518517E-2</v>
      </c>
      <c r="S35" s="284"/>
      <c r="T35" s="284"/>
      <c r="U35" s="284"/>
      <c r="V35" s="284"/>
      <c r="W35" s="284"/>
      <c r="X35" s="284"/>
      <c r="Y35" s="284"/>
      <c r="Z35" s="284"/>
      <c r="AA35" s="284"/>
      <c r="AB35" s="284"/>
    </row>
    <row r="36" spans="2:28" x14ac:dyDescent="0.25">
      <c r="B36" s="284" t="s">
        <v>188</v>
      </c>
      <c r="C36" s="284" t="s">
        <v>122</v>
      </c>
      <c r="D36" s="297" t="s">
        <v>20</v>
      </c>
      <c r="E36" s="285" t="s">
        <v>126</v>
      </c>
      <c r="F36" s="284" t="s">
        <v>183</v>
      </c>
      <c r="G36" s="284"/>
      <c r="H36" s="284" t="s">
        <v>254</v>
      </c>
      <c r="M36" t="s">
        <v>105</v>
      </c>
      <c r="O36" s="290">
        <v>54</v>
      </c>
      <c r="P36" s="291">
        <v>1</v>
      </c>
      <c r="Q36" s="290">
        <v>54</v>
      </c>
      <c r="R36" s="291">
        <v>1</v>
      </c>
    </row>
    <row r="37" spans="2:28" ht="30" x14ac:dyDescent="0.25">
      <c r="B37" s="284" t="s">
        <v>198</v>
      </c>
      <c r="C37" s="284" t="s">
        <v>122</v>
      </c>
      <c r="D37" s="297" t="s">
        <v>199</v>
      </c>
      <c r="E37" s="285" t="s">
        <v>164</v>
      </c>
      <c r="F37" s="297" t="s">
        <v>201</v>
      </c>
      <c r="G37" s="297"/>
      <c r="H37" s="297" t="s">
        <v>200</v>
      </c>
    </row>
    <row r="38" spans="2:28" x14ac:dyDescent="0.25">
      <c r="B38" s="284" t="s">
        <v>198</v>
      </c>
      <c r="C38" s="284" t="s">
        <v>122</v>
      </c>
      <c r="D38" s="297" t="s">
        <v>203</v>
      </c>
      <c r="E38" s="285"/>
      <c r="F38" s="284" t="s">
        <v>204</v>
      </c>
      <c r="G38" s="284"/>
      <c r="H38" s="284" t="s">
        <v>205</v>
      </c>
    </row>
    <row r="39" spans="2:28" x14ac:dyDescent="0.25">
      <c r="B39" s="284" t="s">
        <v>198</v>
      </c>
      <c r="C39" s="284" t="s">
        <v>122</v>
      </c>
      <c r="D39" s="297" t="s">
        <v>206</v>
      </c>
      <c r="E39" s="285" t="s">
        <v>164</v>
      </c>
      <c r="F39" s="284" t="s">
        <v>208</v>
      </c>
      <c r="G39" s="284"/>
      <c r="H39" s="284" t="s">
        <v>207</v>
      </c>
    </row>
    <row r="40" spans="2:28" x14ac:dyDescent="0.25">
      <c r="B40" s="284" t="s">
        <v>209</v>
      </c>
      <c r="C40" s="284" t="s">
        <v>122</v>
      </c>
      <c r="D40" s="297" t="s">
        <v>210</v>
      </c>
      <c r="E40" s="285" t="s">
        <v>220</v>
      </c>
      <c r="F40" s="284" t="s">
        <v>222</v>
      </c>
      <c r="G40" s="284"/>
      <c r="H40" s="284" t="s">
        <v>221</v>
      </c>
    </row>
    <row r="41" spans="2:28" x14ac:dyDescent="0.25">
      <c r="B41" s="284" t="s">
        <v>209</v>
      </c>
      <c r="C41" s="284" t="s">
        <v>122</v>
      </c>
      <c r="D41" s="297" t="s">
        <v>211</v>
      </c>
      <c r="E41" s="285" t="s">
        <v>220</v>
      </c>
      <c r="F41" s="284" t="s">
        <v>222</v>
      </c>
      <c r="G41" s="284"/>
      <c r="H41" s="284" t="s">
        <v>221</v>
      </c>
    </row>
    <row r="42" spans="2:28" x14ac:dyDescent="0.25">
      <c r="B42" s="284" t="s">
        <v>209</v>
      </c>
      <c r="C42" s="284" t="s">
        <v>122</v>
      </c>
      <c r="D42" s="297" t="s">
        <v>212</v>
      </c>
      <c r="E42" s="285" t="s">
        <v>204</v>
      </c>
      <c r="F42" s="284" t="s">
        <v>204</v>
      </c>
      <c r="G42" s="284"/>
      <c r="H42" s="284" t="s">
        <v>221</v>
      </c>
    </row>
    <row r="43" spans="2:28" x14ac:dyDescent="0.25">
      <c r="B43" s="284" t="s">
        <v>209</v>
      </c>
      <c r="C43" s="284" t="s">
        <v>122</v>
      </c>
      <c r="D43" s="297" t="s">
        <v>213</v>
      </c>
      <c r="E43" s="285" t="s">
        <v>204</v>
      </c>
      <c r="F43" s="284" t="s">
        <v>204</v>
      </c>
      <c r="G43" s="284"/>
      <c r="H43" s="284" t="s">
        <v>221</v>
      </c>
    </row>
    <row r="44" spans="2:28" x14ac:dyDescent="0.25">
      <c r="B44" s="284" t="s">
        <v>209</v>
      </c>
      <c r="C44" s="284" t="s">
        <v>122</v>
      </c>
      <c r="D44" s="297" t="s">
        <v>214</v>
      </c>
      <c r="E44" s="285" t="s">
        <v>164</v>
      </c>
      <c r="F44" s="284" t="s">
        <v>222</v>
      </c>
      <c r="G44" s="284"/>
      <c r="H44" s="284" t="s">
        <v>221</v>
      </c>
    </row>
    <row r="45" spans="2:28" x14ac:dyDescent="0.25">
      <c r="B45" s="284" t="s">
        <v>209</v>
      </c>
      <c r="C45" s="284" t="s">
        <v>122</v>
      </c>
      <c r="D45" s="297" t="s">
        <v>215</v>
      </c>
      <c r="E45" s="285" t="s">
        <v>204</v>
      </c>
      <c r="F45" s="288" t="s">
        <v>204</v>
      </c>
      <c r="G45" s="288"/>
      <c r="H45" s="284" t="s">
        <v>221</v>
      </c>
    </row>
    <row r="46" spans="2:28" x14ac:dyDescent="0.25">
      <c r="B46" s="284" t="s">
        <v>216</v>
      </c>
      <c r="C46" s="284" t="s">
        <v>122</v>
      </c>
      <c r="D46" s="297" t="s">
        <v>217</v>
      </c>
      <c r="E46" s="285" t="s">
        <v>229</v>
      </c>
      <c r="F46" s="284" t="s">
        <v>179</v>
      </c>
      <c r="G46" s="284"/>
      <c r="H46" s="284" t="s">
        <v>180</v>
      </c>
    </row>
    <row r="47" spans="2:28" x14ac:dyDescent="0.25">
      <c r="B47" s="284" t="s">
        <v>218</v>
      </c>
      <c r="C47" s="284" t="s">
        <v>122</v>
      </c>
      <c r="D47" s="297" t="s">
        <v>219</v>
      </c>
      <c r="E47" s="285" t="s">
        <v>164</v>
      </c>
      <c r="F47" s="284" t="s">
        <v>223</v>
      </c>
      <c r="G47" s="284"/>
      <c r="H47" s="284" t="s">
        <v>224</v>
      </c>
    </row>
    <row r="48" spans="2:28" x14ac:dyDescent="0.25">
      <c r="B48" s="284" t="s">
        <v>159</v>
      </c>
      <c r="C48" s="284" t="s">
        <v>235</v>
      </c>
      <c r="D48" s="297" t="s">
        <v>106</v>
      </c>
      <c r="E48" s="285" t="s">
        <v>126</v>
      </c>
      <c r="F48" s="284" t="s">
        <v>172</v>
      </c>
      <c r="G48" s="284"/>
      <c r="H48" s="284" t="s">
        <v>174</v>
      </c>
    </row>
    <row r="49" spans="2:8" x14ac:dyDescent="0.25">
      <c r="B49" s="284" t="s">
        <v>159</v>
      </c>
      <c r="C49" s="284" t="s">
        <v>235</v>
      </c>
      <c r="D49" s="297" t="s">
        <v>13</v>
      </c>
      <c r="E49" s="285" t="s">
        <v>126</v>
      </c>
      <c r="F49" s="284" t="s">
        <v>172</v>
      </c>
      <c r="G49" s="284"/>
      <c r="H49" s="284" t="s">
        <v>174</v>
      </c>
    </row>
    <row r="50" spans="2:8" x14ac:dyDescent="0.25">
      <c r="B50" s="284" t="s">
        <v>159</v>
      </c>
      <c r="C50" s="284" t="s">
        <v>235</v>
      </c>
      <c r="D50" s="297" t="s">
        <v>14</v>
      </c>
      <c r="E50" s="285" t="s">
        <v>126</v>
      </c>
      <c r="F50" s="284" t="s">
        <v>172</v>
      </c>
      <c r="G50" s="284"/>
      <c r="H50" s="284" t="s">
        <v>174</v>
      </c>
    </row>
    <row r="51" spans="2:8" x14ac:dyDescent="0.25">
      <c r="B51" s="284" t="s">
        <v>159</v>
      </c>
      <c r="C51" s="284" t="s">
        <v>235</v>
      </c>
      <c r="D51" s="297" t="s">
        <v>15</v>
      </c>
      <c r="E51" s="285" t="s">
        <v>126</v>
      </c>
      <c r="F51" s="284" t="s">
        <v>172</v>
      </c>
      <c r="G51" s="284"/>
      <c r="H51" s="284" t="s">
        <v>174</v>
      </c>
    </row>
    <row r="52" spans="2:8" x14ac:dyDescent="0.25">
      <c r="B52" s="284" t="s">
        <v>159</v>
      </c>
      <c r="C52" s="284" t="s">
        <v>235</v>
      </c>
      <c r="D52" s="297" t="s">
        <v>16</v>
      </c>
      <c r="E52" s="285" t="s">
        <v>126</v>
      </c>
      <c r="F52" s="284" t="s">
        <v>172</v>
      </c>
      <c r="G52" s="284"/>
      <c r="H52" s="284" t="s">
        <v>174</v>
      </c>
    </row>
    <row r="53" spans="2:8" x14ac:dyDescent="0.25">
      <c r="B53" s="284" t="s">
        <v>160</v>
      </c>
      <c r="C53" s="284" t="s">
        <v>235</v>
      </c>
      <c r="D53" s="297" t="s">
        <v>17</v>
      </c>
      <c r="E53" s="285" t="s">
        <v>126</v>
      </c>
      <c r="F53" s="284" t="s">
        <v>179</v>
      </c>
      <c r="G53" s="284"/>
      <c r="H53" s="284" t="s">
        <v>180</v>
      </c>
    </row>
    <row r="54" spans="2:8" x14ac:dyDescent="0.25">
      <c r="B54" s="284" t="s">
        <v>163</v>
      </c>
      <c r="C54" s="284" t="s">
        <v>235</v>
      </c>
      <c r="D54" s="297" t="s">
        <v>18</v>
      </c>
      <c r="E54" s="285" t="s">
        <v>126</v>
      </c>
      <c r="F54" s="284" t="s">
        <v>179</v>
      </c>
      <c r="G54" s="284"/>
      <c r="H54" s="284" t="s">
        <v>180</v>
      </c>
    </row>
    <row r="55" spans="2:8" x14ac:dyDescent="0.25">
      <c r="B55" s="284" t="s">
        <v>163</v>
      </c>
      <c r="C55" s="284" t="s">
        <v>235</v>
      </c>
      <c r="D55" s="297" t="s">
        <v>19</v>
      </c>
      <c r="E55" s="285" t="s">
        <v>126</v>
      </c>
      <c r="F55" s="284" t="s">
        <v>183</v>
      </c>
      <c r="G55" s="284"/>
      <c r="H55" s="284" t="s">
        <v>254</v>
      </c>
    </row>
    <row r="56" spans="2:8" x14ac:dyDescent="0.25">
      <c r="B56" s="284" t="s">
        <v>188</v>
      </c>
      <c r="C56" s="284" t="s">
        <v>235</v>
      </c>
      <c r="D56" s="297" t="s">
        <v>20</v>
      </c>
      <c r="E56" s="285" t="s">
        <v>126</v>
      </c>
      <c r="F56" s="284" t="s">
        <v>183</v>
      </c>
      <c r="G56" s="284"/>
      <c r="H56" s="284" t="s">
        <v>254</v>
      </c>
    </row>
    <row r="57" spans="2:8" x14ac:dyDescent="0.25">
      <c r="B57" s="284" t="s">
        <v>160</v>
      </c>
      <c r="C57" s="284" t="s">
        <v>235</v>
      </c>
      <c r="D57" s="297" t="s">
        <v>225</v>
      </c>
      <c r="E57" s="285" t="s">
        <v>126</v>
      </c>
      <c r="F57" s="284" t="s">
        <v>115</v>
      </c>
      <c r="G57" s="284"/>
      <c r="H57" s="284" t="s">
        <v>228</v>
      </c>
    </row>
    <row r="58" spans="2:8" x14ac:dyDescent="0.25">
      <c r="B58" s="284" t="s">
        <v>163</v>
      </c>
      <c r="C58" s="284" t="s">
        <v>235</v>
      </c>
      <c r="D58" s="297" t="s">
        <v>226</v>
      </c>
      <c r="E58" s="285" t="s">
        <v>126</v>
      </c>
      <c r="F58" s="284" t="s">
        <v>115</v>
      </c>
      <c r="G58" s="284"/>
      <c r="H58" s="284" t="s">
        <v>228</v>
      </c>
    </row>
    <row r="59" spans="2:8" x14ac:dyDescent="0.25">
      <c r="B59" s="284" t="s">
        <v>163</v>
      </c>
      <c r="C59" s="284" t="s">
        <v>235</v>
      </c>
      <c r="D59" s="297" t="s">
        <v>227</v>
      </c>
      <c r="E59" s="285" t="s">
        <v>126</v>
      </c>
      <c r="F59" s="284" t="s">
        <v>115</v>
      </c>
      <c r="G59" s="284"/>
      <c r="H59" s="284" t="s">
        <v>228</v>
      </c>
    </row>
    <row r="60" spans="2:8" x14ac:dyDescent="0.25">
      <c r="B60" s="284" t="s">
        <v>159</v>
      </c>
      <c r="C60" s="284" t="s">
        <v>135</v>
      </c>
      <c r="D60" s="297" t="s">
        <v>59</v>
      </c>
      <c r="E60" s="285" t="s">
        <v>126</v>
      </c>
      <c r="F60" s="284" t="s">
        <v>172</v>
      </c>
      <c r="G60" s="284"/>
      <c r="H60" s="284" t="s">
        <v>174</v>
      </c>
    </row>
    <row r="61" spans="2:8" x14ac:dyDescent="0.25">
      <c r="B61" s="284" t="s">
        <v>159</v>
      </c>
      <c r="C61" s="284" t="s">
        <v>135</v>
      </c>
      <c r="D61" s="297" t="s">
        <v>61</v>
      </c>
      <c r="E61" s="285" t="s">
        <v>126</v>
      </c>
      <c r="F61" s="284" t="s">
        <v>175</v>
      </c>
      <c r="G61" s="284"/>
      <c r="H61" s="284" t="s">
        <v>176</v>
      </c>
    </row>
    <row r="62" spans="2:8" x14ac:dyDescent="0.25">
      <c r="B62" s="284" t="s">
        <v>158</v>
      </c>
      <c r="C62" s="284" t="s">
        <v>135</v>
      </c>
      <c r="D62" s="297" t="s">
        <v>62</v>
      </c>
      <c r="E62" s="285" t="s">
        <v>126</v>
      </c>
      <c r="F62" s="284" t="s">
        <v>175</v>
      </c>
      <c r="G62" s="284"/>
      <c r="H62" s="284" t="s">
        <v>176</v>
      </c>
    </row>
    <row r="63" spans="2:8" x14ac:dyDescent="0.25">
      <c r="B63" s="284" t="s">
        <v>158</v>
      </c>
      <c r="C63" s="284" t="s">
        <v>135</v>
      </c>
      <c r="D63" s="297" t="s">
        <v>64</v>
      </c>
      <c r="E63" s="285" t="s">
        <v>126</v>
      </c>
      <c r="F63" s="284" t="s">
        <v>175</v>
      </c>
      <c r="G63" s="284"/>
      <c r="H63" s="284" t="s">
        <v>176</v>
      </c>
    </row>
    <row r="64" spans="2:8" x14ac:dyDescent="0.25">
      <c r="B64" s="284" t="s">
        <v>158</v>
      </c>
      <c r="C64" s="284" t="s">
        <v>135</v>
      </c>
      <c r="D64" s="297" t="s">
        <v>65</v>
      </c>
      <c r="E64" s="285" t="s">
        <v>126</v>
      </c>
      <c r="F64" s="284" t="s">
        <v>175</v>
      </c>
      <c r="G64" s="284"/>
      <c r="H64" s="284" t="s">
        <v>176</v>
      </c>
    </row>
    <row r="65" spans="2:8" x14ac:dyDescent="0.25">
      <c r="B65" s="284" t="s">
        <v>158</v>
      </c>
      <c r="C65" s="284" t="s">
        <v>135</v>
      </c>
      <c r="D65" s="297" t="s">
        <v>66</v>
      </c>
      <c r="E65" s="285" t="s">
        <v>126</v>
      </c>
      <c r="F65" s="284" t="s">
        <v>175</v>
      </c>
      <c r="G65" s="284"/>
      <c r="H65" s="284" t="s">
        <v>176</v>
      </c>
    </row>
    <row r="66" spans="2:8" x14ac:dyDescent="0.25">
      <c r="B66" s="284" t="s">
        <v>158</v>
      </c>
      <c r="C66" s="284" t="s">
        <v>135</v>
      </c>
      <c r="D66" s="297" t="s">
        <v>67</v>
      </c>
      <c r="E66" s="285" t="s">
        <v>126</v>
      </c>
      <c r="F66" s="284" t="s">
        <v>175</v>
      </c>
      <c r="G66" s="284"/>
      <c r="H66" s="284" t="s">
        <v>176</v>
      </c>
    </row>
    <row r="67" spans="2:8" x14ac:dyDescent="0.25">
      <c r="B67" s="284" t="s">
        <v>158</v>
      </c>
      <c r="C67" s="284" t="s">
        <v>135</v>
      </c>
      <c r="D67" s="297" t="s">
        <v>68</v>
      </c>
      <c r="E67" s="285" t="s">
        <v>126</v>
      </c>
      <c r="F67" s="284" t="s">
        <v>175</v>
      </c>
      <c r="G67" s="284"/>
      <c r="H67" s="284" t="s">
        <v>176</v>
      </c>
    </row>
    <row r="68" spans="2:8" x14ac:dyDescent="0.25">
      <c r="B68" s="284" t="s">
        <v>158</v>
      </c>
      <c r="C68" s="284" t="s">
        <v>135</v>
      </c>
      <c r="D68" s="297" t="s">
        <v>69</v>
      </c>
      <c r="E68" s="285" t="s">
        <v>126</v>
      </c>
      <c r="F68" s="284" t="s">
        <v>175</v>
      </c>
      <c r="G68" s="284"/>
      <c r="H68" s="284" t="s">
        <v>176</v>
      </c>
    </row>
    <row r="69" spans="2:8" x14ac:dyDescent="0.25">
      <c r="B69" s="284" t="s">
        <v>158</v>
      </c>
      <c r="C69" s="284" t="s">
        <v>135</v>
      </c>
      <c r="D69" s="297" t="s">
        <v>70</v>
      </c>
      <c r="E69" s="285" t="s">
        <v>126</v>
      </c>
      <c r="F69" s="284" t="s">
        <v>175</v>
      </c>
      <c r="G69" s="284"/>
      <c r="H69" s="284" t="s">
        <v>176</v>
      </c>
    </row>
    <row r="70" spans="2:8" x14ac:dyDescent="0.25">
      <c r="B70" s="284" t="s">
        <v>163</v>
      </c>
      <c r="C70" s="284" t="s">
        <v>135</v>
      </c>
      <c r="D70" s="297" t="s">
        <v>71</v>
      </c>
      <c r="E70" s="285" t="s">
        <v>126</v>
      </c>
      <c r="F70" s="284" t="s">
        <v>183</v>
      </c>
      <c r="G70" s="284"/>
      <c r="H70" s="284" t="s">
        <v>254</v>
      </c>
    </row>
    <row r="71" spans="2:8" x14ac:dyDescent="0.25">
      <c r="B71" s="284" t="s">
        <v>188</v>
      </c>
      <c r="C71" s="284" t="s">
        <v>135</v>
      </c>
      <c r="D71" s="297" t="s">
        <v>72</v>
      </c>
      <c r="E71" s="285" t="s">
        <v>126</v>
      </c>
      <c r="F71" s="284" t="s">
        <v>183</v>
      </c>
      <c r="G71" s="284"/>
      <c r="H71" s="284" t="s">
        <v>254</v>
      </c>
    </row>
    <row r="72" spans="2:8" x14ac:dyDescent="0.25">
      <c r="B72" s="326" t="s">
        <v>250</v>
      </c>
      <c r="C72" s="326" t="s">
        <v>122</v>
      </c>
      <c r="D72" s="328" t="s">
        <v>251</v>
      </c>
      <c r="E72" s="327" t="s">
        <v>126</v>
      </c>
      <c r="F72" s="328" t="s">
        <v>252</v>
      </c>
      <c r="G72" s="328"/>
      <c r="H72" s="326" t="s">
        <v>253</v>
      </c>
    </row>
    <row r="73" spans="2:8" ht="30" x14ac:dyDescent="0.25">
      <c r="B73" s="328" t="s">
        <v>255</v>
      </c>
      <c r="C73" s="326" t="s">
        <v>122</v>
      </c>
      <c r="D73" s="328" t="s">
        <v>251</v>
      </c>
      <c r="E73" s="327" t="s">
        <v>126</v>
      </c>
      <c r="F73" s="297" t="s">
        <v>257</v>
      </c>
      <c r="G73" s="297"/>
      <c r="H73" s="284" t="s">
        <v>256</v>
      </c>
    </row>
  </sheetData>
  <autoFilter ref="B3:H73" xr:uid="{4460CAA2-C893-4A5A-99F3-2121E231D9B7}"/>
  <mergeCells count="9">
    <mergeCell ref="Y23:Y25"/>
    <mergeCell ref="Z23:Z25"/>
    <mergeCell ref="AA23:AA25"/>
    <mergeCell ref="S23:S25"/>
    <mergeCell ref="T23:T25"/>
    <mergeCell ref="U23:U25"/>
    <mergeCell ref="V23:V25"/>
    <mergeCell ref="W23:W25"/>
    <mergeCell ref="X23:X25"/>
  </mergeCells>
  <conditionalFormatting pivot="1" sqref="R26:R36">
    <cfRule type="cellIs" dxfId="826" priority="1" operator="greaterThan">
      <formula>0.1</formula>
    </cfRule>
  </conditionalFormatting>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BAC09-7281-4DBF-A5DB-8F3998025ABD}">
  <sheetPr>
    <tabColor rgb="FF92D050"/>
  </sheetPr>
  <dimension ref="A1:S84"/>
  <sheetViews>
    <sheetView showGridLines="0" zoomScale="110" zoomScaleNormal="110" workbookViewId="0">
      <pane xSplit="1" ySplit="2" topLeftCell="B3" activePane="bottomRight" state="frozen"/>
      <selection pane="topRight" activeCell="B1" sqref="B1"/>
      <selection pane="bottomLeft" activeCell="A3" sqref="A3"/>
      <selection pane="bottomRight" activeCell="L16" sqref="L16:L17"/>
    </sheetView>
  </sheetViews>
  <sheetFormatPr baseColWidth="10" defaultColWidth="11.42578125" defaultRowHeight="15" outlineLevelRow="1" x14ac:dyDescent="0.25"/>
  <cols>
    <col min="1" max="1" width="33.28515625" customWidth="1"/>
    <col min="2" max="2" width="11.140625" customWidth="1"/>
    <col min="3" max="3" width="11.42578125" customWidth="1"/>
    <col min="4" max="4" width="12.140625" customWidth="1"/>
    <col min="5" max="5" width="11.42578125" style="27" customWidth="1"/>
    <col min="6" max="6" width="9.42578125" style="357" customWidth="1"/>
    <col min="7" max="7" width="9.140625" style="357" customWidth="1"/>
    <col min="8" max="9" width="8.7109375" style="357" customWidth="1"/>
    <col min="10" max="10" width="2.5703125" style="27" customWidth="1"/>
    <col min="11" max="11" width="30.7109375" style="27" bestFit="1" customWidth="1"/>
    <col min="12" max="12" width="67.85546875" style="27" customWidth="1"/>
  </cols>
  <sheetData>
    <row r="1" spans="1:16" ht="25.5" customHeight="1" x14ac:dyDescent="0.45">
      <c r="A1" s="356"/>
      <c r="B1" s="356"/>
      <c r="C1" s="356"/>
      <c r="D1" s="356"/>
    </row>
    <row r="2" spans="1:16" ht="29.25" customHeight="1" x14ac:dyDescent="0.25">
      <c r="B2" s="201">
        <v>2019</v>
      </c>
      <c r="C2" s="201">
        <v>2020</v>
      </c>
      <c r="D2" s="201">
        <v>2021</v>
      </c>
      <c r="E2" s="358" t="s">
        <v>273</v>
      </c>
      <c r="F2" s="420" t="s">
        <v>276</v>
      </c>
      <c r="G2" s="420" t="s">
        <v>275</v>
      </c>
      <c r="H2" s="420" t="s">
        <v>274</v>
      </c>
      <c r="I2" s="420" t="s">
        <v>311</v>
      </c>
      <c r="J2"/>
      <c r="K2" s="359" t="s">
        <v>173</v>
      </c>
      <c r="L2" s="358" t="s">
        <v>313</v>
      </c>
    </row>
    <row r="3" spans="1:16" ht="27" customHeight="1" x14ac:dyDescent="0.25"/>
    <row r="4" spans="1:16" ht="15.75" customHeight="1" outlineLevel="1" x14ac:dyDescent="0.25">
      <c r="A4" s="689" t="s">
        <v>140</v>
      </c>
      <c r="B4" s="422">
        <f>+Elem_Vis_Anual_Anali!F4</f>
        <v>29949</v>
      </c>
      <c r="C4" s="422">
        <f>+Elem_Vis_Anual_Anali!H4</f>
        <v>29185</v>
      </c>
      <c r="D4" s="422">
        <v>32126</v>
      </c>
      <c r="E4" s="436">
        <v>36829.806190049203</v>
      </c>
      <c r="F4" s="691">
        <f>+$E$5-B5</f>
        <v>-3.5100778309435504E-3</v>
      </c>
      <c r="G4" s="691">
        <f t="shared" ref="G4:H4" si="0">+$E$5-C5</f>
        <v>-5.6100778309435412E-3</v>
      </c>
      <c r="H4" s="691">
        <f t="shared" si="0"/>
        <v>-9.1007783094354533E-4</v>
      </c>
      <c r="I4" s="459"/>
      <c r="J4"/>
      <c r="K4" s="670" t="s">
        <v>277</v>
      </c>
      <c r="L4" s="687" t="s">
        <v>314</v>
      </c>
      <c r="N4" s="291"/>
      <c r="O4" s="291"/>
      <c r="P4" s="291"/>
    </row>
    <row r="5" spans="1:16" ht="15.75" customHeight="1" outlineLevel="1" x14ac:dyDescent="0.25">
      <c r="A5" s="689"/>
      <c r="B5" s="382">
        <f>+Elem_Vis_Anual_Anali!E4</f>
        <v>7.0000000000000007E-2</v>
      </c>
      <c r="C5" s="37">
        <f>+Elem_Vis_Anual_Anali!G4</f>
        <v>7.2099999999999997E-2</v>
      </c>
      <c r="D5" s="37">
        <v>6.7400000000000002E-2</v>
      </c>
      <c r="E5" s="363">
        <v>6.6489922169056456E-2</v>
      </c>
      <c r="F5" s="692"/>
      <c r="G5" s="692"/>
      <c r="H5" s="692"/>
      <c r="I5" s="459"/>
      <c r="J5" s="289"/>
      <c r="K5" s="670"/>
      <c r="L5" s="687"/>
    </row>
    <row r="6" spans="1:16" ht="21.75" customHeight="1" outlineLevel="1" x14ac:dyDescent="0.25">
      <c r="A6" s="364" t="s">
        <v>141</v>
      </c>
      <c r="B6" s="382">
        <f>+Elem_Vis_Anual_Anali!E5</f>
        <v>0.80300000000000005</v>
      </c>
      <c r="C6" s="37">
        <f>+Elem_Vis_Anual_Anali!G5</f>
        <v>0.86199999999999999</v>
      </c>
      <c r="D6" s="365">
        <v>0.81559431697734996</v>
      </c>
      <c r="E6" s="366">
        <v>0.80774227224369832</v>
      </c>
      <c r="F6" s="427">
        <f>+$E$6-B6</f>
        <v>4.7422722436982756E-3</v>
      </c>
      <c r="G6" s="427">
        <f t="shared" ref="G6:H6" si="1">+$E$6-C6</f>
        <v>-5.4257727756301666E-2</v>
      </c>
      <c r="H6" s="427">
        <f t="shared" si="1"/>
        <v>-7.8520447336516419E-3</v>
      </c>
      <c r="I6" s="459"/>
      <c r="J6"/>
      <c r="K6" s="455" t="s">
        <v>277</v>
      </c>
      <c r="L6" s="367" t="s">
        <v>315</v>
      </c>
      <c r="M6" t="s">
        <v>316</v>
      </c>
      <c r="N6" s="291"/>
      <c r="O6" s="291"/>
      <c r="P6" s="291"/>
    </row>
    <row r="7" spans="1:16" ht="33.75" customHeight="1" outlineLevel="1" x14ac:dyDescent="0.25">
      <c r="A7" s="368" t="s">
        <v>278</v>
      </c>
      <c r="B7" s="437" t="s">
        <v>266</v>
      </c>
      <c r="C7" s="438">
        <f>+Elem_Vis_Anual_Anali!H6</f>
        <v>90</v>
      </c>
      <c r="D7" s="369">
        <v>95</v>
      </c>
      <c r="E7" s="468" t="s">
        <v>312</v>
      </c>
      <c r="F7" s="428" t="s">
        <v>266</v>
      </c>
      <c r="G7" s="428" t="s">
        <v>266</v>
      </c>
      <c r="H7" s="428" t="s">
        <v>266</v>
      </c>
      <c r="I7" s="460"/>
      <c r="J7"/>
      <c r="K7" s="455" t="s">
        <v>279</v>
      </c>
      <c r="L7" s="452" t="s">
        <v>317</v>
      </c>
      <c r="M7" t="s">
        <v>318</v>
      </c>
    </row>
    <row r="8" spans="1:16" ht="15" customHeight="1" outlineLevel="1" x14ac:dyDescent="0.25">
      <c r="A8" s="690" t="s">
        <v>145</v>
      </c>
      <c r="B8" s="33">
        <f>+Elem_Vis_Anual_Anali!E9</f>
        <v>423412</v>
      </c>
      <c r="C8" s="33">
        <f>+Elem_Vis_Anual_Anali!G9</f>
        <v>402601</v>
      </c>
      <c r="D8" s="442">
        <v>469231</v>
      </c>
      <c r="E8" s="436">
        <v>539652.44999999995</v>
      </c>
      <c r="F8" s="427">
        <f>+$E$8/B8-1</f>
        <v>0.27453272462754952</v>
      </c>
      <c r="G8" s="427">
        <f t="shared" ref="G8:H8" si="2">+$E$8/C8-1</f>
        <v>0.34041507596851472</v>
      </c>
      <c r="H8" s="427">
        <f t="shared" si="2"/>
        <v>0.15007842619093781</v>
      </c>
      <c r="I8" s="459"/>
      <c r="J8"/>
      <c r="K8" s="670" t="s">
        <v>277</v>
      </c>
      <c r="L8" s="687" t="s">
        <v>319</v>
      </c>
      <c r="N8" s="291"/>
      <c r="O8" s="291"/>
      <c r="P8" s="291"/>
    </row>
    <row r="9" spans="1:16" ht="17.25" customHeight="1" outlineLevel="1" x14ac:dyDescent="0.25">
      <c r="A9" s="690"/>
      <c r="B9" s="439">
        <f>+Elem_Vis_Anual_Anali!F9</f>
        <v>0.95499999999999996</v>
      </c>
      <c r="C9" s="450">
        <f>+Elem_Vis_Anual_Anali!H9</f>
        <v>0.88100000000000001</v>
      </c>
      <c r="D9" s="441">
        <v>0.94970792720892572</v>
      </c>
      <c r="E9" s="370">
        <v>1</v>
      </c>
      <c r="F9" s="427">
        <f>+$E$9-B9</f>
        <v>4.500000000000004E-2</v>
      </c>
      <c r="G9" s="427">
        <f t="shared" ref="G9:H9" si="3">+$E$9-C9</f>
        <v>0.11899999999999999</v>
      </c>
      <c r="H9" s="427">
        <f t="shared" si="3"/>
        <v>5.0292072791074283E-2</v>
      </c>
      <c r="I9" s="459"/>
      <c r="J9"/>
      <c r="K9" s="670"/>
      <c r="L9" s="671"/>
      <c r="M9" t="s">
        <v>172</v>
      </c>
    </row>
    <row r="10" spans="1:16" ht="23.25" customHeight="1" outlineLevel="1" x14ac:dyDescent="0.25">
      <c r="A10" s="364" t="s">
        <v>143</v>
      </c>
      <c r="B10" s="439">
        <f>+Elem_Vis_Anual_Anali!E7</f>
        <v>0.48</v>
      </c>
      <c r="C10" s="440">
        <f>+Elem_Vis_Anual_Anali!G7</f>
        <v>0.47299999999999998</v>
      </c>
      <c r="D10" s="371">
        <v>0.4607</v>
      </c>
      <c r="E10" s="372">
        <v>0.5</v>
      </c>
      <c r="F10" s="427">
        <f>+$E$10-B10</f>
        <v>2.0000000000000018E-2</v>
      </c>
      <c r="G10" s="427">
        <f t="shared" ref="G10:H10" si="4">+$E$10-C10</f>
        <v>2.7000000000000024E-2</v>
      </c>
      <c r="H10" s="427">
        <f t="shared" si="4"/>
        <v>3.9300000000000002E-2</v>
      </c>
      <c r="I10" s="459"/>
      <c r="J10"/>
      <c r="K10" s="455" t="s">
        <v>277</v>
      </c>
      <c r="L10" s="373" t="s">
        <v>320</v>
      </c>
      <c r="M10" t="s">
        <v>321</v>
      </c>
      <c r="N10" s="291"/>
      <c r="O10" s="291"/>
      <c r="P10" s="291"/>
    </row>
    <row r="11" spans="1:16" ht="21" customHeight="1" outlineLevel="1" x14ac:dyDescent="0.25">
      <c r="A11" s="364" t="s">
        <v>144</v>
      </c>
      <c r="B11" s="369">
        <f>+Elem_Vis_Anual_Anali!E8</f>
        <v>1.06</v>
      </c>
      <c r="C11" s="369">
        <f>+Elem_Vis_Anual_Anali!G8</f>
        <v>1.19</v>
      </c>
      <c r="D11" s="369">
        <v>1.1399999999999999</v>
      </c>
      <c r="E11" s="374">
        <v>1.2</v>
      </c>
      <c r="F11" s="444">
        <f>+$E$11-B11</f>
        <v>0.1399999999999999</v>
      </c>
      <c r="G11" s="444">
        <f t="shared" ref="G11:H11" si="5">+$E$11-C11</f>
        <v>1.0000000000000009E-2</v>
      </c>
      <c r="H11" s="444">
        <f t="shared" si="5"/>
        <v>6.0000000000000053E-2</v>
      </c>
      <c r="I11" s="461"/>
      <c r="J11"/>
      <c r="K11" s="455" t="s">
        <v>277</v>
      </c>
      <c r="L11" s="367" t="s">
        <v>322</v>
      </c>
      <c r="M11" t="s">
        <v>172</v>
      </c>
      <c r="N11" s="291"/>
      <c r="O11" s="291"/>
      <c r="P11" s="291"/>
    </row>
    <row r="12" spans="1:16" ht="24.75" customHeight="1" outlineLevel="1" x14ac:dyDescent="0.25">
      <c r="A12" s="364" t="s">
        <v>146</v>
      </c>
      <c r="B12" s="365">
        <f>+Elem_Vis_Anual_Anali!E10</f>
        <v>0.51100000000000001</v>
      </c>
      <c r="C12" s="365">
        <f>+Elem_Vis_Anual_Anali!G10</f>
        <v>0.70399999999999996</v>
      </c>
      <c r="D12" s="375">
        <v>0.61597380704387905</v>
      </c>
      <c r="E12" s="376">
        <v>0.59287111370051804</v>
      </c>
      <c r="F12" s="427">
        <f>+$E$12-B12</f>
        <v>8.1871113700518028E-2</v>
      </c>
      <c r="G12" s="427">
        <f t="shared" ref="G12:H12" si="6">+$E$12-C12</f>
        <v>-0.11112888629948192</v>
      </c>
      <c r="H12" s="427">
        <f t="shared" si="6"/>
        <v>-2.3102693343361014E-2</v>
      </c>
      <c r="I12" s="459"/>
      <c r="J12"/>
      <c r="K12" s="455" t="s">
        <v>277</v>
      </c>
      <c r="L12" s="367" t="s">
        <v>323</v>
      </c>
      <c r="N12" s="291"/>
      <c r="O12" s="291"/>
      <c r="P12" s="291"/>
    </row>
    <row r="13" spans="1:16" ht="58.5" customHeight="1" outlineLevel="1" x14ac:dyDescent="0.25">
      <c r="A13" s="364" t="s">
        <v>147</v>
      </c>
      <c r="B13" s="365">
        <f>+Elem_Vis_Anual_Anali!E11</f>
        <v>0.14199999999999999</v>
      </c>
      <c r="C13" s="365">
        <f>+Elem_Vis_Anual_Anali!G11</f>
        <v>4.5999999999999999E-2</v>
      </c>
      <c r="D13" s="377">
        <v>0.12236464942647121</v>
      </c>
      <c r="E13" s="363">
        <v>0.11568904932938526</v>
      </c>
      <c r="F13" s="427">
        <f>+$E$13-B13</f>
        <v>-2.631095067061473E-2</v>
      </c>
      <c r="G13" s="427">
        <f t="shared" ref="G13:H13" si="7">+$E$13-C13</f>
        <v>6.9689049329385258E-2</v>
      </c>
      <c r="H13" s="427">
        <f t="shared" si="7"/>
        <v>-6.6756000970859541E-3</v>
      </c>
      <c r="I13" s="459"/>
      <c r="J13" s="289"/>
      <c r="K13" s="455" t="s">
        <v>277</v>
      </c>
      <c r="L13" s="367" t="s">
        <v>324</v>
      </c>
      <c r="N13" s="291"/>
      <c r="O13" s="291"/>
      <c r="P13" s="291"/>
    </row>
    <row r="14" spans="1:16" x14ac:dyDescent="0.25">
      <c r="E14" s="378"/>
      <c r="F14" s="65"/>
      <c r="G14" s="65"/>
      <c r="H14" s="65"/>
      <c r="I14" s="65"/>
      <c r="J14"/>
      <c r="K14" s="378"/>
      <c r="L14" s="3"/>
    </row>
    <row r="15" spans="1:16" x14ac:dyDescent="0.25">
      <c r="E15" s="378"/>
      <c r="F15" s="65"/>
      <c r="G15" s="65"/>
      <c r="H15" s="65"/>
      <c r="I15" s="65"/>
      <c r="J15"/>
      <c r="K15" s="378"/>
      <c r="L15" s="3"/>
    </row>
    <row r="16" spans="1:16" ht="19.5" customHeight="1" outlineLevel="1" x14ac:dyDescent="0.25">
      <c r="A16" s="688" t="s">
        <v>148</v>
      </c>
      <c r="B16" s="33">
        <f>+Elem_Vis_Anual_Anali!E12</f>
        <v>3684</v>
      </c>
      <c r="C16" s="33">
        <f>+Elem_Vis_Anual_Anali!G12</f>
        <v>3667</v>
      </c>
      <c r="D16" s="380">
        <v>3980</v>
      </c>
      <c r="E16" s="435">
        <v>4110</v>
      </c>
      <c r="F16" s="427">
        <f>+$E$16/B16-1</f>
        <v>0.11563517915309451</v>
      </c>
      <c r="G16" s="427">
        <f t="shared" ref="G16:H16" si="8">+$E$16/C16-1</f>
        <v>0.12080719934551398</v>
      </c>
      <c r="H16" s="427">
        <f t="shared" si="8"/>
        <v>3.2663316582914659E-2</v>
      </c>
      <c r="I16" s="459"/>
      <c r="J16"/>
      <c r="K16" s="670" t="s">
        <v>280</v>
      </c>
      <c r="L16" s="693" t="s">
        <v>325</v>
      </c>
      <c r="N16" s="291"/>
      <c r="O16" s="291"/>
      <c r="P16" s="291"/>
    </row>
    <row r="17" spans="1:16" ht="18" customHeight="1" outlineLevel="1" x14ac:dyDescent="0.25">
      <c r="A17" s="688"/>
      <c r="B17" s="37">
        <f>+Elem_Vis_Anual_Anali!E13</f>
        <v>-1.21E-2</v>
      </c>
      <c r="C17" s="37">
        <f>+Elem_Vis_Anual_Anali!G13</f>
        <v>-4.5999999999999999E-3</v>
      </c>
      <c r="D17" s="37">
        <v>8.5400000000000004E-2</v>
      </c>
      <c r="E17" s="366">
        <f>+H16</f>
        <v>3.2663316582914659E-2</v>
      </c>
      <c r="F17" s="427">
        <f>+$E$17-B17</f>
        <v>4.4763316582914658E-2</v>
      </c>
      <c r="G17" s="427">
        <f t="shared" ref="G17:H17" si="9">+$E$17-C17</f>
        <v>3.7263316582914659E-2</v>
      </c>
      <c r="H17" s="427">
        <f t="shared" si="9"/>
        <v>-5.2736683417085345E-2</v>
      </c>
      <c r="I17" s="459"/>
      <c r="J17"/>
      <c r="K17" s="670"/>
      <c r="L17" s="693"/>
      <c r="N17" s="291"/>
      <c r="O17" s="291"/>
      <c r="P17" s="291"/>
    </row>
    <row r="18" spans="1:16" ht="15.75" customHeight="1" outlineLevel="1" x14ac:dyDescent="0.25">
      <c r="A18" s="689" t="s">
        <v>150</v>
      </c>
      <c r="B18" s="33">
        <f>+Elem_Vis_Anual_Anali!E14</f>
        <v>345184</v>
      </c>
      <c r="C18" s="33">
        <f>+Elem_Vis_Anual_Anali!G14</f>
        <v>348843</v>
      </c>
      <c r="D18" s="422">
        <v>390426</v>
      </c>
      <c r="E18" s="436">
        <v>446583</v>
      </c>
      <c r="F18" s="427">
        <f>+$E$18/B18-1</f>
        <v>0.29375347640678595</v>
      </c>
      <c r="G18" s="427">
        <f t="shared" ref="G18:H18" si="10">+$E$18/C18-1</f>
        <v>0.2801833489564074</v>
      </c>
      <c r="H18" s="427">
        <f t="shared" si="10"/>
        <v>0.14383519540194567</v>
      </c>
      <c r="I18" s="459"/>
      <c r="J18"/>
      <c r="K18" s="670" t="s">
        <v>281</v>
      </c>
      <c r="L18" s="671"/>
      <c r="N18" s="291"/>
      <c r="O18" s="291"/>
      <c r="P18" s="291"/>
    </row>
    <row r="19" spans="1:16" ht="15.75" customHeight="1" outlineLevel="1" x14ac:dyDescent="0.25">
      <c r="A19" s="689"/>
      <c r="B19" s="382">
        <f>+Elem_Vis_Anual_Anali!E15</f>
        <v>6.1699999999999998E-2</v>
      </c>
      <c r="C19" s="37">
        <f>+Elem_Vis_Anual_Anali!G15</f>
        <v>1.0999999999999999E-2</v>
      </c>
      <c r="D19" s="37">
        <v>0.1192</v>
      </c>
      <c r="E19" s="363">
        <v>0.14380000000000001</v>
      </c>
      <c r="F19" s="427">
        <f>+$E$19-B19</f>
        <v>8.2100000000000006E-2</v>
      </c>
      <c r="G19" s="427">
        <f t="shared" ref="G19:H19" si="11">+$E$19-C19</f>
        <v>0.1328</v>
      </c>
      <c r="H19" s="427">
        <f t="shared" si="11"/>
        <v>2.4600000000000011E-2</v>
      </c>
      <c r="I19" s="459"/>
      <c r="J19" s="294"/>
      <c r="K19" s="670"/>
      <c r="L19" s="671"/>
      <c r="N19" s="291"/>
      <c r="O19" s="291"/>
      <c r="P19" s="291"/>
    </row>
    <row r="20" spans="1:16" ht="15.75" customHeight="1" outlineLevel="1" x14ac:dyDescent="0.25">
      <c r="A20" s="689" t="s">
        <v>151</v>
      </c>
      <c r="B20" s="33">
        <f>+Elem_Vis_Anual_Anali!E16</f>
        <v>407639</v>
      </c>
      <c r="C20" s="33">
        <f>+Elem_Vis_Anual_Anali!G16</f>
        <v>390100</v>
      </c>
      <c r="D20" s="380">
        <v>423385</v>
      </c>
      <c r="E20" s="469">
        <v>446439</v>
      </c>
      <c r="F20" s="427">
        <f>+$E$20/B20-1</f>
        <v>9.5182256849810631E-2</v>
      </c>
      <c r="G20" s="427">
        <f t="shared" ref="G20:H20" si="12">+$E$20/C20-1</f>
        <v>0.14442194309151501</v>
      </c>
      <c r="H20" s="427">
        <f t="shared" si="12"/>
        <v>5.445162204612819E-2</v>
      </c>
      <c r="I20" s="459"/>
      <c r="J20"/>
      <c r="K20" s="670" t="s">
        <v>281</v>
      </c>
      <c r="L20" s="671"/>
      <c r="N20" s="291"/>
      <c r="O20" s="291"/>
      <c r="P20" s="291"/>
    </row>
    <row r="21" spans="1:16" ht="15.75" customHeight="1" outlineLevel="1" x14ac:dyDescent="0.25">
      <c r="A21" s="689"/>
      <c r="B21" s="382">
        <f>+Elem_Vis_Anual_Anali!E17</f>
        <v>2.5999999999999999E-2</v>
      </c>
      <c r="C21" s="37">
        <f>+Elem_Vis_Anual_Anali!G17</f>
        <v>-4.2999999999999997E-2</v>
      </c>
      <c r="D21" s="37">
        <v>8.5300000000000001E-2</v>
      </c>
      <c r="E21" s="366">
        <f>E20/C20-1</f>
        <v>0.14442194309151501</v>
      </c>
      <c r="F21" s="427">
        <f>+$E$21-B21</f>
        <v>0.11842194309151502</v>
      </c>
      <c r="G21" s="427">
        <f t="shared" ref="G21:H21" si="13">+$E$21-C21</f>
        <v>0.187421943091515</v>
      </c>
      <c r="H21" s="427">
        <f t="shared" si="13"/>
        <v>5.9121943091515014E-2</v>
      </c>
      <c r="I21" s="459"/>
      <c r="J21"/>
      <c r="K21" s="670"/>
      <c r="L21" s="671"/>
      <c r="N21" s="291"/>
      <c r="O21" s="291"/>
      <c r="P21" s="291"/>
    </row>
    <row r="22" spans="1:16" ht="18.75" customHeight="1" outlineLevel="1" x14ac:dyDescent="0.25">
      <c r="A22" s="689" t="s">
        <v>99</v>
      </c>
      <c r="B22" s="36"/>
      <c r="C22" s="382"/>
      <c r="D22" s="37"/>
      <c r="E22" s="470">
        <v>530</v>
      </c>
      <c r="F22" s="428"/>
      <c r="G22" s="428"/>
      <c r="H22" s="428"/>
      <c r="I22" s="460"/>
      <c r="J22"/>
      <c r="K22" s="670" t="s">
        <v>281</v>
      </c>
      <c r="L22" s="685" t="s">
        <v>326</v>
      </c>
      <c r="N22" s="291"/>
      <c r="O22" s="291"/>
      <c r="P22" s="291"/>
    </row>
    <row r="23" spans="1:16" ht="15.75" customHeight="1" outlineLevel="1" x14ac:dyDescent="0.25">
      <c r="A23" s="689"/>
      <c r="B23" s="36" t="str">
        <f>+Elem_Vis_Anual_Anali!E18</f>
        <v>N/A</v>
      </c>
      <c r="C23" s="382">
        <f>+Elem_Vis_Anual_Anali!G18</f>
        <v>-0.01</v>
      </c>
      <c r="D23" s="37">
        <v>1.5299999999999999E-2</v>
      </c>
      <c r="E23" s="366">
        <v>2.7400000000000001E-2</v>
      </c>
      <c r="F23" s="427" t="str">
        <f>+Elem_Vis_Anual_Anali!P18</f>
        <v>N.A.</v>
      </c>
      <c r="G23" s="427">
        <f>+$E$23-C23</f>
        <v>3.7400000000000003E-2</v>
      </c>
      <c r="H23" s="427">
        <f>+$E$23-D23</f>
        <v>1.2100000000000001E-2</v>
      </c>
      <c r="I23" s="459"/>
      <c r="J23"/>
      <c r="K23" s="670"/>
      <c r="L23" s="686"/>
      <c r="N23" s="291"/>
      <c r="O23" s="291"/>
      <c r="P23" s="291"/>
    </row>
    <row r="24" spans="1:16" ht="15.75" customHeight="1" outlineLevel="1" x14ac:dyDescent="0.25">
      <c r="A24" s="689" t="s">
        <v>153</v>
      </c>
      <c r="B24" s="422">
        <f>+Elem_Vis_Anual_Anali!E19</f>
        <v>84750</v>
      </c>
      <c r="C24" s="422">
        <f>+Elem_Vis_Anual_Anali!G19</f>
        <v>56395</v>
      </c>
      <c r="D24" s="360">
        <v>88261.147936000008</v>
      </c>
      <c r="E24" s="361">
        <v>106295.15235741454</v>
      </c>
      <c r="F24" s="427">
        <f>+$E$24/B24-1</f>
        <v>0.254220086813151</v>
      </c>
      <c r="G24" s="427">
        <f t="shared" ref="G24:H24" si="14">+$E$24/C24-1</f>
        <v>0.88483291705673439</v>
      </c>
      <c r="H24" s="427">
        <f t="shared" si="14"/>
        <v>0.20432551403581756</v>
      </c>
      <c r="I24" s="459"/>
      <c r="J24"/>
      <c r="K24" s="670" t="s">
        <v>277</v>
      </c>
      <c r="L24" s="679" t="s">
        <v>327</v>
      </c>
      <c r="M24" t="s">
        <v>172</v>
      </c>
      <c r="N24" s="291"/>
      <c r="O24" s="291"/>
      <c r="P24" s="291"/>
    </row>
    <row r="25" spans="1:16" ht="15.75" customHeight="1" outlineLevel="1" x14ac:dyDescent="0.25">
      <c r="A25" s="689"/>
      <c r="B25" s="36" t="str">
        <f>+Elem_Vis_Anual_Anali!E20</f>
        <v>N/A</v>
      </c>
      <c r="C25" s="423">
        <f>+Elem_Vis_Anual_Anali!G20</f>
        <v>-0.33500000000000002</v>
      </c>
      <c r="D25" s="382">
        <v>0.56506487660479898</v>
      </c>
      <c r="E25" s="366">
        <v>0.20432551403581756</v>
      </c>
      <c r="F25" s="427" t="str">
        <f>+Elem_Vis_Anual_Anali!P20</f>
        <v>N.A.</v>
      </c>
      <c r="G25" s="427">
        <f>+$E$25-C25</f>
        <v>0.53932551403581752</v>
      </c>
      <c r="H25" s="427">
        <f>+$E$25-D25</f>
        <v>-0.36073936256898143</v>
      </c>
      <c r="I25" s="459"/>
      <c r="J25"/>
      <c r="K25" s="670"/>
      <c r="L25" s="680"/>
      <c r="N25" s="291"/>
      <c r="O25" s="291"/>
      <c r="P25" s="291"/>
    </row>
    <row r="26" spans="1:16" ht="15.75" customHeight="1" outlineLevel="1" x14ac:dyDescent="0.25">
      <c r="A26" s="383" t="s">
        <v>282</v>
      </c>
      <c r="B26" s="37">
        <f>+Elem_Vis_Anual_Anali!E23</f>
        <v>0.26400000000000001</v>
      </c>
      <c r="C26" s="37">
        <f>+Elem_Vis_Anual_Anali!G23</f>
        <v>0.26100000000000001</v>
      </c>
      <c r="D26" s="37">
        <v>0.25900670884864502</v>
      </c>
      <c r="E26" s="471">
        <v>0.25929999999999997</v>
      </c>
      <c r="F26" s="427">
        <f>+$E$26-B26</f>
        <v>-4.7000000000000375E-3</v>
      </c>
      <c r="G26" s="427">
        <f t="shared" ref="G26:H26" si="15">+$E$26-C26</f>
        <v>-1.7000000000000348E-3</v>
      </c>
      <c r="H26" s="427">
        <f t="shared" si="15"/>
        <v>2.9329115135495742E-4</v>
      </c>
      <c r="I26" s="459"/>
      <c r="J26" s="253"/>
      <c r="K26" s="678" t="s">
        <v>280</v>
      </c>
      <c r="L26" s="679" t="s">
        <v>328</v>
      </c>
      <c r="N26" s="291"/>
      <c r="O26" s="291"/>
      <c r="P26" s="291"/>
    </row>
    <row r="27" spans="1:16" ht="15.75" customHeight="1" outlineLevel="1" x14ac:dyDescent="0.25">
      <c r="A27" s="472" t="s">
        <v>155</v>
      </c>
      <c r="B27" s="37">
        <f>+Elem_Vis_Anual_Anali!E22</f>
        <v>0.15740000000000001</v>
      </c>
      <c r="C27" s="37">
        <f>+Elem_Vis_Anual_Anali!G22</f>
        <v>0.15809999999999999</v>
      </c>
      <c r="D27" s="37">
        <v>0.15141943473421801</v>
      </c>
      <c r="E27" s="366"/>
      <c r="F27" s="427"/>
      <c r="G27" s="427"/>
      <c r="H27" s="427"/>
      <c r="I27" s="459"/>
      <c r="J27" s="252"/>
      <c r="K27" s="678"/>
      <c r="L27" s="680"/>
      <c r="N27" s="291"/>
      <c r="O27" s="291"/>
      <c r="P27" s="291"/>
    </row>
    <row r="28" spans="1:16" ht="15.75" customHeight="1" outlineLevel="1" x14ac:dyDescent="0.25">
      <c r="A28" s="472" t="s">
        <v>157</v>
      </c>
      <c r="B28" s="37">
        <f>+Elem_Vis_Anual_Anali!E24</f>
        <v>0.2475</v>
      </c>
      <c r="C28" s="37">
        <f>+Elem_Vis_Anual_Anali!G24</f>
        <v>0.2417</v>
      </c>
      <c r="D28" s="37">
        <v>0.24474875655827399</v>
      </c>
      <c r="E28" s="366"/>
      <c r="F28" s="427"/>
      <c r="G28" s="427"/>
      <c r="H28" s="427"/>
      <c r="I28" s="459"/>
      <c r="J28" s="252"/>
      <c r="K28" s="678"/>
      <c r="L28" s="680"/>
      <c r="N28" s="291"/>
      <c r="O28" s="291"/>
      <c r="P28" s="291"/>
    </row>
    <row r="29" spans="1:16" x14ac:dyDescent="0.25">
      <c r="A29" s="384"/>
      <c r="B29" s="384"/>
      <c r="C29" s="384"/>
      <c r="D29" s="384"/>
      <c r="E29" s="385"/>
      <c r="F29" s="65"/>
      <c r="G29" s="65"/>
      <c r="H29" s="65"/>
      <c r="I29" s="65"/>
      <c r="J29"/>
      <c r="K29" s="378"/>
      <c r="L29" s="3"/>
    </row>
    <row r="30" spans="1:16" x14ac:dyDescent="0.25">
      <c r="A30" s="384"/>
      <c r="B30" s="384"/>
      <c r="C30" s="384"/>
      <c r="D30" s="384"/>
      <c r="E30" s="385"/>
      <c r="F30" s="65"/>
      <c r="G30" s="65"/>
      <c r="H30" s="65"/>
      <c r="I30" s="65"/>
      <c r="J30"/>
      <c r="K30" s="378"/>
      <c r="L30" s="3"/>
    </row>
    <row r="31" spans="1:16" x14ac:dyDescent="0.25">
      <c r="A31" s="386"/>
      <c r="B31" s="386"/>
      <c r="C31" s="386"/>
      <c r="D31" s="386"/>
      <c r="E31" s="251"/>
      <c r="F31" s="65"/>
      <c r="G31" s="65"/>
      <c r="H31" s="65"/>
      <c r="I31" s="65"/>
      <c r="J31"/>
      <c r="K31" s="378"/>
      <c r="L31" s="3"/>
    </row>
    <row r="32" spans="1:16" ht="23.25" customHeight="1" outlineLevel="1" x14ac:dyDescent="0.25">
      <c r="A32" s="11" t="s">
        <v>17</v>
      </c>
      <c r="B32" s="424">
        <f>+Elem_Vis_Anual_Anali!E25</f>
        <v>4.5999999999999996</v>
      </c>
      <c r="C32" s="369">
        <f>+Elem_Vis_Anual_Anali!G25</f>
        <v>4.58</v>
      </c>
      <c r="D32" s="36">
        <v>4.62</v>
      </c>
      <c r="E32" s="387">
        <v>4.6500000000000004</v>
      </c>
      <c r="F32" s="424">
        <f>+$E$32-B32</f>
        <v>5.0000000000000711E-2</v>
      </c>
      <c r="G32" s="424">
        <f t="shared" ref="G32:H32" si="16">+$E$32-C32</f>
        <v>7.0000000000000284E-2</v>
      </c>
      <c r="H32" s="424">
        <f t="shared" si="16"/>
        <v>3.0000000000000249E-2</v>
      </c>
      <c r="I32" s="462"/>
      <c r="J32"/>
      <c r="K32" s="453" t="s">
        <v>279</v>
      </c>
      <c r="L32" s="373"/>
      <c r="N32" s="291"/>
      <c r="O32" s="291"/>
      <c r="P32" s="291"/>
    </row>
    <row r="33" spans="1:19" ht="23.25" customHeight="1" outlineLevel="1" x14ac:dyDescent="0.25">
      <c r="A33" s="388" t="s">
        <v>181</v>
      </c>
      <c r="B33" s="421" t="str">
        <f>+Elem_Vis_Anual_Anali!E26</f>
        <v>N/A</v>
      </c>
      <c r="C33" s="369" t="str">
        <f>+Elem_Vis_Anual_Anali!G26</f>
        <v>N/A</v>
      </c>
      <c r="D33" s="36">
        <v>4.17</v>
      </c>
      <c r="E33" s="387">
        <v>4.6500000000000004</v>
      </c>
      <c r="F33" s="369" t="str">
        <f>+Elem_Vis_Anual_Anali!P26</f>
        <v>N.A.</v>
      </c>
      <c r="G33" s="369" t="str">
        <f>+Elem_Vis_Anual_Anali!Q26</f>
        <v>N.A.</v>
      </c>
      <c r="H33" s="369">
        <f>+$E$33-D33</f>
        <v>0.48000000000000043</v>
      </c>
      <c r="I33" s="463"/>
      <c r="J33"/>
      <c r="K33" s="453" t="s">
        <v>279</v>
      </c>
      <c r="L33" s="11" t="s">
        <v>329</v>
      </c>
      <c r="N33" s="291"/>
      <c r="O33" s="291"/>
      <c r="P33" s="291"/>
    </row>
    <row r="34" spans="1:19" ht="14.25" customHeight="1" x14ac:dyDescent="0.25">
      <c r="A34" s="386"/>
      <c r="B34" s="386"/>
      <c r="C34" s="386"/>
      <c r="D34" s="386"/>
      <c r="E34" s="251"/>
      <c r="F34" s="65"/>
      <c r="G34" s="65"/>
      <c r="H34" s="65"/>
      <c r="I34" s="65"/>
      <c r="J34"/>
      <c r="K34" s="378"/>
      <c r="L34" s="3"/>
    </row>
    <row r="35" spans="1:19" x14ac:dyDescent="0.25">
      <c r="A35" s="386"/>
      <c r="B35" s="386"/>
      <c r="C35" s="386"/>
      <c r="D35" s="386"/>
      <c r="E35" s="251"/>
      <c r="F35" s="65"/>
      <c r="G35" s="65"/>
      <c r="H35" s="65"/>
      <c r="I35" s="65"/>
      <c r="J35"/>
      <c r="K35" s="378"/>
      <c r="L35" s="3"/>
    </row>
    <row r="36" spans="1:19" outlineLevel="1" x14ac:dyDescent="0.25">
      <c r="A36" s="707" t="s">
        <v>18</v>
      </c>
      <c r="B36" s="672" t="str">
        <f>+Elem_Vis_Anual_Anali!E29</f>
        <v>N/A</v>
      </c>
      <c r="C36" s="694">
        <f>+Elem_Vis_Anual_Anali!G29</f>
        <v>0.4486</v>
      </c>
      <c r="D36" s="443">
        <v>0.53739999999999999</v>
      </c>
      <c r="E36" s="445">
        <v>0.54</v>
      </c>
      <c r="F36" s="694" t="str">
        <f>+Elem_Vis_Anual_Anali!P29</f>
        <v>N.A.</v>
      </c>
      <c r="G36" s="694">
        <f>+$E$36-C36</f>
        <v>9.1400000000000037E-2</v>
      </c>
      <c r="H36" s="694">
        <f>+$E$36-D36</f>
        <v>2.6000000000000467E-3</v>
      </c>
      <c r="I36" s="464"/>
      <c r="J36" s="379"/>
      <c r="K36" s="681" t="s">
        <v>279</v>
      </c>
      <c r="L36" s="683" t="s">
        <v>330</v>
      </c>
      <c r="N36" s="291"/>
      <c r="O36" s="291"/>
      <c r="P36" s="291"/>
    </row>
    <row r="37" spans="1:19" ht="24" outlineLevel="1" x14ac:dyDescent="0.25">
      <c r="A37" s="708"/>
      <c r="B37" s="674"/>
      <c r="C37" s="695"/>
      <c r="D37" s="440" t="s">
        <v>310</v>
      </c>
      <c r="E37" s="446" t="s">
        <v>310</v>
      </c>
      <c r="F37" s="695"/>
      <c r="G37" s="695"/>
      <c r="H37" s="695"/>
      <c r="I37" s="464"/>
      <c r="J37" s="379"/>
      <c r="K37" s="682"/>
      <c r="L37" s="684"/>
    </row>
    <row r="38" spans="1:19" outlineLevel="1" x14ac:dyDescent="0.25">
      <c r="A38" s="696" t="s">
        <v>283</v>
      </c>
      <c r="B38" s="426">
        <f>+Elem_Vis_Anual_Anali!E27</f>
        <v>6207154</v>
      </c>
      <c r="C38" s="426">
        <f>+Elem_Vis_Anual_Anali!G27</f>
        <v>3343521</v>
      </c>
      <c r="D38" s="389">
        <v>4163464</v>
      </c>
      <c r="E38" s="390">
        <v>4784886</v>
      </c>
      <c r="F38" s="427">
        <f>+$E$38/B38-1</f>
        <v>-0.22913367382217353</v>
      </c>
      <c r="G38" s="427">
        <f t="shared" ref="G38:H38" si="17">+$E$38/C38-1</f>
        <v>0.4310919536620228</v>
      </c>
      <c r="H38" s="427">
        <f t="shared" si="17"/>
        <v>0.14925600413501838</v>
      </c>
      <c r="I38" s="459"/>
      <c r="J38"/>
      <c r="K38" s="670" t="s">
        <v>284</v>
      </c>
      <c r="L38" s="671" t="s">
        <v>331</v>
      </c>
      <c r="N38" s="291"/>
      <c r="O38" s="291"/>
      <c r="P38" s="291"/>
    </row>
    <row r="39" spans="1:19" outlineLevel="1" x14ac:dyDescent="0.25">
      <c r="A39" s="696"/>
      <c r="B39" s="32">
        <f>+Elem_Vis_Anual_Anali!E28</f>
        <v>0.189</v>
      </c>
      <c r="C39" s="391">
        <f>+Elem_Vis_Anual_Anali!G28</f>
        <v>-0.46100000000000002</v>
      </c>
      <c r="D39" s="391">
        <v>0.2452333931804227</v>
      </c>
      <c r="E39" s="392">
        <v>0.14925600413501799</v>
      </c>
      <c r="F39" s="427">
        <f>+$E$39-B39</f>
        <v>-3.9743995864982007E-2</v>
      </c>
      <c r="G39" s="427">
        <f t="shared" ref="G39:H39" si="18">+$E$39-C39</f>
        <v>0.61025600413501802</v>
      </c>
      <c r="H39" s="427">
        <f t="shared" si="18"/>
        <v>-9.5977389045404704E-2</v>
      </c>
      <c r="I39" s="459"/>
      <c r="J39"/>
      <c r="K39" s="670"/>
      <c r="L39" s="671"/>
      <c r="N39" s="291"/>
      <c r="O39" s="291"/>
      <c r="P39" s="291"/>
    </row>
    <row r="40" spans="1:19" outlineLevel="1" x14ac:dyDescent="0.25">
      <c r="A40" s="710"/>
      <c r="B40" s="710"/>
      <c r="C40" s="710"/>
      <c r="D40" s="710"/>
      <c r="E40" s="393"/>
      <c r="F40" s="65"/>
      <c r="G40" s="65"/>
      <c r="H40" s="65"/>
      <c r="I40" s="65"/>
      <c r="J40"/>
      <c r="K40" s="378"/>
      <c r="L40" s="3"/>
    </row>
    <row r="41" spans="1:19" x14ac:dyDescent="0.25">
      <c r="A41" s="386"/>
      <c r="B41" s="386"/>
      <c r="C41" s="386"/>
      <c r="D41" s="386"/>
      <c r="E41" s="251"/>
      <c r="F41" s="65"/>
      <c r="G41" s="65"/>
      <c r="H41" s="65"/>
      <c r="I41" s="65"/>
      <c r="J41"/>
      <c r="K41" s="378"/>
      <c r="L41" s="3"/>
    </row>
    <row r="42" spans="1:19" x14ac:dyDescent="0.25">
      <c r="A42" s="386"/>
      <c r="B42" s="386"/>
      <c r="C42" s="386"/>
      <c r="D42" s="386"/>
      <c r="E42"/>
      <c r="F42" s="65"/>
      <c r="G42" s="65"/>
      <c r="H42" s="65"/>
      <c r="I42" s="65"/>
      <c r="J42"/>
      <c r="K42" s="378"/>
      <c r="L42" s="3"/>
    </row>
    <row r="43" spans="1:19" ht="24" outlineLevel="1" x14ac:dyDescent="0.25">
      <c r="A43" s="11" t="s">
        <v>184</v>
      </c>
      <c r="B43" s="369" t="str">
        <f>+Elem_Vis_Anual_Anali!E30</f>
        <v>N/A</v>
      </c>
      <c r="C43" s="369" t="str">
        <f>+Elem_Vis_Anual_Anali!G30</f>
        <v>N/A</v>
      </c>
      <c r="D43" s="394">
        <v>0.90759999999999996</v>
      </c>
      <c r="E43" s="395">
        <v>0.95</v>
      </c>
      <c r="F43" s="365" t="str">
        <f>+Elem_Vis_Anual_Anali!P30</f>
        <v>N.A.</v>
      </c>
      <c r="G43" s="365" t="str">
        <f>+Elem_Vis_Anual_Anali!Q30</f>
        <v>N.A.</v>
      </c>
      <c r="H43" s="365">
        <f>+E43-D43</f>
        <v>4.2399999999999993E-2</v>
      </c>
      <c r="I43" s="464"/>
      <c r="J43" s="379"/>
      <c r="K43" s="473"/>
      <c r="L43" s="396"/>
      <c r="P43" s="291"/>
    </row>
    <row r="44" spans="1:19" ht="17.25" customHeight="1" outlineLevel="1" x14ac:dyDescent="0.25">
      <c r="A44" s="11" t="s">
        <v>185</v>
      </c>
      <c r="B44" s="369" t="str">
        <f>+Elem_Vis_Anual_Anali!E31</f>
        <v>N/A</v>
      </c>
      <c r="C44" s="369" t="str">
        <f>+Elem_Vis_Anual_Anali!G31</f>
        <v>N/A</v>
      </c>
      <c r="D44" s="397">
        <v>0.81</v>
      </c>
      <c r="E44" s="395">
        <v>0.9</v>
      </c>
      <c r="F44" s="365" t="str">
        <f>+Elem_Vis_Anual_Anali!P31</f>
        <v>N.A.</v>
      </c>
      <c r="G44" s="365" t="str">
        <f>+Elem_Vis_Anual_Anali!Q31</f>
        <v>N.A.</v>
      </c>
      <c r="H44" s="365">
        <f t="shared" ref="H44:H46" si="19">+E44-D44</f>
        <v>8.9999999999999969E-2</v>
      </c>
      <c r="I44" s="464"/>
      <c r="J44"/>
      <c r="K44" s="474"/>
      <c r="L44" s="3"/>
      <c r="P44" s="291"/>
    </row>
    <row r="45" spans="1:19" s="399" customFormat="1" ht="17.25" customHeight="1" outlineLevel="1" x14ac:dyDescent="0.25">
      <c r="A45" s="11" t="s">
        <v>186</v>
      </c>
      <c r="B45" s="369" t="str">
        <f>+Elem_Vis_Anual_Anali!E32</f>
        <v>N/A</v>
      </c>
      <c r="C45" s="369" t="str">
        <f>+Elem_Vis_Anual_Anali!G32</f>
        <v>N/A</v>
      </c>
      <c r="D45" s="398">
        <v>0.20100000000000001</v>
      </c>
      <c r="E45" s="395">
        <v>0.3</v>
      </c>
      <c r="F45" s="365" t="str">
        <f>+Elem_Vis_Anual_Anali!P32</f>
        <v>N.A.</v>
      </c>
      <c r="G45" s="365" t="str">
        <f>+Elem_Vis_Anual_Anali!Q32</f>
        <v>N.A.</v>
      </c>
      <c r="H45" s="365">
        <f t="shared" si="19"/>
        <v>9.8999999999999977E-2</v>
      </c>
      <c r="I45" s="464"/>
      <c r="J45"/>
      <c r="K45" s="378"/>
      <c r="L45" s="3"/>
      <c r="O45"/>
      <c r="P45" s="291"/>
      <c r="Q45"/>
      <c r="R45"/>
      <c r="S45"/>
    </row>
    <row r="46" spans="1:19" s="399" customFormat="1" outlineLevel="1" x14ac:dyDescent="0.25">
      <c r="A46" s="400" t="s">
        <v>285</v>
      </c>
      <c r="B46" s="429" t="str">
        <f>+Elem_Vis_Anual_Anali!E33</f>
        <v>N/A</v>
      </c>
      <c r="C46" s="430">
        <f>+Elem_Vis_Anual_Anali!G33</f>
        <v>4.1999999999999997E-3</v>
      </c>
      <c r="D46" s="394">
        <v>7.7000000000000002E-3</v>
      </c>
      <c r="E46" s="447">
        <v>1.6E-2</v>
      </c>
      <c r="F46" s="365" t="str">
        <f>+Elem_Vis_Anual_Anali!P33</f>
        <v>N.A.</v>
      </c>
      <c r="G46" s="365">
        <f>+Elem_Vis_Anual_Anali!Q33</f>
        <v>1.1800000000000001E-2</v>
      </c>
      <c r="H46" s="365">
        <f t="shared" si="19"/>
        <v>8.3000000000000001E-3</v>
      </c>
      <c r="I46" s="464"/>
      <c r="J46"/>
      <c r="K46" s="378"/>
      <c r="L46" s="3"/>
      <c r="O46"/>
      <c r="P46" s="291"/>
      <c r="Q46"/>
      <c r="R46"/>
      <c r="S46"/>
    </row>
    <row r="47" spans="1:19" s="399" customFormat="1" ht="22.5" customHeight="1" outlineLevel="1" x14ac:dyDescent="0.25">
      <c r="A47" s="11" t="s">
        <v>286</v>
      </c>
      <c r="B47" s="369" t="str">
        <f>+Elem_Vis_Anual_Anali!E34</f>
        <v>N/A</v>
      </c>
      <c r="C47" s="369" t="str">
        <f>+Elem_Vis_Anual_Anali!G34</f>
        <v>N/A</v>
      </c>
      <c r="D47" s="431" t="s">
        <v>28</v>
      </c>
      <c r="E47" s="395">
        <v>0.95</v>
      </c>
      <c r="F47" s="365" t="str">
        <f>+Elem_Vis_Anual_Anali!P34</f>
        <v>N.A.</v>
      </c>
      <c r="G47" s="365" t="str">
        <f>+Elem_Vis_Anual_Anali!Q34</f>
        <v>N.A.</v>
      </c>
      <c r="H47" s="365" t="str">
        <f>+Elem_Vis_Anual_Anali!R34</f>
        <v>N.A.</v>
      </c>
      <c r="I47" s="464"/>
      <c r="J47"/>
      <c r="K47" s="378"/>
      <c r="L47" s="3"/>
      <c r="O47"/>
      <c r="P47" s="291"/>
      <c r="Q47"/>
      <c r="R47"/>
      <c r="S47"/>
    </row>
    <row r="48" spans="1:19" s="399" customFormat="1" ht="18" customHeight="1" outlineLevel="1" x14ac:dyDescent="0.25">
      <c r="A48" s="11" t="s">
        <v>287</v>
      </c>
      <c r="B48" s="369" t="str">
        <f>+Elem_Vis_Anual_Anali!E35</f>
        <v>N/A</v>
      </c>
      <c r="C48" s="369" t="str">
        <f>+Elem_Vis_Anual_Anali!G35</f>
        <v>N/A</v>
      </c>
      <c r="D48" s="401">
        <v>80</v>
      </c>
      <c r="E48" s="448">
        <v>90</v>
      </c>
      <c r="F48" s="365" t="str">
        <f>+Elem_Vis_Anual_Anali!P35</f>
        <v>N.A.</v>
      </c>
      <c r="G48" s="365" t="str">
        <f>+Elem_Vis_Anual_Anali!Q35</f>
        <v>N.A.</v>
      </c>
      <c r="H48" s="449">
        <f>+E48-D48</f>
        <v>10</v>
      </c>
      <c r="I48" s="465"/>
      <c r="J48"/>
      <c r="K48" s="378"/>
      <c r="L48" s="3"/>
      <c r="O48"/>
      <c r="P48" s="291"/>
      <c r="Q48"/>
      <c r="R48"/>
      <c r="S48"/>
    </row>
    <row r="49" spans="1:16" x14ac:dyDescent="0.25">
      <c r="E49" s="378"/>
      <c r="F49" s="65"/>
      <c r="G49" s="65"/>
      <c r="H49" s="65"/>
      <c r="I49" s="65"/>
      <c r="J49"/>
      <c r="K49" s="378"/>
      <c r="L49" s="3"/>
    </row>
    <row r="50" spans="1:16" x14ac:dyDescent="0.25">
      <c r="E50"/>
      <c r="F50" s="65"/>
      <c r="G50" s="65"/>
      <c r="H50" s="65"/>
      <c r="I50" s="65"/>
      <c r="J50"/>
      <c r="K50" s="378"/>
      <c r="L50" s="3"/>
    </row>
    <row r="51" spans="1:16" s="399" customFormat="1" ht="16.5" customHeight="1" outlineLevel="1" x14ac:dyDescent="0.25">
      <c r="A51" s="693" t="s">
        <v>20</v>
      </c>
      <c r="B51" s="432">
        <f>+Elem_Vis_Anual_Anali!F36</f>
        <v>392494</v>
      </c>
      <c r="C51" s="432">
        <f>+Elem_Vis_Anual_Anali!H36</f>
        <v>132687</v>
      </c>
      <c r="D51" s="402">
        <v>253993</v>
      </c>
      <c r="E51" s="403">
        <v>351337</v>
      </c>
      <c r="F51" s="377">
        <f>+$E$51/B51-1</f>
        <v>-0.10486020168461174</v>
      </c>
      <c r="G51" s="377">
        <f t="shared" ref="G51:H51" si="20">+$E$51/C51-1</f>
        <v>1.6478630159699144</v>
      </c>
      <c r="H51" s="377">
        <f t="shared" si="20"/>
        <v>0.38325465662439506</v>
      </c>
      <c r="I51" s="466"/>
      <c r="J51"/>
      <c r="K51" s="670" t="s">
        <v>284</v>
      </c>
      <c r="L51" s="671" t="s">
        <v>332</v>
      </c>
      <c r="N51" s="291"/>
      <c r="O51" s="291"/>
      <c r="P51" s="291"/>
    </row>
    <row r="52" spans="1:16" x14ac:dyDescent="0.25">
      <c r="A52" s="693"/>
      <c r="B52" s="365">
        <f>+Elem_Vis_Anual_Anali!E36</f>
        <v>6.3200000000000006E-2</v>
      </c>
      <c r="C52" s="365">
        <f>+Elem_Vis_Anual_Anali!G36</f>
        <v>3.9699999999999999E-2</v>
      </c>
      <c r="D52" s="377">
        <v>6.1005211045417951E-2</v>
      </c>
      <c r="E52" s="404">
        <v>7.3426409741005297E-2</v>
      </c>
      <c r="F52" s="365">
        <f>+$E$52-B52</f>
        <v>1.0226409741005291E-2</v>
      </c>
      <c r="G52" s="365">
        <f t="shared" ref="G52:H52" si="21">+$E$52-C52</f>
        <v>3.3726409741005298E-2</v>
      </c>
      <c r="H52" s="365">
        <f t="shared" si="21"/>
        <v>1.2421198695587346E-2</v>
      </c>
      <c r="I52" s="464"/>
      <c r="J52"/>
      <c r="K52" s="670"/>
      <c r="L52" s="671"/>
      <c r="N52" s="291"/>
      <c r="O52" s="291"/>
      <c r="P52" s="291"/>
    </row>
    <row r="53" spans="1:16" ht="21" customHeight="1" x14ac:dyDescent="0.25">
      <c r="A53" s="405" t="s">
        <v>288</v>
      </c>
      <c r="B53" s="364"/>
      <c r="C53" s="364"/>
      <c r="D53" s="709" t="s">
        <v>289</v>
      </c>
      <c r="E53" s="709"/>
      <c r="F53" s="362"/>
      <c r="G53" s="362"/>
      <c r="H53" s="362"/>
      <c r="I53" s="467"/>
      <c r="J53"/>
      <c r="K53" s="378"/>
      <c r="L53" s="406"/>
    </row>
    <row r="54" spans="1:16" x14ac:dyDescent="0.25">
      <c r="E54" s="407"/>
      <c r="K54" s="378"/>
      <c r="L54" s="406"/>
    </row>
    <row r="55" spans="1:16" x14ac:dyDescent="0.25">
      <c r="K55" s="378"/>
      <c r="L55" s="16"/>
    </row>
    <row r="56" spans="1:16" x14ac:dyDescent="0.25">
      <c r="K56" s="378"/>
      <c r="L56" s="16"/>
    </row>
    <row r="57" spans="1:16" x14ac:dyDescent="0.25">
      <c r="A57" s="699" t="s">
        <v>290</v>
      </c>
      <c r="B57" s="369" t="s">
        <v>266</v>
      </c>
      <c r="C57" s="432">
        <f>+Elem_Vis_Anual_Anali!H37</f>
        <v>447361</v>
      </c>
      <c r="D57" s="402">
        <v>518665</v>
      </c>
      <c r="E57" s="700" t="s">
        <v>291</v>
      </c>
      <c r="F57" s="369" t="s">
        <v>266</v>
      </c>
      <c r="G57" s="369" t="s">
        <v>266</v>
      </c>
      <c r="H57" s="369" t="s">
        <v>266</v>
      </c>
      <c r="I57" s="463"/>
      <c r="J57" s="289"/>
      <c r="K57" s="378"/>
      <c r="L57" s="16"/>
    </row>
    <row r="58" spans="1:16" x14ac:dyDescent="0.25">
      <c r="A58" s="699"/>
      <c r="B58" s="369" t="s">
        <v>266</v>
      </c>
      <c r="C58" s="369" t="s">
        <v>266</v>
      </c>
      <c r="D58" s="408">
        <v>0.159388</v>
      </c>
      <c r="E58" s="700"/>
      <c r="F58" s="369" t="s">
        <v>266</v>
      </c>
      <c r="G58" s="369" t="s">
        <v>266</v>
      </c>
      <c r="H58" s="369" t="s">
        <v>266</v>
      </c>
      <c r="I58" s="463"/>
      <c r="J58" s="289"/>
      <c r="K58" s="670" t="s">
        <v>284</v>
      </c>
      <c r="L58" s="672" t="s">
        <v>333</v>
      </c>
    </row>
    <row r="59" spans="1:16" x14ac:dyDescent="0.25">
      <c r="A59" s="699" t="s">
        <v>292</v>
      </c>
      <c r="B59" s="369" t="s">
        <v>266</v>
      </c>
      <c r="C59" s="432">
        <f>+C57</f>
        <v>447361</v>
      </c>
      <c r="D59" s="402">
        <v>562580</v>
      </c>
      <c r="E59" s="700" t="s">
        <v>291</v>
      </c>
      <c r="F59" s="369" t="s">
        <v>266</v>
      </c>
      <c r="G59" s="369" t="s">
        <v>266</v>
      </c>
      <c r="H59" s="369" t="s">
        <v>266</v>
      </c>
      <c r="I59" s="463"/>
      <c r="J59" s="289"/>
      <c r="K59" s="670"/>
      <c r="L59" s="673"/>
    </row>
    <row r="60" spans="1:16" x14ac:dyDescent="0.25">
      <c r="A60" s="699"/>
      <c r="B60" s="369" t="s">
        <v>266</v>
      </c>
      <c r="C60" s="369" t="s">
        <v>266</v>
      </c>
      <c r="D60" s="408" t="s">
        <v>28</v>
      </c>
      <c r="E60" s="700"/>
      <c r="F60" s="369" t="s">
        <v>266</v>
      </c>
      <c r="G60" s="369" t="s">
        <v>266</v>
      </c>
      <c r="H60" s="369" t="s">
        <v>266</v>
      </c>
      <c r="I60" s="463"/>
      <c r="J60" s="289"/>
      <c r="K60" s="453"/>
      <c r="L60" s="673"/>
    </row>
    <row r="61" spans="1:16" ht="24" x14ac:dyDescent="0.25">
      <c r="A61" s="409" t="s">
        <v>293</v>
      </c>
      <c r="B61" s="369" t="s">
        <v>266</v>
      </c>
      <c r="C61" s="369" t="s">
        <v>266</v>
      </c>
      <c r="D61" s="701" t="s">
        <v>294</v>
      </c>
      <c r="E61" s="701"/>
      <c r="F61" s="369" t="s">
        <v>266</v>
      </c>
      <c r="G61" s="369" t="s">
        <v>266</v>
      </c>
      <c r="H61" s="369" t="s">
        <v>266</v>
      </c>
      <c r="I61" s="463"/>
      <c r="J61" s="410"/>
      <c r="K61" s="453"/>
      <c r="L61" s="674"/>
    </row>
    <row r="62" spans="1:16" ht="24" x14ac:dyDescent="0.25">
      <c r="A62" s="11" t="s">
        <v>295</v>
      </c>
      <c r="B62" s="369" t="s">
        <v>266</v>
      </c>
      <c r="C62" s="369" t="s">
        <v>266</v>
      </c>
      <c r="D62" s="408">
        <v>0.80508474576271205</v>
      </c>
      <c r="E62" s="411">
        <v>0.85</v>
      </c>
      <c r="F62" s="369" t="s">
        <v>266</v>
      </c>
      <c r="G62" s="369" t="s">
        <v>266</v>
      </c>
      <c r="H62" s="365">
        <f>+E62-D62</f>
        <v>4.4915254237287927E-2</v>
      </c>
      <c r="I62" s="464"/>
      <c r="J62" s="289"/>
      <c r="K62" s="453"/>
      <c r="L62" s="452" t="s">
        <v>334</v>
      </c>
      <c r="P62" s="291"/>
    </row>
    <row r="63" spans="1:16" x14ac:dyDescent="0.25">
      <c r="K63" s="453"/>
      <c r="L63" s="454" t="s">
        <v>335</v>
      </c>
    </row>
    <row r="64" spans="1:16" x14ac:dyDescent="0.25">
      <c r="K64" s="378"/>
      <c r="L64" s="475"/>
    </row>
    <row r="65" spans="1:16" x14ac:dyDescent="0.25">
      <c r="K65" s="378"/>
      <c r="L65" s="16"/>
    </row>
    <row r="66" spans="1:16" ht="15" customHeight="1" x14ac:dyDescent="0.25">
      <c r="A66" s="11" t="s">
        <v>296</v>
      </c>
      <c r="B66" s="369" t="str">
        <f>+Elem_Vis_Anual_Anali!E40</f>
        <v>N/A</v>
      </c>
      <c r="C66" s="369" t="str">
        <f>+Elem_Vis_Anual_Anali!G40</f>
        <v>N/A</v>
      </c>
      <c r="D66" s="412">
        <v>0.32300000000000001</v>
      </c>
      <c r="E66" s="413" t="s">
        <v>297</v>
      </c>
      <c r="F66" s="369" t="str">
        <f>+Elem_Vis_Anual_Anali!P40</f>
        <v>N.A.</v>
      </c>
      <c r="G66" s="369" t="str">
        <f>+Elem_Vis_Anual_Anali!Q40</f>
        <v>N.A.</v>
      </c>
      <c r="H66" s="369" t="str">
        <f>+Elem_Vis_Anual_Anali!R40</f>
        <v>N.A.</v>
      </c>
      <c r="I66" s="463"/>
      <c r="K66" s="378"/>
      <c r="L66" s="16"/>
    </row>
    <row r="67" spans="1:16" x14ac:dyDescent="0.25">
      <c r="A67" s="11" t="s">
        <v>211</v>
      </c>
      <c r="B67" s="369" t="str">
        <f>+Elem_Vis_Anual_Anali!E41</f>
        <v>N/A</v>
      </c>
      <c r="C67" s="369" t="str">
        <f>+Elem_Vis_Anual_Anali!G41</f>
        <v>N/A</v>
      </c>
      <c r="D67" s="337">
        <v>4.7</v>
      </c>
      <c r="E67" s="413" t="s">
        <v>297</v>
      </c>
      <c r="F67" s="369" t="str">
        <f>+Elem_Vis_Anual_Anali!P41</f>
        <v>N.A.</v>
      </c>
      <c r="G67" s="369" t="str">
        <f>+Elem_Vis_Anual_Anali!Q41</f>
        <v>N.A.</v>
      </c>
      <c r="H67" s="369" t="str">
        <f>+Elem_Vis_Anual_Anali!R41</f>
        <v>N.A.</v>
      </c>
      <c r="I67" s="463"/>
      <c r="K67" s="378"/>
      <c r="L67" s="16"/>
    </row>
    <row r="68" spans="1:16" x14ac:dyDescent="0.25">
      <c r="A68" s="409" t="s">
        <v>299</v>
      </c>
      <c r="B68" s="369" t="str">
        <f>+Elem_Vis_Anual_Anali!E42</f>
        <v>N/A</v>
      </c>
      <c r="C68" s="369" t="str">
        <f>+Elem_Vis_Anual_Anali!G42</f>
        <v>N/A</v>
      </c>
      <c r="D68" s="701" t="s">
        <v>294</v>
      </c>
      <c r="E68" s="701"/>
      <c r="F68" s="369" t="str">
        <f>+Elem_Vis_Anual_Anali!P42</f>
        <v>N.A.</v>
      </c>
      <c r="G68" s="369" t="str">
        <f>+Elem_Vis_Anual_Anali!Q42</f>
        <v>N.A.</v>
      </c>
      <c r="H68" s="369" t="str">
        <f>+Elem_Vis_Anual_Anali!R42</f>
        <v>N.A.</v>
      </c>
      <c r="I68" s="463"/>
      <c r="J68" s="289"/>
      <c r="K68" s="670" t="s">
        <v>298</v>
      </c>
      <c r="L68" s="671" t="s">
        <v>336</v>
      </c>
    </row>
    <row r="69" spans="1:16" x14ac:dyDescent="0.25">
      <c r="A69" s="409" t="s">
        <v>300</v>
      </c>
      <c r="B69" s="369" t="str">
        <f>+Elem_Vis_Anual_Anali!E43</f>
        <v>N/A</v>
      </c>
      <c r="C69" s="369" t="str">
        <f>+Elem_Vis_Anual_Anali!G43</f>
        <v>N/A</v>
      </c>
      <c r="D69" s="697" t="s">
        <v>294</v>
      </c>
      <c r="E69" s="698"/>
      <c r="F69" s="369" t="str">
        <f>+Elem_Vis_Anual_Anali!P43</f>
        <v>N.A.</v>
      </c>
      <c r="G69" s="369" t="str">
        <f>+Elem_Vis_Anual_Anali!Q43</f>
        <v>N.A.</v>
      </c>
      <c r="H69" s="369" t="str">
        <f>+Elem_Vis_Anual_Anali!R43</f>
        <v>N.A.</v>
      </c>
      <c r="I69" s="463"/>
      <c r="J69" s="289"/>
      <c r="K69" s="670"/>
      <c r="L69" s="671"/>
    </row>
    <row r="70" spans="1:16" ht="24" customHeight="1" x14ac:dyDescent="0.25">
      <c r="A70" s="11" t="s">
        <v>302</v>
      </c>
      <c r="B70" s="369" t="str">
        <f>+Elem_Vis_Anual_Anali!E44</f>
        <v>N/A</v>
      </c>
      <c r="C70" s="369" t="str">
        <f>+Elem_Vis_Anual_Anali!G44</f>
        <v>N/A</v>
      </c>
      <c r="D70" s="36">
        <v>4.67</v>
      </c>
      <c r="E70" s="415">
        <v>4.5999999999999996</v>
      </c>
      <c r="F70" s="369" t="str">
        <f>+Elem_Vis_Anual_Anali!P44</f>
        <v>N.A.</v>
      </c>
      <c r="G70" s="369" t="str">
        <f>+Elem_Vis_Anual_Anali!Q44</f>
        <v>N.A.</v>
      </c>
      <c r="H70" s="369">
        <f>+Elem_Vis_Anual_Anali!R44</f>
        <v>-7.0000000000000284E-2</v>
      </c>
      <c r="I70" s="463"/>
      <c r="J70" s="289"/>
      <c r="K70" s="670"/>
      <c r="L70" s="452" t="s">
        <v>337</v>
      </c>
      <c r="P70" s="291"/>
    </row>
    <row r="71" spans="1:16" ht="23.25" customHeight="1" x14ac:dyDescent="0.25">
      <c r="A71" s="703" t="s">
        <v>304</v>
      </c>
      <c r="B71" s="705" t="str">
        <f>+Elem_Vis_Anual_Anali!E45</f>
        <v>N/A</v>
      </c>
      <c r="C71" s="705" t="str">
        <f>+Elem_Vis_Anual_Anali!F45</f>
        <v>N/A</v>
      </c>
      <c r="D71" s="702" t="s">
        <v>305</v>
      </c>
      <c r="E71" s="702"/>
      <c r="F71" s="672" t="str">
        <f>+Elem_Vis_Anual_Anali!P45</f>
        <v>N.A.</v>
      </c>
      <c r="G71" s="672" t="str">
        <f>+Elem_Vis_Anual_Anali!Q45</f>
        <v>N.A.</v>
      </c>
      <c r="H71" s="672" t="str">
        <f>+Elem_Vis_Anual_Anali!R45</f>
        <v>N.A.</v>
      </c>
      <c r="I71" s="463"/>
      <c r="J71" s="289"/>
      <c r="K71" s="670"/>
      <c r="L71" s="414" t="s">
        <v>301</v>
      </c>
      <c r="N71" s="706"/>
    </row>
    <row r="72" spans="1:16" ht="23.25" customHeight="1" x14ac:dyDescent="0.25">
      <c r="A72" s="704"/>
      <c r="B72" s="705"/>
      <c r="C72" s="705"/>
      <c r="D72" s="702"/>
      <c r="E72" s="702"/>
      <c r="F72" s="674"/>
      <c r="G72" s="674"/>
      <c r="H72" s="674"/>
      <c r="I72" s="463"/>
      <c r="J72" s="289"/>
      <c r="K72" s="670"/>
      <c r="L72" s="416" t="s">
        <v>303</v>
      </c>
      <c r="N72" s="706"/>
    </row>
    <row r="73" spans="1:16" ht="16.5" customHeight="1" x14ac:dyDescent="0.25">
      <c r="K73" s="670"/>
      <c r="L73" s="675" t="s">
        <v>338</v>
      </c>
      <c r="N73" s="706"/>
    </row>
    <row r="74" spans="1:16" x14ac:dyDescent="0.25">
      <c r="K74" s="670"/>
      <c r="L74" s="676"/>
      <c r="N74" s="706"/>
    </row>
    <row r="75" spans="1:16" x14ac:dyDescent="0.25">
      <c r="K75" s="670"/>
      <c r="L75" s="676"/>
    </row>
    <row r="76" spans="1:16" ht="33.75" customHeight="1" x14ac:dyDescent="0.25">
      <c r="A76" s="11" t="s">
        <v>306</v>
      </c>
      <c r="B76" s="433" t="str">
        <f>+Elem_Vis_Anual_Anali!E46</f>
        <v>N/A</v>
      </c>
      <c r="C76" s="433" t="str">
        <f>+Elem_Vis_Anual_Anali!G46</f>
        <v>N/A</v>
      </c>
      <c r="D76" s="697" t="s">
        <v>307</v>
      </c>
      <c r="E76" s="698"/>
      <c r="F76" s="434" t="str">
        <f>+Elem_Vis_Anual_Anali!P46</f>
        <v>N.A.</v>
      </c>
      <c r="G76" s="434" t="str">
        <f>+Elem_Vis_Anual_Anali!Q46</f>
        <v>N.A.</v>
      </c>
      <c r="H76" s="434" t="str">
        <f>+Elem_Vis_Anual_Anali!R46</f>
        <v>N.A.</v>
      </c>
      <c r="I76" s="464"/>
      <c r="J76" s="289"/>
      <c r="K76" s="670"/>
      <c r="L76" s="677"/>
    </row>
    <row r="77" spans="1:16" x14ac:dyDescent="0.25">
      <c r="K77" s="451"/>
      <c r="L77" s="16"/>
    </row>
    <row r="78" spans="1:16" x14ac:dyDescent="0.25">
      <c r="K78" s="455" t="s">
        <v>279</v>
      </c>
      <c r="L78" s="454" t="s">
        <v>339</v>
      </c>
    </row>
    <row r="79" spans="1:16" x14ac:dyDescent="0.25">
      <c r="K79" s="451"/>
      <c r="L79" s="16"/>
    </row>
    <row r="80" spans="1:16" x14ac:dyDescent="0.25">
      <c r="K80" s="451"/>
      <c r="L80" s="16"/>
    </row>
    <row r="81" spans="1:16" ht="24" x14ac:dyDescent="0.25">
      <c r="A81" s="11" t="s">
        <v>308</v>
      </c>
      <c r="B81" s="369" t="str">
        <f>+Elem_Vis_Anual_Anali!E47</f>
        <v>N/A</v>
      </c>
      <c r="C81" s="369" t="str">
        <f>+Elem_Vis_Anual_Anali!G47</f>
        <v>N/A</v>
      </c>
      <c r="D81" s="412">
        <v>0.91500000000000004</v>
      </c>
      <c r="E81" s="381">
        <v>1</v>
      </c>
      <c r="F81" s="434" t="str">
        <f>+Elem_Vis_Anual_Anali!P47</f>
        <v>N.A.</v>
      </c>
      <c r="G81" s="434" t="str">
        <f>+Elem_Vis_Anual_Anali!Q47</f>
        <v>N.A.</v>
      </c>
      <c r="H81" s="434">
        <f>+E81-D81</f>
        <v>8.4999999999999964E-2</v>
      </c>
      <c r="I81" s="464"/>
      <c r="J81" s="289"/>
      <c r="K81" s="451"/>
      <c r="L81" s="16"/>
      <c r="P81" s="291"/>
    </row>
    <row r="82" spans="1:16" x14ac:dyDescent="0.25">
      <c r="F82" s="417"/>
      <c r="G82" s="417"/>
      <c r="H82" s="417"/>
      <c r="I82" s="417"/>
      <c r="J82" s="418"/>
      <c r="K82" s="451"/>
      <c r="L82" s="16"/>
    </row>
    <row r="83" spans="1:16" ht="24" x14ac:dyDescent="0.25">
      <c r="K83" s="455" t="s">
        <v>309</v>
      </c>
      <c r="L83" s="456" t="s">
        <v>340</v>
      </c>
    </row>
    <row r="84" spans="1:16" x14ac:dyDescent="0.25">
      <c r="K84" s="417"/>
      <c r="L84" s="418"/>
    </row>
  </sheetData>
  <mergeCells count="63">
    <mergeCell ref="N71:N74"/>
    <mergeCell ref="A36:A37"/>
    <mergeCell ref="B36:B37"/>
    <mergeCell ref="C36:C37"/>
    <mergeCell ref="F36:F37"/>
    <mergeCell ref="G36:G37"/>
    <mergeCell ref="A57:A58"/>
    <mergeCell ref="E57:E58"/>
    <mergeCell ref="A51:A52"/>
    <mergeCell ref="D53:E53"/>
    <mergeCell ref="H71:H72"/>
    <mergeCell ref="G71:G72"/>
    <mergeCell ref="F71:F72"/>
    <mergeCell ref="D68:E68"/>
    <mergeCell ref="D69:E69"/>
    <mergeCell ref="A40:D40"/>
    <mergeCell ref="D76:E76"/>
    <mergeCell ref="A59:A60"/>
    <mergeCell ref="E59:E60"/>
    <mergeCell ref="D61:E61"/>
    <mergeCell ref="D71:E72"/>
    <mergeCell ref="A71:A72"/>
    <mergeCell ref="B71:B72"/>
    <mergeCell ref="C71:C72"/>
    <mergeCell ref="H36:H37"/>
    <mergeCell ref="A20:A21"/>
    <mergeCell ref="A22:A23"/>
    <mergeCell ref="A24:A25"/>
    <mergeCell ref="A38:A39"/>
    <mergeCell ref="A18:A19"/>
    <mergeCell ref="K16:K17"/>
    <mergeCell ref="L16:L17"/>
    <mergeCell ref="K18:K19"/>
    <mergeCell ref="L18:L19"/>
    <mergeCell ref="K4:K5"/>
    <mergeCell ref="L4:L5"/>
    <mergeCell ref="K8:K9"/>
    <mergeCell ref="L8:L9"/>
    <mergeCell ref="A16:A17"/>
    <mergeCell ref="A4:A5"/>
    <mergeCell ref="A8:A9"/>
    <mergeCell ref="H4:H5"/>
    <mergeCell ref="G4:G5"/>
    <mergeCell ref="F4:F5"/>
    <mergeCell ref="K20:K21"/>
    <mergeCell ref="L20:L21"/>
    <mergeCell ref="K22:K23"/>
    <mergeCell ref="L22:L23"/>
    <mergeCell ref="K24:K25"/>
    <mergeCell ref="L24:L25"/>
    <mergeCell ref="K26:K28"/>
    <mergeCell ref="L26:L28"/>
    <mergeCell ref="K36:K37"/>
    <mergeCell ref="L36:L37"/>
    <mergeCell ref="K38:K39"/>
    <mergeCell ref="L38:L39"/>
    <mergeCell ref="K51:K52"/>
    <mergeCell ref="L51:L52"/>
    <mergeCell ref="K58:K59"/>
    <mergeCell ref="L58:L61"/>
    <mergeCell ref="K68:K76"/>
    <mergeCell ref="L68:L69"/>
    <mergeCell ref="L73:L76"/>
  </mergeCells>
  <hyperlinks>
    <hyperlink ref="Y1" location="Negocios!A1" display="Negocios " xr:uid="{C36CDF36-6DA0-4078-8463-173F2749540D}"/>
    <hyperlink ref="Z1" location="Regiones!A1" display="Regiones " xr:uid="{992D59FA-CDCF-4955-8F96-4525C3D7BF36}"/>
    <hyperlink ref="Z43:Z45" location="'Causas y Acciones árbol Visión'!B23" display="Ver " xr:uid="{29F2B123-DFA8-4CA9-A1FA-4A2D3810CCB4}"/>
    <hyperlink ref="Z4:Z13" location="'Causas y Acciones árbol Visión'!A1" display="Ver " xr:uid="{CA95F864-706F-4C53-9AFD-6F713D77E4DC}"/>
    <hyperlink ref="Z16:Z25" location="'Causas y Acciones árbol Visión'!A1" display="'Causas y Acciones árbol Visión'!A1" xr:uid="{37BC87E5-B9BC-4ABF-93A3-E52DE398AEB5}"/>
  </hyperlink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FCD83-933B-4FC6-BBDB-9486BE697ED1}">
  <dimension ref="A1:V45"/>
  <sheetViews>
    <sheetView showGridLines="0" zoomScale="90" zoomScaleNormal="90" workbookViewId="0">
      <pane xSplit="2" ySplit="1" topLeftCell="R2" activePane="bottomRight" state="frozen"/>
      <selection pane="topRight" activeCell="D1" sqref="D1"/>
      <selection pane="bottomLeft" activeCell="A4" sqref="A4"/>
      <selection pane="bottomRight" activeCell="B23" sqref="B23"/>
    </sheetView>
  </sheetViews>
  <sheetFormatPr baseColWidth="10" defaultRowHeight="15" x14ac:dyDescent="0.25"/>
  <cols>
    <col min="1" max="1" width="50.7109375" bestFit="1" customWidth="1"/>
    <col min="2" max="2" width="70.7109375" bestFit="1" customWidth="1"/>
    <col min="3" max="3" width="16.28515625" customWidth="1"/>
    <col min="4" max="4" width="19" customWidth="1"/>
    <col min="5" max="5" width="19.140625" bestFit="1" customWidth="1"/>
    <col min="6" max="6" width="17.42578125" bestFit="1" customWidth="1"/>
    <col min="7" max="7" width="19.5703125" bestFit="1" customWidth="1"/>
    <col min="8" max="8" width="19.5703125" hidden="1" customWidth="1"/>
    <col min="9" max="10" width="15.42578125" bestFit="1" customWidth="1"/>
    <col min="11" max="11" width="19.140625" bestFit="1" customWidth="1"/>
    <col min="12" max="12" width="18.28515625" bestFit="1" customWidth="1"/>
    <col min="13" max="13" width="17" customWidth="1"/>
    <col min="14" max="15" width="17" style="512" customWidth="1"/>
    <col min="16" max="16" width="14" customWidth="1"/>
    <col min="17" max="17" width="14.28515625" customWidth="1"/>
    <col min="18" max="19" width="15.7109375" customWidth="1"/>
    <col min="20" max="20" width="17" customWidth="1"/>
    <col min="21" max="21" width="29.5703125" bestFit="1" customWidth="1"/>
  </cols>
  <sheetData>
    <row r="1" spans="1:21" ht="30" x14ac:dyDescent="0.25">
      <c r="A1" s="300" t="s">
        <v>230</v>
      </c>
      <c r="B1" s="300" t="s">
        <v>101</v>
      </c>
      <c r="C1" s="300" t="s">
        <v>259</v>
      </c>
      <c r="D1" s="300" t="s">
        <v>243</v>
      </c>
      <c r="E1" s="300" t="s">
        <v>341</v>
      </c>
      <c r="F1" s="300" t="s">
        <v>242</v>
      </c>
      <c r="G1" s="300" t="s">
        <v>342</v>
      </c>
      <c r="H1" s="300" t="s">
        <v>263</v>
      </c>
      <c r="I1" s="302" t="s">
        <v>246</v>
      </c>
      <c r="J1" s="302" t="s">
        <v>247</v>
      </c>
      <c r="K1" s="302" t="s">
        <v>343</v>
      </c>
      <c r="L1" s="302" t="s">
        <v>249</v>
      </c>
      <c r="M1" s="317" t="s">
        <v>102</v>
      </c>
      <c r="N1" s="509"/>
      <c r="O1" s="513" t="s">
        <v>395</v>
      </c>
      <c r="P1" s="513" t="s">
        <v>265</v>
      </c>
      <c r="Q1" s="513" t="s">
        <v>394</v>
      </c>
      <c r="R1" s="513" t="s">
        <v>249</v>
      </c>
      <c r="S1" s="513" t="s">
        <v>104</v>
      </c>
      <c r="T1" s="513" t="s">
        <v>102</v>
      </c>
    </row>
    <row r="2" spans="1:21" x14ac:dyDescent="0.25">
      <c r="A2" s="284" t="s">
        <v>159</v>
      </c>
      <c r="B2" s="297" t="s">
        <v>140</v>
      </c>
      <c r="C2" s="285" t="s">
        <v>260</v>
      </c>
      <c r="D2" s="315">
        <v>7.0000000000000007E-2</v>
      </c>
      <c r="E2" s="314">
        <v>29949</v>
      </c>
      <c r="F2" s="305">
        <v>7.2099999999999997E-2</v>
      </c>
      <c r="G2" s="308">
        <v>29185</v>
      </c>
      <c r="H2" s="339">
        <f>+F2-D2</f>
        <v>2.0999999999999908E-3</v>
      </c>
      <c r="I2" s="305">
        <v>5.8999999999999997E-2</v>
      </c>
      <c r="J2" s="305">
        <v>6.7000000000000004E-2</v>
      </c>
      <c r="K2" s="314">
        <v>32126</v>
      </c>
      <c r="L2" s="80">
        <f>+J2/I2</f>
        <v>1.1355932203389831</v>
      </c>
      <c r="M2" s="292" t="str">
        <f t="shared" ref="M2:M31" si="0">+IF(L2&lt;79.99999%,"Incumple",IF(AND(L2&gt;=80%,L2&lt;94.999999%),"Tolerable",IF(AND(L2&gt;=95%,L2&lt;100%),"Satisfactorio","Sobresaliente")))</f>
        <v>Sobresaliente</v>
      </c>
      <c r="N2" s="510"/>
      <c r="O2" s="514">
        <v>44651</v>
      </c>
      <c r="P2" s="346">
        <v>0.06</v>
      </c>
      <c r="Q2" s="504">
        <v>6.9800000000000001E-2</v>
      </c>
      <c r="R2" s="507" t="s">
        <v>114</v>
      </c>
      <c r="S2" s="506">
        <f t="shared" ref="S2:S45" si="1">+IFERROR(IF(R2="Creciente",IF(AND(Q2&lt;0,P2&lt;0),1-(Q2-P2)/Q2,IF(Q2&lt;0,Q2/P2-1,IF(P2&lt;0,((Q2/P2-1)*-1),Q2/P2))),IF(AND(Q2&lt;0,P2&lt;0),(P2*-1)/(Q2*-1),IF(Q2&lt;0,(Q2-P2)/Q2,IF(P2&lt;0,-1+(Q2-P2)/P2,P2/Q2)))),"N/A")</f>
        <v>1.1633333333333333</v>
      </c>
      <c r="T2" s="508" t="str">
        <f>+IF(S2&lt;79.99999%,"Incumple",IF(AND(S2&gt;=80%,S2&lt;94.999999%),"Tolerable",IF(AND(S2&gt;=95%,S2&lt;100%),"Satisfactorio","Sobresaliente")))</f>
        <v>Sobresaliente</v>
      </c>
    </row>
    <row r="3" spans="1:21" x14ac:dyDescent="0.25">
      <c r="A3" s="284" t="s">
        <v>159</v>
      </c>
      <c r="B3" s="297" t="s">
        <v>142</v>
      </c>
      <c r="C3" s="285" t="s">
        <v>261</v>
      </c>
      <c r="D3" s="311" t="s">
        <v>28</v>
      </c>
      <c r="E3" s="311" t="s">
        <v>28</v>
      </c>
      <c r="F3" s="340">
        <v>0.98</v>
      </c>
      <c r="G3" s="312">
        <v>90</v>
      </c>
      <c r="H3" s="339" t="str">
        <f t="shared" ref="H3" si="2">+IFERROR(F3-D3,"N.A")</f>
        <v>N.A</v>
      </c>
      <c r="I3" s="309">
        <v>97</v>
      </c>
      <c r="J3" s="309">
        <v>95</v>
      </c>
      <c r="K3" s="309" t="s">
        <v>28</v>
      </c>
      <c r="L3" s="80">
        <f>+J3/I3</f>
        <v>0.97938144329896903</v>
      </c>
      <c r="M3" s="292" t="str">
        <f>+IF(L3&lt;79.99999%,"Incumple",IF(AND(L3&gt;=80%,L3&lt;94.999999%),"Tolerable",IF(AND(L3&gt;=95%,L3&lt;100%),"Satisfactorio","Sobresaliente")))</f>
        <v>Satisfactorio</v>
      </c>
      <c r="N3" s="510"/>
      <c r="O3" s="514">
        <v>44651</v>
      </c>
      <c r="P3" s="349">
        <v>1</v>
      </c>
      <c r="Q3" s="502">
        <v>1</v>
      </c>
      <c r="R3" s="507" t="s">
        <v>114</v>
      </c>
      <c r="S3" s="506">
        <f t="shared" si="1"/>
        <v>1</v>
      </c>
      <c r="T3" s="508" t="str">
        <f t="shared" ref="T3:T45" si="3">+IF(S3&lt;79.99999%,"Incumple",IF(AND(S3&gt;=80%,S3&lt;94.999999%),"Tolerable",IF(AND(S3&gt;=95%,S3&lt;100%),"Satisfactorio","Sobresaliente")))</f>
        <v>Sobresaliente</v>
      </c>
    </row>
    <row r="4" spans="1:21" ht="36" customHeight="1" x14ac:dyDescent="0.25">
      <c r="A4" s="284" t="s">
        <v>159</v>
      </c>
      <c r="B4" s="297" t="s">
        <v>141</v>
      </c>
      <c r="C4" s="285" t="s">
        <v>260</v>
      </c>
      <c r="D4" s="305">
        <v>0.80300000000000005</v>
      </c>
      <c r="E4" s="319">
        <f>345184/(345184+84750)</f>
        <v>0.80287672061293125</v>
      </c>
      <c r="F4" s="305">
        <v>0.86199999999999999</v>
      </c>
      <c r="G4" s="318">
        <f>348843/(348843+56395)</f>
        <v>0.8608348674112497</v>
      </c>
      <c r="H4" s="339">
        <f>+F4-D4</f>
        <v>5.8999999999999941E-2</v>
      </c>
      <c r="I4" s="305">
        <v>0.82599999999999996</v>
      </c>
      <c r="J4" s="305">
        <v>0.81599999999999995</v>
      </c>
      <c r="K4" s="320">
        <f>390426/(390426+88261)</f>
        <v>0.81561855659334803</v>
      </c>
      <c r="L4" s="80">
        <f>+I4/J4</f>
        <v>1.0122549019607843</v>
      </c>
      <c r="M4" s="292" t="str">
        <f t="shared" si="0"/>
        <v>Sobresaliente</v>
      </c>
      <c r="N4" s="510"/>
      <c r="O4" s="514">
        <v>44651</v>
      </c>
      <c r="P4" s="347">
        <v>0.86570000000000003</v>
      </c>
      <c r="Q4" s="501">
        <v>0.84589999999999999</v>
      </c>
      <c r="R4" s="507" t="s">
        <v>116</v>
      </c>
      <c r="S4" s="506">
        <f t="shared" si="1"/>
        <v>1.023407022106632</v>
      </c>
      <c r="T4" s="508" t="str">
        <f t="shared" si="3"/>
        <v>Sobresaliente</v>
      </c>
    </row>
    <row r="5" spans="1:21" x14ac:dyDescent="0.25">
      <c r="A5" s="284" t="s">
        <v>159</v>
      </c>
      <c r="B5" s="297" t="s">
        <v>143</v>
      </c>
      <c r="C5" s="285" t="s">
        <v>261</v>
      </c>
      <c r="D5" s="315">
        <v>0.48</v>
      </c>
      <c r="E5" s="311" t="s">
        <v>28</v>
      </c>
      <c r="F5" s="305">
        <v>0.47299999999999998</v>
      </c>
      <c r="G5" s="311" t="s">
        <v>28</v>
      </c>
      <c r="H5" s="339">
        <f>+F5-D5</f>
        <v>-7.0000000000000062E-3</v>
      </c>
      <c r="I5" s="310">
        <v>0.5</v>
      </c>
      <c r="J5" s="305">
        <v>0.46400000000000002</v>
      </c>
      <c r="K5" s="311" t="s">
        <v>28</v>
      </c>
      <c r="L5" s="80">
        <f>+I5/J5</f>
        <v>1.0775862068965516</v>
      </c>
      <c r="M5" s="292" t="str">
        <f t="shared" si="0"/>
        <v>Sobresaliente</v>
      </c>
      <c r="N5" s="510"/>
      <c r="O5" s="514">
        <v>44651</v>
      </c>
      <c r="P5" s="349">
        <v>0.5</v>
      </c>
      <c r="Q5" s="501">
        <v>0.44650000000000001</v>
      </c>
      <c r="R5" s="507" t="s">
        <v>116</v>
      </c>
      <c r="S5" s="506">
        <f t="shared" si="1"/>
        <v>1.1198208286674132</v>
      </c>
      <c r="T5" s="508" t="str">
        <f t="shared" si="3"/>
        <v>Sobresaliente</v>
      </c>
    </row>
    <row r="6" spans="1:21" x14ac:dyDescent="0.25">
      <c r="A6" s="284" t="s">
        <v>159</v>
      </c>
      <c r="B6" s="297" t="s">
        <v>144</v>
      </c>
      <c r="C6" s="285" t="s">
        <v>261</v>
      </c>
      <c r="D6" s="311">
        <v>1.06</v>
      </c>
      <c r="E6" s="311" t="s">
        <v>28</v>
      </c>
      <c r="F6" s="311">
        <v>1.19</v>
      </c>
      <c r="G6" s="311" t="s">
        <v>28</v>
      </c>
      <c r="H6" s="311">
        <f>+F6-D6</f>
        <v>0.12999999999999989</v>
      </c>
      <c r="I6" s="311">
        <v>1.2</v>
      </c>
      <c r="J6" s="311">
        <v>1.1200000000000001</v>
      </c>
      <c r="K6" s="311" t="s">
        <v>28</v>
      </c>
      <c r="L6" s="80">
        <f>+J6/I6</f>
        <v>0.93333333333333346</v>
      </c>
      <c r="M6" s="292" t="str">
        <f t="shared" si="0"/>
        <v>Tolerable</v>
      </c>
      <c r="N6" s="510"/>
      <c r="O6" s="514">
        <v>44651</v>
      </c>
      <c r="P6" s="348">
        <v>1.1599999999999999</v>
      </c>
      <c r="Q6" s="503">
        <v>1.1499999999999999</v>
      </c>
      <c r="R6" s="507" t="s">
        <v>114</v>
      </c>
      <c r="S6" s="506">
        <f t="shared" si="1"/>
        <v>0.99137931034482762</v>
      </c>
      <c r="T6" s="508" t="str">
        <f t="shared" si="3"/>
        <v>Satisfactorio</v>
      </c>
      <c r="U6" s="500" t="s">
        <v>387</v>
      </c>
    </row>
    <row r="7" spans="1:21" x14ac:dyDescent="0.25">
      <c r="A7" s="284" t="s">
        <v>159</v>
      </c>
      <c r="B7" s="297" t="s">
        <v>147</v>
      </c>
      <c r="C7" s="285" t="s">
        <v>261</v>
      </c>
      <c r="D7" s="305">
        <v>0.14199999999999999</v>
      </c>
      <c r="E7" s="311" t="s">
        <v>28</v>
      </c>
      <c r="F7" s="305">
        <v>4.5999999999999999E-2</v>
      </c>
      <c r="G7" s="311" t="s">
        <v>28</v>
      </c>
      <c r="H7" s="339">
        <f>+F7-D7</f>
        <v>-9.5999999999999988E-2</v>
      </c>
      <c r="I7" s="305">
        <v>7.6999999999999999E-2</v>
      </c>
      <c r="J7" s="305">
        <v>0.122</v>
      </c>
      <c r="K7" s="311" t="s">
        <v>28</v>
      </c>
      <c r="L7" s="80">
        <f>+J7/I7</f>
        <v>1.5844155844155845</v>
      </c>
      <c r="M7" s="292" t="str">
        <f>+IF(L7&lt;79.99999%,"Incumple",IF(AND(L7&gt;=80%,L7&lt;94.999999%),"Tolerable",IF(AND(L7&gt;=95%,L7&lt;100%),"Satisfactorio","Sobresaliente")))</f>
        <v>Sobresaliente</v>
      </c>
      <c r="N7" s="510"/>
      <c r="O7" s="514">
        <v>44651</v>
      </c>
      <c r="P7" s="346">
        <v>-5.0099999999999999E-2</v>
      </c>
      <c r="Q7" s="501">
        <v>7.7100000000000002E-2</v>
      </c>
      <c r="R7" s="507" t="s">
        <v>114</v>
      </c>
      <c r="S7" s="506">
        <f t="shared" si="1"/>
        <v>2.5389221556886228</v>
      </c>
      <c r="T7" s="508" t="str">
        <f t="shared" si="3"/>
        <v>Sobresaliente</v>
      </c>
      <c r="U7" s="500" t="s">
        <v>388</v>
      </c>
    </row>
    <row r="8" spans="1:21" x14ac:dyDescent="0.25">
      <c r="A8" s="284" t="s">
        <v>159</v>
      </c>
      <c r="B8" s="297" t="s">
        <v>146</v>
      </c>
      <c r="C8" s="285" t="s">
        <v>261</v>
      </c>
      <c r="D8" s="305">
        <v>0.51100000000000001</v>
      </c>
      <c r="E8" s="311" t="s">
        <v>28</v>
      </c>
      <c r="F8" s="305">
        <v>0.70399999999999996</v>
      </c>
      <c r="G8" s="311" t="s">
        <v>28</v>
      </c>
      <c r="H8" s="339">
        <f>+F8-D8</f>
        <v>0.19299999999999995</v>
      </c>
      <c r="I8" s="305">
        <v>0.61699999999999999</v>
      </c>
      <c r="J8" s="305">
        <v>0.61599999999999999</v>
      </c>
      <c r="K8" s="311" t="s">
        <v>28</v>
      </c>
      <c r="L8" s="80">
        <f>+I8/J8</f>
        <v>1.0016233766233766</v>
      </c>
      <c r="M8" s="292" t="str">
        <f>+IF(L8&lt;79.99999%,"Incumple",IF(AND(L8&gt;=80%,L8&lt;94.999999%),"Tolerable",IF(AND(L8&gt;=95%,L8&lt;100%),"Satisfactorio","Sobresaliente")))</f>
        <v>Sobresaliente</v>
      </c>
      <c r="N8" s="510"/>
      <c r="O8" s="514">
        <v>44651</v>
      </c>
      <c r="P8" s="347">
        <v>0.75019999999999998</v>
      </c>
      <c r="Q8" s="501">
        <v>0.88300000000000001</v>
      </c>
      <c r="R8" s="507" t="s">
        <v>116</v>
      </c>
      <c r="S8" s="506">
        <f t="shared" si="1"/>
        <v>0.84960362400905998</v>
      </c>
      <c r="T8" s="508" t="str">
        <f t="shared" si="3"/>
        <v>Tolerable</v>
      </c>
    </row>
    <row r="9" spans="1:21" x14ac:dyDescent="0.25">
      <c r="A9" s="284" t="s">
        <v>159</v>
      </c>
      <c r="B9" s="297" t="s">
        <v>145</v>
      </c>
      <c r="C9" s="285" t="s">
        <v>261</v>
      </c>
      <c r="D9" s="314">
        <v>423412</v>
      </c>
      <c r="E9" s="305">
        <v>0.95499999999999996</v>
      </c>
      <c r="F9" s="314">
        <v>402601</v>
      </c>
      <c r="G9" s="306">
        <v>0.88100000000000001</v>
      </c>
      <c r="H9" s="305">
        <f>+F9/D9-1</f>
        <v>-4.9150709002106718E-2</v>
      </c>
      <c r="I9" s="312">
        <v>446763</v>
      </c>
      <c r="J9" s="312">
        <v>469231</v>
      </c>
      <c r="K9" s="340">
        <f>+L9</f>
        <v>0.95211740059799965</v>
      </c>
      <c r="L9" s="80">
        <f>+I9/J9</f>
        <v>0.95211740059799965</v>
      </c>
      <c r="M9" s="292" t="str">
        <f t="shared" si="0"/>
        <v>Satisfactorio</v>
      </c>
      <c r="N9" s="510"/>
      <c r="O9" s="514">
        <v>44651</v>
      </c>
      <c r="P9" s="347">
        <v>1</v>
      </c>
      <c r="Q9" s="501">
        <v>0.98380000000000001</v>
      </c>
      <c r="R9" s="507" t="s">
        <v>116</v>
      </c>
      <c r="S9" s="506">
        <f t="shared" si="1"/>
        <v>1.0164667615368976</v>
      </c>
      <c r="T9" s="508" t="str">
        <f t="shared" si="3"/>
        <v>Sobresaliente</v>
      </c>
    </row>
    <row r="10" spans="1:21" x14ac:dyDescent="0.25">
      <c r="A10" s="284" t="s">
        <v>158</v>
      </c>
      <c r="B10" s="297" t="s">
        <v>153</v>
      </c>
      <c r="C10" s="285" t="s">
        <v>260</v>
      </c>
      <c r="D10" s="311" t="s">
        <v>28</v>
      </c>
      <c r="E10" s="311" t="s">
        <v>28</v>
      </c>
      <c r="F10" s="305">
        <v>-0.33500000000000002</v>
      </c>
      <c r="G10" s="311" t="s">
        <v>28</v>
      </c>
      <c r="H10" s="339" t="str">
        <f>+IFERROR(F10-D10,"N.A")</f>
        <v>N.A</v>
      </c>
      <c r="I10" s="305">
        <v>0.38990000000000002</v>
      </c>
      <c r="J10" s="305">
        <v>0.56499999999999995</v>
      </c>
      <c r="K10" s="311" t="s">
        <v>28</v>
      </c>
      <c r="L10" s="80">
        <f t="shared" ref="L10:L17" si="4">+J10/I10</f>
        <v>1.4490895101308026</v>
      </c>
      <c r="M10" s="292" t="str">
        <f t="shared" ref="M10:M17" si="5">+IF(L10&lt;79.99999%,"Incumple",IF(AND(L10&gt;=80%,L10&lt;94.999999%),"Tolerable",IF(AND(L10&gt;=95%,L10&lt;100%),"Satisfactorio","Sobresaliente")))</f>
        <v>Sobresaliente</v>
      </c>
      <c r="N10" s="510"/>
      <c r="O10" s="514">
        <v>44651</v>
      </c>
      <c r="P10" s="346">
        <v>0.22739999999999999</v>
      </c>
      <c r="Q10" s="501">
        <v>0.45119999999999999</v>
      </c>
      <c r="R10" s="507" t="s">
        <v>114</v>
      </c>
      <c r="S10" s="506">
        <f t="shared" si="1"/>
        <v>1.9841688654353562</v>
      </c>
      <c r="T10" s="508" t="str">
        <f t="shared" si="3"/>
        <v>Sobresaliente</v>
      </c>
    </row>
    <row r="11" spans="1:21" x14ac:dyDescent="0.25">
      <c r="A11" s="284" t="s">
        <v>158</v>
      </c>
      <c r="B11" s="297" t="s">
        <v>150</v>
      </c>
      <c r="C11" s="285" t="s">
        <v>261</v>
      </c>
      <c r="D11" s="305">
        <v>6.1699999999999998E-2</v>
      </c>
      <c r="E11" s="311" t="s">
        <v>28</v>
      </c>
      <c r="F11" s="305">
        <v>1.0999999999999999E-2</v>
      </c>
      <c r="G11" s="311" t="s">
        <v>28</v>
      </c>
      <c r="H11" s="339">
        <f>+F11-D11</f>
        <v>-5.0699999999999995E-2</v>
      </c>
      <c r="I11" s="305">
        <v>0.11799999999999999</v>
      </c>
      <c r="J11" s="305">
        <v>0.1192</v>
      </c>
      <c r="K11" s="311" t="s">
        <v>28</v>
      </c>
      <c r="L11" s="80">
        <f t="shared" si="4"/>
        <v>1.0101694915254238</v>
      </c>
      <c r="M11" s="292" t="str">
        <f t="shared" si="5"/>
        <v>Sobresaliente</v>
      </c>
      <c r="N11" s="510"/>
      <c r="O11" s="514">
        <v>44651</v>
      </c>
      <c r="P11" s="346">
        <v>7.9100000000000004E-2</v>
      </c>
      <c r="Q11" s="501">
        <v>8.6199999999999999E-2</v>
      </c>
      <c r="R11" s="507" t="s">
        <v>114</v>
      </c>
      <c r="S11" s="506">
        <f t="shared" si="1"/>
        <v>1.0897597977243993</v>
      </c>
      <c r="T11" s="508" t="str">
        <f t="shared" si="3"/>
        <v>Sobresaliente</v>
      </c>
    </row>
    <row r="12" spans="1:21" x14ac:dyDescent="0.25">
      <c r="A12" s="284" t="s">
        <v>158</v>
      </c>
      <c r="B12" s="297" t="s">
        <v>148</v>
      </c>
      <c r="C12" s="285" t="s">
        <v>261</v>
      </c>
      <c r="D12" s="305">
        <v>-1.21E-2</v>
      </c>
      <c r="E12" s="311" t="s">
        <v>28</v>
      </c>
      <c r="F12" s="305">
        <v>-4.5999999999999999E-3</v>
      </c>
      <c r="G12" s="311" t="s">
        <v>28</v>
      </c>
      <c r="H12" s="339">
        <f>+F12-D12</f>
        <v>7.4999999999999997E-3</v>
      </c>
      <c r="I12" s="305">
        <v>1.4500000000000001E-2</v>
      </c>
      <c r="J12" s="305">
        <v>8.8400000000000006E-2</v>
      </c>
      <c r="K12" s="311" t="s">
        <v>28</v>
      </c>
      <c r="L12" s="80">
        <f t="shared" si="4"/>
        <v>6.0965517241379308</v>
      </c>
      <c r="M12" s="292" t="str">
        <f t="shared" si="5"/>
        <v>Sobresaliente</v>
      </c>
      <c r="N12" s="510"/>
      <c r="O12" s="514">
        <v>44651</v>
      </c>
      <c r="P12" s="346">
        <v>9.2200000000000004E-2</v>
      </c>
      <c r="Q12" s="501">
        <v>0.1173</v>
      </c>
      <c r="R12" s="507" t="s">
        <v>114</v>
      </c>
      <c r="S12" s="506">
        <f t="shared" si="1"/>
        <v>1.2722342733188721</v>
      </c>
      <c r="T12" s="508" t="str">
        <f t="shared" si="3"/>
        <v>Sobresaliente</v>
      </c>
    </row>
    <row r="13" spans="1:21" x14ac:dyDescent="0.25">
      <c r="A13" s="284" t="s">
        <v>158</v>
      </c>
      <c r="B13" s="297" t="s">
        <v>151</v>
      </c>
      <c r="C13" s="285" t="s">
        <v>261</v>
      </c>
      <c r="D13" s="305">
        <v>2.5999999999999999E-2</v>
      </c>
      <c r="E13" s="311" t="s">
        <v>28</v>
      </c>
      <c r="F13" s="305">
        <v>-4.2999999999999997E-2</v>
      </c>
      <c r="G13" s="311" t="s">
        <v>28</v>
      </c>
      <c r="H13" s="339">
        <f>+IFERROR(F13-D13,"N.A")</f>
        <v>-6.8999999999999992E-2</v>
      </c>
      <c r="I13" s="305">
        <v>7.1099999999999997E-2</v>
      </c>
      <c r="J13" s="305">
        <v>8.5300000000000001E-2</v>
      </c>
      <c r="K13" s="477" t="s">
        <v>28</v>
      </c>
      <c r="L13" s="80">
        <f t="shared" si="4"/>
        <v>1.19971870604782</v>
      </c>
      <c r="M13" s="292" t="str">
        <f t="shared" si="5"/>
        <v>Sobresaliente</v>
      </c>
      <c r="N13" s="510"/>
      <c r="O13" s="514">
        <v>44651</v>
      </c>
      <c r="P13" s="505">
        <v>0.12</v>
      </c>
      <c r="Q13" s="501">
        <v>9.2999999999999999E-2</v>
      </c>
      <c r="R13" s="507" t="s">
        <v>114</v>
      </c>
      <c r="S13" s="506">
        <f t="shared" si="1"/>
        <v>0.77500000000000002</v>
      </c>
      <c r="T13" s="508" t="str">
        <f t="shared" si="3"/>
        <v>Incumple</v>
      </c>
    </row>
    <row r="14" spans="1:21" x14ac:dyDescent="0.25">
      <c r="A14" s="284" t="s">
        <v>158</v>
      </c>
      <c r="B14" s="297" t="s">
        <v>99</v>
      </c>
      <c r="C14" s="285" t="s">
        <v>260</v>
      </c>
      <c r="D14" s="311" t="s">
        <v>28</v>
      </c>
      <c r="E14" s="311" t="s">
        <v>28</v>
      </c>
      <c r="F14" s="315">
        <v>-0.01</v>
      </c>
      <c r="G14" s="477">
        <v>19027</v>
      </c>
      <c r="H14" s="339" t="str">
        <f>+IFERROR(F14-D14,"N.A")</f>
        <v>N.A</v>
      </c>
      <c r="I14" s="305">
        <v>1.1599999999999999E-2</v>
      </c>
      <c r="J14" s="305">
        <v>1.5299999999999999E-2</v>
      </c>
      <c r="K14" s="477">
        <v>19319</v>
      </c>
      <c r="L14" s="80">
        <f t="shared" si="4"/>
        <v>1.3189655172413794</v>
      </c>
      <c r="M14" s="292" t="str">
        <f t="shared" si="5"/>
        <v>Sobresaliente</v>
      </c>
      <c r="N14" s="510"/>
      <c r="O14" s="514">
        <v>44651</v>
      </c>
      <c r="P14" s="505">
        <v>8.8999999999999999E-3</v>
      </c>
      <c r="Q14" s="501">
        <v>1.84E-2</v>
      </c>
      <c r="R14" s="507" t="s">
        <v>114</v>
      </c>
      <c r="S14" s="506">
        <f t="shared" si="1"/>
        <v>2.0674157303370788</v>
      </c>
      <c r="T14" s="508" t="str">
        <f t="shared" si="3"/>
        <v>Sobresaliente</v>
      </c>
    </row>
    <row r="15" spans="1:21" x14ac:dyDescent="0.25">
      <c r="A15" s="284" t="s">
        <v>158</v>
      </c>
      <c r="B15" s="297" t="s">
        <v>155</v>
      </c>
      <c r="C15" s="285" t="s">
        <v>261</v>
      </c>
      <c r="D15" s="305">
        <v>0.15740000000000001</v>
      </c>
      <c r="E15" s="311" t="s">
        <v>28</v>
      </c>
      <c r="F15" s="305">
        <v>0.15809999999999999</v>
      </c>
      <c r="G15" s="311" t="s">
        <v>28</v>
      </c>
      <c r="H15" s="339">
        <f>+IFERROR(F15-D15,"N.A")</f>
        <v>6.9999999999997842E-4</v>
      </c>
      <c r="I15" s="305">
        <v>0.158</v>
      </c>
      <c r="J15" s="305">
        <v>0.151</v>
      </c>
      <c r="K15" s="311" t="s">
        <v>28</v>
      </c>
      <c r="L15" s="80">
        <f t="shared" si="4"/>
        <v>0.95569620253164556</v>
      </c>
      <c r="M15" s="292" t="str">
        <f t="shared" si="5"/>
        <v>Satisfactorio</v>
      </c>
      <c r="N15" s="510"/>
      <c r="O15" s="514">
        <v>44651</v>
      </c>
      <c r="P15" s="505">
        <v>0.158</v>
      </c>
      <c r="Q15" s="501">
        <v>0.15140000000000001</v>
      </c>
      <c r="R15" s="507" t="s">
        <v>114</v>
      </c>
      <c r="S15" s="506">
        <f t="shared" si="1"/>
        <v>0.95822784810126582</v>
      </c>
      <c r="T15" s="508" t="str">
        <f t="shared" si="3"/>
        <v>Satisfactorio</v>
      </c>
    </row>
    <row r="16" spans="1:21" x14ac:dyDescent="0.25">
      <c r="A16" s="284" t="s">
        <v>158</v>
      </c>
      <c r="B16" s="297" t="s">
        <v>156</v>
      </c>
      <c r="C16" s="285" t="s">
        <v>261</v>
      </c>
      <c r="D16" s="305">
        <v>0.26400000000000001</v>
      </c>
      <c r="E16" s="311" t="s">
        <v>28</v>
      </c>
      <c r="F16" s="305">
        <v>0.26100000000000001</v>
      </c>
      <c r="G16" s="311" t="s">
        <v>28</v>
      </c>
      <c r="H16" s="339">
        <f>+IFERROR(F16-D16,"N.A")</f>
        <v>-3.0000000000000027E-3</v>
      </c>
      <c r="I16" s="305">
        <v>0.25879999999999997</v>
      </c>
      <c r="J16" s="305">
        <v>0.25900000000000001</v>
      </c>
      <c r="K16" s="311" t="s">
        <v>28</v>
      </c>
      <c r="L16" s="80">
        <f t="shared" si="4"/>
        <v>1.000772797527048</v>
      </c>
      <c r="M16" s="292" t="str">
        <f t="shared" si="5"/>
        <v>Sobresaliente</v>
      </c>
      <c r="N16" s="510"/>
      <c r="O16" s="514">
        <v>44651</v>
      </c>
      <c r="P16" s="505">
        <v>0.26100000000000001</v>
      </c>
      <c r="Q16" s="501">
        <v>0.25900000000000001</v>
      </c>
      <c r="R16" s="507" t="s">
        <v>114</v>
      </c>
      <c r="S16" s="506">
        <f t="shared" si="1"/>
        <v>0.9923371647509579</v>
      </c>
      <c r="T16" s="508" t="str">
        <f t="shared" si="3"/>
        <v>Satisfactorio</v>
      </c>
    </row>
    <row r="17" spans="1:22" x14ac:dyDescent="0.25">
      <c r="A17" s="284" t="s">
        <v>158</v>
      </c>
      <c r="B17" s="297" t="s">
        <v>157</v>
      </c>
      <c r="C17" s="285" t="s">
        <v>261</v>
      </c>
      <c r="D17" s="305">
        <v>0.2475</v>
      </c>
      <c r="E17" s="311" t="s">
        <v>28</v>
      </c>
      <c r="F17" s="305">
        <v>0.2417</v>
      </c>
      <c r="G17" s="311" t="s">
        <v>28</v>
      </c>
      <c r="H17" s="339">
        <f>+IFERROR(F17-D17,"N.A")</f>
        <v>-5.7999999999999996E-3</v>
      </c>
      <c r="I17" s="305">
        <v>0.24199999999999999</v>
      </c>
      <c r="J17" s="305">
        <v>0.245</v>
      </c>
      <c r="K17" s="311" t="s">
        <v>28</v>
      </c>
      <c r="L17" s="80">
        <f t="shared" si="4"/>
        <v>1.0123966942148761</v>
      </c>
      <c r="M17" s="292" t="str">
        <f t="shared" si="5"/>
        <v>Sobresaliente</v>
      </c>
      <c r="N17" s="510"/>
      <c r="O17" s="514">
        <v>44651</v>
      </c>
      <c r="P17" s="505">
        <v>0.24199999999999999</v>
      </c>
      <c r="Q17" s="501">
        <v>0.2447</v>
      </c>
      <c r="R17" s="507" t="s">
        <v>114</v>
      </c>
      <c r="S17" s="506">
        <f t="shared" si="1"/>
        <v>1.0111570247933885</v>
      </c>
      <c r="T17" s="508" t="str">
        <f t="shared" si="3"/>
        <v>Sobresaliente</v>
      </c>
    </row>
    <row r="18" spans="1:22" hidden="1" x14ac:dyDescent="0.25">
      <c r="A18" s="284" t="s">
        <v>158</v>
      </c>
      <c r="B18" s="297" t="s">
        <v>96</v>
      </c>
      <c r="C18" s="285" t="s">
        <v>261</v>
      </c>
      <c r="D18" s="312">
        <v>3684</v>
      </c>
      <c r="E18" s="311" t="s">
        <v>28</v>
      </c>
      <c r="F18" s="312">
        <v>3667</v>
      </c>
      <c r="G18" s="311" t="s">
        <v>28</v>
      </c>
      <c r="H18" s="339">
        <f>+F18/D18-1</f>
        <v>-4.6145494028230205E-3</v>
      </c>
      <c r="I18" s="312">
        <v>3720</v>
      </c>
      <c r="J18" s="312">
        <v>3980</v>
      </c>
      <c r="K18" s="311" t="s">
        <v>28</v>
      </c>
      <c r="L18" s="80">
        <f t="shared" ref="L18:L21" si="6">+J18/I18</f>
        <v>1.0698924731182795</v>
      </c>
      <c r="M18" s="292" t="str">
        <f t="shared" si="0"/>
        <v>Sobresaliente</v>
      </c>
      <c r="N18" s="510"/>
      <c r="O18" s="514">
        <v>44651</v>
      </c>
      <c r="P18" s="348">
        <v>4110</v>
      </c>
      <c r="S18" s="506" t="str">
        <f t="shared" si="1"/>
        <v>N/A</v>
      </c>
      <c r="T18" s="508" t="str">
        <f t="shared" si="3"/>
        <v>Sobresaliente</v>
      </c>
    </row>
    <row r="19" spans="1:22" hidden="1" x14ac:dyDescent="0.25">
      <c r="A19" s="284" t="s">
        <v>158</v>
      </c>
      <c r="B19" s="297" t="s">
        <v>149</v>
      </c>
      <c r="C19" s="285" t="s">
        <v>261</v>
      </c>
      <c r="D19" s="314">
        <v>345184</v>
      </c>
      <c r="E19" s="311" t="s">
        <v>28</v>
      </c>
      <c r="F19" s="322">
        <v>348843</v>
      </c>
      <c r="G19" s="311" t="s">
        <v>28</v>
      </c>
      <c r="H19" s="339">
        <f>+F19/D19-1</f>
        <v>1.0600143691480435E-2</v>
      </c>
      <c r="I19" s="312">
        <v>390081</v>
      </c>
      <c r="J19" s="312">
        <v>390426</v>
      </c>
      <c r="K19" s="311" t="s">
        <v>28</v>
      </c>
      <c r="L19" s="80">
        <f t="shared" si="6"/>
        <v>1.0008844316949557</v>
      </c>
      <c r="M19" s="292" t="str">
        <f t="shared" si="0"/>
        <v>Sobresaliente</v>
      </c>
      <c r="N19" s="510"/>
      <c r="O19" s="514">
        <v>44651</v>
      </c>
      <c r="P19" s="355">
        <v>446583</v>
      </c>
      <c r="S19" s="506" t="str">
        <f t="shared" si="1"/>
        <v>N/A</v>
      </c>
      <c r="T19" s="508" t="str">
        <f t="shared" si="3"/>
        <v>Sobresaliente</v>
      </c>
    </row>
    <row r="20" spans="1:22" hidden="1" x14ac:dyDescent="0.25">
      <c r="A20" s="284" t="s">
        <v>158</v>
      </c>
      <c r="B20" s="297" t="s">
        <v>98</v>
      </c>
      <c r="C20" s="285" t="s">
        <v>261</v>
      </c>
      <c r="D20" s="312">
        <v>407639</v>
      </c>
      <c r="E20" s="311" t="s">
        <v>28</v>
      </c>
      <c r="F20" s="312">
        <v>390100</v>
      </c>
      <c r="G20" s="311" t="s">
        <v>28</v>
      </c>
      <c r="H20" s="339">
        <f>+F20/D20-1</f>
        <v>-4.3025814507444138E-2</v>
      </c>
      <c r="I20" s="313">
        <v>417834</v>
      </c>
      <c r="J20" s="313">
        <v>423385</v>
      </c>
      <c r="K20" s="311" t="s">
        <v>28</v>
      </c>
      <c r="L20" s="80">
        <f t="shared" si="6"/>
        <v>1.0132851802390423</v>
      </c>
      <c r="M20" s="292" t="str">
        <f t="shared" si="0"/>
        <v>Sobresaliente</v>
      </c>
      <c r="N20" s="510"/>
      <c r="O20" s="514">
        <v>44651</v>
      </c>
      <c r="P20" s="348" t="s">
        <v>272</v>
      </c>
      <c r="S20" s="506" t="str">
        <f t="shared" si="1"/>
        <v>N/A</v>
      </c>
      <c r="T20" s="508" t="str">
        <f t="shared" si="3"/>
        <v>Sobresaliente</v>
      </c>
    </row>
    <row r="21" spans="1:22" hidden="1" x14ac:dyDescent="0.25">
      <c r="A21" s="284" t="s">
        <v>158</v>
      </c>
      <c r="B21" s="297" t="s">
        <v>152</v>
      </c>
      <c r="C21" s="285" t="s">
        <v>261</v>
      </c>
      <c r="D21" s="312">
        <v>84750</v>
      </c>
      <c r="E21" s="311"/>
      <c r="F21" s="312">
        <v>56395</v>
      </c>
      <c r="G21" s="285"/>
      <c r="H21" s="339">
        <f>+F21/D21-1</f>
        <v>-0.33457227138643064</v>
      </c>
      <c r="I21" s="314">
        <v>78381</v>
      </c>
      <c r="J21" s="314">
        <v>88261</v>
      </c>
      <c r="K21" s="311" t="s">
        <v>28</v>
      </c>
      <c r="L21" s="80">
        <f t="shared" si="6"/>
        <v>1.1260509562266365</v>
      </c>
      <c r="M21" s="292" t="str">
        <f t="shared" si="0"/>
        <v>Sobresaliente</v>
      </c>
      <c r="N21" s="510"/>
      <c r="O21" s="514">
        <v>44651</v>
      </c>
      <c r="P21" s="350">
        <v>106295.15235741501</v>
      </c>
      <c r="S21" s="506" t="str">
        <f t="shared" si="1"/>
        <v>N/A</v>
      </c>
      <c r="T21" s="508" t="str">
        <f t="shared" si="3"/>
        <v>Sobresaliente</v>
      </c>
    </row>
    <row r="22" spans="1:22" hidden="1" x14ac:dyDescent="0.25">
      <c r="A22" s="284" t="s">
        <v>158</v>
      </c>
      <c r="B22" s="297" t="s">
        <v>154</v>
      </c>
      <c r="C22" s="285" t="s">
        <v>261</v>
      </c>
      <c r="D22" s="305">
        <v>0.223</v>
      </c>
      <c r="E22" s="311" t="s">
        <v>28</v>
      </c>
      <c r="F22" s="305">
        <v>0.2195</v>
      </c>
      <c r="G22" s="311" t="s">
        <v>28</v>
      </c>
      <c r="H22" s="339">
        <f>+IFERROR(F22-D22,"N.A")</f>
        <v>-3.5000000000000031E-3</v>
      </c>
      <c r="I22" s="305">
        <v>0.219</v>
      </c>
      <c r="J22" s="305">
        <v>0.218</v>
      </c>
      <c r="K22" s="311" t="s">
        <v>28</v>
      </c>
      <c r="L22" s="345">
        <f>+AVERAGE(L15:L17)</f>
        <v>0.98962189809118983</v>
      </c>
      <c r="M22" s="292" t="str">
        <f t="shared" si="0"/>
        <v>Satisfactorio</v>
      </c>
      <c r="N22" s="510"/>
      <c r="O22" s="514">
        <v>44651</v>
      </c>
      <c r="P22" s="348" t="s">
        <v>272</v>
      </c>
      <c r="S22" s="506" t="str">
        <f t="shared" si="1"/>
        <v>N/A</v>
      </c>
      <c r="T22" s="508" t="str">
        <f t="shared" si="3"/>
        <v>Sobresaliente</v>
      </c>
    </row>
    <row r="23" spans="1:22" x14ac:dyDescent="0.25">
      <c r="A23" s="284" t="s">
        <v>160</v>
      </c>
      <c r="B23" s="297" t="s">
        <v>17</v>
      </c>
      <c r="C23" s="285" t="s">
        <v>261</v>
      </c>
      <c r="D23" s="311">
        <v>4.5999999999999996</v>
      </c>
      <c r="E23" s="311" t="s">
        <v>28</v>
      </c>
      <c r="F23" s="311">
        <v>4.58</v>
      </c>
      <c r="G23" s="311" t="s">
        <v>28</v>
      </c>
      <c r="H23" s="311">
        <f>+F23-D23</f>
        <v>-1.9999999999999574E-2</v>
      </c>
      <c r="I23" s="311">
        <v>4.6500000000000004</v>
      </c>
      <c r="J23" s="311">
        <v>4.62</v>
      </c>
      <c r="K23" s="311" t="s">
        <v>28</v>
      </c>
      <c r="L23" s="80">
        <f t="shared" ref="L23:L31" si="7">+J23/I23</f>
        <v>0.99354838709677418</v>
      </c>
      <c r="M23" s="292" t="str">
        <f t="shared" si="0"/>
        <v>Satisfactorio</v>
      </c>
      <c r="N23" s="510"/>
      <c r="O23" s="514">
        <v>44651</v>
      </c>
      <c r="P23" s="348">
        <v>4.6500000000000004</v>
      </c>
      <c r="Q23" s="285">
        <v>4.71</v>
      </c>
      <c r="R23" s="507" t="s">
        <v>114</v>
      </c>
      <c r="S23" s="506">
        <f t="shared" si="1"/>
        <v>1.0129032258064514</v>
      </c>
      <c r="T23" s="508" t="str">
        <f t="shared" si="3"/>
        <v>Sobresaliente</v>
      </c>
    </row>
    <row r="24" spans="1:22" x14ac:dyDescent="0.25">
      <c r="A24" s="284" t="s">
        <v>160</v>
      </c>
      <c r="B24" s="297" t="s">
        <v>181</v>
      </c>
      <c r="C24" s="285" t="s">
        <v>261</v>
      </c>
      <c r="D24" s="311" t="s">
        <v>28</v>
      </c>
      <c r="E24" s="311" t="s">
        <v>28</v>
      </c>
      <c r="F24" s="311" t="s">
        <v>28</v>
      </c>
      <c r="G24" s="311" t="s">
        <v>28</v>
      </c>
      <c r="H24" s="339" t="str">
        <f t="shared" ref="H24" si="8">+IFERROR(F24-D24,"N.A")</f>
        <v>N.A</v>
      </c>
      <c r="I24" s="311">
        <v>4.6500000000000004</v>
      </c>
      <c r="J24" s="311">
        <v>4.17</v>
      </c>
      <c r="K24" s="311" t="s">
        <v>28</v>
      </c>
      <c r="L24" s="303">
        <f t="shared" si="7"/>
        <v>0.89677419354838706</v>
      </c>
      <c r="M24" s="292" t="str">
        <f t="shared" si="0"/>
        <v>Tolerable</v>
      </c>
      <c r="N24" s="510"/>
      <c r="O24" s="514">
        <v>44651</v>
      </c>
      <c r="P24" s="348">
        <v>4.6500000000000004</v>
      </c>
      <c r="Q24" s="285">
        <v>4.17</v>
      </c>
      <c r="R24" s="507" t="s">
        <v>114</v>
      </c>
      <c r="S24" s="506">
        <f t="shared" si="1"/>
        <v>0.89677419354838706</v>
      </c>
      <c r="T24" s="508" t="str">
        <f t="shared" si="3"/>
        <v>Tolerable</v>
      </c>
    </row>
    <row r="25" spans="1:22" hidden="1" x14ac:dyDescent="0.25">
      <c r="A25" s="284" t="s">
        <v>163</v>
      </c>
      <c r="B25" s="297" t="s">
        <v>161</v>
      </c>
      <c r="C25" s="285" t="s">
        <v>261</v>
      </c>
      <c r="D25" s="323">
        <v>6207154</v>
      </c>
      <c r="E25" s="311" t="s">
        <v>28</v>
      </c>
      <c r="F25" s="323">
        <v>3343521</v>
      </c>
      <c r="G25" s="311" t="s">
        <v>28</v>
      </c>
      <c r="H25" s="340">
        <f>+F25/D25-1</f>
        <v>-0.46134395892223712</v>
      </c>
      <c r="I25" s="312">
        <v>5178063</v>
      </c>
      <c r="J25" s="312">
        <v>4163464</v>
      </c>
      <c r="K25" s="311" t="s">
        <v>28</v>
      </c>
      <c r="L25" s="80">
        <f t="shared" si="7"/>
        <v>0.80405819705167747</v>
      </c>
      <c r="M25" s="292" t="str">
        <f t="shared" si="0"/>
        <v>Tolerable</v>
      </c>
      <c r="N25" s="510"/>
      <c r="O25" s="514">
        <v>44651</v>
      </c>
      <c r="P25" s="352">
        <v>4784886</v>
      </c>
      <c r="R25" s="507" t="s">
        <v>114</v>
      </c>
      <c r="S25" s="506">
        <f t="shared" si="1"/>
        <v>0</v>
      </c>
      <c r="T25" s="508" t="str">
        <f t="shared" si="3"/>
        <v>Incumple</v>
      </c>
      <c r="U25" t="s">
        <v>389</v>
      </c>
    </row>
    <row r="26" spans="1:22" x14ac:dyDescent="0.25">
      <c r="A26" s="284" t="s">
        <v>163</v>
      </c>
      <c r="B26" s="297" t="s">
        <v>162</v>
      </c>
      <c r="C26" s="285" t="s">
        <v>261</v>
      </c>
      <c r="D26" s="305">
        <v>0.189</v>
      </c>
      <c r="E26" s="311" t="s">
        <v>28</v>
      </c>
      <c r="F26" s="305">
        <v>-0.46100000000000002</v>
      </c>
      <c r="G26" s="311" t="s">
        <v>28</v>
      </c>
      <c r="H26" s="339">
        <f t="shared" ref="H26:H45" si="9">+IFERROR(F26-D26,"N.A")</f>
        <v>-0.65</v>
      </c>
      <c r="I26" s="305">
        <v>0.54900000000000004</v>
      </c>
      <c r="J26" s="305">
        <v>0.245</v>
      </c>
      <c r="K26" s="311" t="s">
        <v>28</v>
      </c>
      <c r="L26" s="80">
        <f t="shared" si="7"/>
        <v>0.44626593806921672</v>
      </c>
      <c r="M26" s="292" t="str">
        <f t="shared" si="0"/>
        <v>Incumple</v>
      </c>
      <c r="N26" s="510"/>
      <c r="O26" s="514">
        <v>44651</v>
      </c>
      <c r="P26" s="346">
        <v>5.7700000000000001E-2</v>
      </c>
      <c r="Q26" s="501">
        <v>-1.67E-2</v>
      </c>
      <c r="R26" s="507" t="s">
        <v>114</v>
      </c>
      <c r="S26" s="506">
        <f t="shared" si="1"/>
        <v>-1.2894280762564991</v>
      </c>
      <c r="T26" s="508" t="str">
        <f t="shared" si="3"/>
        <v>Incumple</v>
      </c>
    </row>
    <row r="27" spans="1:22" x14ac:dyDescent="0.25">
      <c r="A27" s="284" t="s">
        <v>163</v>
      </c>
      <c r="B27" s="297" t="s">
        <v>18</v>
      </c>
      <c r="C27" s="285" t="s">
        <v>260</v>
      </c>
      <c r="D27" s="311" t="s">
        <v>28</v>
      </c>
      <c r="E27" s="311" t="s">
        <v>28</v>
      </c>
      <c r="F27" s="305">
        <v>0.4486</v>
      </c>
      <c r="G27" s="311" t="s">
        <v>28</v>
      </c>
      <c r="H27" s="339" t="str">
        <f t="shared" si="9"/>
        <v>N.A</v>
      </c>
      <c r="I27" s="310">
        <v>0.5</v>
      </c>
      <c r="J27" s="305">
        <v>0.53739999999999999</v>
      </c>
      <c r="K27" s="311" t="s">
        <v>28</v>
      </c>
      <c r="L27" s="80">
        <f t="shared" si="7"/>
        <v>1.0748</v>
      </c>
      <c r="M27" s="292" t="str">
        <f t="shared" si="0"/>
        <v>Sobresaliente</v>
      </c>
      <c r="N27" s="510"/>
      <c r="O27" s="514">
        <v>44651</v>
      </c>
      <c r="P27" s="425">
        <v>0.54</v>
      </c>
      <c r="Q27" s="501">
        <v>0.72189999999999999</v>
      </c>
      <c r="R27" s="507" t="s">
        <v>114</v>
      </c>
      <c r="S27" s="506">
        <f t="shared" si="1"/>
        <v>1.3368518518518517</v>
      </c>
      <c r="T27" s="508" t="str">
        <f t="shared" si="3"/>
        <v>Sobresaliente</v>
      </c>
    </row>
    <row r="28" spans="1:22" x14ac:dyDescent="0.25">
      <c r="A28" s="284" t="s">
        <v>187</v>
      </c>
      <c r="B28" s="297" t="s">
        <v>184</v>
      </c>
      <c r="C28" s="285" t="s">
        <v>261</v>
      </c>
      <c r="D28" s="311" t="s">
        <v>28</v>
      </c>
      <c r="E28" s="311" t="s">
        <v>28</v>
      </c>
      <c r="F28" s="311" t="s">
        <v>28</v>
      </c>
      <c r="G28" s="311" t="s">
        <v>28</v>
      </c>
      <c r="H28" s="339" t="str">
        <f t="shared" si="9"/>
        <v>N.A</v>
      </c>
      <c r="I28" s="315">
        <v>0.95</v>
      </c>
      <c r="J28" s="305">
        <v>0.90800000000000003</v>
      </c>
      <c r="K28" s="311" t="s">
        <v>28</v>
      </c>
      <c r="L28" s="80">
        <f t="shared" si="7"/>
        <v>0.95578947368421063</v>
      </c>
      <c r="M28" s="292" t="str">
        <f t="shared" si="0"/>
        <v>Satisfactorio</v>
      </c>
      <c r="N28" s="510"/>
      <c r="O28" s="514">
        <v>44651</v>
      </c>
      <c r="P28" s="347">
        <v>0.95</v>
      </c>
      <c r="Q28" s="306">
        <v>0.90759999999999996</v>
      </c>
      <c r="R28" s="507" t="s">
        <v>114</v>
      </c>
      <c r="S28" s="506">
        <f t="shared" si="1"/>
        <v>0.95536842105263153</v>
      </c>
      <c r="T28" s="508" t="str">
        <f t="shared" si="3"/>
        <v>Satisfactorio</v>
      </c>
      <c r="U28" s="500" t="s">
        <v>385</v>
      </c>
    </row>
    <row r="29" spans="1:22" x14ac:dyDescent="0.25">
      <c r="A29" s="284" t="s">
        <v>187</v>
      </c>
      <c r="B29" s="297" t="s">
        <v>185</v>
      </c>
      <c r="C29" s="285" t="s">
        <v>261</v>
      </c>
      <c r="D29" s="311" t="s">
        <v>28</v>
      </c>
      <c r="E29" s="311" t="s">
        <v>28</v>
      </c>
      <c r="F29" s="311" t="s">
        <v>28</v>
      </c>
      <c r="G29" s="311" t="s">
        <v>28</v>
      </c>
      <c r="H29" s="339" t="str">
        <f t="shared" si="9"/>
        <v>N.A</v>
      </c>
      <c r="I29" s="310">
        <v>0.8</v>
      </c>
      <c r="J29" s="310">
        <v>0.81</v>
      </c>
      <c r="K29" s="311" t="s">
        <v>28</v>
      </c>
      <c r="L29" s="80">
        <f t="shared" si="7"/>
        <v>1.0125</v>
      </c>
      <c r="M29" s="292" t="str">
        <f t="shared" si="0"/>
        <v>Sobresaliente</v>
      </c>
      <c r="N29" s="510"/>
      <c r="O29" s="514">
        <v>44651</v>
      </c>
      <c r="P29" s="347">
        <v>0.8</v>
      </c>
      <c r="Q29" s="306">
        <v>0.8125</v>
      </c>
      <c r="R29" s="507" t="s">
        <v>114</v>
      </c>
      <c r="S29" s="506">
        <f t="shared" si="1"/>
        <v>1.015625</v>
      </c>
      <c r="T29" s="508" t="str">
        <f t="shared" si="3"/>
        <v>Sobresaliente</v>
      </c>
      <c r="U29" s="500" t="s">
        <v>385</v>
      </c>
    </row>
    <row r="30" spans="1:22" ht="34.5" customHeight="1" x14ac:dyDescent="0.25">
      <c r="A30" s="284" t="s">
        <v>187</v>
      </c>
      <c r="B30" s="297" t="s">
        <v>186</v>
      </c>
      <c r="C30" s="285" t="s">
        <v>261</v>
      </c>
      <c r="D30" s="311" t="s">
        <v>28</v>
      </c>
      <c r="E30" s="311" t="s">
        <v>28</v>
      </c>
      <c r="F30" s="311" t="s">
        <v>28</v>
      </c>
      <c r="G30" s="311" t="s">
        <v>28</v>
      </c>
      <c r="H30" s="339" t="str">
        <f t="shared" si="9"/>
        <v>N.A</v>
      </c>
      <c r="I30" s="310">
        <v>0.1</v>
      </c>
      <c r="J30" s="305">
        <v>0.20100000000000001</v>
      </c>
      <c r="K30" s="311" t="s">
        <v>28</v>
      </c>
      <c r="L30" s="80">
        <f t="shared" si="7"/>
        <v>2.0099999999999998</v>
      </c>
      <c r="M30" s="292" t="str">
        <f t="shared" si="0"/>
        <v>Sobresaliente</v>
      </c>
      <c r="N30" s="510"/>
      <c r="O30" s="514">
        <v>44651</v>
      </c>
      <c r="P30" s="347">
        <v>0.1</v>
      </c>
      <c r="Q30" s="306">
        <v>0.20100000000000001</v>
      </c>
      <c r="R30" s="507" t="s">
        <v>114</v>
      </c>
      <c r="S30" s="506">
        <f t="shared" si="1"/>
        <v>2.0099999999999998</v>
      </c>
      <c r="T30" s="508" t="str">
        <f t="shared" si="3"/>
        <v>Sobresaliente</v>
      </c>
      <c r="U30" s="500" t="s">
        <v>385</v>
      </c>
    </row>
    <row r="31" spans="1:22" ht="15.75" customHeight="1" x14ac:dyDescent="0.25">
      <c r="A31" s="284" t="s">
        <v>187</v>
      </c>
      <c r="B31" s="297" t="s">
        <v>193</v>
      </c>
      <c r="C31" s="285" t="s">
        <v>261</v>
      </c>
      <c r="D31" s="311" t="s">
        <v>28</v>
      </c>
      <c r="E31" s="311" t="s">
        <v>28</v>
      </c>
      <c r="F31" s="305">
        <v>4.1999999999999997E-3</v>
      </c>
      <c r="G31" s="478">
        <v>221</v>
      </c>
      <c r="H31" s="339" t="str">
        <f t="shared" si="9"/>
        <v>N.A</v>
      </c>
      <c r="I31" s="305">
        <v>1.2E-2</v>
      </c>
      <c r="J31" s="305">
        <v>7.7000000000000002E-3</v>
      </c>
      <c r="K31" s="478">
        <v>612</v>
      </c>
      <c r="L31" s="80">
        <f t="shared" si="7"/>
        <v>0.64166666666666672</v>
      </c>
      <c r="M31" s="292" t="str">
        <f t="shared" si="0"/>
        <v>Incumple</v>
      </c>
      <c r="N31" s="510"/>
      <c r="O31" s="514">
        <v>44651</v>
      </c>
      <c r="P31" s="347">
        <v>1.2E-2</v>
      </c>
      <c r="Q31" s="306">
        <v>7.7000000000000002E-3</v>
      </c>
      <c r="R31" s="507" t="s">
        <v>114</v>
      </c>
      <c r="S31" s="506">
        <f t="shared" si="1"/>
        <v>0.64166666666666672</v>
      </c>
      <c r="T31" s="508" t="str">
        <f t="shared" si="3"/>
        <v>Incumple</v>
      </c>
      <c r="U31" s="500" t="s">
        <v>399</v>
      </c>
    </row>
    <row r="32" spans="1:22" hidden="1" x14ac:dyDescent="0.25">
      <c r="A32" s="284" t="s">
        <v>187</v>
      </c>
      <c r="B32" s="297" t="s">
        <v>194</v>
      </c>
      <c r="C32" s="285" t="s">
        <v>261</v>
      </c>
      <c r="D32" s="311" t="s">
        <v>28</v>
      </c>
      <c r="E32" s="311" t="s">
        <v>28</v>
      </c>
      <c r="F32" s="311" t="s">
        <v>28</v>
      </c>
      <c r="G32" s="311" t="s">
        <v>28</v>
      </c>
      <c r="H32" s="339" t="str">
        <f t="shared" si="9"/>
        <v>N.A</v>
      </c>
      <c r="I32" s="311" t="s">
        <v>28</v>
      </c>
      <c r="J32" s="311" t="s">
        <v>28</v>
      </c>
      <c r="K32" s="311" t="s">
        <v>28</v>
      </c>
      <c r="L32" s="285" t="s">
        <v>28</v>
      </c>
      <c r="M32" s="285" t="s">
        <v>28</v>
      </c>
      <c r="N32" s="511"/>
      <c r="O32" s="514">
        <v>44651</v>
      </c>
      <c r="P32" s="347">
        <v>0.95</v>
      </c>
      <c r="Q32" s="306"/>
      <c r="R32" s="306"/>
      <c r="S32" s="506" t="str">
        <f t="shared" si="1"/>
        <v>N/A</v>
      </c>
      <c r="T32" s="508" t="str">
        <f t="shared" si="3"/>
        <v>Sobresaliente</v>
      </c>
      <c r="V32" s="500" t="s">
        <v>390</v>
      </c>
    </row>
    <row r="33" spans="1:22" hidden="1" x14ac:dyDescent="0.25">
      <c r="A33" s="284" t="s">
        <v>187</v>
      </c>
      <c r="B33" s="297" t="s">
        <v>195</v>
      </c>
      <c r="C33" s="285" t="s">
        <v>261</v>
      </c>
      <c r="D33" s="311" t="s">
        <v>28</v>
      </c>
      <c r="E33" s="311" t="s">
        <v>28</v>
      </c>
      <c r="F33" s="311" t="s">
        <v>28</v>
      </c>
      <c r="G33" s="311" t="s">
        <v>28</v>
      </c>
      <c r="H33" s="339" t="str">
        <f t="shared" si="9"/>
        <v>N.A</v>
      </c>
      <c r="I33" s="311" t="s">
        <v>28</v>
      </c>
      <c r="J33" s="311" t="s">
        <v>28</v>
      </c>
      <c r="K33" s="311" t="s">
        <v>28</v>
      </c>
      <c r="L33" s="285" t="s">
        <v>28</v>
      </c>
      <c r="M33" s="285" t="s">
        <v>28</v>
      </c>
      <c r="N33" s="511"/>
      <c r="O33" s="514">
        <v>44651</v>
      </c>
      <c r="P33" s="347">
        <v>90</v>
      </c>
      <c r="Q33" s="306"/>
      <c r="R33" s="306"/>
      <c r="S33" s="506" t="str">
        <f t="shared" si="1"/>
        <v>N/A</v>
      </c>
      <c r="T33" s="508" t="str">
        <f t="shared" si="3"/>
        <v>Sobresaliente</v>
      </c>
      <c r="V33" s="500" t="s">
        <v>390</v>
      </c>
    </row>
    <row r="34" spans="1:22" x14ac:dyDescent="0.25">
      <c r="A34" s="284" t="s">
        <v>188</v>
      </c>
      <c r="B34" s="297" t="s">
        <v>20</v>
      </c>
      <c r="C34" s="285" t="s">
        <v>261</v>
      </c>
      <c r="D34" s="305">
        <v>6.3200000000000006E-2</v>
      </c>
      <c r="E34" s="314">
        <v>392494</v>
      </c>
      <c r="F34" s="305">
        <v>3.9699999999999999E-2</v>
      </c>
      <c r="G34" s="478">
        <v>132687</v>
      </c>
      <c r="H34" s="340">
        <f>+F34-D34</f>
        <v>-2.3500000000000007E-2</v>
      </c>
      <c r="I34" s="305">
        <v>6.3799999999999996E-2</v>
      </c>
      <c r="J34" s="305">
        <v>6.0999999999999999E-2</v>
      </c>
      <c r="K34" s="478">
        <v>253993</v>
      </c>
      <c r="L34" s="80">
        <f>+J34/I34</f>
        <v>0.9561128526645768</v>
      </c>
      <c r="M34" s="292" t="str">
        <f>+IF(L34&lt;79.99999%,"Incumple",IF(AND(L34&gt;=80%,L34&lt;94.999999%),"Tolerable",IF(AND(L34&gt;=95%,L34&lt;100%),"Satisfactorio","Sobresaliente")))</f>
        <v>Satisfactorio</v>
      </c>
      <c r="N34" s="510"/>
      <c r="O34" s="514">
        <v>44651</v>
      </c>
      <c r="P34" s="346">
        <v>7.1999999999999995E-2</v>
      </c>
      <c r="Q34" s="249">
        <v>9.9099999999999994E-2</v>
      </c>
      <c r="R34" s="507" t="s">
        <v>114</v>
      </c>
      <c r="S34" s="506">
        <f t="shared" si="1"/>
        <v>1.3763888888888889</v>
      </c>
      <c r="T34" s="508" t="str">
        <f t="shared" si="3"/>
        <v>Sobresaliente</v>
      </c>
    </row>
    <row r="35" spans="1:22" x14ac:dyDescent="0.25">
      <c r="A35" s="284" t="s">
        <v>198</v>
      </c>
      <c r="B35" s="297" t="s">
        <v>206</v>
      </c>
      <c r="C35" s="285" t="s">
        <v>261</v>
      </c>
      <c r="D35" s="311" t="s">
        <v>28</v>
      </c>
      <c r="E35" s="311" t="s">
        <v>28</v>
      </c>
      <c r="F35" s="305">
        <v>0.75209999999999999</v>
      </c>
      <c r="G35" s="311" t="s">
        <v>28</v>
      </c>
      <c r="H35" s="339" t="str">
        <f>+IFERROR(F35-D35,"N.A")</f>
        <v>N.A</v>
      </c>
      <c r="I35" s="310">
        <v>0.8</v>
      </c>
      <c r="J35" s="305">
        <v>0.80500000000000005</v>
      </c>
      <c r="K35" s="311" t="s">
        <v>28</v>
      </c>
      <c r="L35" s="80">
        <f>+J35/I35</f>
        <v>1.0062500000000001</v>
      </c>
      <c r="M35" s="292" t="str">
        <f>+IF(L35&lt;79.99999%,"Incumple",IF(AND(L35&gt;=80%,L35&lt;94.999999%),"Tolerable",IF(AND(L35&gt;=95%,L35&lt;100%),"Satisfactorio","Sobresaliente")))</f>
        <v>Sobresaliente</v>
      </c>
      <c r="N35" s="510"/>
      <c r="O35" s="514">
        <v>44651</v>
      </c>
      <c r="P35" s="347">
        <v>0.8</v>
      </c>
      <c r="Q35" s="306">
        <v>0.80510000000000004</v>
      </c>
      <c r="R35" s="507" t="s">
        <v>114</v>
      </c>
      <c r="S35" s="506">
        <f t="shared" si="1"/>
        <v>1.006375</v>
      </c>
      <c r="T35" s="508" t="str">
        <f t="shared" si="3"/>
        <v>Sobresaliente</v>
      </c>
      <c r="U35" s="500" t="s">
        <v>398</v>
      </c>
    </row>
    <row r="36" spans="1:22" x14ac:dyDescent="0.25">
      <c r="A36" s="284" t="s">
        <v>198</v>
      </c>
      <c r="B36" s="297" t="s">
        <v>271</v>
      </c>
      <c r="C36" s="285" t="s">
        <v>260</v>
      </c>
      <c r="D36" s="311" t="s">
        <v>28</v>
      </c>
      <c r="E36" s="311" t="s">
        <v>28</v>
      </c>
      <c r="F36" s="312" t="s">
        <v>28</v>
      </c>
      <c r="G36" s="477">
        <v>447361</v>
      </c>
      <c r="H36" s="339" t="str">
        <f t="shared" si="9"/>
        <v>N.A</v>
      </c>
      <c r="I36" s="310">
        <v>0.15</v>
      </c>
      <c r="J36" s="305">
        <v>0.159</v>
      </c>
      <c r="K36" s="477">
        <v>518665</v>
      </c>
      <c r="L36" s="80">
        <f>+J36/I36</f>
        <v>1.06</v>
      </c>
      <c r="M36" s="292" t="str">
        <f>+IF(L36&lt;79.99999%,"Incumple",IF(AND(L36&gt;=80%,L36&lt;94.999999%),"Tolerable",IF(AND(L36&gt;=95%,L36&lt;100%),"Satisfactorio","Sobresaliente")))</f>
        <v>Sobresaliente</v>
      </c>
      <c r="N36" s="510"/>
      <c r="O36" s="514">
        <v>44651</v>
      </c>
      <c r="P36" s="347">
        <v>0.15</v>
      </c>
      <c r="Q36" s="306">
        <v>0.15939999999999999</v>
      </c>
      <c r="R36" s="507" t="s">
        <v>114</v>
      </c>
      <c r="S36" s="506">
        <f t="shared" si="1"/>
        <v>1.0626666666666666</v>
      </c>
      <c r="T36" s="508" t="str">
        <f t="shared" si="3"/>
        <v>Sobresaliente</v>
      </c>
      <c r="U36" s="500" t="s">
        <v>398</v>
      </c>
    </row>
    <row r="37" spans="1:22" hidden="1" x14ac:dyDescent="0.25">
      <c r="A37" s="284" t="s">
        <v>198</v>
      </c>
      <c r="B37" s="297" t="s">
        <v>203</v>
      </c>
      <c r="C37" s="285" t="s">
        <v>261</v>
      </c>
      <c r="D37" s="311" t="s">
        <v>28</v>
      </c>
      <c r="E37" s="311" t="s">
        <v>28</v>
      </c>
      <c r="F37" s="311" t="s">
        <v>28</v>
      </c>
      <c r="G37" s="311" t="s">
        <v>28</v>
      </c>
      <c r="H37" s="339" t="str">
        <f t="shared" si="9"/>
        <v>N.A</v>
      </c>
      <c r="I37" s="311" t="s">
        <v>28</v>
      </c>
      <c r="J37" s="311" t="s">
        <v>28</v>
      </c>
      <c r="K37" s="311" t="s">
        <v>28</v>
      </c>
      <c r="L37" s="285" t="s">
        <v>28</v>
      </c>
      <c r="M37" s="285" t="s">
        <v>28</v>
      </c>
      <c r="N37" s="511"/>
      <c r="O37" s="514">
        <v>44651</v>
      </c>
      <c r="P37" s="348" t="s">
        <v>272</v>
      </c>
      <c r="S37" s="506" t="str">
        <f t="shared" si="1"/>
        <v>N/A</v>
      </c>
      <c r="T37" s="508" t="str">
        <f t="shared" si="3"/>
        <v>Sobresaliente</v>
      </c>
    </row>
    <row r="38" spans="1:22" x14ac:dyDescent="0.25">
      <c r="A38" s="284" t="s">
        <v>209</v>
      </c>
      <c r="B38" s="297" t="s">
        <v>210</v>
      </c>
      <c r="C38" s="285" t="s">
        <v>261</v>
      </c>
      <c r="D38" s="311" t="s">
        <v>28</v>
      </c>
      <c r="E38" s="311" t="s">
        <v>28</v>
      </c>
      <c r="F38" s="311" t="s">
        <v>28</v>
      </c>
      <c r="G38" s="311" t="s">
        <v>28</v>
      </c>
      <c r="H38" s="339" t="str">
        <f t="shared" si="9"/>
        <v>N.A</v>
      </c>
      <c r="I38" s="310">
        <v>0.3</v>
      </c>
      <c r="J38" s="305">
        <v>0.32300000000000001</v>
      </c>
      <c r="K38" s="311" t="s">
        <v>28</v>
      </c>
      <c r="L38" s="80">
        <f>+I38/J38</f>
        <v>0.92879256965944268</v>
      </c>
      <c r="M38" s="292" t="str">
        <f>+IF(L38&lt;79.99999%,"Incumple",IF(AND(L38&gt;=80%,L38&lt;94.999999%),"Tolerable",IF(AND(L38&gt;=95%,L38&lt;100%),"Satisfactorio","Sobresaliente")))</f>
        <v>Tolerable</v>
      </c>
      <c r="N38" s="510"/>
      <c r="O38" s="514">
        <v>44651</v>
      </c>
      <c r="P38" s="347">
        <v>0.3</v>
      </c>
      <c r="Q38" s="306">
        <v>0.32300000000000001</v>
      </c>
      <c r="R38" s="507" t="s">
        <v>116</v>
      </c>
      <c r="S38" s="506">
        <f t="shared" si="1"/>
        <v>0.92879256965944268</v>
      </c>
      <c r="T38" s="508" t="str">
        <f t="shared" si="3"/>
        <v>Tolerable</v>
      </c>
    </row>
    <row r="39" spans="1:22" x14ac:dyDescent="0.25">
      <c r="A39" s="284" t="s">
        <v>209</v>
      </c>
      <c r="B39" s="297" t="s">
        <v>215</v>
      </c>
      <c r="C39" s="285" t="s">
        <v>261</v>
      </c>
      <c r="D39" s="311" t="s">
        <v>28</v>
      </c>
      <c r="E39" s="311" t="s">
        <v>28</v>
      </c>
      <c r="F39" s="311" t="s">
        <v>28</v>
      </c>
      <c r="G39" s="311" t="s">
        <v>28</v>
      </c>
      <c r="H39" s="339" t="str">
        <f>+IFERROR(F39-D39,"N.A")</f>
        <v>N.A</v>
      </c>
      <c r="I39" s="311" t="s">
        <v>28</v>
      </c>
      <c r="J39" s="311" t="s">
        <v>28</v>
      </c>
      <c r="K39" s="311" t="s">
        <v>28</v>
      </c>
      <c r="L39" s="285" t="s">
        <v>28</v>
      </c>
      <c r="M39" s="285" t="s">
        <v>28</v>
      </c>
      <c r="N39" s="511"/>
      <c r="O39" s="514">
        <v>44651</v>
      </c>
      <c r="P39" s="347">
        <v>4.5999999999999999E-2</v>
      </c>
      <c r="Q39" s="306">
        <v>4.6699999999999998E-2</v>
      </c>
      <c r="R39" s="507" t="s">
        <v>114</v>
      </c>
      <c r="S39" s="506">
        <f t="shared" si="1"/>
        <v>1.0152173913043478</v>
      </c>
      <c r="T39" s="508" t="str">
        <f t="shared" si="3"/>
        <v>Sobresaliente</v>
      </c>
    </row>
    <row r="40" spans="1:22" x14ac:dyDescent="0.25">
      <c r="A40" s="304" t="s">
        <v>209</v>
      </c>
      <c r="B40" s="341" t="s">
        <v>391</v>
      </c>
      <c r="C40" s="285" t="s">
        <v>261</v>
      </c>
      <c r="D40" s="311" t="s">
        <v>28</v>
      </c>
      <c r="E40" s="311" t="s">
        <v>28</v>
      </c>
      <c r="F40" s="311" t="s">
        <v>28</v>
      </c>
      <c r="G40" s="311" t="s">
        <v>28</v>
      </c>
      <c r="H40" s="339" t="str">
        <f t="shared" si="9"/>
        <v>N.A</v>
      </c>
      <c r="I40" s="311">
        <v>4.7</v>
      </c>
      <c r="J40" s="311">
        <v>4.7</v>
      </c>
      <c r="K40" s="311" t="s">
        <v>28</v>
      </c>
      <c r="L40" s="80">
        <f>+J40/I40</f>
        <v>1</v>
      </c>
      <c r="M40" s="292" t="str">
        <f>+IF(L40&lt;79.99999%,"Incumple",IF(AND(L40&gt;=80%,L40&lt;94.999999%),"Tolerable",IF(AND(L40&gt;=95%,L40&lt;100%),"Satisfactorio","Sobresaliente")))</f>
        <v>Sobresaliente</v>
      </c>
      <c r="N40" s="510"/>
      <c r="O40" s="514">
        <v>44651</v>
      </c>
      <c r="P40" s="347">
        <v>4.7E-2</v>
      </c>
      <c r="Q40" s="306">
        <v>4.7E-2</v>
      </c>
      <c r="R40" s="507" t="s">
        <v>114</v>
      </c>
      <c r="S40" s="506">
        <f t="shared" si="1"/>
        <v>1</v>
      </c>
      <c r="T40" s="508" t="str">
        <f t="shared" si="3"/>
        <v>Sobresaliente</v>
      </c>
    </row>
    <row r="41" spans="1:22" hidden="1" x14ac:dyDescent="0.25">
      <c r="A41" s="284" t="s">
        <v>209</v>
      </c>
      <c r="B41" s="297" t="s">
        <v>212</v>
      </c>
      <c r="C41" s="285" t="s">
        <v>261</v>
      </c>
      <c r="D41" s="311" t="s">
        <v>28</v>
      </c>
      <c r="E41" s="311" t="s">
        <v>28</v>
      </c>
      <c r="F41" s="311" t="s">
        <v>28</v>
      </c>
      <c r="G41" s="311" t="s">
        <v>28</v>
      </c>
      <c r="H41" s="339" t="str">
        <f t="shared" si="9"/>
        <v>N.A</v>
      </c>
      <c r="I41" s="311" t="s">
        <v>28</v>
      </c>
      <c r="J41" s="311" t="s">
        <v>28</v>
      </c>
      <c r="K41" s="311" t="s">
        <v>28</v>
      </c>
      <c r="L41" s="285" t="s">
        <v>28</v>
      </c>
      <c r="M41" s="285" t="s">
        <v>28</v>
      </c>
      <c r="N41" s="511"/>
      <c r="O41" s="514">
        <v>44651</v>
      </c>
      <c r="P41" s="351"/>
      <c r="S41" s="506" t="str">
        <f t="shared" si="1"/>
        <v>N/A</v>
      </c>
      <c r="T41" s="508" t="str">
        <f t="shared" si="3"/>
        <v>Sobresaliente</v>
      </c>
      <c r="V41" s="500" t="s">
        <v>392</v>
      </c>
    </row>
    <row r="42" spans="1:22" hidden="1" x14ac:dyDescent="0.25">
      <c r="A42" s="284" t="s">
        <v>209</v>
      </c>
      <c r="B42" s="297" t="s">
        <v>213</v>
      </c>
      <c r="C42" s="285" t="s">
        <v>261</v>
      </c>
      <c r="D42" s="311" t="s">
        <v>28</v>
      </c>
      <c r="E42" s="311" t="s">
        <v>28</v>
      </c>
      <c r="F42" s="311" t="s">
        <v>28</v>
      </c>
      <c r="G42" s="311" t="s">
        <v>28</v>
      </c>
      <c r="H42" s="339" t="str">
        <f t="shared" si="9"/>
        <v>N.A</v>
      </c>
      <c r="I42" s="311" t="s">
        <v>28</v>
      </c>
      <c r="J42" s="311" t="s">
        <v>28</v>
      </c>
      <c r="K42" s="311" t="s">
        <v>28</v>
      </c>
      <c r="L42" s="285" t="s">
        <v>28</v>
      </c>
      <c r="M42" s="285" t="s">
        <v>28</v>
      </c>
      <c r="N42" s="511"/>
      <c r="O42" s="514">
        <v>44651</v>
      </c>
      <c r="P42" s="351"/>
      <c r="S42" s="506" t="str">
        <f t="shared" si="1"/>
        <v>N/A</v>
      </c>
      <c r="T42" s="508" t="str">
        <f t="shared" si="3"/>
        <v>Sobresaliente</v>
      </c>
      <c r="V42" s="500" t="s">
        <v>392</v>
      </c>
    </row>
    <row r="43" spans="1:22" hidden="1" x14ac:dyDescent="0.25">
      <c r="A43" s="284" t="s">
        <v>209</v>
      </c>
      <c r="B43" s="297" t="s">
        <v>214</v>
      </c>
      <c r="C43" s="285" t="s">
        <v>261</v>
      </c>
      <c r="D43" s="311" t="s">
        <v>28</v>
      </c>
      <c r="E43" s="311" t="s">
        <v>28</v>
      </c>
      <c r="F43" s="311" t="s">
        <v>28</v>
      </c>
      <c r="G43" s="311" t="s">
        <v>28</v>
      </c>
      <c r="H43" s="339" t="str">
        <f t="shared" si="9"/>
        <v>N.A</v>
      </c>
      <c r="I43" s="316">
        <v>4.5999999999999996</v>
      </c>
      <c r="J43" s="311">
        <v>4.67</v>
      </c>
      <c r="K43" s="311" t="s">
        <v>28</v>
      </c>
      <c r="L43" s="80">
        <f>+J43/I43</f>
        <v>1.0152173913043478</v>
      </c>
      <c r="M43" s="292" t="str">
        <f>+IF(L43&lt;79.99999%,"Incumple",IF(AND(L43&gt;=80%,L43&lt;94.999999%),"Tolerable",IF(AND(L43&gt;=95%,L43&lt;100%),"Satisfactorio","Sobresaliente")))</f>
        <v>Sobresaliente</v>
      </c>
      <c r="N43" s="510"/>
      <c r="O43" s="514">
        <v>44651</v>
      </c>
      <c r="P43" s="353">
        <v>4.5999999999999996</v>
      </c>
      <c r="S43" s="506" t="str">
        <f t="shared" si="1"/>
        <v>N/A</v>
      </c>
      <c r="T43" s="508" t="str">
        <f t="shared" si="3"/>
        <v>Sobresaliente</v>
      </c>
      <c r="V43" s="500" t="s">
        <v>392</v>
      </c>
    </row>
    <row r="44" spans="1:22" x14ac:dyDescent="0.25">
      <c r="A44" s="284" t="s">
        <v>216</v>
      </c>
      <c r="B44" s="297" t="s">
        <v>217</v>
      </c>
      <c r="C44" s="285" t="s">
        <v>261</v>
      </c>
      <c r="D44" s="311" t="s">
        <v>28</v>
      </c>
      <c r="E44" s="311" t="s">
        <v>28</v>
      </c>
      <c r="F44" s="311" t="s">
        <v>28</v>
      </c>
      <c r="G44" s="311" t="s">
        <v>28</v>
      </c>
      <c r="H44" s="339" t="str">
        <f t="shared" si="9"/>
        <v>N.A</v>
      </c>
      <c r="I44" s="311" t="s">
        <v>28</v>
      </c>
      <c r="J44" s="311" t="s">
        <v>28</v>
      </c>
      <c r="K44" s="309" t="s">
        <v>28</v>
      </c>
      <c r="L44" s="285" t="s">
        <v>28</v>
      </c>
      <c r="M44" s="285" t="s">
        <v>28</v>
      </c>
      <c r="N44" s="511"/>
      <c r="O44" s="514">
        <v>44651</v>
      </c>
      <c r="P44" s="347">
        <v>1</v>
      </c>
      <c r="Q44" s="306">
        <v>0</v>
      </c>
      <c r="R44" s="507" t="s">
        <v>114</v>
      </c>
      <c r="S44" s="506">
        <v>0</v>
      </c>
      <c r="T44" s="508" t="str">
        <f t="shared" si="3"/>
        <v>Incumple</v>
      </c>
      <c r="U44" s="500" t="s">
        <v>393</v>
      </c>
    </row>
    <row r="45" spans="1:22" x14ac:dyDescent="0.25">
      <c r="A45" s="284" t="s">
        <v>218</v>
      </c>
      <c r="B45" s="297" t="s">
        <v>219</v>
      </c>
      <c r="C45" s="285" t="s">
        <v>261</v>
      </c>
      <c r="D45" s="311" t="s">
        <v>28</v>
      </c>
      <c r="E45" s="311" t="s">
        <v>28</v>
      </c>
      <c r="F45" s="311" t="s">
        <v>28</v>
      </c>
      <c r="G45" s="311" t="s">
        <v>28</v>
      </c>
      <c r="H45" s="339" t="str">
        <f t="shared" si="9"/>
        <v>N.A</v>
      </c>
      <c r="I45" s="310">
        <v>0.9</v>
      </c>
      <c r="J45" s="305">
        <v>0.91500000000000004</v>
      </c>
      <c r="K45" s="477">
        <v>2965</v>
      </c>
      <c r="L45" s="80">
        <f>+J45/I45</f>
        <v>1.0166666666666666</v>
      </c>
      <c r="M45" s="292" t="str">
        <f>+IF(L45&lt;79.99999%,"Incumple",IF(AND(L45&gt;=80%,L45&lt;94.999999%),"Tolerable",IF(AND(L45&gt;=95%,L45&lt;100%),"Satisfactorio","Sobresaliente")))</f>
        <v>Sobresaliente</v>
      </c>
      <c r="N45" s="510"/>
      <c r="O45" s="514">
        <v>44651</v>
      </c>
      <c r="P45" s="347">
        <v>0.9</v>
      </c>
      <c r="Q45" s="306">
        <v>0.91500000000000004</v>
      </c>
      <c r="R45" s="507" t="s">
        <v>114</v>
      </c>
      <c r="S45" s="506">
        <f t="shared" si="1"/>
        <v>1.0166666666666666</v>
      </c>
      <c r="T45" s="508" t="str">
        <f t="shared" si="3"/>
        <v>Sobresaliente</v>
      </c>
      <c r="U45" s="500" t="s">
        <v>398</v>
      </c>
    </row>
  </sheetData>
  <autoFilter ref="A1:Q45" xr:uid="{F09FCD83-933B-4FC6-BBDB-9486BE697ED1}"/>
  <conditionalFormatting sqref="L2:L3 L7:L8 L10:L31">
    <cfRule type="cellIs" dxfId="814" priority="65" operator="lessThan">
      <formula>0.79999999</formula>
    </cfRule>
    <cfRule type="cellIs" dxfId="813" priority="66" operator="greaterThan">
      <formula>0.999999</formula>
    </cfRule>
    <cfRule type="cellIs" dxfId="812" priority="67" operator="between">
      <formula>0.94999999</formula>
      <formula>0.9999999</formula>
    </cfRule>
    <cfRule type="cellIs" dxfId="811" priority="68" operator="between">
      <formula>0.8</formula>
      <formula>0.94999999</formula>
    </cfRule>
  </conditionalFormatting>
  <conditionalFormatting sqref="L4">
    <cfRule type="cellIs" dxfId="810" priority="61" operator="lessThan">
      <formula>0.79999999</formula>
    </cfRule>
    <cfRule type="cellIs" dxfId="809" priority="62" operator="greaterThan">
      <formula>0.999999</formula>
    </cfRule>
    <cfRule type="cellIs" dxfId="808" priority="63" operator="between">
      <formula>0.94999999</formula>
      <formula>0.9999999</formula>
    </cfRule>
    <cfRule type="cellIs" dxfId="807" priority="64" operator="between">
      <formula>0.8</formula>
      <formula>0.94999999</formula>
    </cfRule>
  </conditionalFormatting>
  <conditionalFormatting sqref="L3">
    <cfRule type="cellIs" dxfId="806" priority="57" operator="lessThan">
      <formula>0.79999999</formula>
    </cfRule>
    <cfRule type="cellIs" dxfId="805" priority="58" operator="greaterThan">
      <formula>0.999999</formula>
    </cfRule>
    <cfRule type="cellIs" dxfId="804" priority="59" operator="between">
      <formula>0.94999999</formula>
      <formula>0.9999999</formula>
    </cfRule>
    <cfRule type="cellIs" dxfId="803" priority="60" operator="between">
      <formula>0.8</formula>
      <formula>0.94999999</formula>
    </cfRule>
  </conditionalFormatting>
  <conditionalFormatting sqref="L43">
    <cfRule type="cellIs" dxfId="802" priority="17" operator="lessThan">
      <formula>0.79999999</formula>
    </cfRule>
    <cfRule type="cellIs" dxfId="801" priority="18" operator="greaterThan">
      <formula>0.999999</formula>
    </cfRule>
    <cfRule type="cellIs" dxfId="800" priority="19" operator="between">
      <formula>0.94999999</formula>
      <formula>0.9999999</formula>
    </cfRule>
    <cfRule type="cellIs" dxfId="799" priority="20" operator="between">
      <formula>0.8</formula>
      <formula>0.94999999</formula>
    </cfRule>
  </conditionalFormatting>
  <conditionalFormatting sqref="L5">
    <cfRule type="cellIs" dxfId="798" priority="53" operator="lessThan">
      <formula>0.79999999</formula>
    </cfRule>
    <cfRule type="cellIs" dxfId="797" priority="54" operator="greaterThan">
      <formula>0.999999</formula>
    </cfRule>
    <cfRule type="cellIs" dxfId="796" priority="55" operator="between">
      <formula>0.94999999</formula>
      <formula>0.9999999</formula>
    </cfRule>
    <cfRule type="cellIs" dxfId="795" priority="56" operator="between">
      <formula>0.8</formula>
      <formula>0.94999999</formula>
    </cfRule>
  </conditionalFormatting>
  <conditionalFormatting sqref="L6:L8">
    <cfRule type="cellIs" dxfId="794" priority="49" operator="lessThan">
      <formula>0.79999999</formula>
    </cfRule>
    <cfRule type="cellIs" dxfId="793" priority="50" operator="greaterThan">
      <formula>0.999999</formula>
    </cfRule>
    <cfRule type="cellIs" dxfId="792" priority="51" operator="between">
      <formula>0.94999999</formula>
      <formula>0.9999999</formula>
    </cfRule>
    <cfRule type="cellIs" dxfId="791" priority="52" operator="between">
      <formula>0.8</formula>
      <formula>0.94999999</formula>
    </cfRule>
  </conditionalFormatting>
  <conditionalFormatting sqref="L9:L17">
    <cfRule type="cellIs" dxfId="790" priority="45" operator="lessThan">
      <formula>0.79999999</formula>
    </cfRule>
    <cfRule type="cellIs" dxfId="789" priority="46" operator="greaterThan">
      <formula>0.999999</formula>
    </cfRule>
    <cfRule type="cellIs" dxfId="788" priority="47" operator="between">
      <formula>0.94999999</formula>
      <formula>0.9999999</formula>
    </cfRule>
    <cfRule type="cellIs" dxfId="787" priority="48" operator="between">
      <formula>0.8</formula>
      <formula>0.94999999</formula>
    </cfRule>
  </conditionalFormatting>
  <conditionalFormatting sqref="L40">
    <cfRule type="cellIs" dxfId="786" priority="21" operator="lessThan">
      <formula>0.79999999</formula>
    </cfRule>
    <cfRule type="cellIs" dxfId="785" priority="22" operator="greaterThan">
      <formula>0.999999</formula>
    </cfRule>
    <cfRule type="cellIs" dxfId="784" priority="23" operator="between">
      <formula>0.94999999</formula>
      <formula>0.9999999</formula>
    </cfRule>
    <cfRule type="cellIs" dxfId="783" priority="24" operator="between">
      <formula>0.8</formula>
      <formula>0.94999999</formula>
    </cfRule>
  </conditionalFormatting>
  <conditionalFormatting sqref="L8">
    <cfRule type="cellIs" dxfId="782" priority="41" operator="lessThan">
      <formula>0.79999999</formula>
    </cfRule>
    <cfRule type="cellIs" dxfId="781" priority="42" operator="greaterThan">
      <formula>0.999999</formula>
    </cfRule>
    <cfRule type="cellIs" dxfId="780" priority="43" operator="between">
      <formula>0.94999999</formula>
      <formula>0.9999999</formula>
    </cfRule>
    <cfRule type="cellIs" dxfId="779" priority="44" operator="between">
      <formula>0.8</formula>
      <formula>0.94999999</formula>
    </cfRule>
  </conditionalFormatting>
  <conditionalFormatting sqref="L34:L36">
    <cfRule type="cellIs" dxfId="778" priority="37" operator="lessThan">
      <formula>0.79999999</formula>
    </cfRule>
    <cfRule type="cellIs" dxfId="777" priority="38" operator="greaterThan">
      <formula>0.999999</formula>
    </cfRule>
    <cfRule type="cellIs" dxfId="776" priority="39" operator="between">
      <formula>0.94999999</formula>
      <formula>0.9999999</formula>
    </cfRule>
    <cfRule type="cellIs" dxfId="775" priority="40" operator="between">
      <formula>0.8</formula>
      <formula>0.94999999</formula>
    </cfRule>
  </conditionalFormatting>
  <conditionalFormatting sqref="L35">
    <cfRule type="cellIs" dxfId="774" priority="33" operator="lessThan">
      <formula>0.79999999</formula>
    </cfRule>
    <cfRule type="cellIs" dxfId="773" priority="34" operator="greaterThan">
      <formula>0.999999</formula>
    </cfRule>
    <cfRule type="cellIs" dxfId="772" priority="35" operator="between">
      <formula>0.94999999</formula>
      <formula>0.9999999</formula>
    </cfRule>
    <cfRule type="cellIs" dxfId="771" priority="36" operator="between">
      <formula>0.8</formula>
      <formula>0.94999999</formula>
    </cfRule>
  </conditionalFormatting>
  <conditionalFormatting sqref="L45">
    <cfRule type="cellIs" dxfId="770" priority="29" operator="lessThan">
      <formula>0.79999999</formula>
    </cfRule>
    <cfRule type="cellIs" dxfId="769" priority="30" operator="greaterThan">
      <formula>0.999999</formula>
    </cfRule>
    <cfRule type="cellIs" dxfId="768" priority="31" operator="between">
      <formula>0.94999999</formula>
      <formula>0.9999999</formula>
    </cfRule>
    <cfRule type="cellIs" dxfId="767" priority="32" operator="between">
      <formula>0.8</formula>
      <formula>0.94999999</formula>
    </cfRule>
  </conditionalFormatting>
  <conditionalFormatting sqref="L38:L39">
    <cfRule type="cellIs" dxfId="766" priority="25" operator="lessThan">
      <formula>0.79999999</formula>
    </cfRule>
    <cfRule type="cellIs" dxfId="765" priority="26" operator="greaterThan">
      <formula>0.999999</formula>
    </cfRule>
    <cfRule type="cellIs" dxfId="764" priority="27" operator="between">
      <formula>0.94999999</formula>
      <formula>0.9999999</formula>
    </cfRule>
    <cfRule type="cellIs" dxfId="763" priority="28" operator="between">
      <formula>0.8</formula>
      <formula>0.94999999</formula>
    </cfRule>
  </conditionalFormatting>
  <conditionalFormatting sqref="S3:S45">
    <cfRule type="cellIs" dxfId="762" priority="1" operator="lessThan">
      <formula>0.79999999</formula>
    </cfRule>
    <cfRule type="cellIs" dxfId="761" priority="2" operator="greaterThan">
      <formula>0.999999</formula>
    </cfRule>
    <cfRule type="cellIs" dxfId="760" priority="3" operator="between">
      <formula>0.94999999</formula>
      <formula>0.9999999</formula>
    </cfRule>
    <cfRule type="cellIs" dxfId="759" priority="4" operator="between">
      <formula>0.8</formula>
      <formula>0.94999999</formula>
    </cfRule>
  </conditionalFormatting>
  <conditionalFormatting sqref="S2">
    <cfRule type="cellIs" dxfId="758" priority="5" operator="lessThan">
      <formula>0.79999999</formula>
    </cfRule>
    <cfRule type="cellIs" dxfId="757" priority="6" operator="greaterThan">
      <formula>0.999999</formula>
    </cfRule>
    <cfRule type="cellIs" dxfId="756" priority="7" operator="between">
      <formula>0.94999999</formula>
      <formula>0.9999999</formula>
    </cfRule>
    <cfRule type="cellIs" dxfId="755" priority="8" operator="between">
      <formula>0.8</formula>
      <formula>0.94999999</formula>
    </cfRule>
  </conditionalFormatting>
  <dataValidations count="1">
    <dataValidation type="list" allowBlank="1" showInputMessage="1" showErrorMessage="1" sqref="R23:R31 R34:R36 R38:R40 R2:R17 R44:R45" xr:uid="{A26009A4-A2EC-4AA1-A9D5-AE5B8221C214}">
      <formula1>"Creciente,Decreciente"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96150-A3C6-4882-A1F7-F48EEB094ABB}">
  <sheetPr filterMode="1"/>
  <dimension ref="B2:AM69"/>
  <sheetViews>
    <sheetView showGridLines="0" zoomScale="90" zoomScaleNormal="90" workbookViewId="0">
      <pane xSplit="3" ySplit="3" topLeftCell="K4" activePane="bottomRight" state="frozen"/>
      <selection pane="topRight" activeCell="D1" sqref="D1"/>
      <selection pane="bottomLeft" activeCell="A4" sqref="A4"/>
      <selection pane="bottomRight" activeCell="P32" sqref="P32"/>
    </sheetView>
  </sheetViews>
  <sheetFormatPr baseColWidth="10" defaultRowHeight="15" x14ac:dyDescent="0.25"/>
  <cols>
    <col min="1" max="1" width="5.28515625" customWidth="1"/>
    <col min="2" max="2" width="50.7109375" bestFit="1" customWidth="1"/>
    <col min="3" max="3" width="70.7109375" bestFit="1" customWidth="1"/>
    <col min="4" max="4" width="16.28515625" customWidth="1"/>
    <col min="5" max="5" width="19" customWidth="1"/>
    <col min="6" max="6" width="19.140625" bestFit="1" customWidth="1"/>
    <col min="7" max="7" width="17.42578125" bestFit="1" customWidth="1"/>
    <col min="8" max="8" width="19.5703125" bestFit="1" customWidth="1"/>
    <col min="9" max="9" width="19.5703125" hidden="1" customWidth="1"/>
    <col min="10" max="11" width="15.42578125" bestFit="1" customWidth="1"/>
    <col min="12" max="12" width="19.140625" bestFit="1" customWidth="1"/>
    <col min="13" max="13" width="18.28515625" bestFit="1" customWidth="1"/>
    <col min="14" max="15" width="19.140625" hidden="1" customWidth="1"/>
    <col min="16" max="18" width="19.140625" customWidth="1"/>
    <col min="19" max="20" width="17" customWidth="1"/>
    <col min="21" max="21" width="14" customWidth="1"/>
    <col min="28" max="28" width="74.5703125" bestFit="1" customWidth="1"/>
    <col min="29" max="29" width="69.28515625" customWidth="1"/>
    <col min="30" max="32" width="17.140625" bestFit="1" customWidth="1"/>
    <col min="33" max="33" width="21.42578125" bestFit="1" customWidth="1"/>
    <col min="34" max="35" width="21.5703125" bestFit="1" customWidth="1"/>
    <col min="36" max="36" width="27.85546875" hidden="1" customWidth="1"/>
    <col min="37" max="38" width="21.5703125" bestFit="1" customWidth="1"/>
    <col min="39" max="39" width="12.85546875" bestFit="1" customWidth="1"/>
  </cols>
  <sheetData>
    <row r="2" spans="2:21" x14ac:dyDescent="0.25">
      <c r="B2" s="300"/>
      <c r="C2" s="300"/>
      <c r="D2" s="338"/>
      <c r="E2" s="342"/>
      <c r="F2" s="457"/>
      <c r="G2" s="342"/>
      <c r="H2" s="457"/>
      <c r="I2" s="300"/>
      <c r="J2" s="342"/>
      <c r="K2" s="342"/>
      <c r="L2" s="342"/>
      <c r="M2" s="342"/>
      <c r="N2" s="342"/>
      <c r="O2" s="342"/>
      <c r="P2" s="342"/>
      <c r="Q2" s="342"/>
      <c r="R2" s="342"/>
      <c r="S2" s="342"/>
      <c r="T2" s="458"/>
      <c r="U2" s="458"/>
    </row>
    <row r="3" spans="2:21" ht="30" x14ac:dyDescent="0.25">
      <c r="B3" s="300" t="s">
        <v>230</v>
      </c>
      <c r="C3" s="300" t="s">
        <v>101</v>
      </c>
      <c r="D3" s="300" t="s">
        <v>259</v>
      </c>
      <c r="E3" s="300" t="s">
        <v>243</v>
      </c>
      <c r="F3" s="300" t="s">
        <v>244</v>
      </c>
      <c r="G3" s="300" t="s">
        <v>242</v>
      </c>
      <c r="H3" s="300" t="s">
        <v>245</v>
      </c>
      <c r="I3" s="300" t="s">
        <v>263</v>
      </c>
      <c r="J3" s="302" t="s">
        <v>246</v>
      </c>
      <c r="K3" s="302" t="s">
        <v>247</v>
      </c>
      <c r="L3" s="302" t="s">
        <v>248</v>
      </c>
      <c r="M3" s="302" t="s">
        <v>249</v>
      </c>
      <c r="N3" s="300" t="s">
        <v>262</v>
      </c>
      <c r="O3" s="300" t="s">
        <v>264</v>
      </c>
      <c r="P3" s="300" t="s">
        <v>267</v>
      </c>
      <c r="Q3" s="300" t="s">
        <v>268</v>
      </c>
      <c r="R3" s="300" t="s">
        <v>269</v>
      </c>
      <c r="S3" s="317" t="s">
        <v>102</v>
      </c>
      <c r="T3" s="317" t="s">
        <v>270</v>
      </c>
      <c r="U3" s="317" t="s">
        <v>265</v>
      </c>
    </row>
    <row r="4" spans="2:21" hidden="1" x14ac:dyDescent="0.25">
      <c r="B4" s="284" t="s">
        <v>159</v>
      </c>
      <c r="C4" s="297" t="s">
        <v>140</v>
      </c>
      <c r="D4" s="285" t="s">
        <v>260</v>
      </c>
      <c r="E4" s="315">
        <v>7.0000000000000007E-2</v>
      </c>
      <c r="F4" s="314">
        <v>29949</v>
      </c>
      <c r="G4" s="305">
        <v>7.2099999999999997E-2</v>
      </c>
      <c r="H4" s="308">
        <v>29185</v>
      </c>
      <c r="I4" s="339">
        <f>+G4-E4</f>
        <v>2.0999999999999908E-3</v>
      </c>
      <c r="J4" s="305">
        <v>5.8999999999999997E-2</v>
      </c>
      <c r="K4" s="305">
        <v>6.7000000000000004E-2</v>
      </c>
      <c r="L4" s="314">
        <v>32126</v>
      </c>
      <c r="M4" s="80">
        <f>+K4/J4</f>
        <v>1.1355932203389831</v>
      </c>
      <c r="N4" s="339">
        <f>+K4-G4</f>
        <v>-5.0999999999999934E-3</v>
      </c>
      <c r="O4" s="339">
        <f>+K4-E4</f>
        <v>-3.0000000000000027E-3</v>
      </c>
      <c r="P4" s="339">
        <f>+IFERROR(U4-E4,"N.A.")</f>
        <v>-3.5100778309435504E-3</v>
      </c>
      <c r="Q4" s="339">
        <f>+IFERROR(U4-G4,"N.A.")</f>
        <v>-5.6100778309435412E-3</v>
      </c>
      <c r="R4" s="339">
        <f>+IFERROR(U4-K4,"N.A.")</f>
        <v>-5.1007783094354775E-4</v>
      </c>
      <c r="S4" s="292" t="str">
        <f t="shared" ref="S4:S33" si="0">+IF(M4&lt;79.99999%,"Incumple",IF(AND(M4&gt;=80%,M4&lt;94.999999%),"Tolerable",IF(AND(M4&gt;=95%,M4&lt;100%),"Satisfactorio","Sobresaliente")))</f>
        <v>Sobresaliente</v>
      </c>
      <c r="T4" s="344">
        <v>36829.806190049203</v>
      </c>
      <c r="U4" s="346">
        <v>6.6489922169056456E-2</v>
      </c>
    </row>
    <row r="5" spans="2:21" ht="36" hidden="1" customHeight="1" x14ac:dyDescent="0.25">
      <c r="B5" s="284" t="s">
        <v>159</v>
      </c>
      <c r="C5" s="297" t="s">
        <v>141</v>
      </c>
      <c r="D5" s="285" t="s">
        <v>260</v>
      </c>
      <c r="E5" s="305">
        <v>0.80300000000000005</v>
      </c>
      <c r="F5" s="319">
        <f>345184/(345184+84750)</f>
        <v>0.80287672061293125</v>
      </c>
      <c r="G5" s="305">
        <v>0.86199999999999999</v>
      </c>
      <c r="H5" s="318">
        <f>348843/(348843+56395)</f>
        <v>0.8608348674112497</v>
      </c>
      <c r="I5" s="339">
        <f>+G5-E5</f>
        <v>5.8999999999999941E-2</v>
      </c>
      <c r="J5" s="305">
        <v>0.82599999999999996</v>
      </c>
      <c r="K5" s="305">
        <v>0.81599999999999995</v>
      </c>
      <c r="L5" s="320">
        <f>390426/(390426+88261)</f>
        <v>0.81561855659334803</v>
      </c>
      <c r="M5" s="80">
        <f>+J5/K5</f>
        <v>1.0122549019607843</v>
      </c>
      <c r="N5" s="339">
        <f>+K5-G5</f>
        <v>-4.6000000000000041E-2</v>
      </c>
      <c r="O5" s="339">
        <f>+K5-E5</f>
        <v>1.2999999999999901E-2</v>
      </c>
      <c r="P5" s="339">
        <f>+IFERROR(U5-E5,"N.A.")</f>
        <v>4.7422722436982756E-3</v>
      </c>
      <c r="Q5" s="339">
        <f>+IFERROR(U5-G5,"N.A.")</f>
        <v>-5.4257727756301666E-2</v>
      </c>
      <c r="R5" s="339">
        <f>+IFERROR(U5-K5,"N.A.")</f>
        <v>-8.2577277563016249E-3</v>
      </c>
      <c r="S5" s="292" t="str">
        <f t="shared" si="0"/>
        <v>Sobresaliente</v>
      </c>
      <c r="T5" s="292" t="s">
        <v>28</v>
      </c>
      <c r="U5" s="347">
        <v>0.80774227224369832</v>
      </c>
    </row>
    <row r="6" spans="2:21" hidden="1" x14ac:dyDescent="0.25">
      <c r="B6" s="284" t="s">
        <v>159</v>
      </c>
      <c r="C6" s="297" t="s">
        <v>142</v>
      </c>
      <c r="D6" s="285" t="s">
        <v>261</v>
      </c>
      <c r="E6" s="311" t="s">
        <v>28</v>
      </c>
      <c r="F6" s="311" t="s">
        <v>28</v>
      </c>
      <c r="G6" s="340">
        <v>0.98</v>
      </c>
      <c r="H6" s="312">
        <v>90</v>
      </c>
      <c r="I6" s="339" t="str">
        <f t="shared" ref="I6" si="1">+IFERROR(G6-E6,"N.A")</f>
        <v>N.A</v>
      </c>
      <c r="J6" s="309">
        <v>97</v>
      </c>
      <c r="K6" s="309">
        <v>95</v>
      </c>
      <c r="L6" s="309" t="s">
        <v>28</v>
      </c>
      <c r="M6" s="80">
        <f>+K6/J6</f>
        <v>0.97938144329896903</v>
      </c>
      <c r="N6" s="343" t="s">
        <v>266</v>
      </c>
      <c r="O6" s="343" t="s">
        <v>266</v>
      </c>
      <c r="P6" s="343" t="s">
        <v>266</v>
      </c>
      <c r="Q6" s="343" t="s">
        <v>266</v>
      </c>
      <c r="R6" s="343" t="s">
        <v>266</v>
      </c>
      <c r="S6" s="292" t="str">
        <f t="shared" si="0"/>
        <v>Satisfactorio</v>
      </c>
      <c r="T6" s="292" t="s">
        <v>28</v>
      </c>
      <c r="U6" s="348">
        <v>100</v>
      </c>
    </row>
    <row r="7" spans="2:21" hidden="1" x14ac:dyDescent="0.25">
      <c r="B7" s="284" t="s">
        <v>159</v>
      </c>
      <c r="C7" s="297" t="s">
        <v>143</v>
      </c>
      <c r="D7" s="285" t="s">
        <v>261</v>
      </c>
      <c r="E7" s="315">
        <v>0.48</v>
      </c>
      <c r="F7" s="311" t="s">
        <v>28</v>
      </c>
      <c r="G7" s="305">
        <v>0.47299999999999998</v>
      </c>
      <c r="H7" s="311" t="s">
        <v>28</v>
      </c>
      <c r="I7" s="339">
        <f>+G7-E7</f>
        <v>-7.0000000000000062E-3</v>
      </c>
      <c r="J7" s="310">
        <v>0.5</v>
      </c>
      <c r="K7" s="305">
        <v>0.46400000000000002</v>
      </c>
      <c r="L7" s="311" t="s">
        <v>28</v>
      </c>
      <c r="M7" s="80">
        <f>+J7/K7</f>
        <v>1.0775862068965516</v>
      </c>
      <c r="N7" s="339">
        <f>+K7-G7</f>
        <v>-8.9999999999999525E-3</v>
      </c>
      <c r="O7" s="339">
        <f>+K7-E7</f>
        <v>-1.5999999999999959E-2</v>
      </c>
      <c r="P7" s="339">
        <f>+IFERROR(U7-E7,"N.A.")</f>
        <v>2.0000000000000018E-2</v>
      </c>
      <c r="Q7" s="339">
        <f>+IFERROR(U7-G7,"N.A.")</f>
        <v>2.7000000000000024E-2</v>
      </c>
      <c r="R7" s="339">
        <f>+IFERROR(U7-K7,"N.A.")</f>
        <v>3.5999999999999976E-2</v>
      </c>
      <c r="S7" s="292" t="str">
        <f t="shared" si="0"/>
        <v>Sobresaliente</v>
      </c>
      <c r="T7" s="292"/>
      <c r="U7" s="349">
        <v>0.5</v>
      </c>
    </row>
    <row r="8" spans="2:21" hidden="1" x14ac:dyDescent="0.25">
      <c r="B8" s="284" t="s">
        <v>159</v>
      </c>
      <c r="C8" s="297" t="s">
        <v>144</v>
      </c>
      <c r="D8" s="285" t="s">
        <v>261</v>
      </c>
      <c r="E8" s="311">
        <v>1.06</v>
      </c>
      <c r="F8" s="311" t="s">
        <v>28</v>
      </c>
      <c r="G8" s="311">
        <v>1.19</v>
      </c>
      <c r="H8" s="311" t="s">
        <v>28</v>
      </c>
      <c r="I8" s="311">
        <f>+G8-E8</f>
        <v>0.12999999999999989</v>
      </c>
      <c r="J8" s="311">
        <v>1.2</v>
      </c>
      <c r="K8" s="311">
        <v>1.1200000000000001</v>
      </c>
      <c r="L8" s="311" t="s">
        <v>28</v>
      </c>
      <c r="M8" s="80">
        <f>+K8/J8</f>
        <v>0.93333333333333346</v>
      </c>
      <c r="N8" s="311">
        <f>+K8-G8</f>
        <v>-6.999999999999984E-2</v>
      </c>
      <c r="O8" s="311">
        <f>+K8-E8</f>
        <v>6.0000000000000053E-2</v>
      </c>
      <c r="P8" s="354">
        <f>+U8-E8</f>
        <v>0.1399999999999999</v>
      </c>
      <c r="Q8" s="354">
        <f>+IFERROR(U8-G8,"N.A.")</f>
        <v>1.0000000000000009E-2</v>
      </c>
      <c r="R8" s="354">
        <f>+IFERROR(U8-K8,"N.A.")</f>
        <v>7.9999999999999849E-2</v>
      </c>
      <c r="S8" s="292" t="str">
        <f t="shared" si="0"/>
        <v>Tolerable</v>
      </c>
      <c r="T8" s="292"/>
      <c r="U8" s="348">
        <v>1.2</v>
      </c>
    </row>
    <row r="9" spans="2:21" hidden="1" x14ac:dyDescent="0.25">
      <c r="B9" s="284" t="s">
        <v>159</v>
      </c>
      <c r="C9" s="297" t="s">
        <v>145</v>
      </c>
      <c r="D9" s="285" t="s">
        <v>261</v>
      </c>
      <c r="E9" s="314">
        <v>423412</v>
      </c>
      <c r="F9" s="305">
        <v>0.95499999999999996</v>
      </c>
      <c r="G9" s="314">
        <v>402601</v>
      </c>
      <c r="H9" s="306">
        <v>0.88100000000000001</v>
      </c>
      <c r="I9" s="305">
        <f>+G9/E9-1</f>
        <v>-4.9150709002106718E-2</v>
      </c>
      <c r="J9" s="312">
        <v>446763</v>
      </c>
      <c r="K9" s="312">
        <v>469231</v>
      </c>
      <c r="L9" s="340">
        <f>+M9</f>
        <v>0.95211740059799965</v>
      </c>
      <c r="M9" s="80">
        <f>+J9/K9</f>
        <v>0.95211740059799965</v>
      </c>
      <c r="N9" s="339">
        <f>+K9/G9-1</f>
        <v>0.16549884376839596</v>
      </c>
      <c r="O9" s="339">
        <f>+K9/E9-1</f>
        <v>0.10821374925604377</v>
      </c>
      <c r="P9" s="339">
        <f>+IFERROR(U9/E9-1,"N.A.")</f>
        <v>0.27453272462754952</v>
      </c>
      <c r="Q9" s="339">
        <f>+IFERROR(U9/G9-1,"N.A")</f>
        <v>0.34041507596851472</v>
      </c>
      <c r="R9" s="339">
        <f>+IFERROR(U9/K9-1,"N.A")</f>
        <v>0.15007842619093781</v>
      </c>
      <c r="S9" s="292" t="str">
        <f t="shared" si="0"/>
        <v>Satisfactorio</v>
      </c>
      <c r="T9" s="292"/>
      <c r="U9" s="350">
        <v>539652.44999999995</v>
      </c>
    </row>
    <row r="10" spans="2:21" hidden="1" x14ac:dyDescent="0.25">
      <c r="B10" s="284" t="s">
        <v>159</v>
      </c>
      <c r="C10" s="297" t="s">
        <v>146</v>
      </c>
      <c r="D10" s="285" t="s">
        <v>261</v>
      </c>
      <c r="E10" s="305">
        <v>0.51100000000000001</v>
      </c>
      <c r="F10" s="311" t="s">
        <v>28</v>
      </c>
      <c r="G10" s="305">
        <v>0.70399999999999996</v>
      </c>
      <c r="H10" s="311" t="s">
        <v>28</v>
      </c>
      <c r="I10" s="339">
        <f>+G10-E10</f>
        <v>0.19299999999999995</v>
      </c>
      <c r="J10" s="305">
        <v>0.61699999999999999</v>
      </c>
      <c r="K10" s="305">
        <v>0.61599999999999999</v>
      </c>
      <c r="L10" s="311" t="s">
        <v>28</v>
      </c>
      <c r="M10" s="80">
        <f>+J10/K10</f>
        <v>1.0016233766233766</v>
      </c>
      <c r="N10" s="339">
        <f>+K10-G10</f>
        <v>-8.7999999999999967E-2</v>
      </c>
      <c r="O10" s="339">
        <f>+K10-E10</f>
        <v>0.10499999999999998</v>
      </c>
      <c r="P10" s="339">
        <f>+IFERROR(U10-E10,"N.A.")</f>
        <v>8.1871113700518028E-2</v>
      </c>
      <c r="Q10" s="339">
        <f>+IFERROR(U10-G10,"N.A.")</f>
        <v>-0.11112888629948192</v>
      </c>
      <c r="R10" s="339">
        <f>+IFERROR(U10-K10,"N.A.")</f>
        <v>-2.3128886299481954E-2</v>
      </c>
      <c r="S10" s="292" t="str">
        <f t="shared" si="0"/>
        <v>Sobresaliente</v>
      </c>
      <c r="T10" s="292"/>
      <c r="U10" s="347">
        <v>0.59287111370051804</v>
      </c>
    </row>
    <row r="11" spans="2:21" hidden="1" x14ac:dyDescent="0.25">
      <c r="B11" s="284" t="s">
        <v>159</v>
      </c>
      <c r="C11" s="297" t="s">
        <v>147</v>
      </c>
      <c r="D11" s="285" t="s">
        <v>261</v>
      </c>
      <c r="E11" s="305">
        <v>0.14199999999999999</v>
      </c>
      <c r="F11" s="311" t="s">
        <v>28</v>
      </c>
      <c r="G11" s="305">
        <v>4.5999999999999999E-2</v>
      </c>
      <c r="H11" s="311" t="s">
        <v>28</v>
      </c>
      <c r="I11" s="339">
        <f>+G11-E11</f>
        <v>-9.5999999999999988E-2</v>
      </c>
      <c r="J11" s="305">
        <v>7.6999999999999999E-2</v>
      </c>
      <c r="K11" s="305">
        <v>0.122</v>
      </c>
      <c r="L11" s="311" t="s">
        <v>28</v>
      </c>
      <c r="M11" s="80">
        <f t="shared" ref="M11:M20" si="2">+K11/J11</f>
        <v>1.5844155844155845</v>
      </c>
      <c r="N11" s="339">
        <f>+K11-G11</f>
        <v>7.5999999999999998E-2</v>
      </c>
      <c r="O11" s="339">
        <f>+K11-E11</f>
        <v>-1.999999999999999E-2</v>
      </c>
      <c r="P11" s="339">
        <f>+IFERROR(U11-E11,"N.A.")</f>
        <v>-2.631095067061473E-2</v>
      </c>
      <c r="Q11" s="339">
        <f>+IFERROR(U11-G11,"N.A.")</f>
        <v>6.9689049329385258E-2</v>
      </c>
      <c r="R11" s="339">
        <f>+IFERROR(U11-K11,"N.A.")</f>
        <v>-6.31095067061474E-3</v>
      </c>
      <c r="S11" s="292" t="str">
        <f t="shared" si="0"/>
        <v>Sobresaliente</v>
      </c>
      <c r="T11" s="292"/>
      <c r="U11" s="346">
        <v>0.11568904932938526</v>
      </c>
    </row>
    <row r="12" spans="2:21" hidden="1" x14ac:dyDescent="0.25">
      <c r="B12" s="284" t="s">
        <v>158</v>
      </c>
      <c r="C12" s="297" t="s">
        <v>96</v>
      </c>
      <c r="D12" s="285" t="s">
        <v>261</v>
      </c>
      <c r="E12" s="312">
        <v>3684</v>
      </c>
      <c r="F12" s="311" t="s">
        <v>28</v>
      </c>
      <c r="G12" s="312">
        <v>3667</v>
      </c>
      <c r="H12" s="311" t="s">
        <v>28</v>
      </c>
      <c r="I12" s="339">
        <f>+G12/E12-1</f>
        <v>-4.6145494028230205E-3</v>
      </c>
      <c r="J12" s="312">
        <v>3720</v>
      </c>
      <c r="K12" s="312">
        <v>3980</v>
      </c>
      <c r="L12" s="311" t="s">
        <v>28</v>
      </c>
      <c r="M12" s="80">
        <f t="shared" si="2"/>
        <v>1.0698924731182795</v>
      </c>
      <c r="N12" s="339">
        <f>+K12/G12-1</f>
        <v>8.5355876738478331E-2</v>
      </c>
      <c r="O12" s="339">
        <f>+K12/E12-1</f>
        <v>8.0347448425624357E-2</v>
      </c>
      <c r="P12" s="339">
        <f>+IFERROR(U12/E12-1,"N.A.")</f>
        <v>0.11563517915309451</v>
      </c>
      <c r="Q12" s="339">
        <f>+IFERROR(U12/G12-1,"N.A")</f>
        <v>0.12080719934551398</v>
      </c>
      <c r="R12" s="339">
        <f>+IFERROR(U12/K12-1,"N.A")</f>
        <v>3.2663316582914659E-2</v>
      </c>
      <c r="S12" s="292" t="str">
        <f t="shared" si="0"/>
        <v>Sobresaliente</v>
      </c>
      <c r="T12" s="292"/>
      <c r="U12" s="348">
        <v>4110</v>
      </c>
    </row>
    <row r="13" spans="2:21" hidden="1" x14ac:dyDescent="0.25">
      <c r="B13" s="284" t="s">
        <v>158</v>
      </c>
      <c r="C13" s="297" t="s">
        <v>148</v>
      </c>
      <c r="D13" s="285" t="s">
        <v>261</v>
      </c>
      <c r="E13" s="305">
        <v>-1.21E-2</v>
      </c>
      <c r="F13" s="311" t="s">
        <v>28</v>
      </c>
      <c r="G13" s="305">
        <v>-4.5999999999999999E-3</v>
      </c>
      <c r="H13" s="311" t="s">
        <v>28</v>
      </c>
      <c r="I13" s="339">
        <f>+G13-E13</f>
        <v>7.4999999999999997E-3</v>
      </c>
      <c r="J13" s="305">
        <v>1.4500000000000001E-2</v>
      </c>
      <c r="K13" s="305">
        <v>8.8400000000000006E-2</v>
      </c>
      <c r="L13" s="311" t="s">
        <v>28</v>
      </c>
      <c r="M13" s="80">
        <f t="shared" si="2"/>
        <v>6.0965517241379308</v>
      </c>
      <c r="N13" s="339">
        <f>+K13-G13</f>
        <v>9.2999999999999999E-2</v>
      </c>
      <c r="O13" s="339">
        <f>+K13-E13</f>
        <v>0.10050000000000001</v>
      </c>
      <c r="P13" s="339">
        <f>+IFERROR(U13-E13,"N.A.")</f>
        <v>4.4763316582914658E-2</v>
      </c>
      <c r="Q13" s="339">
        <f>+IFERROR(U13-G13,"N.A.")</f>
        <v>3.7263316582914659E-2</v>
      </c>
      <c r="R13" s="339">
        <f>+IFERROR(U13-K13,"N.A.")</f>
        <v>-5.5736683417085348E-2</v>
      </c>
      <c r="S13" s="292" t="str">
        <f t="shared" si="0"/>
        <v>Sobresaliente</v>
      </c>
      <c r="T13" s="292"/>
      <c r="U13" s="346">
        <f>+U12/K12-1</f>
        <v>3.2663316582914659E-2</v>
      </c>
    </row>
    <row r="14" spans="2:21" hidden="1" x14ac:dyDescent="0.25">
      <c r="B14" s="284" t="s">
        <v>158</v>
      </c>
      <c r="C14" s="297" t="s">
        <v>149</v>
      </c>
      <c r="D14" s="285" t="s">
        <v>261</v>
      </c>
      <c r="E14" s="314">
        <v>345184</v>
      </c>
      <c r="F14" s="311" t="s">
        <v>28</v>
      </c>
      <c r="G14" s="322">
        <v>348843</v>
      </c>
      <c r="H14" s="311" t="s">
        <v>28</v>
      </c>
      <c r="I14" s="339">
        <f>+G14/E14-1</f>
        <v>1.0600143691480435E-2</v>
      </c>
      <c r="J14" s="312">
        <v>390081</v>
      </c>
      <c r="K14" s="312">
        <v>390426</v>
      </c>
      <c r="L14" s="311" t="s">
        <v>28</v>
      </c>
      <c r="M14" s="80">
        <f t="shared" si="2"/>
        <v>1.0008844316949557</v>
      </c>
      <c r="N14" s="339">
        <f>+K14/G14-1</f>
        <v>0.11920262123648739</v>
      </c>
      <c r="O14" s="339">
        <f>+K14/E14-1</f>
        <v>0.13106632984147581</v>
      </c>
      <c r="P14" s="339">
        <f>+IFERROR(U14/E14-1,"N.A.")</f>
        <v>0.29375347640678595</v>
      </c>
      <c r="Q14" s="339">
        <f>+IFERROR(U14/G14-1,"N.A")</f>
        <v>0.2801833489564074</v>
      </c>
      <c r="R14" s="339">
        <f>+IFERROR(U14/K14-1,"N.A")</f>
        <v>0.14383519540194567</v>
      </c>
      <c r="S14" s="292" t="str">
        <f t="shared" si="0"/>
        <v>Sobresaliente</v>
      </c>
      <c r="T14" s="292"/>
      <c r="U14" s="355">
        <v>446583</v>
      </c>
    </row>
    <row r="15" spans="2:21" hidden="1" x14ac:dyDescent="0.25">
      <c r="B15" s="284" t="s">
        <v>158</v>
      </c>
      <c r="C15" s="297" t="s">
        <v>150</v>
      </c>
      <c r="D15" s="285" t="s">
        <v>261</v>
      </c>
      <c r="E15" s="305">
        <v>6.1699999999999998E-2</v>
      </c>
      <c r="F15" s="311" t="s">
        <v>28</v>
      </c>
      <c r="G15" s="305">
        <v>1.0999999999999999E-2</v>
      </c>
      <c r="H15" s="311" t="s">
        <v>28</v>
      </c>
      <c r="I15" s="339">
        <f>+G15-E15</f>
        <v>-5.0699999999999995E-2</v>
      </c>
      <c r="J15" s="305">
        <v>0.11799999999999999</v>
      </c>
      <c r="K15" s="305">
        <v>0.1192</v>
      </c>
      <c r="L15" s="311" t="s">
        <v>28</v>
      </c>
      <c r="M15" s="80">
        <f t="shared" si="2"/>
        <v>1.0101694915254238</v>
      </c>
      <c r="N15" s="339">
        <f>+K15-G15</f>
        <v>0.1082</v>
      </c>
      <c r="O15" s="339">
        <f>+K15-E15</f>
        <v>5.7500000000000002E-2</v>
      </c>
      <c r="P15" s="339">
        <f>+IFERROR(U15-E15,"N.A.")</f>
        <v>8.2100000000000006E-2</v>
      </c>
      <c r="Q15" s="339">
        <f>+IFERROR(U15-G15,"N.A.")</f>
        <v>0.1328</v>
      </c>
      <c r="R15" s="339">
        <f>+IFERROR(U15-K15,"N.A.")</f>
        <v>2.4600000000000011E-2</v>
      </c>
      <c r="S15" s="292" t="str">
        <f t="shared" si="0"/>
        <v>Sobresaliente</v>
      </c>
      <c r="T15" s="344"/>
      <c r="U15" s="346">
        <v>0.14380000000000001</v>
      </c>
    </row>
    <row r="16" spans="2:21" hidden="1" x14ac:dyDescent="0.25">
      <c r="B16" s="284" t="s">
        <v>158</v>
      </c>
      <c r="C16" s="297" t="s">
        <v>98</v>
      </c>
      <c r="D16" s="285" t="s">
        <v>261</v>
      </c>
      <c r="E16" s="312">
        <v>407639</v>
      </c>
      <c r="F16" s="311" t="s">
        <v>28</v>
      </c>
      <c r="G16" s="312">
        <v>390100</v>
      </c>
      <c r="H16" s="311" t="s">
        <v>28</v>
      </c>
      <c r="I16" s="339">
        <f>+G16/E16-1</f>
        <v>-4.3025814507444138E-2</v>
      </c>
      <c r="J16" s="313">
        <v>417834</v>
      </c>
      <c r="K16" s="313">
        <v>423385</v>
      </c>
      <c r="L16" s="311" t="s">
        <v>28</v>
      </c>
      <c r="M16" s="80">
        <f t="shared" si="2"/>
        <v>1.0132851802390423</v>
      </c>
      <c r="N16" s="339">
        <f>+K16/G16-1</f>
        <v>8.5324275826711204E-2</v>
      </c>
      <c r="O16" s="339">
        <f>+K16/E16-1</f>
        <v>3.8627314854565054E-2</v>
      </c>
      <c r="P16" s="339" t="str">
        <f>+IFERROR(U16/E16-1,"N.A.")</f>
        <v>N.A.</v>
      </c>
      <c r="Q16" s="339" t="str">
        <f>+IFERROR(U16/G16-1,"N.A")</f>
        <v>N.A</v>
      </c>
      <c r="R16" s="339" t="str">
        <f>+IFERROR(U16/K16-1,"N.A")</f>
        <v>N.A</v>
      </c>
      <c r="S16" s="292" t="str">
        <f t="shared" si="0"/>
        <v>Sobresaliente</v>
      </c>
      <c r="T16" s="292"/>
      <c r="U16" s="348" t="s">
        <v>272</v>
      </c>
    </row>
    <row r="17" spans="2:39" hidden="1" x14ac:dyDescent="0.25">
      <c r="B17" s="284" t="s">
        <v>158</v>
      </c>
      <c r="C17" s="297" t="s">
        <v>151</v>
      </c>
      <c r="D17" s="285" t="s">
        <v>261</v>
      </c>
      <c r="E17" s="305">
        <v>2.5999999999999999E-2</v>
      </c>
      <c r="F17" s="311" t="s">
        <v>28</v>
      </c>
      <c r="G17" s="305">
        <v>-4.2999999999999997E-2</v>
      </c>
      <c r="H17" s="311" t="s">
        <v>28</v>
      </c>
      <c r="I17" s="339">
        <f>+IFERROR(G17-E17,"N.A")</f>
        <v>-6.8999999999999992E-2</v>
      </c>
      <c r="J17" s="305">
        <v>7.1099999999999997E-2</v>
      </c>
      <c r="K17" s="305">
        <v>8.5300000000000001E-2</v>
      </c>
      <c r="L17" s="311" t="s">
        <v>28</v>
      </c>
      <c r="M17" s="80">
        <f t="shared" si="2"/>
        <v>1.19971870604782</v>
      </c>
      <c r="N17" s="339">
        <f>+K17-G17</f>
        <v>0.1283</v>
      </c>
      <c r="O17" s="339">
        <f>+IFERROR(K17-E17,"N.A.")</f>
        <v>5.9300000000000005E-2</v>
      </c>
      <c r="P17" s="339" t="str">
        <f>+IFERROR(U17-E17,"N.A.")</f>
        <v>N.A.</v>
      </c>
      <c r="Q17" s="339" t="str">
        <f>+IFERROR(U17-G17,"N.A.")</f>
        <v>N.A.</v>
      </c>
      <c r="R17" s="339" t="str">
        <f>+IFERROR(U17-K17,"N.A.")</f>
        <v>N.A.</v>
      </c>
      <c r="S17" s="292" t="str">
        <f t="shared" si="0"/>
        <v>Sobresaliente</v>
      </c>
      <c r="T17" s="292"/>
      <c r="U17" s="348" t="s">
        <v>272</v>
      </c>
    </row>
    <row r="18" spans="2:39" hidden="1" x14ac:dyDescent="0.25">
      <c r="B18" s="284" t="s">
        <v>158</v>
      </c>
      <c r="C18" s="297" t="s">
        <v>99</v>
      </c>
      <c r="D18" s="285" t="s">
        <v>260</v>
      </c>
      <c r="E18" s="311" t="s">
        <v>28</v>
      </c>
      <c r="F18" s="311" t="s">
        <v>28</v>
      </c>
      <c r="G18" s="315">
        <v>-0.01</v>
      </c>
      <c r="H18" s="307">
        <v>19027</v>
      </c>
      <c r="I18" s="339" t="str">
        <f>+IFERROR(G18-E18,"N.A")</f>
        <v>N.A</v>
      </c>
      <c r="J18" s="305">
        <v>1.1599999999999999E-2</v>
      </c>
      <c r="K18" s="305">
        <v>1.5299999999999999E-2</v>
      </c>
      <c r="L18" s="312">
        <v>19319</v>
      </c>
      <c r="M18" s="80">
        <f t="shared" si="2"/>
        <v>1.3189655172413794</v>
      </c>
      <c r="N18" s="339">
        <f>+K18-G18</f>
        <v>2.53E-2</v>
      </c>
      <c r="O18" s="339" t="str">
        <f>+IFERROR(K18-E18,"N.A.")</f>
        <v>N.A.</v>
      </c>
      <c r="P18" s="339" t="str">
        <f>+IFERROR(U18-E18,"N.A.")</f>
        <v>N.A.</v>
      </c>
      <c r="Q18" s="339" t="str">
        <f>+IFERROR(U18-G18,"N.A.")</f>
        <v>N.A.</v>
      </c>
      <c r="R18" s="339" t="str">
        <f>+IFERROR(U18-K18,"N.A.")</f>
        <v>N.A.</v>
      </c>
      <c r="S18" s="292" t="str">
        <f t="shared" si="0"/>
        <v>Sobresaliente</v>
      </c>
      <c r="T18" s="292"/>
      <c r="U18" s="348" t="s">
        <v>272</v>
      </c>
    </row>
    <row r="19" spans="2:39" hidden="1" x14ac:dyDescent="0.25">
      <c r="B19" s="284" t="s">
        <v>158</v>
      </c>
      <c r="C19" s="297" t="s">
        <v>152</v>
      </c>
      <c r="D19" s="285" t="s">
        <v>261</v>
      </c>
      <c r="E19" s="312">
        <v>84750</v>
      </c>
      <c r="F19" s="311"/>
      <c r="G19" s="312">
        <v>56395</v>
      </c>
      <c r="H19" s="285"/>
      <c r="I19" s="339">
        <f>+G19/E19-1</f>
        <v>-0.33457227138643064</v>
      </c>
      <c r="J19" s="314">
        <v>78381</v>
      </c>
      <c r="K19" s="314">
        <v>88261</v>
      </c>
      <c r="L19" s="311" t="s">
        <v>28</v>
      </c>
      <c r="M19" s="80">
        <f t="shared" si="2"/>
        <v>1.1260509562266365</v>
      </c>
      <c r="N19" s="339">
        <f>+K19/G19-1</f>
        <v>0.5650500930933593</v>
      </c>
      <c r="O19" s="339">
        <f>+K19/E19-1</f>
        <v>4.1427728613569359E-2</v>
      </c>
      <c r="P19" s="339">
        <f>+IFERROR(U19/E19-1,"N.A.")</f>
        <v>0.25422008681315633</v>
      </c>
      <c r="Q19" s="339">
        <f>+IFERROR(U19/G19-1,"N.A")</f>
        <v>0.88483291705674261</v>
      </c>
      <c r="R19" s="339">
        <f>+IFERROR(U19/K19-1,"N.A")</f>
        <v>0.20432753262953063</v>
      </c>
      <c r="S19" s="292" t="str">
        <f t="shared" si="0"/>
        <v>Sobresaliente</v>
      </c>
      <c r="T19" s="292"/>
      <c r="U19" s="350">
        <v>106295.15235741501</v>
      </c>
    </row>
    <row r="20" spans="2:39" hidden="1" x14ac:dyDescent="0.25">
      <c r="B20" s="284" t="s">
        <v>158</v>
      </c>
      <c r="C20" s="297" t="s">
        <v>153</v>
      </c>
      <c r="D20" s="285" t="s">
        <v>260</v>
      </c>
      <c r="E20" s="311" t="s">
        <v>28</v>
      </c>
      <c r="F20" s="311" t="s">
        <v>28</v>
      </c>
      <c r="G20" s="305">
        <v>-0.33500000000000002</v>
      </c>
      <c r="H20" s="311" t="s">
        <v>28</v>
      </c>
      <c r="I20" s="339" t="str">
        <f>+IFERROR(G20-E20,"N.A")</f>
        <v>N.A</v>
      </c>
      <c r="J20" s="305">
        <v>0.38990000000000002</v>
      </c>
      <c r="K20" s="305">
        <v>0.56499999999999995</v>
      </c>
      <c r="L20" s="311" t="s">
        <v>28</v>
      </c>
      <c r="M20" s="80">
        <f t="shared" si="2"/>
        <v>1.4490895101308026</v>
      </c>
      <c r="N20" s="339">
        <f>+K20-G20</f>
        <v>0.89999999999999991</v>
      </c>
      <c r="O20" s="339" t="str">
        <f>+IFERROR(K20-E20,"N.A.")</f>
        <v>N.A.</v>
      </c>
      <c r="P20" s="339" t="str">
        <f>+IFERROR(U20-E20,"N.A.")</f>
        <v>N.A.</v>
      </c>
      <c r="Q20" s="339">
        <f>+IFERROR(U20-G20,"N.A.")</f>
        <v>0.53932551403581752</v>
      </c>
      <c r="R20" s="339">
        <f>+IFERROR(U20-K20,"N.A.")</f>
        <v>-0.36067448596418239</v>
      </c>
      <c r="S20" s="292" t="str">
        <f t="shared" si="0"/>
        <v>Sobresaliente</v>
      </c>
      <c r="T20" s="344"/>
      <c r="U20" s="346">
        <v>0.20432551403581756</v>
      </c>
    </row>
    <row r="21" spans="2:39" hidden="1" x14ac:dyDescent="0.25">
      <c r="B21" s="284" t="s">
        <v>158</v>
      </c>
      <c r="C21" s="297" t="s">
        <v>154</v>
      </c>
      <c r="D21" s="285" t="s">
        <v>261</v>
      </c>
      <c r="E21" s="305">
        <v>0.223</v>
      </c>
      <c r="F21" s="311" t="s">
        <v>28</v>
      </c>
      <c r="G21" s="305">
        <v>0.2195</v>
      </c>
      <c r="H21" s="311" t="s">
        <v>28</v>
      </c>
      <c r="I21" s="339">
        <f>+IFERROR(G21-E21,"N.A")</f>
        <v>-3.5000000000000031E-3</v>
      </c>
      <c r="J21" s="305">
        <v>0.219</v>
      </c>
      <c r="K21" s="305">
        <v>0.218</v>
      </c>
      <c r="L21" s="311" t="s">
        <v>28</v>
      </c>
      <c r="M21" s="345">
        <f>+AVERAGE(M22:M24)</f>
        <v>0.98962189809118983</v>
      </c>
      <c r="N21" s="339">
        <f>+K21-G21</f>
        <v>-1.5000000000000013E-3</v>
      </c>
      <c r="O21" s="339">
        <f>+IFERROR(K21-E21,"N.A.")</f>
        <v>-5.0000000000000044E-3</v>
      </c>
      <c r="P21" s="339" t="str">
        <f>+IFERROR(U21-E21,"N.A.")</f>
        <v>N.A.</v>
      </c>
      <c r="Q21" s="339" t="str">
        <f>+IFERROR(U21-G21,"N.A.")</f>
        <v>N.A.</v>
      </c>
      <c r="R21" s="339" t="str">
        <f>+IFERROR(U21-K21,"N.A.")</f>
        <v>N.A.</v>
      </c>
      <c r="S21" s="292" t="str">
        <f t="shared" si="0"/>
        <v>Satisfactorio</v>
      </c>
      <c r="T21" s="292"/>
      <c r="U21" s="348" t="s">
        <v>272</v>
      </c>
    </row>
    <row r="22" spans="2:39" hidden="1" x14ac:dyDescent="0.25">
      <c r="B22" s="284" t="s">
        <v>158</v>
      </c>
      <c r="C22" s="297" t="s">
        <v>155</v>
      </c>
      <c r="D22" s="285" t="s">
        <v>261</v>
      </c>
      <c r="E22" s="305">
        <v>0.15740000000000001</v>
      </c>
      <c r="F22" s="311" t="s">
        <v>28</v>
      </c>
      <c r="G22" s="305">
        <v>0.15809999999999999</v>
      </c>
      <c r="H22" s="311" t="s">
        <v>28</v>
      </c>
      <c r="I22" s="339">
        <f t="shared" ref="I22:I26" si="3">+IFERROR(G22-E22,"N.A")</f>
        <v>6.9999999999997842E-4</v>
      </c>
      <c r="J22" s="305">
        <v>0.158</v>
      </c>
      <c r="K22" s="305">
        <v>0.151</v>
      </c>
      <c r="L22" s="311" t="s">
        <v>28</v>
      </c>
      <c r="M22" s="80">
        <f t="shared" ref="M22:M33" si="4">+K22/J22</f>
        <v>0.95569620253164556</v>
      </c>
      <c r="N22" s="339">
        <f t="shared" ref="N22:N24" si="5">+K22-G22</f>
        <v>-7.0999999999999952E-3</v>
      </c>
      <c r="O22" s="339">
        <f t="shared" ref="O22:O24" si="6">+IFERROR(K22-E22,"N.A.")</f>
        <v>-6.4000000000000168E-3</v>
      </c>
      <c r="P22" s="339" t="str">
        <f t="shared" ref="P22:P23" si="7">+IFERROR(U22-E22,"N.A.")</f>
        <v>N.A.</v>
      </c>
      <c r="Q22" s="339" t="str">
        <f t="shared" ref="Q22:Q23" si="8">+IFERROR(U22-G22,"N.A.")</f>
        <v>N.A.</v>
      </c>
      <c r="R22" s="339" t="str">
        <f t="shared" ref="R22:R23" si="9">+IFERROR(U22-K22,"N.A.")</f>
        <v>N.A.</v>
      </c>
      <c r="S22" s="292" t="str">
        <f t="shared" si="0"/>
        <v>Satisfactorio</v>
      </c>
      <c r="T22" s="292"/>
      <c r="U22" s="348" t="s">
        <v>272</v>
      </c>
    </row>
    <row r="23" spans="2:39" hidden="1" x14ac:dyDescent="0.25">
      <c r="B23" s="284" t="s">
        <v>158</v>
      </c>
      <c r="C23" s="297" t="s">
        <v>156</v>
      </c>
      <c r="D23" s="285" t="s">
        <v>261</v>
      </c>
      <c r="E23" s="305">
        <v>0.26400000000000001</v>
      </c>
      <c r="F23" s="311" t="s">
        <v>28</v>
      </c>
      <c r="G23" s="305">
        <v>0.26100000000000001</v>
      </c>
      <c r="H23" s="311" t="s">
        <v>28</v>
      </c>
      <c r="I23" s="339">
        <f t="shared" si="3"/>
        <v>-3.0000000000000027E-3</v>
      </c>
      <c r="J23" s="305">
        <v>0.25879999999999997</v>
      </c>
      <c r="K23" s="305">
        <v>0.25900000000000001</v>
      </c>
      <c r="L23" s="311" t="s">
        <v>28</v>
      </c>
      <c r="M23" s="80">
        <f t="shared" si="4"/>
        <v>1.000772797527048</v>
      </c>
      <c r="N23" s="339">
        <f t="shared" si="5"/>
        <v>-2.0000000000000018E-3</v>
      </c>
      <c r="O23" s="339">
        <f t="shared" si="6"/>
        <v>-5.0000000000000044E-3</v>
      </c>
      <c r="P23" s="339" t="str">
        <f t="shared" si="7"/>
        <v>N.A.</v>
      </c>
      <c r="Q23" s="339" t="str">
        <f t="shared" si="8"/>
        <v>N.A.</v>
      </c>
      <c r="R23" s="339" t="str">
        <f t="shared" si="9"/>
        <v>N.A.</v>
      </c>
      <c r="S23" s="292" t="str">
        <f t="shared" si="0"/>
        <v>Sobresaliente</v>
      </c>
      <c r="T23" s="292"/>
      <c r="U23" s="348" t="s">
        <v>272</v>
      </c>
    </row>
    <row r="24" spans="2:39" hidden="1" x14ac:dyDescent="0.25">
      <c r="B24" s="284" t="s">
        <v>158</v>
      </c>
      <c r="C24" s="297" t="s">
        <v>157</v>
      </c>
      <c r="D24" s="285" t="s">
        <v>261</v>
      </c>
      <c r="E24" s="305">
        <v>0.2475</v>
      </c>
      <c r="F24" s="311" t="s">
        <v>28</v>
      </c>
      <c r="G24" s="305">
        <v>0.2417</v>
      </c>
      <c r="H24" s="311" t="s">
        <v>28</v>
      </c>
      <c r="I24" s="339">
        <f t="shared" si="3"/>
        <v>-5.7999999999999996E-3</v>
      </c>
      <c r="J24" s="305">
        <v>0.24199999999999999</v>
      </c>
      <c r="K24" s="305">
        <v>0.245</v>
      </c>
      <c r="L24" s="311" t="s">
        <v>28</v>
      </c>
      <c r="M24" s="80">
        <f t="shared" si="4"/>
        <v>1.0123966942148761</v>
      </c>
      <c r="N24" s="339">
        <f t="shared" si="5"/>
        <v>3.2999999999999974E-3</v>
      </c>
      <c r="O24" s="339">
        <f t="shared" si="6"/>
        <v>-2.5000000000000022E-3</v>
      </c>
      <c r="P24" s="339" t="str">
        <f t="shared" ref="P24" si="10">+IFERROR(U24-E24,"N.A.")</f>
        <v>N.A.</v>
      </c>
      <c r="Q24" s="339" t="str">
        <f t="shared" ref="Q24" si="11">+IFERROR(U24-G24,"N.A.")</f>
        <v>N.A.</v>
      </c>
      <c r="R24" s="339" t="str">
        <f t="shared" ref="R24" si="12">+IFERROR(U24-K24,"N.A.")</f>
        <v>N.A.</v>
      </c>
      <c r="S24" s="292" t="str">
        <f t="shared" si="0"/>
        <v>Sobresaliente</v>
      </c>
      <c r="T24" s="292"/>
      <c r="U24" s="348" t="s">
        <v>272</v>
      </c>
      <c r="AB24" s="235" t="s">
        <v>230</v>
      </c>
      <c r="AC24" s="235" t="s">
        <v>101</v>
      </c>
      <c r="AD24" s="235" t="s">
        <v>243</v>
      </c>
      <c r="AE24" s="235" t="s">
        <v>242</v>
      </c>
      <c r="AF24" s="235" t="s">
        <v>247</v>
      </c>
      <c r="AG24" s="235" t="s">
        <v>249</v>
      </c>
      <c r="AH24" s="27"/>
    </row>
    <row r="25" spans="2:39" hidden="1" x14ac:dyDescent="0.25">
      <c r="B25" s="284" t="s">
        <v>160</v>
      </c>
      <c r="C25" s="297" t="s">
        <v>17</v>
      </c>
      <c r="D25" s="285" t="s">
        <v>261</v>
      </c>
      <c r="E25" s="311">
        <v>4.5999999999999996</v>
      </c>
      <c r="F25" s="311" t="s">
        <v>28</v>
      </c>
      <c r="G25" s="311">
        <v>4.58</v>
      </c>
      <c r="H25" s="311" t="s">
        <v>28</v>
      </c>
      <c r="I25" s="311">
        <f>+G25-E25</f>
        <v>-1.9999999999999574E-2</v>
      </c>
      <c r="J25" s="311">
        <v>4.6500000000000004</v>
      </c>
      <c r="K25" s="311">
        <v>4.62</v>
      </c>
      <c r="L25" s="311" t="s">
        <v>28</v>
      </c>
      <c r="M25" s="80">
        <f t="shared" si="4"/>
        <v>0.99354838709677418</v>
      </c>
      <c r="N25" s="311">
        <f>+IFERROR(K25-G25,"N.A.")</f>
        <v>4.0000000000000036E-2</v>
      </c>
      <c r="O25" s="311">
        <f t="shared" ref="O25" si="13">+IFERROR(K25-E25,"N.A.")</f>
        <v>2.0000000000000462E-2</v>
      </c>
      <c r="P25" s="354">
        <f t="shared" ref="P25" si="14">+IFERROR(U25-E25,"N.A.")</f>
        <v>5.0000000000000711E-2</v>
      </c>
      <c r="Q25" s="354">
        <f t="shared" ref="Q25" si="15">+IFERROR(U25-G25,"N.A.")</f>
        <v>7.0000000000000284E-2</v>
      </c>
      <c r="R25" s="354">
        <f t="shared" ref="R25" si="16">+IFERROR(U25-K25,"N.A.")</f>
        <v>3.0000000000000249E-2</v>
      </c>
      <c r="S25" s="292" t="str">
        <f t="shared" si="0"/>
        <v>Satisfactorio</v>
      </c>
      <c r="T25" s="292"/>
      <c r="U25" s="348">
        <v>4.6500000000000004</v>
      </c>
      <c r="AB25" t="s">
        <v>163</v>
      </c>
      <c r="AC25" t="s">
        <v>162</v>
      </c>
      <c r="AD25" s="330">
        <v>0.189</v>
      </c>
      <c r="AE25" s="330">
        <v>-0.46100000000000002</v>
      </c>
      <c r="AF25" s="330">
        <v>0.245</v>
      </c>
      <c r="AG25" s="330">
        <v>0.44626593806921672</v>
      </c>
      <c r="AH25" s="230"/>
      <c r="AI25" s="230"/>
      <c r="AJ25" s="230"/>
      <c r="AK25" s="230"/>
      <c r="AL25" s="230"/>
      <c r="AM25" s="230"/>
    </row>
    <row r="26" spans="2:39" hidden="1" x14ac:dyDescent="0.25">
      <c r="B26" s="284" t="s">
        <v>160</v>
      </c>
      <c r="C26" s="297" t="s">
        <v>181</v>
      </c>
      <c r="D26" s="285" t="s">
        <v>261</v>
      </c>
      <c r="E26" s="311" t="s">
        <v>28</v>
      </c>
      <c r="F26" s="311" t="s">
        <v>28</v>
      </c>
      <c r="G26" s="311" t="s">
        <v>28</v>
      </c>
      <c r="H26" s="311" t="s">
        <v>28</v>
      </c>
      <c r="I26" s="339" t="str">
        <f t="shared" si="3"/>
        <v>N.A</v>
      </c>
      <c r="J26" s="311">
        <v>4.6500000000000004</v>
      </c>
      <c r="K26" s="311">
        <v>4.17</v>
      </c>
      <c r="L26" s="311" t="s">
        <v>28</v>
      </c>
      <c r="M26" s="303">
        <f t="shared" si="4"/>
        <v>0.89677419354838706</v>
      </c>
      <c r="N26" s="311" t="str">
        <f>+IFERROR(K26-G26,"N.A.")</f>
        <v>N.A.</v>
      </c>
      <c r="O26" s="339" t="str">
        <f>+IFERROR(K26-E26,"N.A.")</f>
        <v>N.A.</v>
      </c>
      <c r="P26" s="354" t="str">
        <f t="shared" ref="P26" si="17">+IFERROR(U26-E26,"N.A.")</f>
        <v>N.A.</v>
      </c>
      <c r="Q26" s="354" t="str">
        <f t="shared" ref="Q26" si="18">+IFERROR(U26-G26,"N.A.")</f>
        <v>N.A.</v>
      </c>
      <c r="R26" s="354">
        <f t="shared" ref="R26" si="19">+IFERROR(U26-K26,"N.A.")</f>
        <v>0.48000000000000043</v>
      </c>
      <c r="S26" s="292" t="str">
        <f t="shared" si="0"/>
        <v>Tolerable</v>
      </c>
      <c r="T26" s="292"/>
      <c r="U26" s="348">
        <v>4.6500000000000004</v>
      </c>
      <c r="AC26" t="s">
        <v>161</v>
      </c>
      <c r="AD26" s="331">
        <v>6207154</v>
      </c>
      <c r="AE26" s="331">
        <v>3343521</v>
      </c>
      <c r="AF26" s="331">
        <v>4163464</v>
      </c>
      <c r="AG26" s="324">
        <v>0.80405819705167747</v>
      </c>
      <c r="AH26" s="230"/>
      <c r="AI26" s="230"/>
      <c r="AJ26" s="230"/>
      <c r="AK26" s="230"/>
      <c r="AL26" s="230"/>
      <c r="AM26" s="230"/>
    </row>
    <row r="27" spans="2:39" hidden="1" x14ac:dyDescent="0.25">
      <c r="B27" s="284" t="s">
        <v>163</v>
      </c>
      <c r="C27" s="297" t="s">
        <v>161</v>
      </c>
      <c r="D27" s="285" t="s">
        <v>261</v>
      </c>
      <c r="E27" s="323">
        <v>6207154</v>
      </c>
      <c r="F27" s="311" t="s">
        <v>28</v>
      </c>
      <c r="G27" s="323">
        <v>3343521</v>
      </c>
      <c r="H27" s="311" t="s">
        <v>28</v>
      </c>
      <c r="I27" s="340">
        <f>+G27/E27-1</f>
        <v>-0.46134395892223712</v>
      </c>
      <c r="J27" s="312">
        <v>5178063</v>
      </c>
      <c r="K27" s="312">
        <v>4163464</v>
      </c>
      <c r="L27" s="311" t="s">
        <v>28</v>
      </c>
      <c r="M27" s="80">
        <f t="shared" si="4"/>
        <v>0.80405819705167747</v>
      </c>
      <c r="N27" s="339">
        <f>+K27/G27-1</f>
        <v>0.2452333931804227</v>
      </c>
      <c r="O27" s="339">
        <f>+K27/E27-1</f>
        <v>-0.32924751021160426</v>
      </c>
      <c r="P27" s="339">
        <f>+IFERROR(U27/E27-1,"N.A.")</f>
        <v>-0.22913367382217353</v>
      </c>
      <c r="Q27" s="339">
        <f>+IFERROR(U27/G27-1,"N.A")</f>
        <v>0.4310919536620228</v>
      </c>
      <c r="R27" s="339">
        <f>+IFERROR(U27/K27-1,"N.A")</f>
        <v>0.14925600413501838</v>
      </c>
      <c r="S27" s="292" t="str">
        <f t="shared" si="0"/>
        <v>Tolerable</v>
      </c>
      <c r="T27" s="292"/>
      <c r="U27" s="352">
        <v>4784886</v>
      </c>
      <c r="AC27" t="s">
        <v>18</v>
      </c>
      <c r="AD27" s="230" t="s">
        <v>28</v>
      </c>
      <c r="AE27" s="330">
        <v>0.4486</v>
      </c>
      <c r="AF27" s="330">
        <v>0.53739999999999999</v>
      </c>
      <c r="AG27" s="324">
        <v>1.0748</v>
      </c>
      <c r="AH27" s="230"/>
      <c r="AI27" s="230"/>
      <c r="AJ27" s="230"/>
      <c r="AK27" s="230"/>
      <c r="AL27" s="230"/>
      <c r="AM27" s="230"/>
    </row>
    <row r="28" spans="2:39" hidden="1" x14ac:dyDescent="0.25">
      <c r="B28" s="284" t="s">
        <v>163</v>
      </c>
      <c r="C28" s="297" t="s">
        <v>162</v>
      </c>
      <c r="D28" s="285" t="s">
        <v>261</v>
      </c>
      <c r="E28" s="305">
        <v>0.189</v>
      </c>
      <c r="F28" s="311" t="s">
        <v>28</v>
      </c>
      <c r="G28" s="305">
        <v>-0.46100000000000002</v>
      </c>
      <c r="H28" s="311" t="s">
        <v>28</v>
      </c>
      <c r="I28" s="339">
        <f t="shared" ref="I28:I47" si="20">+IFERROR(G28-E28,"N.A")</f>
        <v>-0.65</v>
      </c>
      <c r="J28" s="305">
        <v>0.54900000000000004</v>
      </c>
      <c r="K28" s="305">
        <v>0.245</v>
      </c>
      <c r="L28" s="311" t="s">
        <v>28</v>
      </c>
      <c r="M28" s="80">
        <f t="shared" si="4"/>
        <v>0.44626593806921672</v>
      </c>
      <c r="N28" s="339">
        <f t="shared" ref="N28:N29" si="21">+K28-G28</f>
        <v>0.70599999999999996</v>
      </c>
      <c r="O28" s="339">
        <f t="shared" ref="O28:O29" si="22">+IFERROR(K28-E28,"N.A.")</f>
        <v>5.5999999999999994E-2</v>
      </c>
      <c r="P28" s="339">
        <f t="shared" ref="P28" si="23">+IFERROR(U28-E28,"N.A.")</f>
        <v>-3.9743995864982007E-2</v>
      </c>
      <c r="Q28" s="339">
        <f t="shared" ref="Q28" si="24">+IFERROR(U28-G28,"N.A.")</f>
        <v>0.61025600413501802</v>
      </c>
      <c r="R28" s="339">
        <f t="shared" ref="R28" si="25">+IFERROR(U28-K28,"N.A.")</f>
        <v>-9.5743995864982001E-2</v>
      </c>
      <c r="S28" s="292" t="str">
        <f t="shared" si="0"/>
        <v>Incumple</v>
      </c>
      <c r="T28" s="292"/>
      <c r="U28" s="346">
        <v>0.14925600413501799</v>
      </c>
      <c r="AB28" t="s">
        <v>158</v>
      </c>
      <c r="AC28" t="s">
        <v>151</v>
      </c>
      <c r="AD28" s="330">
        <v>2.5999999999999999E-2</v>
      </c>
      <c r="AE28" s="330">
        <v>-4.2999999999999997E-2</v>
      </c>
      <c r="AF28" s="330">
        <v>8.5300000000000001E-2</v>
      </c>
      <c r="AG28" s="324">
        <v>1.19971870604782</v>
      </c>
      <c r="AH28" s="230"/>
      <c r="AI28" s="230"/>
      <c r="AJ28" s="230"/>
      <c r="AK28" s="230"/>
      <c r="AL28" s="230"/>
      <c r="AM28" s="230"/>
    </row>
    <row r="29" spans="2:39" hidden="1" x14ac:dyDescent="0.25">
      <c r="B29" s="284" t="s">
        <v>163</v>
      </c>
      <c r="C29" s="297" t="s">
        <v>18</v>
      </c>
      <c r="D29" s="285" t="s">
        <v>260</v>
      </c>
      <c r="E29" s="311" t="s">
        <v>28</v>
      </c>
      <c r="F29" s="311" t="s">
        <v>28</v>
      </c>
      <c r="G29" s="305">
        <v>0.4486</v>
      </c>
      <c r="H29" s="311" t="s">
        <v>28</v>
      </c>
      <c r="I29" s="339" t="str">
        <f t="shared" si="20"/>
        <v>N.A</v>
      </c>
      <c r="J29" s="310">
        <v>0.5</v>
      </c>
      <c r="K29" s="305">
        <v>0.53739999999999999</v>
      </c>
      <c r="L29" s="311" t="s">
        <v>28</v>
      </c>
      <c r="M29" s="80">
        <f t="shared" si="4"/>
        <v>1.0748</v>
      </c>
      <c r="N29" s="339">
        <f t="shared" si="21"/>
        <v>8.879999999999999E-2</v>
      </c>
      <c r="O29" s="339" t="str">
        <f t="shared" si="22"/>
        <v>N.A.</v>
      </c>
      <c r="P29" s="339" t="str">
        <f t="shared" ref="P29" si="26">+IFERROR(U29-E29,"N.A.")</f>
        <v>N.A.</v>
      </c>
      <c r="Q29" s="339">
        <f t="shared" ref="Q29" si="27">+IFERROR(U29-G29,"N.A.")</f>
        <v>9.1400000000000037E-2</v>
      </c>
      <c r="R29" s="339">
        <f t="shared" ref="R29" si="28">+IFERROR(U29-K29,"N.A.")</f>
        <v>2.6000000000000467E-3</v>
      </c>
      <c r="S29" s="292" t="str">
        <f t="shared" si="0"/>
        <v>Sobresaliente</v>
      </c>
      <c r="T29" s="292"/>
      <c r="U29" s="425">
        <v>0.54</v>
      </c>
      <c r="AC29" t="s">
        <v>150</v>
      </c>
      <c r="AD29" s="330">
        <v>6.1699999999999998E-2</v>
      </c>
      <c r="AE29" s="330">
        <v>1.0999999999999999E-2</v>
      </c>
      <c r="AF29" s="330">
        <v>0.11899999999999999</v>
      </c>
      <c r="AG29" s="324">
        <v>1.0084745762711864</v>
      </c>
      <c r="AH29" s="230"/>
      <c r="AI29" s="230"/>
      <c r="AJ29" s="230"/>
      <c r="AK29" s="230"/>
      <c r="AL29" s="230"/>
      <c r="AM29" s="230"/>
    </row>
    <row r="30" spans="2:39" x14ac:dyDescent="0.25">
      <c r="B30" s="284" t="s">
        <v>187</v>
      </c>
      <c r="C30" s="297" t="s">
        <v>184</v>
      </c>
      <c r="D30" s="285" t="s">
        <v>261</v>
      </c>
      <c r="E30" s="311" t="s">
        <v>28</v>
      </c>
      <c r="F30" s="311" t="s">
        <v>28</v>
      </c>
      <c r="G30" s="311" t="s">
        <v>28</v>
      </c>
      <c r="H30" s="311" t="s">
        <v>28</v>
      </c>
      <c r="I30" s="339" t="str">
        <f t="shared" si="20"/>
        <v>N.A</v>
      </c>
      <c r="J30" s="315">
        <v>0.95</v>
      </c>
      <c r="K30" s="305">
        <v>0.90800000000000003</v>
      </c>
      <c r="L30" s="311" t="s">
        <v>28</v>
      </c>
      <c r="M30" s="80">
        <f t="shared" si="4"/>
        <v>0.95578947368421063</v>
      </c>
      <c r="N30" s="311" t="str">
        <f>+IFERROR(K30-G30,"N.A.")</f>
        <v>N.A.</v>
      </c>
      <c r="O30" s="339" t="str">
        <f>+IFERROR(K30-E30,"N.A.")</f>
        <v>N.A.</v>
      </c>
      <c r="P30" s="339" t="str">
        <f t="shared" ref="P30" si="29">+IFERROR(U30-E30,"N.A.")</f>
        <v>N.A.</v>
      </c>
      <c r="Q30" s="339" t="str">
        <f t="shared" ref="Q30" si="30">+IFERROR(U30-G30,"N.A.")</f>
        <v>N.A.</v>
      </c>
      <c r="R30" s="339">
        <f t="shared" ref="R30" si="31">+IFERROR(U30-K30,"N.A.")</f>
        <v>4.1999999999999926E-2</v>
      </c>
      <c r="S30" s="292" t="str">
        <f t="shared" si="0"/>
        <v>Satisfactorio</v>
      </c>
      <c r="T30" s="292"/>
      <c r="U30" s="347">
        <v>0.95</v>
      </c>
      <c r="AC30" t="s">
        <v>153</v>
      </c>
      <c r="AD30" s="230" t="s">
        <v>28</v>
      </c>
      <c r="AE30" s="330">
        <v>-0.33500000000000002</v>
      </c>
      <c r="AF30" s="330">
        <v>0.56499999999999995</v>
      </c>
      <c r="AG30" s="324">
        <v>1.4490895101308026</v>
      </c>
      <c r="AH30" s="230"/>
      <c r="AI30" s="230"/>
      <c r="AJ30" s="230"/>
      <c r="AK30" s="230"/>
      <c r="AL30" s="230"/>
      <c r="AM30" s="230"/>
    </row>
    <row r="31" spans="2:39" x14ac:dyDescent="0.25">
      <c r="B31" s="284" t="s">
        <v>187</v>
      </c>
      <c r="C31" s="297" t="s">
        <v>185</v>
      </c>
      <c r="D31" s="285" t="s">
        <v>261</v>
      </c>
      <c r="E31" s="311" t="s">
        <v>28</v>
      </c>
      <c r="F31" s="311" t="s">
        <v>28</v>
      </c>
      <c r="G31" s="311" t="s">
        <v>28</v>
      </c>
      <c r="H31" s="311" t="s">
        <v>28</v>
      </c>
      <c r="I31" s="339" t="str">
        <f t="shared" si="20"/>
        <v>N.A</v>
      </c>
      <c r="J31" s="310">
        <v>0.8</v>
      </c>
      <c r="K31" s="310">
        <v>0.81</v>
      </c>
      <c r="L31" s="311" t="s">
        <v>28</v>
      </c>
      <c r="M31" s="80">
        <f t="shared" si="4"/>
        <v>1.0125</v>
      </c>
      <c r="N31" s="311" t="str">
        <f>+IFERROR(K31-G31,"N.A.")</f>
        <v>N.A.</v>
      </c>
      <c r="O31" s="339" t="str">
        <f>+IFERROR(K31-E31,"N.A.")</f>
        <v>N.A.</v>
      </c>
      <c r="P31" s="339" t="str">
        <f t="shared" ref="P31" si="32">+IFERROR(U31-E31,"N.A.")</f>
        <v>N.A.</v>
      </c>
      <c r="Q31" s="339" t="str">
        <f t="shared" ref="Q31" si="33">+IFERROR(U31-G31,"N.A.")</f>
        <v>N.A.</v>
      </c>
      <c r="R31" s="339">
        <f t="shared" ref="R31" si="34">+IFERROR(U31-K31,"N.A.")</f>
        <v>8.9999999999999969E-2</v>
      </c>
      <c r="S31" s="292" t="str">
        <f t="shared" si="0"/>
        <v>Sobresaliente</v>
      </c>
      <c r="T31" s="292"/>
      <c r="U31" s="347">
        <v>0.9</v>
      </c>
      <c r="AC31" t="s">
        <v>148</v>
      </c>
      <c r="AD31" s="330">
        <v>-1.21E-2</v>
      </c>
      <c r="AE31" s="330">
        <v>-4.5999999999999999E-3</v>
      </c>
      <c r="AF31" s="330">
        <v>8.8400000000000006E-2</v>
      </c>
      <c r="AG31" s="324">
        <v>6.0965517241379308</v>
      </c>
      <c r="AH31" s="230"/>
      <c r="AI31" s="230"/>
      <c r="AJ31" s="230"/>
      <c r="AK31" s="230"/>
      <c r="AL31" s="230"/>
      <c r="AM31" s="230"/>
    </row>
    <row r="32" spans="2:39" ht="34.5" customHeight="1" x14ac:dyDescent="0.25">
      <c r="B32" s="284" t="s">
        <v>187</v>
      </c>
      <c r="C32" s="297" t="s">
        <v>186</v>
      </c>
      <c r="D32" s="285" t="s">
        <v>261</v>
      </c>
      <c r="E32" s="311" t="s">
        <v>28</v>
      </c>
      <c r="F32" s="311" t="s">
        <v>28</v>
      </c>
      <c r="G32" s="311" t="s">
        <v>28</v>
      </c>
      <c r="H32" s="311" t="s">
        <v>28</v>
      </c>
      <c r="I32" s="339" t="str">
        <f t="shared" si="20"/>
        <v>N.A</v>
      </c>
      <c r="J32" s="310">
        <v>0.1</v>
      </c>
      <c r="K32" s="305">
        <v>0.20100000000000001</v>
      </c>
      <c r="L32" s="311" t="s">
        <v>28</v>
      </c>
      <c r="M32" s="80">
        <f t="shared" si="4"/>
        <v>2.0099999999999998</v>
      </c>
      <c r="N32" s="311" t="str">
        <f>+IFERROR(K32-G32,"N.A.")</f>
        <v>N.A.</v>
      </c>
      <c r="O32" s="339" t="str">
        <f>+IFERROR(K32-E32,"N.A.")</f>
        <v>N.A.</v>
      </c>
      <c r="P32" s="339" t="str">
        <f t="shared" ref="P32" si="35">+IFERROR(U32-E32,"N.A.")</f>
        <v>N.A.</v>
      </c>
      <c r="Q32" s="339" t="str">
        <f t="shared" ref="Q32" si="36">+IFERROR(U32-G32,"N.A.")</f>
        <v>N.A.</v>
      </c>
      <c r="R32" s="339">
        <f t="shared" ref="R32" si="37">+IFERROR(U32-K32,"N.A.")</f>
        <v>9.8999999999999977E-2</v>
      </c>
      <c r="S32" s="292" t="str">
        <f t="shared" si="0"/>
        <v>Sobresaliente</v>
      </c>
      <c r="T32" s="292"/>
      <c r="U32" s="349">
        <v>0.3</v>
      </c>
      <c r="AC32" s="65" t="s">
        <v>154</v>
      </c>
      <c r="AD32" s="330">
        <v>0.223</v>
      </c>
      <c r="AE32" s="330">
        <v>0.2195</v>
      </c>
      <c r="AF32" s="330">
        <v>0.219</v>
      </c>
      <c r="AG32" s="324">
        <v>1</v>
      </c>
      <c r="AH32" s="230"/>
      <c r="AI32" s="230"/>
      <c r="AJ32" s="230"/>
      <c r="AK32" s="230"/>
      <c r="AL32" s="230"/>
      <c r="AM32" s="230"/>
    </row>
    <row r="33" spans="2:39" ht="15.75" customHeight="1" x14ac:dyDescent="0.25">
      <c r="B33" s="284" t="s">
        <v>187</v>
      </c>
      <c r="C33" s="297" t="s">
        <v>193</v>
      </c>
      <c r="D33" s="285" t="s">
        <v>261</v>
      </c>
      <c r="E33" s="311" t="s">
        <v>28</v>
      </c>
      <c r="F33" s="311" t="s">
        <v>28</v>
      </c>
      <c r="G33" s="305">
        <v>4.1999999999999997E-3</v>
      </c>
      <c r="H33" s="285">
        <v>221</v>
      </c>
      <c r="I33" s="339" t="str">
        <f t="shared" si="20"/>
        <v>N.A</v>
      </c>
      <c r="J33" s="305">
        <v>1.2E-2</v>
      </c>
      <c r="K33" s="305">
        <v>7.7000000000000002E-3</v>
      </c>
      <c r="L33" s="321">
        <v>612</v>
      </c>
      <c r="M33" s="80">
        <f t="shared" si="4"/>
        <v>0.64166666666666672</v>
      </c>
      <c r="N33" s="339">
        <f>+K33-G33</f>
        <v>3.5000000000000005E-3</v>
      </c>
      <c r="O33" s="339" t="str">
        <f>+IFERROR(K33-E33,"N.A.")</f>
        <v>N.A.</v>
      </c>
      <c r="P33" s="339" t="str">
        <f t="shared" ref="P33" si="38">+IFERROR(U33-E33,"N.A.")</f>
        <v>N.A.</v>
      </c>
      <c r="Q33" s="339">
        <f t="shared" ref="Q33" si="39">+IFERROR(U33-G33,"N.A.")</f>
        <v>1.1800000000000001E-2</v>
      </c>
      <c r="R33" s="339">
        <f t="shared" ref="R33" si="40">+IFERROR(U33-K33,"N.A.")</f>
        <v>8.3000000000000001E-3</v>
      </c>
      <c r="S33" s="292" t="str">
        <f t="shared" si="0"/>
        <v>Incumple</v>
      </c>
      <c r="T33" s="292"/>
      <c r="U33" s="346">
        <v>1.6E-2</v>
      </c>
      <c r="AC33" t="s">
        <v>99</v>
      </c>
      <c r="AD33" s="230" t="s">
        <v>28</v>
      </c>
      <c r="AE33" s="332">
        <v>-0.01</v>
      </c>
      <c r="AF33" s="332">
        <v>1.5299999999999999E-2</v>
      </c>
      <c r="AG33" s="324">
        <v>1.3189655172413794</v>
      </c>
      <c r="AH33" s="230"/>
      <c r="AI33" s="230"/>
      <c r="AJ33" s="230"/>
      <c r="AK33" s="230"/>
      <c r="AL33" s="230"/>
      <c r="AM33" s="230"/>
    </row>
    <row r="34" spans="2:39" x14ac:dyDescent="0.25">
      <c r="B34" s="284" t="s">
        <v>187</v>
      </c>
      <c r="C34" s="297" t="s">
        <v>194</v>
      </c>
      <c r="D34" s="285" t="s">
        <v>261</v>
      </c>
      <c r="E34" s="311" t="s">
        <v>28</v>
      </c>
      <c r="F34" s="311" t="s">
        <v>28</v>
      </c>
      <c r="G34" s="311" t="s">
        <v>28</v>
      </c>
      <c r="H34" s="311" t="s">
        <v>28</v>
      </c>
      <c r="I34" s="339" t="str">
        <f t="shared" si="20"/>
        <v>N.A</v>
      </c>
      <c r="J34" s="311" t="s">
        <v>28</v>
      </c>
      <c r="K34" s="311" t="s">
        <v>28</v>
      </c>
      <c r="L34" s="311" t="s">
        <v>28</v>
      </c>
      <c r="M34" s="285" t="s">
        <v>28</v>
      </c>
      <c r="N34" s="311" t="str">
        <f t="shared" ref="N34:O34" si="41">+IFERROR(K34-G34,"N.A.")</f>
        <v>N.A.</v>
      </c>
      <c r="O34" s="311" t="str">
        <f t="shared" si="41"/>
        <v>N.A.</v>
      </c>
      <c r="P34" s="339" t="str">
        <f t="shared" ref="P34" si="42">+IFERROR(U34-E34,"N.A.")</f>
        <v>N.A.</v>
      </c>
      <c r="Q34" s="339" t="str">
        <f t="shared" ref="Q34" si="43">+IFERROR(U34-G34,"N.A.")</f>
        <v>N.A.</v>
      </c>
      <c r="R34" s="339" t="str">
        <f t="shared" ref="R34" si="44">+IFERROR(U34-K34,"N.A.")</f>
        <v>N.A.</v>
      </c>
      <c r="S34" s="285" t="s">
        <v>28</v>
      </c>
      <c r="T34" s="285"/>
      <c r="U34" s="347">
        <v>0.95</v>
      </c>
      <c r="AC34" t="s">
        <v>98</v>
      </c>
      <c r="AD34" s="333">
        <v>407639</v>
      </c>
      <c r="AE34" s="333">
        <v>390100</v>
      </c>
      <c r="AF34" s="333">
        <v>423385</v>
      </c>
      <c r="AG34" s="324">
        <v>1.0132851802390423</v>
      </c>
      <c r="AH34" s="230"/>
      <c r="AI34" s="230"/>
      <c r="AJ34" s="230"/>
      <c r="AK34" s="230"/>
      <c r="AL34" s="230"/>
      <c r="AM34" s="230"/>
    </row>
    <row r="35" spans="2:39" x14ac:dyDescent="0.25">
      <c r="B35" s="284" t="s">
        <v>187</v>
      </c>
      <c r="C35" s="297" t="s">
        <v>195</v>
      </c>
      <c r="D35" s="285" t="s">
        <v>261</v>
      </c>
      <c r="E35" s="311" t="s">
        <v>28</v>
      </c>
      <c r="F35" s="311" t="s">
        <v>28</v>
      </c>
      <c r="G35" s="311" t="s">
        <v>28</v>
      </c>
      <c r="H35" s="311" t="s">
        <v>28</v>
      </c>
      <c r="I35" s="339" t="str">
        <f t="shared" si="20"/>
        <v>N.A</v>
      </c>
      <c r="J35" s="311" t="s">
        <v>28</v>
      </c>
      <c r="K35" s="311" t="s">
        <v>28</v>
      </c>
      <c r="L35" s="311" t="s">
        <v>28</v>
      </c>
      <c r="M35" s="285" t="s">
        <v>28</v>
      </c>
      <c r="N35" s="311" t="str">
        <f t="shared" ref="N35" si="45">+IFERROR(K35-G35,"N.A.")</f>
        <v>N.A.</v>
      </c>
      <c r="O35" s="311" t="str">
        <f t="shared" ref="O35" si="46">+IFERROR(L35-H35,"N.A.")</f>
        <v>N.A.</v>
      </c>
      <c r="P35" s="339" t="str">
        <f t="shared" ref="P35" si="47">+IFERROR(U35-E35,"N.A.")</f>
        <v>N.A.</v>
      </c>
      <c r="Q35" s="339" t="str">
        <f t="shared" ref="Q35" si="48">+IFERROR(U35-G35,"N.A.")</f>
        <v>N.A.</v>
      </c>
      <c r="R35" s="339" t="str">
        <f t="shared" ref="R35" si="49">+IFERROR(U35-K35,"N.A.")</f>
        <v>N.A.</v>
      </c>
      <c r="S35" s="285" t="s">
        <v>28</v>
      </c>
      <c r="T35" s="285"/>
      <c r="U35" s="348">
        <v>90</v>
      </c>
      <c r="AC35" t="s">
        <v>149</v>
      </c>
      <c r="AD35" s="333">
        <v>345184</v>
      </c>
      <c r="AE35" s="333">
        <v>348843</v>
      </c>
      <c r="AF35" s="333">
        <v>390426</v>
      </c>
      <c r="AG35" s="324">
        <v>1.0008844316949557</v>
      </c>
      <c r="AH35" s="230"/>
      <c r="AI35" s="230"/>
      <c r="AJ35" s="230"/>
      <c r="AK35" s="230"/>
      <c r="AL35" s="230"/>
      <c r="AM35" s="230"/>
    </row>
    <row r="36" spans="2:39" hidden="1" x14ac:dyDescent="0.25">
      <c r="B36" s="284" t="s">
        <v>188</v>
      </c>
      <c r="C36" s="297" t="s">
        <v>20</v>
      </c>
      <c r="D36" s="285" t="s">
        <v>261</v>
      </c>
      <c r="E36" s="305">
        <v>6.3200000000000006E-2</v>
      </c>
      <c r="F36" s="314">
        <v>392494</v>
      </c>
      <c r="G36" s="305">
        <v>3.9699999999999999E-2</v>
      </c>
      <c r="H36" s="314">
        <v>132687</v>
      </c>
      <c r="I36" s="340">
        <f>+G36-E36</f>
        <v>-2.3500000000000007E-2</v>
      </c>
      <c r="J36" s="305">
        <v>6.3799999999999996E-2</v>
      </c>
      <c r="K36" s="305">
        <v>6.0999999999999999E-2</v>
      </c>
      <c r="L36" s="314">
        <v>253993</v>
      </c>
      <c r="M36" s="80">
        <f>+K36/J36</f>
        <v>0.9561128526645768</v>
      </c>
      <c r="N36" s="339">
        <f>+K36-G36</f>
        <v>2.1299999999999999E-2</v>
      </c>
      <c r="O36" s="339">
        <f>+IFERROR(K36-E36,"N.A.")</f>
        <v>-2.2000000000000075E-3</v>
      </c>
      <c r="P36" s="339">
        <f t="shared" ref="P36" si="50">+IFERROR(U36-E36,"N.A.")</f>
        <v>1.0226409741005291E-2</v>
      </c>
      <c r="Q36" s="339">
        <f t="shared" ref="Q36" si="51">+IFERROR(U36-G36,"N.A.")</f>
        <v>3.3726409741005298E-2</v>
      </c>
      <c r="R36" s="339">
        <f t="shared" ref="R36" si="52">+IFERROR(U36-K36,"N.A.")</f>
        <v>1.2426409741005298E-2</v>
      </c>
      <c r="S36" s="292" t="str">
        <f>+IF(M36&lt;79.99999%,"Incumple",IF(AND(M36&gt;=80%,M36&lt;94.999999%),"Tolerable",IF(AND(M36&gt;=95%,M36&lt;100%),"Satisfactorio","Sobresaliente")))</f>
        <v>Satisfactorio</v>
      </c>
      <c r="T36" s="307">
        <v>351337</v>
      </c>
      <c r="U36" s="346">
        <v>7.3426409741005297E-2</v>
      </c>
      <c r="AC36" t="s">
        <v>152</v>
      </c>
      <c r="AD36" s="333">
        <v>84750</v>
      </c>
      <c r="AE36" s="333">
        <v>56395</v>
      </c>
      <c r="AF36" s="333">
        <v>88261</v>
      </c>
      <c r="AG36" s="324">
        <v>1.1260509562266365</v>
      </c>
      <c r="AH36" s="230"/>
      <c r="AI36" s="230"/>
      <c r="AJ36" s="230"/>
      <c r="AK36" s="230"/>
      <c r="AL36" s="230"/>
      <c r="AM36" s="230"/>
    </row>
    <row r="37" spans="2:39" hidden="1" x14ac:dyDescent="0.25">
      <c r="B37" s="284" t="s">
        <v>198</v>
      </c>
      <c r="C37" s="297" t="s">
        <v>271</v>
      </c>
      <c r="D37" s="285" t="s">
        <v>260</v>
      </c>
      <c r="E37" s="311" t="s">
        <v>28</v>
      </c>
      <c r="F37" s="311" t="s">
        <v>28</v>
      </c>
      <c r="G37" s="312" t="s">
        <v>28</v>
      </c>
      <c r="H37" s="312">
        <v>447361</v>
      </c>
      <c r="I37" s="339" t="str">
        <f t="shared" si="20"/>
        <v>N.A</v>
      </c>
      <c r="J37" s="310">
        <v>0.15</v>
      </c>
      <c r="K37" s="305">
        <v>0.159</v>
      </c>
      <c r="L37" s="312">
        <v>518665</v>
      </c>
      <c r="M37" s="80">
        <f>+K37/J37</f>
        <v>1.06</v>
      </c>
      <c r="N37" s="311" t="str">
        <f t="shared" ref="N37:N38" si="53">+IFERROR(K37-G37,"N.A.")</f>
        <v>N.A.</v>
      </c>
      <c r="O37" s="311">
        <f t="shared" ref="O37:O38" si="54">+IFERROR(L37-H37,"N.A.")</f>
        <v>71304</v>
      </c>
      <c r="P37" s="339" t="str">
        <f t="shared" ref="P37" si="55">+IFERROR(U37-E37,"N.A.")</f>
        <v>N.A.</v>
      </c>
      <c r="Q37" s="339" t="str">
        <f t="shared" ref="Q37" si="56">+IFERROR(U37-G37,"N.A.")</f>
        <v>N.A.</v>
      </c>
      <c r="R37" s="339" t="str">
        <f t="shared" ref="R37" si="57">+IFERROR(U37-K37,"N.A.")</f>
        <v>N.A.</v>
      </c>
      <c r="S37" s="292" t="str">
        <f>+IF(M37&lt;79.99999%,"Incumple",IF(AND(M37&gt;=80%,M37&lt;94.999999%),"Tolerable",IF(AND(M37&gt;=95%,M37&lt;100%),"Satisfactorio","Sobresaliente")))</f>
        <v>Sobresaliente</v>
      </c>
      <c r="T37" s="292"/>
      <c r="U37" s="348" t="s">
        <v>272</v>
      </c>
      <c r="AC37" t="s">
        <v>96</v>
      </c>
      <c r="AD37" s="333">
        <v>3684</v>
      </c>
      <c r="AE37" s="333">
        <v>3667</v>
      </c>
      <c r="AF37" s="333">
        <v>3980</v>
      </c>
      <c r="AG37" s="324">
        <v>1.0698924731182795</v>
      </c>
      <c r="AH37" s="230"/>
      <c r="AI37" s="230"/>
      <c r="AJ37" s="230"/>
      <c r="AK37" s="230"/>
      <c r="AL37" s="230"/>
      <c r="AM37" s="230"/>
    </row>
    <row r="38" spans="2:39" hidden="1" x14ac:dyDescent="0.25">
      <c r="B38" s="284" t="s">
        <v>198</v>
      </c>
      <c r="C38" s="297" t="s">
        <v>203</v>
      </c>
      <c r="D38" s="285" t="s">
        <v>261</v>
      </c>
      <c r="E38" s="311" t="s">
        <v>28</v>
      </c>
      <c r="F38" s="311" t="s">
        <v>28</v>
      </c>
      <c r="G38" s="311" t="s">
        <v>28</v>
      </c>
      <c r="H38" s="311" t="s">
        <v>28</v>
      </c>
      <c r="I38" s="339" t="str">
        <f t="shared" si="20"/>
        <v>N.A</v>
      </c>
      <c r="J38" s="311" t="s">
        <v>28</v>
      </c>
      <c r="K38" s="311" t="s">
        <v>28</v>
      </c>
      <c r="L38" s="311" t="s">
        <v>28</v>
      </c>
      <c r="M38" s="285" t="s">
        <v>28</v>
      </c>
      <c r="N38" s="311" t="str">
        <f t="shared" si="53"/>
        <v>N.A.</v>
      </c>
      <c r="O38" s="311" t="str">
        <f t="shared" si="54"/>
        <v>N.A.</v>
      </c>
      <c r="P38" s="339" t="str">
        <f t="shared" ref="P38" si="58">+IFERROR(U38-E38,"N.A.")</f>
        <v>N.A.</v>
      </c>
      <c r="Q38" s="339" t="str">
        <f t="shared" ref="Q38" si="59">+IFERROR(U38-G38,"N.A.")</f>
        <v>N.A.</v>
      </c>
      <c r="R38" s="339" t="str">
        <f t="shared" ref="R38" si="60">+IFERROR(U38-K38,"N.A.")</f>
        <v>N.A.</v>
      </c>
      <c r="S38" s="285" t="s">
        <v>28</v>
      </c>
      <c r="T38" s="285"/>
      <c r="U38" s="348" t="s">
        <v>272</v>
      </c>
      <c r="AC38" t="s">
        <v>157</v>
      </c>
      <c r="AD38" s="330">
        <v>0.2475</v>
      </c>
      <c r="AE38" s="330">
        <v>0.2417</v>
      </c>
      <c r="AF38" s="330">
        <v>0.245</v>
      </c>
      <c r="AG38" s="324">
        <v>1.0123966942148761</v>
      </c>
      <c r="AH38" s="230"/>
      <c r="AI38" s="230"/>
      <c r="AJ38" s="230"/>
      <c r="AK38" s="230"/>
      <c r="AL38" s="230"/>
      <c r="AM38" s="230"/>
    </row>
    <row r="39" spans="2:39" hidden="1" x14ac:dyDescent="0.25">
      <c r="B39" s="284" t="s">
        <v>198</v>
      </c>
      <c r="C39" s="297" t="s">
        <v>206</v>
      </c>
      <c r="D39" s="285" t="s">
        <v>261</v>
      </c>
      <c r="E39" s="311" t="s">
        <v>28</v>
      </c>
      <c r="F39" s="311" t="s">
        <v>28</v>
      </c>
      <c r="G39" s="305">
        <v>0.75209999999999999</v>
      </c>
      <c r="H39" s="311" t="s">
        <v>28</v>
      </c>
      <c r="I39" s="339" t="str">
        <f t="shared" si="20"/>
        <v>N.A</v>
      </c>
      <c r="J39" s="310">
        <v>0.8</v>
      </c>
      <c r="K39" s="305">
        <v>0.80500000000000005</v>
      </c>
      <c r="L39" s="311" t="s">
        <v>28</v>
      </c>
      <c r="M39" s="80">
        <f>+K39/J39</f>
        <v>1.0062500000000001</v>
      </c>
      <c r="N39" s="339">
        <f t="shared" ref="N39" si="61">+K39-G39</f>
        <v>5.2900000000000058E-2</v>
      </c>
      <c r="O39" s="339" t="str">
        <f t="shared" ref="O39" si="62">+IFERROR(K39-E39,"N.A.")</f>
        <v>N.A.</v>
      </c>
      <c r="P39" s="339" t="str">
        <f t="shared" ref="P39" si="63">+IFERROR(U39-E39,"N.A.")</f>
        <v>N.A.</v>
      </c>
      <c r="Q39" s="339">
        <f t="shared" ref="Q39" si="64">+IFERROR(U39-G39,"N.A.")</f>
        <v>9.7899999999999987E-2</v>
      </c>
      <c r="R39" s="339">
        <f t="shared" ref="R39" si="65">+IFERROR(U39-K39,"N.A.")</f>
        <v>4.4999999999999929E-2</v>
      </c>
      <c r="S39" s="292" t="str">
        <f>+IF(M39&lt;79.99999%,"Incumple",IF(AND(M39&gt;=80%,M39&lt;94.999999%),"Tolerable",IF(AND(M39&gt;=95%,M39&lt;100%),"Satisfactorio","Sobresaliente")))</f>
        <v>Sobresaliente</v>
      </c>
      <c r="T39" s="292"/>
      <c r="U39" s="347">
        <v>0.85</v>
      </c>
      <c r="AC39" t="s">
        <v>156</v>
      </c>
      <c r="AD39" s="330">
        <v>0.26400000000000001</v>
      </c>
      <c r="AE39" s="330">
        <v>0.26100000000000001</v>
      </c>
      <c r="AF39" s="330">
        <v>0.25900000000000001</v>
      </c>
      <c r="AG39" s="324">
        <v>1.000772797527048</v>
      </c>
      <c r="AH39" s="230"/>
      <c r="AI39" s="230"/>
      <c r="AJ39" s="230"/>
      <c r="AK39" s="230"/>
      <c r="AL39" s="230"/>
      <c r="AM39" s="230"/>
    </row>
    <row r="40" spans="2:39" hidden="1" x14ac:dyDescent="0.25">
      <c r="B40" s="284" t="s">
        <v>209</v>
      </c>
      <c r="C40" s="297" t="s">
        <v>210</v>
      </c>
      <c r="D40" s="285" t="s">
        <v>261</v>
      </c>
      <c r="E40" s="311" t="s">
        <v>28</v>
      </c>
      <c r="F40" s="311" t="s">
        <v>28</v>
      </c>
      <c r="G40" s="311" t="s">
        <v>28</v>
      </c>
      <c r="H40" s="311" t="s">
        <v>28</v>
      </c>
      <c r="I40" s="339" t="str">
        <f t="shared" si="20"/>
        <v>N.A</v>
      </c>
      <c r="J40" s="310">
        <v>0.3</v>
      </c>
      <c r="K40" s="305">
        <v>0.32300000000000001</v>
      </c>
      <c r="L40" s="311" t="s">
        <v>28</v>
      </c>
      <c r="M40" s="80">
        <f>+J40/K40</f>
        <v>0.92879256965944268</v>
      </c>
      <c r="N40" s="311" t="str">
        <f t="shared" ref="N40:N47" si="66">+IFERROR(K40-G40,"N.A.")</f>
        <v>N.A.</v>
      </c>
      <c r="O40" s="311" t="str">
        <f t="shared" ref="O40:O47" si="67">+IFERROR(L40-H40,"N.A.")</f>
        <v>N.A.</v>
      </c>
      <c r="P40" s="339" t="str">
        <f t="shared" ref="P40" si="68">+IFERROR(U40-E40,"N.A.")</f>
        <v>N.A.</v>
      </c>
      <c r="Q40" s="339" t="str">
        <f t="shared" ref="Q40" si="69">+IFERROR(U40-G40,"N.A.")</f>
        <v>N.A.</v>
      </c>
      <c r="R40" s="339" t="str">
        <f t="shared" ref="R40" si="70">+IFERROR(U40-K40,"N.A.")</f>
        <v>N.A.</v>
      </c>
      <c r="S40" s="292" t="str">
        <f>+IF(M40&lt;79.99999%,"Incumple",IF(AND(M40&gt;=80%,M40&lt;94.999999%),"Tolerable",IF(AND(M40&gt;=95%,M40&lt;100%),"Satisfactorio","Sobresaliente")))</f>
        <v>Tolerable</v>
      </c>
      <c r="T40" s="292"/>
      <c r="U40" s="348" t="s">
        <v>272</v>
      </c>
      <c r="AC40" t="s">
        <v>155</v>
      </c>
      <c r="AD40" s="330">
        <v>0.15740000000000001</v>
      </c>
      <c r="AE40" s="330">
        <v>0.15809999999999999</v>
      </c>
      <c r="AF40" s="330">
        <v>0.151</v>
      </c>
      <c r="AG40" s="324">
        <v>0.95569620253164556</v>
      </c>
      <c r="AH40" s="230"/>
      <c r="AI40" s="230"/>
      <c r="AJ40" s="230"/>
      <c r="AK40" s="230"/>
      <c r="AL40" s="230"/>
      <c r="AM40" s="230"/>
    </row>
    <row r="41" spans="2:39" hidden="1" x14ac:dyDescent="0.25">
      <c r="B41" s="304" t="s">
        <v>209</v>
      </c>
      <c r="C41" s="341" t="s">
        <v>211</v>
      </c>
      <c r="D41" s="285" t="s">
        <v>261</v>
      </c>
      <c r="E41" s="311" t="s">
        <v>28</v>
      </c>
      <c r="F41" s="311" t="s">
        <v>28</v>
      </c>
      <c r="G41" s="311" t="s">
        <v>28</v>
      </c>
      <c r="H41" s="311" t="s">
        <v>28</v>
      </c>
      <c r="I41" s="339" t="str">
        <f t="shared" si="20"/>
        <v>N.A</v>
      </c>
      <c r="J41" s="311">
        <v>4.7</v>
      </c>
      <c r="K41" s="311">
        <v>4.7</v>
      </c>
      <c r="L41" s="311" t="s">
        <v>28</v>
      </c>
      <c r="M41" s="80">
        <f>+K41/J41</f>
        <v>1</v>
      </c>
      <c r="N41" s="311" t="str">
        <f t="shared" si="66"/>
        <v>N.A.</v>
      </c>
      <c r="O41" s="311" t="str">
        <f t="shared" si="67"/>
        <v>N.A.</v>
      </c>
      <c r="P41" s="339" t="str">
        <f t="shared" ref="P41" si="71">+IFERROR(U41-E41,"N.A.")</f>
        <v>N.A.</v>
      </c>
      <c r="Q41" s="339" t="str">
        <f t="shared" ref="Q41" si="72">+IFERROR(U41-G41,"N.A.")</f>
        <v>N.A.</v>
      </c>
      <c r="R41" s="419" t="str">
        <f t="shared" ref="R41" si="73">+IFERROR(U41-K41,"N.A.")</f>
        <v>N.A.</v>
      </c>
      <c r="S41" s="292" t="str">
        <f>+IF(M41&lt;79.99999%,"Incumple",IF(AND(M41&gt;=80%,M41&lt;94.999999%),"Tolerable",IF(AND(M41&gt;=95%,M41&lt;100%),"Satisfactorio","Sobresaliente")))</f>
        <v>Sobresaliente</v>
      </c>
      <c r="T41" s="292"/>
      <c r="U41" s="348" t="s">
        <v>272</v>
      </c>
      <c r="AB41" t="s">
        <v>209</v>
      </c>
      <c r="AC41" t="s">
        <v>213</v>
      </c>
      <c r="AD41" s="230" t="s">
        <v>28</v>
      </c>
      <c r="AE41" s="230" t="s">
        <v>28</v>
      </c>
      <c r="AF41" s="230" t="s">
        <v>28</v>
      </c>
      <c r="AG41" s="324" t="s">
        <v>28</v>
      </c>
      <c r="AH41" s="230"/>
      <c r="AI41" s="230"/>
      <c r="AJ41" s="230"/>
      <c r="AK41" s="230"/>
      <c r="AL41" s="230"/>
      <c r="AM41" s="230"/>
    </row>
    <row r="42" spans="2:39" hidden="1" x14ac:dyDescent="0.25">
      <c r="B42" s="284" t="s">
        <v>209</v>
      </c>
      <c r="C42" s="297" t="s">
        <v>212</v>
      </c>
      <c r="D42" s="285" t="s">
        <v>261</v>
      </c>
      <c r="E42" s="311" t="s">
        <v>28</v>
      </c>
      <c r="F42" s="311" t="s">
        <v>28</v>
      </c>
      <c r="G42" s="311" t="s">
        <v>28</v>
      </c>
      <c r="H42" s="311" t="s">
        <v>28</v>
      </c>
      <c r="I42" s="339" t="str">
        <f t="shared" si="20"/>
        <v>N.A</v>
      </c>
      <c r="J42" s="311" t="s">
        <v>28</v>
      </c>
      <c r="K42" s="311" t="s">
        <v>28</v>
      </c>
      <c r="L42" s="311" t="s">
        <v>28</v>
      </c>
      <c r="M42" s="285" t="s">
        <v>28</v>
      </c>
      <c r="N42" s="311" t="str">
        <f t="shared" si="66"/>
        <v>N.A.</v>
      </c>
      <c r="O42" s="311" t="str">
        <f t="shared" si="67"/>
        <v>N.A.</v>
      </c>
      <c r="P42" s="339" t="str">
        <f t="shared" ref="P42" si="74">+IFERROR(U42-E42,"N.A.")</f>
        <v>N.A.</v>
      </c>
      <c r="Q42" s="339" t="str">
        <f t="shared" ref="Q42" si="75">+IFERROR(U42-G42,"N.A.")</f>
        <v>N.A.</v>
      </c>
      <c r="R42" s="419" t="str">
        <f t="shared" ref="R42" si="76">+IFERROR(U42-K42,"N.A.")</f>
        <v>N.A.</v>
      </c>
      <c r="S42" s="285" t="s">
        <v>28</v>
      </c>
      <c r="T42" s="285"/>
      <c r="U42" s="351"/>
      <c r="AC42" t="s">
        <v>211</v>
      </c>
      <c r="AD42" t="s">
        <v>28</v>
      </c>
      <c r="AE42" s="296" t="s">
        <v>28</v>
      </c>
      <c r="AF42" s="230">
        <v>4.7</v>
      </c>
      <c r="AG42" s="324">
        <v>1</v>
      </c>
      <c r="AH42" s="230"/>
      <c r="AI42" s="230"/>
      <c r="AJ42" s="230"/>
      <c r="AK42" s="230"/>
      <c r="AL42" s="230"/>
      <c r="AM42" s="230"/>
    </row>
    <row r="43" spans="2:39" hidden="1" x14ac:dyDescent="0.25">
      <c r="B43" s="284" t="s">
        <v>209</v>
      </c>
      <c r="C43" s="297" t="s">
        <v>213</v>
      </c>
      <c r="D43" s="285" t="s">
        <v>261</v>
      </c>
      <c r="E43" s="311" t="s">
        <v>28</v>
      </c>
      <c r="F43" s="311" t="s">
        <v>28</v>
      </c>
      <c r="G43" s="311" t="s">
        <v>28</v>
      </c>
      <c r="H43" s="311" t="s">
        <v>28</v>
      </c>
      <c r="I43" s="339" t="str">
        <f t="shared" si="20"/>
        <v>N.A</v>
      </c>
      <c r="J43" s="311" t="s">
        <v>28</v>
      </c>
      <c r="K43" s="311" t="s">
        <v>28</v>
      </c>
      <c r="L43" s="311" t="s">
        <v>28</v>
      </c>
      <c r="M43" s="285" t="s">
        <v>28</v>
      </c>
      <c r="N43" s="311" t="str">
        <f t="shared" si="66"/>
        <v>N.A.</v>
      </c>
      <c r="O43" s="311" t="str">
        <f t="shared" si="67"/>
        <v>N.A.</v>
      </c>
      <c r="P43" s="339" t="str">
        <f t="shared" ref="P43" si="77">+IFERROR(U43-E43,"N.A.")</f>
        <v>N.A.</v>
      </c>
      <c r="Q43" s="339" t="str">
        <f t="shared" ref="Q43" si="78">+IFERROR(U43-G43,"N.A.")</f>
        <v>N.A.</v>
      </c>
      <c r="R43" s="419" t="str">
        <f t="shared" ref="R43" si="79">+IFERROR(U43-K43,"N.A.")</f>
        <v>N.A.</v>
      </c>
      <c r="S43" s="285" t="s">
        <v>28</v>
      </c>
      <c r="T43" s="285"/>
      <c r="U43" s="351"/>
      <c r="AC43" t="s">
        <v>212</v>
      </c>
      <c r="AD43" t="s">
        <v>28</v>
      </c>
      <c r="AE43" s="296" t="s">
        <v>28</v>
      </c>
      <c r="AF43" s="230" t="s">
        <v>28</v>
      </c>
      <c r="AG43" s="324" t="s">
        <v>28</v>
      </c>
      <c r="AH43" s="230"/>
      <c r="AI43" s="230"/>
      <c r="AJ43" s="230"/>
      <c r="AK43" s="230"/>
      <c r="AL43" s="230"/>
      <c r="AM43" s="230"/>
    </row>
    <row r="44" spans="2:39" hidden="1" x14ac:dyDescent="0.25">
      <c r="B44" s="284" t="s">
        <v>209</v>
      </c>
      <c r="C44" s="297" t="s">
        <v>214</v>
      </c>
      <c r="D44" s="285" t="s">
        <v>261</v>
      </c>
      <c r="E44" s="311" t="s">
        <v>28</v>
      </c>
      <c r="F44" s="311" t="s">
        <v>28</v>
      </c>
      <c r="G44" s="311" t="s">
        <v>28</v>
      </c>
      <c r="H44" s="311" t="s">
        <v>28</v>
      </c>
      <c r="I44" s="339" t="str">
        <f t="shared" si="20"/>
        <v>N.A</v>
      </c>
      <c r="J44" s="316">
        <v>4.5999999999999996</v>
      </c>
      <c r="K44" s="311">
        <v>4.67</v>
      </c>
      <c r="L44" s="311" t="s">
        <v>28</v>
      </c>
      <c r="M44" s="80">
        <f>+K44/J44</f>
        <v>1.0152173913043478</v>
      </c>
      <c r="N44" s="311" t="str">
        <f t="shared" si="66"/>
        <v>N.A.</v>
      </c>
      <c r="O44" s="311" t="str">
        <f t="shared" si="67"/>
        <v>N.A.</v>
      </c>
      <c r="P44" s="339" t="str">
        <f t="shared" ref="P44" si="80">+IFERROR(U44-E44,"N.A.")</f>
        <v>N.A.</v>
      </c>
      <c r="Q44" s="339" t="str">
        <f t="shared" ref="Q44" si="81">+IFERROR(U44-G44,"N.A.")</f>
        <v>N.A.</v>
      </c>
      <c r="R44" s="419">
        <f t="shared" ref="R44" si="82">+IFERROR(U44-K44,"N.A.")</f>
        <v>-7.0000000000000284E-2</v>
      </c>
      <c r="S44" s="292" t="str">
        <f>+IF(M44&lt;79.99999%,"Incumple",IF(AND(M44&gt;=80%,M44&lt;94.999999%),"Tolerable",IF(AND(M44&gt;=95%,M44&lt;100%),"Satisfactorio","Sobresaliente")))</f>
        <v>Sobresaliente</v>
      </c>
      <c r="T44" s="292"/>
      <c r="U44" s="353">
        <v>4.5999999999999996</v>
      </c>
      <c r="AC44" t="s">
        <v>214</v>
      </c>
      <c r="AD44" t="s">
        <v>28</v>
      </c>
      <c r="AE44" s="296" t="s">
        <v>28</v>
      </c>
      <c r="AF44" s="335">
        <v>4.67</v>
      </c>
      <c r="AG44" s="324">
        <v>1.0152173913043478</v>
      </c>
      <c r="AH44" s="230"/>
      <c r="AI44" s="230"/>
      <c r="AJ44" s="230"/>
      <c r="AK44" s="230"/>
      <c r="AL44" s="230"/>
      <c r="AM44" s="230"/>
    </row>
    <row r="45" spans="2:39" hidden="1" x14ac:dyDescent="0.25">
      <c r="B45" s="284" t="s">
        <v>209</v>
      </c>
      <c r="C45" s="297" t="s">
        <v>215</v>
      </c>
      <c r="D45" s="285" t="s">
        <v>261</v>
      </c>
      <c r="E45" s="311" t="s">
        <v>28</v>
      </c>
      <c r="F45" s="311" t="s">
        <v>28</v>
      </c>
      <c r="G45" s="311" t="s">
        <v>28</v>
      </c>
      <c r="H45" s="311" t="s">
        <v>28</v>
      </c>
      <c r="I45" s="339" t="str">
        <f t="shared" si="20"/>
        <v>N.A</v>
      </c>
      <c r="J45" s="311" t="s">
        <v>28</v>
      </c>
      <c r="K45" s="311" t="s">
        <v>28</v>
      </c>
      <c r="L45" s="311" t="s">
        <v>28</v>
      </c>
      <c r="M45" s="285" t="s">
        <v>28</v>
      </c>
      <c r="N45" s="311" t="str">
        <f t="shared" si="66"/>
        <v>N.A.</v>
      </c>
      <c r="O45" s="311" t="str">
        <f t="shared" si="67"/>
        <v>N.A.</v>
      </c>
      <c r="P45" s="339" t="str">
        <f t="shared" ref="P45" si="83">+IFERROR(U45-E45,"N.A.")</f>
        <v>N.A.</v>
      </c>
      <c r="Q45" s="339" t="str">
        <f t="shared" ref="Q45" si="84">+IFERROR(U45-G45,"N.A.")</f>
        <v>N.A.</v>
      </c>
      <c r="R45" s="419" t="str">
        <f t="shared" ref="R45" si="85">+IFERROR(U45-K45,"N.A.")</f>
        <v>N.A.</v>
      </c>
      <c r="S45" s="285" t="s">
        <v>28</v>
      </c>
      <c r="T45" s="285"/>
      <c r="U45" s="351"/>
      <c r="AC45" t="s">
        <v>215</v>
      </c>
      <c r="AD45" t="s">
        <v>28</v>
      </c>
      <c r="AE45" s="296" t="s">
        <v>28</v>
      </c>
      <c r="AF45" s="230" t="s">
        <v>28</v>
      </c>
      <c r="AG45" s="324" t="s">
        <v>28</v>
      </c>
      <c r="AH45" s="230"/>
      <c r="AI45" s="230"/>
      <c r="AJ45" s="230"/>
      <c r="AK45" s="230"/>
      <c r="AL45" s="230"/>
      <c r="AM45" s="230"/>
    </row>
    <row r="46" spans="2:39" hidden="1" x14ac:dyDescent="0.25">
      <c r="B46" s="284" t="s">
        <v>216</v>
      </c>
      <c r="C46" s="297" t="s">
        <v>217</v>
      </c>
      <c r="D46" s="285" t="s">
        <v>261</v>
      </c>
      <c r="E46" s="311" t="s">
        <v>28</v>
      </c>
      <c r="F46" s="311" t="s">
        <v>28</v>
      </c>
      <c r="G46" s="311" t="s">
        <v>28</v>
      </c>
      <c r="H46" s="311" t="s">
        <v>28</v>
      </c>
      <c r="I46" s="339" t="str">
        <f t="shared" si="20"/>
        <v>N.A</v>
      </c>
      <c r="J46" s="311" t="s">
        <v>28</v>
      </c>
      <c r="K46" s="311" t="s">
        <v>28</v>
      </c>
      <c r="L46" s="309" t="s">
        <v>28</v>
      </c>
      <c r="M46" s="285" t="s">
        <v>28</v>
      </c>
      <c r="N46" s="311" t="str">
        <f t="shared" si="66"/>
        <v>N.A.</v>
      </c>
      <c r="O46" s="311" t="str">
        <f t="shared" si="67"/>
        <v>N.A.</v>
      </c>
      <c r="P46" s="339" t="str">
        <f t="shared" ref="P46" si="86">+IFERROR(U46-E46,"N.A.")</f>
        <v>N.A.</v>
      </c>
      <c r="Q46" s="339" t="str">
        <f t="shared" ref="Q46" si="87">+IFERROR(U46-G46,"N.A.")</f>
        <v>N.A.</v>
      </c>
      <c r="R46" s="419" t="str">
        <f t="shared" ref="R46" si="88">+IFERROR(U46-K46,"N.A.")</f>
        <v>N.A.</v>
      </c>
      <c r="S46" s="285" t="s">
        <v>28</v>
      </c>
      <c r="T46" s="285"/>
      <c r="U46" s="351"/>
      <c r="AC46" t="s">
        <v>210</v>
      </c>
      <c r="AD46" t="s">
        <v>28</v>
      </c>
      <c r="AE46" s="296" t="s">
        <v>28</v>
      </c>
      <c r="AF46" s="336">
        <v>0.32300000000000001</v>
      </c>
      <c r="AG46" s="324">
        <v>0.92879256965944268</v>
      </c>
      <c r="AH46" s="230"/>
      <c r="AI46" s="230"/>
      <c r="AJ46" s="230"/>
      <c r="AK46" s="230"/>
      <c r="AL46" s="230"/>
      <c r="AM46" s="230"/>
    </row>
    <row r="47" spans="2:39" hidden="1" x14ac:dyDescent="0.25">
      <c r="B47" s="284" t="s">
        <v>218</v>
      </c>
      <c r="C47" s="297" t="s">
        <v>219</v>
      </c>
      <c r="D47" s="285" t="s">
        <v>261</v>
      </c>
      <c r="E47" s="311" t="s">
        <v>28</v>
      </c>
      <c r="F47" s="311" t="s">
        <v>28</v>
      </c>
      <c r="G47" s="311" t="s">
        <v>28</v>
      </c>
      <c r="H47" s="311" t="s">
        <v>28</v>
      </c>
      <c r="I47" s="339" t="str">
        <f t="shared" si="20"/>
        <v>N.A</v>
      </c>
      <c r="J47" s="310">
        <v>0.9</v>
      </c>
      <c r="K47" s="305">
        <v>0.91500000000000004</v>
      </c>
      <c r="L47" s="312">
        <v>2965</v>
      </c>
      <c r="M47" s="80">
        <f>+K47/J47</f>
        <v>1.0166666666666666</v>
      </c>
      <c r="N47" s="311" t="str">
        <f t="shared" si="66"/>
        <v>N.A.</v>
      </c>
      <c r="O47" s="311" t="str">
        <f t="shared" si="67"/>
        <v>N.A.</v>
      </c>
      <c r="P47" s="339" t="str">
        <f t="shared" ref="P47" si="89">+IFERROR(U47-E47,"N.A.")</f>
        <v>N.A.</v>
      </c>
      <c r="Q47" s="339" t="str">
        <f t="shared" ref="Q47" si="90">+IFERROR(U47-G47,"N.A.")</f>
        <v>N.A.</v>
      </c>
      <c r="R47" s="339">
        <f t="shared" ref="R47" si="91">+IFERROR(U47-K47,"N.A.")</f>
        <v>8.4999999999999964E-2</v>
      </c>
      <c r="S47" s="292" t="str">
        <f>+IF(M47&lt;79.99999%,"Incumple",IF(AND(M47&gt;=80%,M47&lt;94.999999%),"Tolerable",IF(AND(M47&gt;=95%,M47&lt;100%),"Satisfactorio","Sobresaliente")))</f>
        <v>Sobresaliente</v>
      </c>
      <c r="T47" s="292"/>
      <c r="U47" s="347">
        <v>1</v>
      </c>
      <c r="AB47" t="s">
        <v>160</v>
      </c>
      <c r="AC47" t="s">
        <v>17</v>
      </c>
      <c r="AD47" s="230">
        <v>4.5999999999999996</v>
      </c>
      <c r="AE47" s="335">
        <v>4.58</v>
      </c>
      <c r="AF47" s="335">
        <v>4.62</v>
      </c>
      <c r="AG47" s="324">
        <v>0.99354838709677418</v>
      </c>
      <c r="AH47" s="230"/>
      <c r="AI47" s="230"/>
      <c r="AJ47" s="230"/>
      <c r="AK47" s="230"/>
      <c r="AL47" s="230"/>
      <c r="AM47" s="230"/>
    </row>
    <row r="48" spans="2:39" x14ac:dyDescent="0.25">
      <c r="AC48" t="s">
        <v>181</v>
      </c>
      <c r="AD48" s="230" t="s">
        <v>28</v>
      </c>
      <c r="AE48" s="230" t="s">
        <v>28</v>
      </c>
      <c r="AF48" s="335">
        <v>4.17</v>
      </c>
      <c r="AG48" s="324">
        <v>0.89677419354838706</v>
      </c>
      <c r="AH48" s="230"/>
      <c r="AI48" s="230"/>
      <c r="AJ48" s="230"/>
      <c r="AK48" s="230"/>
      <c r="AL48" s="230"/>
      <c r="AM48" s="230"/>
    </row>
    <row r="49" spans="28:39" x14ac:dyDescent="0.25">
      <c r="AB49" t="s">
        <v>198</v>
      </c>
      <c r="AC49" t="s">
        <v>203</v>
      </c>
      <c r="AD49" t="s">
        <v>28</v>
      </c>
      <c r="AE49" s="296" t="s">
        <v>28</v>
      </c>
      <c r="AF49" s="230" t="s">
        <v>28</v>
      </c>
      <c r="AG49" s="324" t="s">
        <v>28</v>
      </c>
      <c r="AH49" s="230"/>
      <c r="AI49" s="230"/>
      <c r="AJ49" s="230"/>
      <c r="AK49" s="230"/>
      <c r="AL49" s="230"/>
      <c r="AM49" s="230"/>
    </row>
    <row r="50" spans="28:39" x14ac:dyDescent="0.25">
      <c r="AC50" t="s">
        <v>199</v>
      </c>
      <c r="AD50" t="s">
        <v>28</v>
      </c>
      <c r="AE50" s="296" t="s">
        <v>28</v>
      </c>
      <c r="AF50" s="330">
        <v>0.159</v>
      </c>
      <c r="AG50" s="325">
        <v>1.06</v>
      </c>
      <c r="AH50" s="230"/>
      <c r="AI50" s="230"/>
      <c r="AJ50" s="230"/>
      <c r="AK50" s="230"/>
      <c r="AL50" s="230"/>
      <c r="AM50" s="230"/>
    </row>
    <row r="51" spans="28:39" x14ac:dyDescent="0.25">
      <c r="AC51" t="s">
        <v>206</v>
      </c>
      <c r="AD51" t="s">
        <v>28</v>
      </c>
      <c r="AE51" s="330">
        <v>0.75209999999999999</v>
      </c>
      <c r="AF51" s="330">
        <v>0.80500000000000005</v>
      </c>
      <c r="AG51" s="324">
        <v>1.0062500000000001</v>
      </c>
      <c r="AH51" s="230"/>
      <c r="AI51" s="230"/>
      <c r="AJ51" s="230"/>
      <c r="AK51" s="230"/>
      <c r="AL51" s="230"/>
      <c r="AM51" s="230"/>
    </row>
    <row r="52" spans="28:39" x14ac:dyDescent="0.25">
      <c r="AB52" t="s">
        <v>188</v>
      </c>
      <c r="AC52" t="s">
        <v>20</v>
      </c>
      <c r="AD52" s="330">
        <v>6.3200000000000006E-2</v>
      </c>
      <c r="AE52" s="330">
        <v>3.9699999999999999E-2</v>
      </c>
      <c r="AF52" s="330">
        <v>6.0999999999999999E-2</v>
      </c>
      <c r="AG52" s="324">
        <v>0.9561128526645768</v>
      </c>
      <c r="AH52" s="230"/>
      <c r="AI52" s="230"/>
      <c r="AJ52" s="230"/>
      <c r="AK52" s="230"/>
      <c r="AL52" s="230"/>
      <c r="AM52" s="230"/>
    </row>
    <row r="53" spans="28:39" x14ac:dyDescent="0.25">
      <c r="AB53" t="s">
        <v>187</v>
      </c>
      <c r="AC53" t="s">
        <v>185</v>
      </c>
      <c r="AD53" s="230" t="s">
        <v>28</v>
      </c>
      <c r="AE53" s="230" t="s">
        <v>28</v>
      </c>
      <c r="AF53" s="330">
        <v>0.81</v>
      </c>
      <c r="AG53" s="324">
        <v>1.0125</v>
      </c>
      <c r="AH53" s="230"/>
      <c r="AI53" s="230"/>
      <c r="AJ53" s="230"/>
      <c r="AK53" s="230"/>
      <c r="AL53" s="230"/>
      <c r="AM53" s="230"/>
    </row>
    <row r="54" spans="28:39" x14ac:dyDescent="0.25">
      <c r="AC54" t="s">
        <v>186</v>
      </c>
      <c r="AD54" t="s">
        <v>28</v>
      </c>
      <c r="AE54" s="296" t="s">
        <v>28</v>
      </c>
      <c r="AF54" s="330">
        <v>0.20100000000000001</v>
      </c>
      <c r="AG54" s="324">
        <v>2.0099999999999998</v>
      </c>
      <c r="AH54" s="230"/>
      <c r="AI54" s="230"/>
      <c r="AJ54" s="230"/>
      <c r="AK54" s="230"/>
      <c r="AL54" s="230"/>
      <c r="AM54" s="230"/>
    </row>
    <row r="55" spans="28:39" x14ac:dyDescent="0.25">
      <c r="AC55" t="s">
        <v>195</v>
      </c>
      <c r="AD55" t="s">
        <v>28</v>
      </c>
      <c r="AE55" s="296" t="s">
        <v>28</v>
      </c>
      <c r="AF55" s="230" t="s">
        <v>28</v>
      </c>
      <c r="AG55" s="324" t="s">
        <v>28</v>
      </c>
      <c r="AH55" s="230"/>
      <c r="AI55" s="230"/>
      <c r="AJ55" s="230"/>
      <c r="AK55" s="230"/>
      <c r="AL55" s="230"/>
      <c r="AM55" s="230"/>
    </row>
    <row r="56" spans="28:39" x14ac:dyDescent="0.25">
      <c r="AC56" t="s">
        <v>184</v>
      </c>
      <c r="AD56" t="s">
        <v>28</v>
      </c>
      <c r="AE56" s="296" t="s">
        <v>28</v>
      </c>
      <c r="AF56" s="330">
        <v>0.90800000000000003</v>
      </c>
      <c r="AG56" s="324">
        <v>0.95578947368421063</v>
      </c>
      <c r="AH56" s="230"/>
      <c r="AI56" s="230"/>
      <c r="AJ56" s="230"/>
      <c r="AK56" s="230"/>
      <c r="AL56" s="230"/>
      <c r="AM56" s="230"/>
    </row>
    <row r="57" spans="28:39" x14ac:dyDescent="0.25">
      <c r="AC57" t="s">
        <v>194</v>
      </c>
      <c r="AD57" t="s">
        <v>28</v>
      </c>
      <c r="AE57" s="296" t="s">
        <v>28</v>
      </c>
      <c r="AF57" s="230" t="s">
        <v>28</v>
      </c>
      <c r="AG57" s="324" t="s">
        <v>28</v>
      </c>
      <c r="AH57" s="230"/>
      <c r="AI57" s="230"/>
      <c r="AJ57" s="230"/>
      <c r="AK57" s="230"/>
      <c r="AL57" s="230"/>
      <c r="AM57" s="230"/>
    </row>
    <row r="58" spans="28:39" x14ac:dyDescent="0.25">
      <c r="AC58" t="s">
        <v>193</v>
      </c>
      <c r="AD58" t="s">
        <v>28</v>
      </c>
      <c r="AE58" s="330">
        <v>4.1999999999999997E-3</v>
      </c>
      <c r="AF58" s="330">
        <v>7.7000000000000002E-3</v>
      </c>
      <c r="AG58" s="324">
        <v>0.64166666666666672</v>
      </c>
      <c r="AH58" s="230"/>
      <c r="AI58" s="230"/>
      <c r="AJ58" s="230"/>
      <c r="AK58" s="230"/>
      <c r="AL58" s="230"/>
      <c r="AM58" s="230"/>
    </row>
    <row r="59" spans="28:39" x14ac:dyDescent="0.25">
      <c r="AB59" t="s">
        <v>218</v>
      </c>
      <c r="AC59" t="s">
        <v>219</v>
      </c>
      <c r="AD59" t="s">
        <v>28</v>
      </c>
      <c r="AE59" s="230" t="s">
        <v>28</v>
      </c>
      <c r="AF59" s="330">
        <v>0.91500000000000004</v>
      </c>
      <c r="AG59" s="324">
        <v>1.0166666666666666</v>
      </c>
      <c r="AH59" s="230"/>
      <c r="AI59" s="230"/>
      <c r="AJ59" s="230"/>
      <c r="AK59" s="230"/>
      <c r="AL59" s="230"/>
      <c r="AM59" s="230"/>
    </row>
    <row r="60" spans="28:39" x14ac:dyDescent="0.25">
      <c r="AB60" t="s">
        <v>216</v>
      </c>
      <c r="AC60" t="s">
        <v>217</v>
      </c>
      <c r="AD60" t="s">
        <v>28</v>
      </c>
      <c r="AE60" s="296" t="s">
        <v>28</v>
      </c>
      <c r="AF60" s="230" t="s">
        <v>28</v>
      </c>
      <c r="AG60" s="324" t="s">
        <v>28</v>
      </c>
      <c r="AH60" s="230"/>
      <c r="AI60" s="230"/>
      <c r="AJ60" s="230"/>
      <c r="AK60" s="230"/>
      <c r="AL60" s="230"/>
      <c r="AM60" s="230"/>
    </row>
    <row r="61" spans="28:39" x14ac:dyDescent="0.25">
      <c r="AB61" t="s">
        <v>159</v>
      </c>
      <c r="AC61" t="s">
        <v>147</v>
      </c>
      <c r="AD61" s="330">
        <v>0.14199999999999999</v>
      </c>
      <c r="AE61" s="330">
        <v>4.5999999999999999E-2</v>
      </c>
      <c r="AF61" s="330">
        <v>0.122</v>
      </c>
      <c r="AG61" s="324">
        <v>1.5844155844155845</v>
      </c>
      <c r="AH61" s="230"/>
      <c r="AI61" s="230"/>
      <c r="AJ61" s="230"/>
      <c r="AK61" s="230"/>
      <c r="AL61" s="230"/>
      <c r="AM61" s="230"/>
    </row>
    <row r="62" spans="28:39" x14ac:dyDescent="0.25">
      <c r="AC62" t="s">
        <v>146</v>
      </c>
      <c r="AD62" s="330">
        <v>0.51100000000000001</v>
      </c>
      <c r="AE62" s="330">
        <v>0.70399999999999996</v>
      </c>
      <c r="AF62" s="330">
        <v>0.61599999999999999</v>
      </c>
      <c r="AG62" s="324">
        <v>1.0016233766233766</v>
      </c>
      <c r="AH62" s="230"/>
      <c r="AI62" s="230"/>
      <c r="AJ62" s="230"/>
      <c r="AK62" s="230"/>
      <c r="AL62" s="230"/>
      <c r="AM62" s="230"/>
    </row>
    <row r="63" spans="28:39" x14ac:dyDescent="0.25">
      <c r="AC63" t="s">
        <v>142</v>
      </c>
      <c r="AD63" s="230" t="s">
        <v>28</v>
      </c>
      <c r="AE63" s="334">
        <v>98</v>
      </c>
      <c r="AF63" s="230">
        <v>95</v>
      </c>
      <c r="AG63" s="324">
        <v>0.97938144329896903</v>
      </c>
      <c r="AH63" s="230"/>
      <c r="AI63" s="230"/>
      <c r="AJ63" s="230"/>
      <c r="AK63" s="230"/>
      <c r="AL63" s="230"/>
      <c r="AM63" s="230"/>
    </row>
    <row r="64" spans="28:39" x14ac:dyDescent="0.25">
      <c r="AC64" t="s">
        <v>145</v>
      </c>
      <c r="AD64" s="331">
        <v>423412</v>
      </c>
      <c r="AE64" s="331">
        <v>402601</v>
      </c>
      <c r="AF64" s="331">
        <v>469231</v>
      </c>
      <c r="AG64" s="324">
        <v>0.95211740059799965</v>
      </c>
      <c r="AH64" s="230"/>
      <c r="AI64" s="230"/>
      <c r="AJ64" s="230"/>
      <c r="AK64" s="230"/>
      <c r="AL64" s="230"/>
      <c r="AM64" s="230"/>
    </row>
    <row r="65" spans="28:39" x14ac:dyDescent="0.25">
      <c r="AC65" t="s">
        <v>140</v>
      </c>
      <c r="AD65" s="332">
        <v>7.0000000000000007E-2</v>
      </c>
      <c r="AE65" s="332">
        <v>7.2099999999999997E-2</v>
      </c>
      <c r="AF65" s="332">
        <v>6.7000000000000004E-2</v>
      </c>
      <c r="AG65" s="324">
        <v>1.1355932203389831</v>
      </c>
      <c r="AH65" s="230"/>
      <c r="AI65" s="230"/>
      <c r="AJ65" s="230"/>
      <c r="AK65" s="230"/>
      <c r="AL65" s="230"/>
      <c r="AM65" s="230"/>
    </row>
    <row r="66" spans="28:39" x14ac:dyDescent="0.25">
      <c r="AC66" t="s">
        <v>141</v>
      </c>
      <c r="AD66" s="330">
        <v>0.80300000000000005</v>
      </c>
      <c r="AE66" s="330">
        <v>0.86199999999999999</v>
      </c>
      <c r="AF66" s="330">
        <v>0.81599999999999995</v>
      </c>
      <c r="AG66" s="324">
        <v>1.0122549019607843</v>
      </c>
      <c r="AH66" s="230"/>
      <c r="AI66" s="230"/>
      <c r="AJ66" s="230"/>
      <c r="AK66" s="230"/>
      <c r="AL66" s="230"/>
      <c r="AM66" s="230"/>
    </row>
    <row r="67" spans="28:39" x14ac:dyDescent="0.25">
      <c r="AC67" t="s">
        <v>143</v>
      </c>
      <c r="AD67" s="330">
        <v>0.48</v>
      </c>
      <c r="AE67" s="330">
        <v>0.47299999999999998</v>
      </c>
      <c r="AF67" s="330">
        <v>0.46400000000000002</v>
      </c>
      <c r="AG67" s="324">
        <v>1.0775862068965516</v>
      </c>
      <c r="AH67" s="230"/>
      <c r="AI67" s="230"/>
      <c r="AJ67" s="230"/>
      <c r="AK67" s="230"/>
      <c r="AL67" s="230"/>
      <c r="AM67" s="230"/>
    </row>
    <row r="68" spans="28:39" x14ac:dyDescent="0.25">
      <c r="AC68" t="s">
        <v>144</v>
      </c>
      <c r="AD68" s="330">
        <v>1.06</v>
      </c>
      <c r="AE68" s="330">
        <v>1.19</v>
      </c>
      <c r="AF68" s="330">
        <v>1.1200000000000001</v>
      </c>
      <c r="AG68" s="324">
        <v>0.93333333333333346</v>
      </c>
      <c r="AH68" s="230"/>
      <c r="AI68" s="230"/>
      <c r="AJ68" s="230"/>
      <c r="AK68" s="230"/>
      <c r="AL68" s="230"/>
      <c r="AM68" s="230"/>
    </row>
    <row r="69" spans="28:39" x14ac:dyDescent="0.25">
      <c r="AB69" t="s">
        <v>105</v>
      </c>
    </row>
  </sheetData>
  <autoFilter ref="B3:U47" xr:uid="{E2796150-A3C6-4882-A1F7-F48EEB094ABB}">
    <filterColumn colId="0">
      <filters>
        <filter val="Innovación"/>
      </filters>
    </filterColumn>
  </autoFilter>
  <conditionalFormatting sqref="M4">
    <cfRule type="cellIs" dxfId="754" priority="61" operator="lessThan">
      <formula>0.79999999</formula>
    </cfRule>
    <cfRule type="cellIs" dxfId="753" priority="62" operator="greaterThan">
      <formula>0.999999</formula>
    </cfRule>
    <cfRule type="cellIs" dxfId="752" priority="63" operator="between">
      <formula>0.94999999</formula>
      <formula>0.9999999</formula>
    </cfRule>
    <cfRule type="cellIs" dxfId="751" priority="64" operator="between">
      <formula>0.8</formula>
      <formula>0.94999999</formula>
    </cfRule>
  </conditionalFormatting>
  <conditionalFormatting sqref="M5">
    <cfRule type="cellIs" dxfId="750" priority="57" operator="lessThan">
      <formula>0.79999999</formula>
    </cfRule>
    <cfRule type="cellIs" dxfId="749" priority="58" operator="greaterThan">
      <formula>0.999999</formula>
    </cfRule>
    <cfRule type="cellIs" dxfId="748" priority="59" operator="between">
      <formula>0.94999999</formula>
      <formula>0.9999999</formula>
    </cfRule>
    <cfRule type="cellIs" dxfId="747" priority="60" operator="between">
      <formula>0.8</formula>
      <formula>0.94999999</formula>
    </cfRule>
  </conditionalFormatting>
  <conditionalFormatting sqref="M6">
    <cfRule type="cellIs" dxfId="746" priority="53" operator="lessThan">
      <formula>0.79999999</formula>
    </cfRule>
    <cfRule type="cellIs" dxfId="745" priority="54" operator="greaterThan">
      <formula>0.999999</formula>
    </cfRule>
    <cfRule type="cellIs" dxfId="744" priority="55" operator="between">
      <formula>0.94999999</formula>
      <formula>0.9999999</formula>
    </cfRule>
    <cfRule type="cellIs" dxfId="743" priority="56" operator="between">
      <formula>0.8</formula>
      <formula>0.94999999</formula>
    </cfRule>
  </conditionalFormatting>
  <conditionalFormatting sqref="M44">
    <cfRule type="cellIs" dxfId="742" priority="9" operator="lessThan">
      <formula>0.79999999</formula>
    </cfRule>
    <cfRule type="cellIs" dxfId="741" priority="10" operator="greaterThan">
      <formula>0.999999</formula>
    </cfRule>
    <cfRule type="cellIs" dxfId="740" priority="11" operator="between">
      <formula>0.94999999</formula>
      <formula>0.9999999</formula>
    </cfRule>
    <cfRule type="cellIs" dxfId="739" priority="12" operator="between">
      <formula>0.8</formula>
      <formula>0.94999999</formula>
    </cfRule>
  </conditionalFormatting>
  <conditionalFormatting sqref="M7">
    <cfRule type="cellIs" dxfId="738" priority="49" operator="lessThan">
      <formula>0.79999999</formula>
    </cfRule>
    <cfRule type="cellIs" dxfId="737" priority="50" operator="greaterThan">
      <formula>0.999999</formula>
    </cfRule>
    <cfRule type="cellIs" dxfId="736" priority="51" operator="between">
      <formula>0.94999999</formula>
      <formula>0.9999999</formula>
    </cfRule>
    <cfRule type="cellIs" dxfId="735" priority="52" operator="between">
      <formula>0.8</formula>
      <formula>0.94999999</formula>
    </cfRule>
  </conditionalFormatting>
  <conditionalFormatting sqref="M8">
    <cfRule type="cellIs" dxfId="734" priority="45" operator="lessThan">
      <formula>0.79999999</formula>
    </cfRule>
    <cfRule type="cellIs" dxfId="733" priority="46" operator="greaterThan">
      <formula>0.999999</formula>
    </cfRule>
    <cfRule type="cellIs" dxfId="732" priority="47" operator="between">
      <formula>0.94999999</formula>
      <formula>0.9999999</formula>
    </cfRule>
    <cfRule type="cellIs" dxfId="731" priority="48" operator="between">
      <formula>0.8</formula>
      <formula>0.94999999</formula>
    </cfRule>
  </conditionalFormatting>
  <conditionalFormatting sqref="M9">
    <cfRule type="cellIs" dxfId="730" priority="41" operator="lessThan">
      <formula>0.79999999</formula>
    </cfRule>
    <cfRule type="cellIs" dxfId="729" priority="42" operator="greaterThan">
      <formula>0.999999</formula>
    </cfRule>
    <cfRule type="cellIs" dxfId="728" priority="43" operator="between">
      <formula>0.94999999</formula>
      <formula>0.9999999</formula>
    </cfRule>
    <cfRule type="cellIs" dxfId="727" priority="44" operator="between">
      <formula>0.8</formula>
      <formula>0.94999999</formula>
    </cfRule>
  </conditionalFormatting>
  <conditionalFormatting sqref="M41">
    <cfRule type="cellIs" dxfId="726" priority="13" operator="lessThan">
      <formula>0.79999999</formula>
    </cfRule>
    <cfRule type="cellIs" dxfId="725" priority="14" operator="greaterThan">
      <formula>0.999999</formula>
    </cfRule>
    <cfRule type="cellIs" dxfId="724" priority="15" operator="between">
      <formula>0.94999999</formula>
      <formula>0.9999999</formula>
    </cfRule>
    <cfRule type="cellIs" dxfId="723" priority="16" operator="between">
      <formula>0.8</formula>
      <formula>0.94999999</formula>
    </cfRule>
  </conditionalFormatting>
  <conditionalFormatting sqref="M10">
    <cfRule type="cellIs" dxfId="722" priority="33" operator="lessThan">
      <formula>0.79999999</formula>
    </cfRule>
    <cfRule type="cellIs" dxfId="721" priority="34" operator="greaterThan">
      <formula>0.999999</formula>
    </cfRule>
    <cfRule type="cellIs" dxfId="720" priority="35" operator="between">
      <formula>0.94999999</formula>
      <formula>0.9999999</formula>
    </cfRule>
    <cfRule type="cellIs" dxfId="719" priority="36" operator="between">
      <formula>0.8</formula>
      <formula>0.94999999</formula>
    </cfRule>
  </conditionalFormatting>
  <conditionalFormatting sqref="M11:M33 M36:M37">
    <cfRule type="cellIs" dxfId="718" priority="29" operator="lessThan">
      <formula>0.79999999</formula>
    </cfRule>
    <cfRule type="cellIs" dxfId="717" priority="30" operator="greaterThan">
      <formula>0.999999</formula>
    </cfRule>
    <cfRule type="cellIs" dxfId="716" priority="31" operator="between">
      <formula>0.94999999</formula>
      <formula>0.9999999</formula>
    </cfRule>
    <cfRule type="cellIs" dxfId="715" priority="32" operator="between">
      <formula>0.8</formula>
      <formula>0.94999999</formula>
    </cfRule>
  </conditionalFormatting>
  <conditionalFormatting sqref="M39">
    <cfRule type="cellIs" dxfId="714" priority="25" operator="lessThan">
      <formula>0.79999999</formula>
    </cfRule>
    <cfRule type="cellIs" dxfId="713" priority="26" operator="greaterThan">
      <formula>0.999999</formula>
    </cfRule>
    <cfRule type="cellIs" dxfId="712" priority="27" operator="between">
      <formula>0.94999999</formula>
      <formula>0.9999999</formula>
    </cfRule>
    <cfRule type="cellIs" dxfId="711" priority="28" operator="between">
      <formula>0.8</formula>
      <formula>0.94999999</formula>
    </cfRule>
  </conditionalFormatting>
  <conditionalFormatting sqref="M47">
    <cfRule type="cellIs" dxfId="710" priority="21" operator="lessThan">
      <formula>0.79999999</formula>
    </cfRule>
    <cfRule type="cellIs" dxfId="709" priority="22" operator="greaterThan">
      <formula>0.999999</formula>
    </cfRule>
    <cfRule type="cellIs" dxfId="708" priority="23" operator="between">
      <formula>0.94999999</formula>
      <formula>0.9999999</formula>
    </cfRule>
    <cfRule type="cellIs" dxfId="707" priority="24" operator="between">
      <formula>0.8</formula>
      <formula>0.94999999</formula>
    </cfRule>
  </conditionalFormatting>
  <conditionalFormatting sqref="M40">
    <cfRule type="cellIs" dxfId="706" priority="17" operator="lessThan">
      <formula>0.79999999</formula>
    </cfRule>
    <cfRule type="cellIs" dxfId="705" priority="18" operator="greaterThan">
      <formula>0.999999</formula>
    </cfRule>
    <cfRule type="cellIs" dxfId="704" priority="19" operator="between">
      <formula>0.94999999</formula>
      <formula>0.9999999</formula>
    </cfRule>
    <cfRule type="cellIs" dxfId="703" priority="20" operator="between">
      <formula>0.8</formula>
      <formula>0.94999999</formula>
    </cfRule>
  </conditionalFormatting>
  <conditionalFormatting sqref="AG25">
    <cfRule type="cellIs" dxfId="702" priority="5" operator="lessThan">
      <formula>0.79999999</formula>
    </cfRule>
    <cfRule type="cellIs" dxfId="701" priority="6" operator="greaterThan">
      <formula>0.999999</formula>
    </cfRule>
    <cfRule type="cellIs" dxfId="700" priority="7" operator="between">
      <formula>0.94999999</formula>
      <formula>0.9999999</formula>
    </cfRule>
    <cfRule type="cellIs" dxfId="699" priority="8" operator="between">
      <formula>0.8</formula>
      <formula>0.94999999</formula>
    </cfRule>
  </conditionalFormatting>
  <conditionalFormatting sqref="AG26:AG68">
    <cfRule type="cellIs" dxfId="698" priority="1" operator="lessThan">
      <formula>0.79999999</formula>
    </cfRule>
    <cfRule type="cellIs" dxfId="697" priority="2" operator="greaterThan">
      <formula>0.999999</formula>
    </cfRule>
    <cfRule type="cellIs" dxfId="696" priority="3" operator="between">
      <formula>0.94999999</formula>
      <formula>0.9999999</formula>
    </cfRule>
    <cfRule type="cellIs" dxfId="695" priority="4" operator="between">
      <formula>0.8</formula>
      <formula>0.94999999</formula>
    </cfRule>
  </conditionalFormatting>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8A9C2-A850-473F-9B4F-C886AF7AFBC8}">
  <dimension ref="A1:T225"/>
  <sheetViews>
    <sheetView showGridLines="0" zoomScale="90" zoomScaleNormal="90" workbookViewId="0">
      <pane xSplit="2" ySplit="1" topLeftCell="C2" activePane="bottomRight" state="frozen"/>
      <selection pane="topRight" activeCell="D1" sqref="D1"/>
      <selection pane="bottomLeft" activeCell="A4" sqref="A4"/>
      <selection pane="bottomRight" activeCell="J16" sqref="J16"/>
    </sheetView>
  </sheetViews>
  <sheetFormatPr baseColWidth="10" defaultRowHeight="15" x14ac:dyDescent="0.25"/>
  <cols>
    <col min="1" max="1" width="50.7109375" bestFit="1" customWidth="1"/>
    <col min="2" max="2" width="70.7109375" bestFit="1" customWidth="1"/>
    <col min="3" max="3" width="16.28515625" customWidth="1"/>
    <col min="4" max="5" width="15.42578125" hidden="1" customWidth="1"/>
    <col min="6" max="6" width="19.140625" hidden="1" customWidth="1"/>
    <col min="7" max="7" width="18.28515625" hidden="1" customWidth="1"/>
    <col min="8" max="8" width="17" hidden="1" customWidth="1"/>
    <col min="9" max="9" width="17" style="512" customWidth="1"/>
    <col min="10" max="10" width="18.28515625" style="512" customWidth="1"/>
    <col min="11" max="11" width="14" customWidth="1"/>
    <col min="12" max="12" width="17.42578125" bestFit="1" customWidth="1"/>
    <col min="13" max="14" width="18.28515625" customWidth="1"/>
    <col min="15" max="15" width="21.5703125" customWidth="1"/>
    <col min="16" max="17" width="15.7109375" customWidth="1"/>
    <col min="18" max="18" width="21.28515625" customWidth="1"/>
    <col min="19" max="19" width="37.7109375" bestFit="1" customWidth="1"/>
  </cols>
  <sheetData>
    <row r="1" spans="1:18" ht="30" x14ac:dyDescent="0.25">
      <c r="A1" s="528" t="s">
        <v>230</v>
      </c>
      <c r="B1" s="515" t="s">
        <v>101</v>
      </c>
      <c r="C1" s="515" t="s">
        <v>259</v>
      </c>
      <c r="D1" s="516" t="s">
        <v>246</v>
      </c>
      <c r="E1" s="516" t="s">
        <v>247</v>
      </c>
      <c r="F1" s="516" t="s">
        <v>343</v>
      </c>
      <c r="G1" s="516" t="s">
        <v>249</v>
      </c>
      <c r="H1" s="513" t="s">
        <v>102</v>
      </c>
      <c r="I1" s="513" t="s">
        <v>395</v>
      </c>
      <c r="J1" s="513" t="s">
        <v>408</v>
      </c>
      <c r="K1" s="513" t="s">
        <v>411</v>
      </c>
      <c r="L1" s="513" t="s">
        <v>430</v>
      </c>
      <c r="M1" s="513" t="s">
        <v>112</v>
      </c>
      <c r="N1" s="513" t="s">
        <v>431</v>
      </c>
      <c r="O1" s="513" t="s">
        <v>413</v>
      </c>
      <c r="P1" s="513" t="s">
        <v>396</v>
      </c>
      <c r="Q1" s="513" t="s">
        <v>397</v>
      </c>
      <c r="R1" s="526" t="s">
        <v>412</v>
      </c>
    </row>
    <row r="2" spans="1:18" x14ac:dyDescent="0.25">
      <c r="A2" s="482" t="s">
        <v>159</v>
      </c>
      <c r="B2" s="297" t="s">
        <v>419</v>
      </c>
      <c r="C2" s="285" t="s">
        <v>260</v>
      </c>
      <c r="D2" s="305">
        <v>5.8999999999999997E-2</v>
      </c>
      <c r="E2" s="305">
        <v>6.7000000000000004E-2</v>
      </c>
      <c r="F2" s="314">
        <v>32126</v>
      </c>
      <c r="G2" s="80">
        <f>+E2/D2</f>
        <v>1.1355932203389831</v>
      </c>
      <c r="H2" s="292" t="str">
        <f t="shared" ref="H2" si="0">+IF(G2&lt;79.99999%,"Incumple",IF(AND(G2&gt;=80%,G2&lt;94.999999%),"Tolerable",IF(AND(G2&gt;=95%,G2&lt;100%),"Satisfactorio","Sobresaliente")))</f>
        <v>Sobresaliente</v>
      </c>
      <c r="I2" s="514">
        <v>44561</v>
      </c>
      <c r="J2" s="514" t="s">
        <v>126</v>
      </c>
      <c r="K2" s="346">
        <v>5.9299999999999999E-2</v>
      </c>
      <c r="L2" s="544">
        <f t="shared" ref="L2:L33" si="1">+K2*100</f>
        <v>5.93</v>
      </c>
      <c r="M2" s="305">
        <v>6.7400000000000002E-2</v>
      </c>
      <c r="N2" s="549">
        <f t="shared" ref="N2:N33" si="2">+M2*100</f>
        <v>6.74</v>
      </c>
      <c r="O2" s="507" t="s">
        <v>114</v>
      </c>
      <c r="P2" s="506">
        <f t="shared" ref="P2:P33" si="3">+IFERROR(IF(O2="Creciente",IF(AND(M2&lt;0,K2&lt;0),1-(M2-K2)/K2,IF(M2&lt;0,M2/K2,IF(K2&lt;0,1+((M2-K2)/M2),M2/K2))),IF(AND(M2&lt;0,K2&lt;0),(K2*-1)/(M2*-1),IF(M2&lt;0,(M2-K2)/M2,IF(K2&lt;0,-1+(M2-K2)/K2,IF(O2="Decreciente",1+(K2-M2)/K2,M2/K2))))),"N/A")</f>
        <v>1.136593591905565</v>
      </c>
      <c r="Q2" s="522">
        <f t="shared" ref="Q2:Q45" si="4">+IF(P2&lt;0,0%,IF(P2&gt;120%,120%,P2))</f>
        <v>1.136593591905565</v>
      </c>
      <c r="R2" s="529" t="str">
        <f t="shared" ref="R2:R45" si="5">+IF(Q2&lt;79.99999%,"Incumple",IF(AND(Q2&gt;=80%,Q2&lt;94.999999%),"Tolerable",IF(AND(Q2&gt;=95%,Q2&lt;100%),"Satisfactorio","Sobresaliente")))</f>
        <v>Sobresaliente</v>
      </c>
    </row>
    <row r="3" spans="1:18" x14ac:dyDescent="0.25">
      <c r="A3" s="482" t="s">
        <v>159</v>
      </c>
      <c r="B3" s="297" t="s">
        <v>417</v>
      </c>
      <c r="C3" s="285" t="s">
        <v>261</v>
      </c>
      <c r="D3" s="309">
        <v>97</v>
      </c>
      <c r="E3" s="309">
        <v>95</v>
      </c>
      <c r="F3" s="309" t="s">
        <v>28</v>
      </c>
      <c r="G3" s="80">
        <f>+E3/D3</f>
        <v>0.97938144329896903</v>
      </c>
      <c r="H3" s="292" t="str">
        <f>+IF(G3&lt;79.99999%,"Incumple",IF(AND(G3&gt;=80%,G3&lt;94.999999%),"Tolerable",IF(AND(G3&gt;=95%,G3&lt;100%),"Satisfactorio","Sobresaliente")))</f>
        <v>Satisfactorio</v>
      </c>
      <c r="I3" s="514">
        <v>44561</v>
      </c>
      <c r="J3" s="514" t="s">
        <v>126</v>
      </c>
      <c r="K3" s="527">
        <v>1</v>
      </c>
      <c r="L3" s="545">
        <f t="shared" si="1"/>
        <v>100</v>
      </c>
      <c r="M3" s="590">
        <v>0.97940000000000005</v>
      </c>
      <c r="N3" s="550">
        <f t="shared" si="2"/>
        <v>97.94</v>
      </c>
      <c r="O3" s="507" t="s">
        <v>114</v>
      </c>
      <c r="P3" s="506">
        <f t="shared" si="3"/>
        <v>0.97940000000000005</v>
      </c>
      <c r="Q3" s="522">
        <f t="shared" si="4"/>
        <v>0.97940000000000005</v>
      </c>
      <c r="R3" s="529" t="str">
        <f t="shared" si="5"/>
        <v>Satisfactorio</v>
      </c>
    </row>
    <row r="4" spans="1:18" ht="36" customHeight="1" x14ac:dyDescent="0.25">
      <c r="A4" s="482" t="s">
        <v>159</v>
      </c>
      <c r="B4" s="297" t="s">
        <v>418</v>
      </c>
      <c r="C4" s="285" t="s">
        <v>260</v>
      </c>
      <c r="D4" s="305">
        <v>0.82599999999999996</v>
      </c>
      <c r="E4" s="305">
        <v>0.81599999999999995</v>
      </c>
      <c r="F4" s="320">
        <f>390426/(390426+88261)</f>
        <v>0.81561855659334803</v>
      </c>
      <c r="G4" s="80">
        <f>+D4/E4</f>
        <v>1.0122549019607843</v>
      </c>
      <c r="H4" s="292" t="str">
        <f t="shared" ref="H4:H6" si="6">+IF(G4&lt;79.99999%,"Incumple",IF(AND(G4&gt;=80%,G4&lt;94.999999%),"Tolerable",IF(AND(G4&gt;=95%,G4&lt;100%),"Satisfactorio","Sobresaliente")))</f>
        <v>Sobresaliente</v>
      </c>
      <c r="I4" s="514">
        <v>44561</v>
      </c>
      <c r="J4" s="514" t="s">
        <v>126</v>
      </c>
      <c r="K4" s="347">
        <v>0.82599999999999996</v>
      </c>
      <c r="L4" s="544">
        <f t="shared" si="1"/>
        <v>82.6</v>
      </c>
      <c r="M4" s="501">
        <v>0.81559999999999999</v>
      </c>
      <c r="N4" s="551">
        <f t="shared" si="2"/>
        <v>81.56</v>
      </c>
      <c r="O4" s="507" t="s">
        <v>116</v>
      </c>
      <c r="P4" s="506">
        <f t="shared" si="3"/>
        <v>1.0125907990314769</v>
      </c>
      <c r="Q4" s="522">
        <f t="shared" si="4"/>
        <v>1.0125907990314769</v>
      </c>
      <c r="R4" s="529" t="str">
        <f t="shared" si="5"/>
        <v>Sobresaliente</v>
      </c>
    </row>
    <row r="5" spans="1:18" x14ac:dyDescent="0.25">
      <c r="A5" s="482" t="s">
        <v>159</v>
      </c>
      <c r="B5" s="297" t="s">
        <v>143</v>
      </c>
      <c r="C5" s="285" t="s">
        <v>261</v>
      </c>
      <c r="D5" s="310">
        <v>0.5</v>
      </c>
      <c r="E5" s="305">
        <v>0.46400000000000002</v>
      </c>
      <c r="F5" s="311" t="s">
        <v>28</v>
      </c>
      <c r="G5" s="80">
        <f>+D5/E5</f>
        <v>1.0775862068965516</v>
      </c>
      <c r="H5" s="292" t="str">
        <f t="shared" si="6"/>
        <v>Sobresaliente</v>
      </c>
      <c r="I5" s="514">
        <v>44561</v>
      </c>
      <c r="J5" s="514" t="s">
        <v>126</v>
      </c>
      <c r="K5" s="349">
        <v>0.5</v>
      </c>
      <c r="L5" s="544">
        <f t="shared" si="1"/>
        <v>50</v>
      </c>
      <c r="M5" s="501">
        <v>0.4607</v>
      </c>
      <c r="N5" s="551">
        <f t="shared" si="2"/>
        <v>46.07</v>
      </c>
      <c r="O5" s="507" t="s">
        <v>116</v>
      </c>
      <c r="P5" s="506">
        <f t="shared" si="3"/>
        <v>1.0786</v>
      </c>
      <c r="Q5" s="522">
        <f t="shared" si="4"/>
        <v>1.0786</v>
      </c>
      <c r="R5" s="529" t="str">
        <f t="shared" si="5"/>
        <v>Sobresaliente</v>
      </c>
    </row>
    <row r="6" spans="1:18" x14ac:dyDescent="0.25">
      <c r="A6" s="482" t="s">
        <v>159</v>
      </c>
      <c r="B6" s="297" t="s">
        <v>144</v>
      </c>
      <c r="C6" s="285" t="s">
        <v>261</v>
      </c>
      <c r="D6" s="311">
        <v>1.2</v>
      </c>
      <c r="E6" s="311">
        <v>1.1200000000000001</v>
      </c>
      <c r="F6" s="311" t="s">
        <v>28</v>
      </c>
      <c r="G6" s="80">
        <f>+E6/D6</f>
        <v>0.93333333333333346</v>
      </c>
      <c r="H6" s="292" t="str">
        <f t="shared" si="6"/>
        <v>Tolerable</v>
      </c>
      <c r="I6" s="514">
        <v>44561</v>
      </c>
      <c r="J6" s="514" t="s">
        <v>126</v>
      </c>
      <c r="K6" s="505">
        <v>1.2E-2</v>
      </c>
      <c r="L6" s="353">
        <f t="shared" si="1"/>
        <v>1.2</v>
      </c>
      <c r="M6" s="501">
        <v>1.14E-2</v>
      </c>
      <c r="N6" s="552">
        <f t="shared" si="2"/>
        <v>1.1400000000000001</v>
      </c>
      <c r="O6" s="507" t="s">
        <v>114</v>
      </c>
      <c r="P6" s="506">
        <f t="shared" si="3"/>
        <v>0.95000000000000007</v>
      </c>
      <c r="Q6" s="524">
        <f t="shared" si="4"/>
        <v>0.95000000000000007</v>
      </c>
      <c r="R6" s="529" t="str">
        <f t="shared" si="5"/>
        <v>Satisfactorio</v>
      </c>
    </row>
    <row r="7" spans="1:18" x14ac:dyDescent="0.25">
      <c r="A7" s="482" t="s">
        <v>159</v>
      </c>
      <c r="B7" s="297" t="s">
        <v>147</v>
      </c>
      <c r="C7" s="285" t="s">
        <v>261</v>
      </c>
      <c r="D7" s="305">
        <v>7.6999999999999999E-2</v>
      </c>
      <c r="E7" s="305">
        <v>0.122</v>
      </c>
      <c r="F7" s="311" t="s">
        <v>28</v>
      </c>
      <c r="G7" s="80">
        <f>+E7/D7</f>
        <v>1.5844155844155845</v>
      </c>
      <c r="H7" s="292" t="str">
        <f>+IF(G7&lt;79.99999%,"Incumple",IF(AND(G7&gt;=80%,G7&lt;94.999999%),"Tolerable",IF(AND(G7&gt;=95%,G7&lt;100%),"Satisfactorio","Sobresaliente")))</f>
        <v>Sobresaliente</v>
      </c>
      <c r="I7" s="514">
        <v>44561</v>
      </c>
      <c r="J7" s="514" t="s">
        <v>126</v>
      </c>
      <c r="K7" s="346">
        <v>7.6999999999999999E-2</v>
      </c>
      <c r="L7" s="544">
        <f t="shared" si="1"/>
        <v>7.7</v>
      </c>
      <c r="M7" s="501">
        <v>0.12239999999999999</v>
      </c>
      <c r="N7" s="551">
        <f t="shared" si="2"/>
        <v>12.24</v>
      </c>
      <c r="O7" s="507" t="s">
        <v>114</v>
      </c>
      <c r="P7" s="506">
        <f t="shared" si="3"/>
        <v>1.5896103896103895</v>
      </c>
      <c r="Q7" s="522">
        <f t="shared" si="4"/>
        <v>1.2</v>
      </c>
      <c r="R7" s="529" t="str">
        <f t="shared" si="5"/>
        <v>Sobresaliente</v>
      </c>
    </row>
    <row r="8" spans="1:18" x14ac:dyDescent="0.25">
      <c r="A8" s="482" t="s">
        <v>159</v>
      </c>
      <c r="B8" s="297" t="s">
        <v>146</v>
      </c>
      <c r="C8" s="285" t="s">
        <v>261</v>
      </c>
      <c r="D8" s="305">
        <v>0.61699999999999999</v>
      </c>
      <c r="E8" s="305">
        <v>0.61599999999999999</v>
      </c>
      <c r="F8" s="311" t="s">
        <v>28</v>
      </c>
      <c r="G8" s="80">
        <f>+D8/E8</f>
        <v>1.0016233766233766</v>
      </c>
      <c r="H8" s="292" t="str">
        <f>+IF(G8&lt;79.99999%,"Incumple",IF(AND(G8&gt;=80%,G8&lt;94.999999%),"Tolerable",IF(AND(G8&gt;=95%,G8&lt;100%),"Satisfactorio","Sobresaliente")))</f>
        <v>Sobresaliente</v>
      </c>
      <c r="I8" s="514">
        <v>44561</v>
      </c>
      <c r="J8" s="514" t="s">
        <v>126</v>
      </c>
      <c r="K8" s="347">
        <v>0.6169</v>
      </c>
      <c r="L8" s="544">
        <f t="shared" si="1"/>
        <v>61.69</v>
      </c>
      <c r="M8" s="501">
        <v>0.61599999999999999</v>
      </c>
      <c r="N8" s="551">
        <f t="shared" si="2"/>
        <v>61.6</v>
      </c>
      <c r="O8" s="507" t="s">
        <v>116</v>
      </c>
      <c r="P8" s="506">
        <f t="shared" si="3"/>
        <v>1.0014589074404279</v>
      </c>
      <c r="Q8" s="522">
        <f t="shared" si="4"/>
        <v>1.0014589074404279</v>
      </c>
      <c r="R8" s="529" t="str">
        <f t="shared" si="5"/>
        <v>Sobresaliente</v>
      </c>
    </row>
    <row r="9" spans="1:18" x14ac:dyDescent="0.25">
      <c r="A9" s="482" t="s">
        <v>159</v>
      </c>
      <c r="B9" s="297" t="s">
        <v>145</v>
      </c>
      <c r="C9" s="285" t="s">
        <v>261</v>
      </c>
      <c r="D9" s="312">
        <v>446763</v>
      </c>
      <c r="E9" s="312">
        <v>469231</v>
      </c>
      <c r="F9" s="340">
        <f>+G9</f>
        <v>0.95211740059799965</v>
      </c>
      <c r="G9" s="80">
        <f>+D9/E9</f>
        <v>0.95211740059799965</v>
      </c>
      <c r="H9" s="292" t="str">
        <f t="shared" ref="H9:H31" si="7">+IF(G9&lt;79.99999%,"Incumple",IF(AND(G9&gt;=80%,G9&lt;94.999999%),"Tolerable",IF(AND(G9&gt;=95%,G9&lt;100%),"Satisfactorio","Sobresaliente")))</f>
        <v>Satisfactorio</v>
      </c>
      <c r="I9" s="514">
        <v>44561</v>
      </c>
      <c r="J9" s="514" t="s">
        <v>126</v>
      </c>
      <c r="K9" s="347">
        <v>1</v>
      </c>
      <c r="L9" s="544">
        <f t="shared" si="1"/>
        <v>100</v>
      </c>
      <c r="M9" s="501">
        <v>1.0529999999999999</v>
      </c>
      <c r="N9" s="551">
        <f t="shared" si="2"/>
        <v>105.3</v>
      </c>
      <c r="O9" s="507" t="s">
        <v>116</v>
      </c>
      <c r="P9" s="506">
        <f t="shared" si="3"/>
        <v>0.94700000000000006</v>
      </c>
      <c r="Q9" s="522">
        <f t="shared" si="4"/>
        <v>0.94700000000000006</v>
      </c>
      <c r="R9" s="529" t="str">
        <f t="shared" si="5"/>
        <v>Tolerable</v>
      </c>
    </row>
    <row r="10" spans="1:18" x14ac:dyDescent="0.25">
      <c r="A10" s="482" t="s">
        <v>158</v>
      </c>
      <c r="B10" s="297" t="s">
        <v>420</v>
      </c>
      <c r="C10" s="285" t="s">
        <v>260</v>
      </c>
      <c r="D10" s="305">
        <v>0.38990000000000002</v>
      </c>
      <c r="E10" s="305">
        <v>0.56499999999999995</v>
      </c>
      <c r="F10" s="311" t="s">
        <v>28</v>
      </c>
      <c r="G10" s="80">
        <f t="shared" ref="G10:G21" si="8">+E10/D10</f>
        <v>1.4490895101308026</v>
      </c>
      <c r="H10" s="292" t="str">
        <f t="shared" si="7"/>
        <v>Sobresaliente</v>
      </c>
      <c r="I10" s="514">
        <v>44561</v>
      </c>
      <c r="J10" s="514" t="s">
        <v>126</v>
      </c>
      <c r="K10" s="346">
        <v>0.38990000000000002</v>
      </c>
      <c r="L10" s="544">
        <f t="shared" si="1"/>
        <v>38.99</v>
      </c>
      <c r="M10" s="501">
        <v>0.56510000000000005</v>
      </c>
      <c r="N10" s="551">
        <f t="shared" si="2"/>
        <v>56.510000000000005</v>
      </c>
      <c r="O10" s="507" t="s">
        <v>114</v>
      </c>
      <c r="P10" s="506">
        <f t="shared" si="3"/>
        <v>1.4493459861502951</v>
      </c>
      <c r="Q10" s="522">
        <f t="shared" si="4"/>
        <v>1.2</v>
      </c>
      <c r="R10" s="529" t="str">
        <f t="shared" si="5"/>
        <v>Sobresaliente</v>
      </c>
    </row>
    <row r="11" spans="1:18" x14ac:dyDescent="0.25">
      <c r="A11" s="482" t="s">
        <v>158</v>
      </c>
      <c r="B11" s="297" t="s">
        <v>150</v>
      </c>
      <c r="C11" s="285" t="s">
        <v>261</v>
      </c>
      <c r="D11" s="305">
        <v>0.11799999999999999</v>
      </c>
      <c r="E11" s="305">
        <v>0.1192</v>
      </c>
      <c r="F11" s="311" t="s">
        <v>28</v>
      </c>
      <c r="G11" s="80">
        <f t="shared" si="8"/>
        <v>1.0101694915254238</v>
      </c>
      <c r="H11" s="292" t="str">
        <f t="shared" si="7"/>
        <v>Sobresaliente</v>
      </c>
      <c r="I11" s="514">
        <v>44561</v>
      </c>
      <c r="J11" s="514" t="s">
        <v>126</v>
      </c>
      <c r="K11" s="346">
        <v>0.1182</v>
      </c>
      <c r="L11" s="544">
        <f t="shared" si="1"/>
        <v>11.82</v>
      </c>
      <c r="M11" s="501">
        <v>0.1192</v>
      </c>
      <c r="N11" s="551">
        <f t="shared" si="2"/>
        <v>11.92</v>
      </c>
      <c r="O11" s="507" t="s">
        <v>114</v>
      </c>
      <c r="P11" s="506">
        <f t="shared" si="3"/>
        <v>1.0084602368866329</v>
      </c>
      <c r="Q11" s="522">
        <f t="shared" si="4"/>
        <v>1.0084602368866329</v>
      </c>
      <c r="R11" s="529" t="str">
        <f t="shared" si="5"/>
        <v>Sobresaliente</v>
      </c>
    </row>
    <row r="12" spans="1:18" x14ac:dyDescent="0.25">
      <c r="A12" s="482" t="s">
        <v>158</v>
      </c>
      <c r="B12" s="297" t="s">
        <v>148</v>
      </c>
      <c r="C12" s="285" t="s">
        <v>261</v>
      </c>
      <c r="D12" s="305">
        <v>1.4500000000000001E-2</v>
      </c>
      <c r="E12" s="305">
        <v>8.8400000000000006E-2</v>
      </c>
      <c r="F12" s="311" t="s">
        <v>28</v>
      </c>
      <c r="G12" s="80">
        <f t="shared" si="8"/>
        <v>6.0965517241379308</v>
      </c>
      <c r="H12" s="292" t="str">
        <f t="shared" si="7"/>
        <v>Sobresaliente</v>
      </c>
      <c r="I12" s="514">
        <v>44561</v>
      </c>
      <c r="J12" s="514" t="s">
        <v>126</v>
      </c>
      <c r="K12" s="346">
        <v>1.4500000000000001E-2</v>
      </c>
      <c r="L12" s="544">
        <f t="shared" si="1"/>
        <v>1.4500000000000002</v>
      </c>
      <c r="M12" s="501">
        <v>8.5400000000000004E-2</v>
      </c>
      <c r="N12" s="551">
        <f t="shared" si="2"/>
        <v>8.5400000000000009</v>
      </c>
      <c r="O12" s="507" t="s">
        <v>114</v>
      </c>
      <c r="P12" s="506">
        <f t="shared" si="3"/>
        <v>5.8896551724137929</v>
      </c>
      <c r="Q12" s="522">
        <f t="shared" si="4"/>
        <v>1.2</v>
      </c>
      <c r="R12" s="529" t="str">
        <f t="shared" si="5"/>
        <v>Sobresaliente</v>
      </c>
    </row>
    <row r="13" spans="1:18" x14ac:dyDescent="0.25">
      <c r="A13" s="482" t="s">
        <v>158</v>
      </c>
      <c r="B13" s="297" t="s">
        <v>151</v>
      </c>
      <c r="C13" s="285" t="s">
        <v>261</v>
      </c>
      <c r="D13" s="305">
        <v>7.1099999999999997E-2</v>
      </c>
      <c r="E13" s="305">
        <v>8.5300000000000001E-2</v>
      </c>
      <c r="F13" s="477" t="s">
        <v>28</v>
      </c>
      <c r="G13" s="80">
        <f t="shared" si="8"/>
        <v>1.19971870604782</v>
      </c>
      <c r="H13" s="292" t="str">
        <f t="shared" si="7"/>
        <v>Sobresaliente</v>
      </c>
      <c r="I13" s="514">
        <v>44561</v>
      </c>
      <c r="J13" s="514" t="s">
        <v>126</v>
      </c>
      <c r="K13" s="505">
        <v>7.1099999999999997E-2</v>
      </c>
      <c r="L13" s="353">
        <f t="shared" si="1"/>
        <v>7.1099999999999994</v>
      </c>
      <c r="M13" s="501">
        <v>8.5300000000000001E-2</v>
      </c>
      <c r="N13" s="551">
        <f t="shared" si="2"/>
        <v>8.5299999999999994</v>
      </c>
      <c r="O13" s="507" t="s">
        <v>114</v>
      </c>
      <c r="P13" s="506">
        <f t="shared" si="3"/>
        <v>1.19971870604782</v>
      </c>
      <c r="Q13" s="522">
        <f t="shared" si="4"/>
        <v>1.19971870604782</v>
      </c>
      <c r="R13" s="529" t="str">
        <f t="shared" si="5"/>
        <v>Sobresaliente</v>
      </c>
    </row>
    <row r="14" spans="1:18" x14ac:dyDescent="0.25">
      <c r="A14" s="482" t="s">
        <v>158</v>
      </c>
      <c r="B14" s="297" t="s">
        <v>434</v>
      </c>
      <c r="C14" s="285" t="s">
        <v>260</v>
      </c>
      <c r="D14" s="305">
        <v>1.1599999999999999E-2</v>
      </c>
      <c r="E14" s="305">
        <v>1.5299999999999999E-2</v>
      </c>
      <c r="F14" s="477">
        <v>19319</v>
      </c>
      <c r="G14" s="80">
        <f t="shared" si="8"/>
        <v>1.3189655172413794</v>
      </c>
      <c r="H14" s="292" t="str">
        <f t="shared" si="7"/>
        <v>Sobresaliente</v>
      </c>
      <c r="I14" s="514">
        <v>44561</v>
      </c>
      <c r="J14" s="514" t="s">
        <v>126</v>
      </c>
      <c r="K14" s="505">
        <v>1.1599999999999999E-2</v>
      </c>
      <c r="L14" s="353">
        <f t="shared" si="1"/>
        <v>1.1599999999999999</v>
      </c>
      <c r="M14" s="501">
        <v>1.5299999999999999E-2</v>
      </c>
      <c r="N14" s="551">
        <f t="shared" si="2"/>
        <v>1.53</v>
      </c>
      <c r="O14" s="507" t="s">
        <v>114</v>
      </c>
      <c r="P14" s="506">
        <f t="shared" si="3"/>
        <v>1.3189655172413794</v>
      </c>
      <c r="Q14" s="522">
        <f t="shared" si="4"/>
        <v>1.2</v>
      </c>
      <c r="R14" s="529" t="str">
        <f t="shared" si="5"/>
        <v>Sobresaliente</v>
      </c>
    </row>
    <row r="15" spans="1:18" x14ac:dyDescent="0.25">
      <c r="A15" s="482" t="s">
        <v>158</v>
      </c>
      <c r="B15" s="297" t="s">
        <v>155</v>
      </c>
      <c r="C15" s="285" t="s">
        <v>261</v>
      </c>
      <c r="D15" s="305">
        <v>0.158</v>
      </c>
      <c r="E15" s="305">
        <v>0.151</v>
      </c>
      <c r="F15" s="311" t="s">
        <v>28</v>
      </c>
      <c r="G15" s="80">
        <f t="shared" si="8"/>
        <v>0.95569620253164556</v>
      </c>
      <c r="H15" s="292" t="str">
        <f t="shared" si="7"/>
        <v>Satisfactorio</v>
      </c>
      <c r="I15" s="514">
        <v>44561</v>
      </c>
      <c r="J15" s="514" t="s">
        <v>177</v>
      </c>
      <c r="K15" s="505">
        <v>0.158</v>
      </c>
      <c r="L15" s="353">
        <f t="shared" si="1"/>
        <v>15.8</v>
      </c>
      <c r="M15" s="501">
        <v>0.15140000000000001</v>
      </c>
      <c r="N15" s="551">
        <f t="shared" si="2"/>
        <v>15.14</v>
      </c>
      <c r="O15" s="507" t="s">
        <v>114</v>
      </c>
      <c r="P15" s="506">
        <f t="shared" si="3"/>
        <v>0.95822784810126582</v>
      </c>
      <c r="Q15" s="522">
        <f t="shared" si="4"/>
        <v>0.95822784810126582</v>
      </c>
      <c r="R15" s="529" t="str">
        <f t="shared" si="5"/>
        <v>Satisfactorio</v>
      </c>
    </row>
    <row r="16" spans="1:18" x14ac:dyDescent="0.25">
      <c r="A16" s="482" t="s">
        <v>158</v>
      </c>
      <c r="B16" s="297" t="s">
        <v>156</v>
      </c>
      <c r="C16" s="285" t="s">
        <v>261</v>
      </c>
      <c r="D16" s="305">
        <v>0.25879999999999997</v>
      </c>
      <c r="E16" s="305">
        <v>0.25900000000000001</v>
      </c>
      <c r="F16" s="311" t="s">
        <v>28</v>
      </c>
      <c r="G16" s="80">
        <f t="shared" si="8"/>
        <v>1.000772797527048</v>
      </c>
      <c r="H16" s="292" t="str">
        <f t="shared" si="7"/>
        <v>Sobresaliente</v>
      </c>
      <c r="I16" s="514">
        <v>44561</v>
      </c>
      <c r="J16" s="514" t="s">
        <v>177</v>
      </c>
      <c r="K16" s="505">
        <v>0.26100000000000001</v>
      </c>
      <c r="L16" s="353">
        <f t="shared" si="1"/>
        <v>26.1</v>
      </c>
      <c r="M16" s="501">
        <v>0.25900000000000001</v>
      </c>
      <c r="N16" s="551">
        <f t="shared" si="2"/>
        <v>25.900000000000002</v>
      </c>
      <c r="O16" s="507" t="s">
        <v>114</v>
      </c>
      <c r="P16" s="506">
        <f t="shared" si="3"/>
        <v>0.9923371647509579</v>
      </c>
      <c r="Q16" s="522">
        <f t="shared" si="4"/>
        <v>0.9923371647509579</v>
      </c>
      <c r="R16" s="529" t="str">
        <f t="shared" si="5"/>
        <v>Satisfactorio</v>
      </c>
    </row>
    <row r="17" spans="1:20" x14ac:dyDescent="0.25">
      <c r="A17" s="482" t="s">
        <v>158</v>
      </c>
      <c r="B17" s="297" t="s">
        <v>157</v>
      </c>
      <c r="C17" s="285" t="s">
        <v>261</v>
      </c>
      <c r="D17" s="305">
        <v>0.24199999999999999</v>
      </c>
      <c r="E17" s="305">
        <v>0.245</v>
      </c>
      <c r="F17" s="311" t="s">
        <v>28</v>
      </c>
      <c r="G17" s="80">
        <f t="shared" si="8"/>
        <v>1.0123966942148761</v>
      </c>
      <c r="H17" s="292" t="str">
        <f t="shared" si="7"/>
        <v>Sobresaliente</v>
      </c>
      <c r="I17" s="514">
        <v>44561</v>
      </c>
      <c r="J17" s="514" t="s">
        <v>177</v>
      </c>
      <c r="K17" s="505">
        <v>0.24199999999999999</v>
      </c>
      <c r="L17" s="353">
        <f t="shared" si="1"/>
        <v>24.2</v>
      </c>
      <c r="M17" s="501">
        <v>0.2447</v>
      </c>
      <c r="N17" s="551">
        <f t="shared" si="2"/>
        <v>24.47</v>
      </c>
      <c r="O17" s="507" t="s">
        <v>114</v>
      </c>
      <c r="P17" s="506">
        <f t="shared" si="3"/>
        <v>1.0111570247933885</v>
      </c>
      <c r="Q17" s="522">
        <f t="shared" si="4"/>
        <v>1.0111570247933885</v>
      </c>
      <c r="R17" s="529" t="str">
        <f t="shared" si="5"/>
        <v>Sobresaliente</v>
      </c>
    </row>
    <row r="18" spans="1:20" x14ac:dyDescent="0.25">
      <c r="A18" s="482" t="s">
        <v>158</v>
      </c>
      <c r="B18" s="297" t="s">
        <v>96</v>
      </c>
      <c r="C18" s="285" t="s">
        <v>261</v>
      </c>
      <c r="D18" s="312">
        <v>3720</v>
      </c>
      <c r="E18" s="312">
        <v>3980</v>
      </c>
      <c r="F18" s="311" t="s">
        <v>28</v>
      </c>
      <c r="G18" s="80">
        <f t="shared" si="8"/>
        <v>1.0698924731182795</v>
      </c>
      <c r="H18" s="292" t="str">
        <f t="shared" si="7"/>
        <v>Sobresaliente</v>
      </c>
      <c r="I18" s="514">
        <v>44561</v>
      </c>
      <c r="J18" s="514" t="s">
        <v>126</v>
      </c>
      <c r="K18" s="348"/>
      <c r="L18" s="542">
        <f t="shared" si="1"/>
        <v>0</v>
      </c>
      <c r="N18" s="291">
        <f t="shared" si="2"/>
        <v>0</v>
      </c>
      <c r="P18" s="506" t="str">
        <f t="shared" si="3"/>
        <v>N/A</v>
      </c>
      <c r="Q18" s="522">
        <f t="shared" si="4"/>
        <v>1.2</v>
      </c>
      <c r="R18" s="529" t="str">
        <f t="shared" si="5"/>
        <v>Sobresaliente</v>
      </c>
    </row>
    <row r="19" spans="1:20" x14ac:dyDescent="0.25">
      <c r="A19" s="482" t="s">
        <v>158</v>
      </c>
      <c r="B19" s="297" t="s">
        <v>149</v>
      </c>
      <c r="C19" s="285" t="s">
        <v>261</v>
      </c>
      <c r="D19" s="312">
        <v>390081</v>
      </c>
      <c r="E19" s="312">
        <v>390426</v>
      </c>
      <c r="F19" s="311" t="s">
        <v>28</v>
      </c>
      <c r="G19" s="80">
        <f t="shared" si="8"/>
        <v>1.0008844316949557</v>
      </c>
      <c r="H19" s="292" t="str">
        <f t="shared" si="7"/>
        <v>Sobresaliente</v>
      </c>
      <c r="I19" s="514">
        <v>44561</v>
      </c>
      <c r="J19" s="514" t="s">
        <v>126</v>
      </c>
      <c r="K19" s="355"/>
      <c r="L19" s="539">
        <f t="shared" si="1"/>
        <v>0</v>
      </c>
      <c r="N19" s="291">
        <f t="shared" si="2"/>
        <v>0</v>
      </c>
      <c r="P19" s="506" t="str">
        <f t="shared" si="3"/>
        <v>N/A</v>
      </c>
      <c r="Q19" s="522">
        <f t="shared" si="4"/>
        <v>1.2</v>
      </c>
      <c r="R19" s="529" t="str">
        <f t="shared" si="5"/>
        <v>Sobresaliente</v>
      </c>
    </row>
    <row r="20" spans="1:20" x14ac:dyDescent="0.25">
      <c r="A20" s="482" t="s">
        <v>158</v>
      </c>
      <c r="B20" s="297" t="s">
        <v>98</v>
      </c>
      <c r="C20" s="285" t="s">
        <v>261</v>
      </c>
      <c r="D20" s="313">
        <v>417834</v>
      </c>
      <c r="E20" s="313">
        <v>423385</v>
      </c>
      <c r="F20" s="311" t="s">
        <v>28</v>
      </c>
      <c r="G20" s="80">
        <f t="shared" si="8"/>
        <v>1.0132851802390423</v>
      </c>
      <c r="H20" s="292" t="str">
        <f t="shared" si="7"/>
        <v>Sobresaliente</v>
      </c>
      <c r="I20" s="514">
        <v>44561</v>
      </c>
      <c r="J20" s="514" t="s">
        <v>126</v>
      </c>
      <c r="K20" s="348"/>
      <c r="L20" s="542">
        <f t="shared" si="1"/>
        <v>0</v>
      </c>
      <c r="N20" s="291">
        <f t="shared" si="2"/>
        <v>0</v>
      </c>
      <c r="P20" s="506" t="str">
        <f t="shared" si="3"/>
        <v>N/A</v>
      </c>
      <c r="Q20" s="522">
        <f t="shared" si="4"/>
        <v>1.2</v>
      </c>
      <c r="R20" s="529" t="str">
        <f t="shared" si="5"/>
        <v>Sobresaliente</v>
      </c>
    </row>
    <row r="21" spans="1:20" x14ac:dyDescent="0.25">
      <c r="A21" s="482" t="s">
        <v>158</v>
      </c>
      <c r="B21" s="297" t="s">
        <v>152</v>
      </c>
      <c r="C21" s="285" t="s">
        <v>261</v>
      </c>
      <c r="D21" s="314">
        <v>78381</v>
      </c>
      <c r="E21" s="314">
        <v>88261</v>
      </c>
      <c r="F21" s="311" t="s">
        <v>28</v>
      </c>
      <c r="G21" s="80">
        <f t="shared" si="8"/>
        <v>1.1260509562266365</v>
      </c>
      <c r="H21" s="292" t="str">
        <f t="shared" si="7"/>
        <v>Sobresaliente</v>
      </c>
      <c r="I21" s="514">
        <v>44561</v>
      </c>
      <c r="J21" s="514" t="s">
        <v>126</v>
      </c>
      <c r="K21" s="350"/>
      <c r="L21" s="540">
        <f t="shared" si="1"/>
        <v>0</v>
      </c>
      <c r="N21" s="291">
        <f t="shared" si="2"/>
        <v>0</v>
      </c>
      <c r="P21" s="506" t="str">
        <f t="shared" si="3"/>
        <v>N/A</v>
      </c>
      <c r="Q21" s="522">
        <f t="shared" si="4"/>
        <v>1.2</v>
      </c>
      <c r="R21" s="529" t="str">
        <f t="shared" si="5"/>
        <v>Sobresaliente</v>
      </c>
    </row>
    <row r="22" spans="1:20" x14ac:dyDescent="0.25">
      <c r="A22" s="482" t="s">
        <v>158</v>
      </c>
      <c r="B22" s="297" t="s">
        <v>154</v>
      </c>
      <c r="C22" s="285" t="s">
        <v>261</v>
      </c>
      <c r="D22" s="305">
        <v>0.219</v>
      </c>
      <c r="E22" s="305">
        <v>0.218</v>
      </c>
      <c r="F22" s="311" t="s">
        <v>28</v>
      </c>
      <c r="G22" s="345">
        <f>+AVERAGE(G15:G17)</f>
        <v>0.98962189809118983</v>
      </c>
      <c r="H22" s="292" t="str">
        <f t="shared" si="7"/>
        <v>Satisfactorio</v>
      </c>
      <c r="I22" s="514">
        <v>44561</v>
      </c>
      <c r="J22" s="514" t="s">
        <v>126</v>
      </c>
      <c r="K22" s="348"/>
      <c r="L22" s="542">
        <f t="shared" si="1"/>
        <v>0</v>
      </c>
      <c r="N22" s="291">
        <f t="shared" si="2"/>
        <v>0</v>
      </c>
      <c r="P22" s="506" t="str">
        <f t="shared" si="3"/>
        <v>N/A</v>
      </c>
      <c r="Q22" s="522">
        <f t="shared" si="4"/>
        <v>1.2</v>
      </c>
      <c r="R22" s="529" t="str">
        <f t="shared" si="5"/>
        <v>Sobresaliente</v>
      </c>
    </row>
    <row r="23" spans="1:20" x14ac:dyDescent="0.25">
      <c r="A23" s="482" t="s">
        <v>160</v>
      </c>
      <c r="B23" s="297" t="s">
        <v>17</v>
      </c>
      <c r="C23" s="285" t="s">
        <v>261</v>
      </c>
      <c r="D23" s="311">
        <v>4.6500000000000004</v>
      </c>
      <c r="E23" s="311">
        <v>4.62</v>
      </c>
      <c r="F23" s="311" t="s">
        <v>28</v>
      </c>
      <c r="G23" s="80">
        <f t="shared" ref="G23:G31" si="9">+E23/D23</f>
        <v>0.99354838709677418</v>
      </c>
      <c r="H23" s="292" t="str">
        <f t="shared" si="7"/>
        <v>Satisfactorio</v>
      </c>
      <c r="I23" s="514">
        <v>44561</v>
      </c>
      <c r="J23" s="514" t="s">
        <v>126</v>
      </c>
      <c r="K23" s="505">
        <v>4.65E-2</v>
      </c>
      <c r="L23" s="353">
        <f t="shared" si="1"/>
        <v>4.6500000000000004</v>
      </c>
      <c r="M23" s="306">
        <v>4.6199999999999998E-2</v>
      </c>
      <c r="N23" s="553">
        <f t="shared" si="2"/>
        <v>4.62</v>
      </c>
      <c r="O23" s="507" t="s">
        <v>114</v>
      </c>
      <c r="P23" s="506">
        <f t="shared" si="3"/>
        <v>0.99354838709677418</v>
      </c>
      <c r="Q23" s="522">
        <f t="shared" si="4"/>
        <v>0.99354838709677418</v>
      </c>
      <c r="R23" s="529" t="str">
        <f t="shared" si="5"/>
        <v>Satisfactorio</v>
      </c>
    </row>
    <row r="24" spans="1:20" x14ac:dyDescent="0.25">
      <c r="A24" s="482" t="s">
        <v>160</v>
      </c>
      <c r="B24" s="297" t="s">
        <v>181</v>
      </c>
      <c r="C24" s="285" t="s">
        <v>261</v>
      </c>
      <c r="D24" s="311">
        <v>4.6500000000000004</v>
      </c>
      <c r="E24" s="311">
        <v>4.17</v>
      </c>
      <c r="F24" s="311" t="s">
        <v>28</v>
      </c>
      <c r="G24" s="303">
        <f t="shared" si="9"/>
        <v>0.89677419354838706</v>
      </c>
      <c r="H24" s="292" t="str">
        <f t="shared" si="7"/>
        <v>Tolerable</v>
      </c>
      <c r="I24" s="514">
        <v>44561</v>
      </c>
      <c r="J24" s="514" t="s">
        <v>164</v>
      </c>
      <c r="K24" s="505">
        <v>4.65E-2</v>
      </c>
      <c r="L24" s="353">
        <f t="shared" si="1"/>
        <v>4.6500000000000004</v>
      </c>
      <c r="M24" s="306">
        <v>4.1700000000000001E-2</v>
      </c>
      <c r="N24" s="553">
        <f t="shared" si="2"/>
        <v>4.17</v>
      </c>
      <c r="O24" s="507" t="s">
        <v>114</v>
      </c>
      <c r="P24" s="506">
        <f t="shared" si="3"/>
        <v>0.89677419354838717</v>
      </c>
      <c r="Q24" s="522">
        <f t="shared" si="4"/>
        <v>0.89677419354838717</v>
      </c>
      <c r="R24" s="529" t="str">
        <f t="shared" si="5"/>
        <v>Tolerable</v>
      </c>
    </row>
    <row r="25" spans="1:20" x14ac:dyDescent="0.25">
      <c r="A25" s="482" t="s">
        <v>163</v>
      </c>
      <c r="B25" s="297" t="s">
        <v>161</v>
      </c>
      <c r="C25" s="285" t="s">
        <v>261</v>
      </c>
      <c r="D25" s="312">
        <v>5178063</v>
      </c>
      <c r="E25" s="312">
        <v>4163464</v>
      </c>
      <c r="F25" s="311" t="s">
        <v>28</v>
      </c>
      <c r="G25" s="80">
        <f t="shared" si="9"/>
        <v>0.80405819705167747</v>
      </c>
      <c r="H25" s="292" t="str">
        <f t="shared" si="7"/>
        <v>Tolerable</v>
      </c>
      <c r="I25" s="514">
        <v>44561</v>
      </c>
      <c r="J25" s="514" t="s">
        <v>126</v>
      </c>
      <c r="K25" s="352"/>
      <c r="L25" s="546">
        <f t="shared" si="1"/>
        <v>0</v>
      </c>
      <c r="N25" s="554">
        <f t="shared" si="2"/>
        <v>0</v>
      </c>
      <c r="O25" s="507" t="s">
        <v>114</v>
      </c>
      <c r="P25" s="506" t="str">
        <f t="shared" si="3"/>
        <v>N/A</v>
      </c>
      <c r="Q25" s="522">
        <f t="shared" si="4"/>
        <v>1.2</v>
      </c>
      <c r="R25" s="529" t="str">
        <f t="shared" si="5"/>
        <v>Sobresaliente</v>
      </c>
    </row>
    <row r="26" spans="1:20" x14ac:dyDescent="0.25">
      <c r="A26" s="482" t="s">
        <v>163</v>
      </c>
      <c r="B26" s="297" t="s">
        <v>162</v>
      </c>
      <c r="C26" s="285" t="s">
        <v>261</v>
      </c>
      <c r="D26" s="305">
        <v>0.54900000000000004</v>
      </c>
      <c r="E26" s="305">
        <v>0.245</v>
      </c>
      <c r="F26" s="311" t="s">
        <v>28</v>
      </c>
      <c r="G26" s="80">
        <f t="shared" si="9"/>
        <v>0.44626593806921672</v>
      </c>
      <c r="H26" s="292" t="str">
        <f t="shared" si="7"/>
        <v>Incumple</v>
      </c>
      <c r="I26" s="514">
        <v>44561</v>
      </c>
      <c r="J26" s="514" t="s">
        <v>126</v>
      </c>
      <c r="K26" s="346">
        <v>0.54579999999999995</v>
      </c>
      <c r="L26" s="544">
        <f t="shared" si="1"/>
        <v>54.58</v>
      </c>
      <c r="M26" s="501">
        <v>0.2452</v>
      </c>
      <c r="N26" s="551">
        <f t="shared" si="2"/>
        <v>24.52</v>
      </c>
      <c r="O26" s="507" t="s">
        <v>114</v>
      </c>
      <c r="P26" s="506">
        <f t="shared" si="3"/>
        <v>0.44924880908757792</v>
      </c>
      <c r="Q26" s="522">
        <f t="shared" si="4"/>
        <v>0.44924880908757792</v>
      </c>
      <c r="R26" s="529" t="str">
        <f t="shared" si="5"/>
        <v>Incumple</v>
      </c>
    </row>
    <row r="27" spans="1:20" x14ac:dyDescent="0.25">
      <c r="A27" s="482" t="s">
        <v>163</v>
      </c>
      <c r="B27" s="297" t="s">
        <v>422</v>
      </c>
      <c r="C27" s="285" t="s">
        <v>260</v>
      </c>
      <c r="D27" s="310">
        <v>0.5</v>
      </c>
      <c r="E27" s="305">
        <v>0.53739999999999999</v>
      </c>
      <c r="F27" s="311" t="s">
        <v>28</v>
      </c>
      <c r="G27" s="80">
        <f t="shared" si="9"/>
        <v>1.0748</v>
      </c>
      <c r="H27" s="292" t="str">
        <f t="shared" si="7"/>
        <v>Sobresaliente</v>
      </c>
      <c r="I27" s="514">
        <v>44561</v>
      </c>
      <c r="J27" s="514" t="s">
        <v>126</v>
      </c>
      <c r="K27" s="425">
        <v>0.5</v>
      </c>
      <c r="L27" s="353">
        <f t="shared" si="1"/>
        <v>50</v>
      </c>
      <c r="M27" s="501">
        <v>0.53739999999999999</v>
      </c>
      <c r="N27" s="551">
        <f t="shared" si="2"/>
        <v>53.74</v>
      </c>
      <c r="O27" s="507" t="s">
        <v>114</v>
      </c>
      <c r="P27" s="506">
        <f t="shared" si="3"/>
        <v>1.0748</v>
      </c>
      <c r="Q27" s="522">
        <f t="shared" si="4"/>
        <v>1.0748</v>
      </c>
      <c r="R27" s="529" t="str">
        <f t="shared" si="5"/>
        <v>Sobresaliente</v>
      </c>
    </row>
    <row r="28" spans="1:20" x14ac:dyDescent="0.25">
      <c r="A28" s="482" t="s">
        <v>187</v>
      </c>
      <c r="B28" s="297" t="s">
        <v>184</v>
      </c>
      <c r="C28" s="285" t="s">
        <v>261</v>
      </c>
      <c r="D28" s="315">
        <v>0.95</v>
      </c>
      <c r="E28" s="305">
        <v>0.90800000000000003</v>
      </c>
      <c r="F28" s="311" t="s">
        <v>28</v>
      </c>
      <c r="G28" s="80">
        <f t="shared" si="9"/>
        <v>0.95578947368421063</v>
      </c>
      <c r="H28" s="292" t="str">
        <f t="shared" si="7"/>
        <v>Satisfactorio</v>
      </c>
      <c r="I28" s="514">
        <v>44561</v>
      </c>
      <c r="J28" s="514" t="s">
        <v>126</v>
      </c>
      <c r="K28" s="347">
        <v>0.95</v>
      </c>
      <c r="L28" s="544">
        <f t="shared" si="1"/>
        <v>95</v>
      </c>
      <c r="M28" s="306">
        <v>0.90759999999999996</v>
      </c>
      <c r="N28" s="553">
        <f t="shared" si="2"/>
        <v>90.759999999999991</v>
      </c>
      <c r="O28" s="507" t="s">
        <v>114</v>
      </c>
      <c r="P28" s="506">
        <f t="shared" si="3"/>
        <v>0.95536842105263153</v>
      </c>
      <c r="Q28" s="522">
        <f t="shared" si="4"/>
        <v>0.95536842105263153</v>
      </c>
      <c r="R28" s="529" t="str">
        <f t="shared" si="5"/>
        <v>Satisfactorio</v>
      </c>
      <c r="S28" s="255"/>
    </row>
    <row r="29" spans="1:20" x14ac:dyDescent="0.25">
      <c r="A29" s="482" t="s">
        <v>187</v>
      </c>
      <c r="B29" s="297" t="s">
        <v>185</v>
      </c>
      <c r="C29" s="285" t="s">
        <v>261</v>
      </c>
      <c r="D29" s="310">
        <v>0.8</v>
      </c>
      <c r="E29" s="310">
        <v>0.81</v>
      </c>
      <c r="F29" s="311" t="s">
        <v>28</v>
      </c>
      <c r="G29" s="80">
        <f t="shared" si="9"/>
        <v>1.0125</v>
      </c>
      <c r="H29" s="292" t="str">
        <f t="shared" si="7"/>
        <v>Sobresaliente</v>
      </c>
      <c r="I29" s="514">
        <v>44561</v>
      </c>
      <c r="J29" s="514" t="s">
        <v>126</v>
      </c>
      <c r="K29" s="347">
        <v>0.8</v>
      </c>
      <c r="L29" s="544">
        <f t="shared" si="1"/>
        <v>80</v>
      </c>
      <c r="M29" s="306">
        <v>0.8125</v>
      </c>
      <c r="N29" s="553">
        <f t="shared" si="2"/>
        <v>81.25</v>
      </c>
      <c r="O29" s="507" t="s">
        <v>114</v>
      </c>
      <c r="P29" s="506">
        <f t="shared" si="3"/>
        <v>1.015625</v>
      </c>
      <c r="Q29" s="522">
        <f t="shared" si="4"/>
        <v>1.015625</v>
      </c>
      <c r="R29" s="529" t="str">
        <f t="shared" si="5"/>
        <v>Sobresaliente</v>
      </c>
      <c r="S29" s="500" t="s">
        <v>405</v>
      </c>
    </row>
    <row r="30" spans="1:20" ht="34.5" customHeight="1" x14ac:dyDescent="0.25">
      <c r="A30" s="482" t="s">
        <v>187</v>
      </c>
      <c r="B30" s="297" t="s">
        <v>186</v>
      </c>
      <c r="C30" s="285" t="s">
        <v>261</v>
      </c>
      <c r="D30" s="310">
        <v>0.1</v>
      </c>
      <c r="E30" s="305">
        <v>0.20100000000000001</v>
      </c>
      <c r="F30" s="311" t="s">
        <v>28</v>
      </c>
      <c r="G30" s="80">
        <f t="shared" si="9"/>
        <v>2.0099999999999998</v>
      </c>
      <c r="H30" s="292" t="str">
        <f t="shared" si="7"/>
        <v>Sobresaliente</v>
      </c>
      <c r="I30" s="514">
        <v>44561</v>
      </c>
      <c r="J30" s="514" t="s">
        <v>126</v>
      </c>
      <c r="K30" s="347">
        <v>0.1</v>
      </c>
      <c r="L30" s="544">
        <f t="shared" si="1"/>
        <v>10</v>
      </c>
      <c r="M30" s="306">
        <v>0.20100000000000001</v>
      </c>
      <c r="N30" s="553">
        <f t="shared" si="2"/>
        <v>20.100000000000001</v>
      </c>
      <c r="O30" s="507" t="s">
        <v>114</v>
      </c>
      <c r="P30" s="506">
        <f t="shared" si="3"/>
        <v>2.0099999999999998</v>
      </c>
      <c r="Q30" s="522">
        <f t="shared" si="4"/>
        <v>1.2</v>
      </c>
      <c r="R30" s="529" t="str">
        <f t="shared" si="5"/>
        <v>Sobresaliente</v>
      </c>
      <c r="S30" s="500" t="s">
        <v>406</v>
      </c>
    </row>
    <row r="31" spans="1:20" ht="15.75" customHeight="1" x14ac:dyDescent="0.25">
      <c r="A31" s="482" t="s">
        <v>187</v>
      </c>
      <c r="B31" s="297" t="s">
        <v>193</v>
      </c>
      <c r="C31" s="285" t="s">
        <v>261</v>
      </c>
      <c r="D31" s="305">
        <v>1.2E-2</v>
      </c>
      <c r="E31" s="305">
        <v>7.7000000000000002E-3</v>
      </c>
      <c r="F31" s="478">
        <v>612</v>
      </c>
      <c r="G31" s="80">
        <f t="shared" si="9"/>
        <v>0.64166666666666672</v>
      </c>
      <c r="H31" s="292" t="str">
        <f t="shared" si="7"/>
        <v>Incumple</v>
      </c>
      <c r="I31" s="514">
        <v>44561</v>
      </c>
      <c r="J31" s="514" t="s">
        <v>164</v>
      </c>
      <c r="K31" s="347">
        <v>1.2E-2</v>
      </c>
      <c r="L31" s="544">
        <f t="shared" si="1"/>
        <v>1.2</v>
      </c>
      <c r="M31" s="306">
        <v>7.7000000000000002E-3</v>
      </c>
      <c r="N31" s="553">
        <f t="shared" si="2"/>
        <v>0.77</v>
      </c>
      <c r="O31" s="507" t="s">
        <v>114</v>
      </c>
      <c r="P31" s="506">
        <f t="shared" si="3"/>
        <v>0.64166666666666672</v>
      </c>
      <c r="Q31" s="522">
        <f t="shared" si="4"/>
        <v>0.64166666666666672</v>
      </c>
      <c r="R31" s="529" t="str">
        <f t="shared" si="5"/>
        <v>Incumple</v>
      </c>
      <c r="S31" s="255"/>
    </row>
    <row r="32" spans="1:20" x14ac:dyDescent="0.25">
      <c r="A32" s="482" t="s">
        <v>187</v>
      </c>
      <c r="B32" s="297" t="s">
        <v>194</v>
      </c>
      <c r="C32" s="285" t="s">
        <v>261</v>
      </c>
      <c r="D32" s="311" t="s">
        <v>28</v>
      </c>
      <c r="E32" s="311" t="s">
        <v>28</v>
      </c>
      <c r="F32" s="311" t="s">
        <v>28</v>
      </c>
      <c r="G32" s="285" t="s">
        <v>28</v>
      </c>
      <c r="H32" s="285" t="s">
        <v>28</v>
      </c>
      <c r="I32" s="514">
        <v>44561</v>
      </c>
      <c r="J32" s="514"/>
      <c r="K32" s="347"/>
      <c r="L32" s="347">
        <f t="shared" si="1"/>
        <v>0</v>
      </c>
      <c r="M32" s="306"/>
      <c r="N32" s="306">
        <f t="shared" si="2"/>
        <v>0</v>
      </c>
      <c r="O32" s="306"/>
      <c r="P32" s="506" t="str">
        <f t="shared" si="3"/>
        <v>N/A</v>
      </c>
      <c r="Q32" s="522">
        <f t="shared" si="4"/>
        <v>1.2</v>
      </c>
      <c r="R32" s="529" t="str">
        <f t="shared" si="5"/>
        <v>Sobresaliente</v>
      </c>
      <c r="T32" s="500" t="s">
        <v>390</v>
      </c>
    </row>
    <row r="33" spans="1:20" x14ac:dyDescent="0.25">
      <c r="A33" s="482" t="s">
        <v>187</v>
      </c>
      <c r="B33" s="297" t="s">
        <v>195</v>
      </c>
      <c r="C33" s="285" t="s">
        <v>261</v>
      </c>
      <c r="D33" s="311" t="s">
        <v>28</v>
      </c>
      <c r="E33" s="311" t="s">
        <v>28</v>
      </c>
      <c r="F33" s="311" t="s">
        <v>28</v>
      </c>
      <c r="G33" s="285" t="s">
        <v>28</v>
      </c>
      <c r="H33" s="285" t="s">
        <v>28</v>
      </c>
      <c r="I33" s="514">
        <v>44561</v>
      </c>
      <c r="J33" s="514"/>
      <c r="K33" s="347"/>
      <c r="L33" s="347">
        <f t="shared" si="1"/>
        <v>0</v>
      </c>
      <c r="M33" s="306"/>
      <c r="N33" s="306">
        <f t="shared" si="2"/>
        <v>0</v>
      </c>
      <c r="O33" s="306"/>
      <c r="P33" s="506" t="str">
        <f t="shared" si="3"/>
        <v>N/A</v>
      </c>
      <c r="Q33" s="522">
        <f t="shared" si="4"/>
        <v>1.2</v>
      </c>
      <c r="R33" s="529" t="str">
        <f t="shared" si="5"/>
        <v>Sobresaliente</v>
      </c>
      <c r="T33" s="500" t="s">
        <v>390</v>
      </c>
    </row>
    <row r="34" spans="1:20" x14ac:dyDescent="0.25">
      <c r="A34" s="482" t="s">
        <v>188</v>
      </c>
      <c r="B34" s="297" t="s">
        <v>20</v>
      </c>
      <c r="C34" s="285" t="s">
        <v>261</v>
      </c>
      <c r="D34" s="305">
        <v>6.3799999999999996E-2</v>
      </c>
      <c r="E34" s="305">
        <v>6.0999999999999999E-2</v>
      </c>
      <c r="F34" s="478">
        <v>253993</v>
      </c>
      <c r="G34" s="80">
        <f>+E34/D34</f>
        <v>0.9561128526645768</v>
      </c>
      <c r="H34" s="292" t="str">
        <f>+IF(G34&lt;79.99999%,"Incumple",IF(AND(G34&gt;=80%,G34&lt;94.999999%),"Tolerable",IF(AND(G34&gt;=95%,G34&lt;100%),"Satisfactorio","Sobresaliente")))</f>
        <v>Satisfactorio</v>
      </c>
      <c r="I34" s="514">
        <v>44561</v>
      </c>
      <c r="J34" s="514" t="s">
        <v>126</v>
      </c>
      <c r="K34" s="346">
        <v>6.3799999999999996E-2</v>
      </c>
      <c r="L34" s="547">
        <f t="shared" ref="L34:L155" si="10">+K34*100</f>
        <v>6.38</v>
      </c>
      <c r="M34" s="249">
        <v>6.0999999999999999E-2</v>
      </c>
      <c r="N34" s="555">
        <f t="shared" ref="N34:N155" si="11">+M34*100</f>
        <v>6.1</v>
      </c>
      <c r="O34" s="507" t="s">
        <v>114</v>
      </c>
      <c r="P34" s="506">
        <f t="shared" ref="P34:P180" si="12">+IFERROR(IF(O34="Creciente",IF(AND(M34&lt;0,K34&lt;0),1-(M34-K34)/K34,IF(M34&lt;0,M34/K34,IF(K34&lt;0,1+((M34-K34)/M34),M34/K34))),IF(AND(M34&lt;0,K34&lt;0),(K34*-1)/(M34*-1),IF(M34&lt;0,(M34-K34)/M34,IF(K34&lt;0,-1+(M34-K34)/K34,IF(O34="Decreciente",1+(K34-M34)/K34,M34/K34))))),"N/A")</f>
        <v>0.9561128526645768</v>
      </c>
      <c r="Q34" s="522">
        <f t="shared" si="4"/>
        <v>0.9561128526645768</v>
      </c>
      <c r="R34" s="529" t="str">
        <f t="shared" si="5"/>
        <v>Satisfactorio</v>
      </c>
    </row>
    <row r="35" spans="1:20" x14ac:dyDescent="0.25">
      <c r="A35" s="482" t="s">
        <v>198</v>
      </c>
      <c r="B35" s="297" t="s">
        <v>206</v>
      </c>
      <c r="C35" s="285" t="s">
        <v>261</v>
      </c>
      <c r="D35" s="310">
        <v>0.8</v>
      </c>
      <c r="E35" s="305">
        <v>0.80500000000000005</v>
      </c>
      <c r="F35" s="311" t="s">
        <v>28</v>
      </c>
      <c r="G35" s="80">
        <f>+E35/D35</f>
        <v>1.0062500000000001</v>
      </c>
      <c r="H35" s="292" t="str">
        <f>+IF(G35&lt;79.99999%,"Incumple",IF(AND(G35&gt;=80%,G35&lt;94.999999%),"Tolerable",IF(AND(G35&gt;=95%,G35&lt;100%),"Satisfactorio","Sobresaliente")))</f>
        <v>Sobresaliente</v>
      </c>
      <c r="I35" s="514">
        <v>44561</v>
      </c>
      <c r="J35" s="514" t="s">
        <v>164</v>
      </c>
      <c r="K35" s="347">
        <v>0.8</v>
      </c>
      <c r="L35" s="544">
        <f t="shared" si="10"/>
        <v>80</v>
      </c>
      <c r="M35" s="306">
        <v>0.80510000000000004</v>
      </c>
      <c r="N35" s="553">
        <f t="shared" si="11"/>
        <v>80.510000000000005</v>
      </c>
      <c r="O35" s="507" t="s">
        <v>114</v>
      </c>
      <c r="P35" s="506">
        <f t="shared" si="12"/>
        <v>1.006375</v>
      </c>
      <c r="Q35" s="522">
        <f t="shared" si="4"/>
        <v>1.006375</v>
      </c>
      <c r="R35" s="529" t="str">
        <f t="shared" si="5"/>
        <v>Sobresaliente</v>
      </c>
      <c r="S35" s="500" t="s">
        <v>398</v>
      </c>
    </row>
    <row r="36" spans="1:20" x14ac:dyDescent="0.25">
      <c r="A36" s="482" t="s">
        <v>198</v>
      </c>
      <c r="B36" s="297" t="s">
        <v>199</v>
      </c>
      <c r="C36" s="285" t="s">
        <v>260</v>
      </c>
      <c r="D36" s="310">
        <v>0.15</v>
      </c>
      <c r="E36" s="305">
        <v>0.159</v>
      </c>
      <c r="F36" s="477">
        <v>518665</v>
      </c>
      <c r="G36" s="80">
        <f>+E36/D36</f>
        <v>1.06</v>
      </c>
      <c r="H36" s="292" t="str">
        <f>+IF(G36&lt;79.99999%,"Incumple",IF(AND(G36&gt;=80%,G36&lt;94.999999%),"Tolerable",IF(AND(G36&gt;=95%,G36&lt;100%),"Satisfactorio","Sobresaliente")))</f>
        <v>Sobresaliente</v>
      </c>
      <c r="I36" s="514">
        <v>44561</v>
      </c>
      <c r="J36" s="514" t="s">
        <v>164</v>
      </c>
      <c r="K36" s="347">
        <v>0.15</v>
      </c>
      <c r="L36" s="544">
        <f t="shared" si="10"/>
        <v>15</v>
      </c>
      <c r="M36" s="306">
        <v>0.15939999999999999</v>
      </c>
      <c r="N36" s="553">
        <f t="shared" si="11"/>
        <v>15.939999999999998</v>
      </c>
      <c r="O36" s="507" t="s">
        <v>114</v>
      </c>
      <c r="P36" s="506">
        <f t="shared" si="12"/>
        <v>1.0626666666666666</v>
      </c>
      <c r="Q36" s="522">
        <f t="shared" si="4"/>
        <v>1.0626666666666666</v>
      </c>
      <c r="R36" s="529" t="str">
        <f t="shared" si="5"/>
        <v>Sobresaliente</v>
      </c>
      <c r="S36" s="500" t="s">
        <v>398</v>
      </c>
    </row>
    <row r="37" spans="1:20" x14ac:dyDescent="0.25">
      <c r="A37" s="482" t="s">
        <v>198</v>
      </c>
      <c r="B37" s="297" t="s">
        <v>203</v>
      </c>
      <c r="C37" s="285" t="s">
        <v>261</v>
      </c>
      <c r="D37" s="311" t="s">
        <v>28</v>
      </c>
      <c r="E37" s="311" t="s">
        <v>28</v>
      </c>
      <c r="F37" s="311" t="s">
        <v>28</v>
      </c>
      <c r="G37" s="285" t="s">
        <v>28</v>
      </c>
      <c r="H37" s="285" t="s">
        <v>28</v>
      </c>
      <c r="I37" s="514">
        <v>44561</v>
      </c>
      <c r="J37" s="514"/>
      <c r="K37" s="348"/>
      <c r="L37" s="542">
        <f t="shared" si="10"/>
        <v>0</v>
      </c>
      <c r="N37" s="291">
        <f t="shared" si="11"/>
        <v>0</v>
      </c>
      <c r="P37" s="506" t="str">
        <f t="shared" si="12"/>
        <v>N/A</v>
      </c>
      <c r="Q37" s="522">
        <f t="shared" si="4"/>
        <v>1.2</v>
      </c>
      <c r="R37" s="529" t="str">
        <f t="shared" si="5"/>
        <v>Sobresaliente</v>
      </c>
    </row>
    <row r="38" spans="1:20" x14ac:dyDescent="0.25">
      <c r="A38" s="482" t="s">
        <v>209</v>
      </c>
      <c r="B38" s="297" t="s">
        <v>210</v>
      </c>
      <c r="C38" s="285" t="s">
        <v>261</v>
      </c>
      <c r="D38" s="310">
        <v>0.3</v>
      </c>
      <c r="E38" s="305">
        <v>0.32300000000000001</v>
      </c>
      <c r="F38" s="311" t="s">
        <v>28</v>
      </c>
      <c r="G38" s="80">
        <f>+D38/E38</f>
        <v>0.92879256965944268</v>
      </c>
      <c r="H38" s="292" t="str">
        <f>+IF(G38&lt;79.99999%,"Incumple",IF(AND(G38&gt;=80%,G38&lt;94.999999%),"Tolerable",IF(AND(G38&gt;=95%,G38&lt;100%),"Satisfactorio","Sobresaliente")))</f>
        <v>Tolerable</v>
      </c>
      <c r="I38" s="514">
        <v>44561</v>
      </c>
      <c r="J38" s="514" t="s">
        <v>409</v>
      </c>
      <c r="K38" s="347">
        <v>0.3</v>
      </c>
      <c r="L38" s="544">
        <f t="shared" si="10"/>
        <v>30</v>
      </c>
      <c r="M38" s="306">
        <v>0.32300000000000001</v>
      </c>
      <c r="N38" s="553">
        <f t="shared" si="11"/>
        <v>32.300000000000004</v>
      </c>
      <c r="O38" s="507" t="s">
        <v>116</v>
      </c>
      <c r="P38" s="506">
        <f t="shared" si="12"/>
        <v>0.92333333333333323</v>
      </c>
      <c r="Q38" s="522">
        <f t="shared" si="4"/>
        <v>0.92333333333333323</v>
      </c>
      <c r="R38" s="529" t="str">
        <f t="shared" si="5"/>
        <v>Tolerable</v>
      </c>
    </row>
    <row r="39" spans="1:20" x14ac:dyDescent="0.25">
      <c r="A39" s="482" t="s">
        <v>209</v>
      </c>
      <c r="B39" s="297" t="s">
        <v>215</v>
      </c>
      <c r="C39" s="285" t="s">
        <v>261</v>
      </c>
      <c r="D39" s="311" t="s">
        <v>28</v>
      </c>
      <c r="E39" s="311" t="s">
        <v>28</v>
      </c>
      <c r="F39" s="311" t="s">
        <v>28</v>
      </c>
      <c r="G39" s="285" t="s">
        <v>28</v>
      </c>
      <c r="H39" s="285" t="s">
        <v>28</v>
      </c>
      <c r="I39" s="514">
        <v>44561</v>
      </c>
      <c r="J39" s="514" t="s">
        <v>294</v>
      </c>
      <c r="K39" s="347">
        <v>4.5999999999999999E-2</v>
      </c>
      <c r="L39" s="544">
        <f t="shared" si="10"/>
        <v>4.5999999999999996</v>
      </c>
      <c r="M39" s="306">
        <v>4.6699999999999998E-2</v>
      </c>
      <c r="N39" s="553">
        <f t="shared" si="11"/>
        <v>4.67</v>
      </c>
      <c r="O39" s="507" t="s">
        <v>114</v>
      </c>
      <c r="P39" s="506">
        <f t="shared" si="12"/>
        <v>1.0152173913043478</v>
      </c>
      <c r="Q39" s="522">
        <f t="shared" si="4"/>
        <v>1.0152173913043478</v>
      </c>
      <c r="R39" s="529" t="str">
        <f t="shared" si="5"/>
        <v>Sobresaliente</v>
      </c>
    </row>
    <row r="40" spans="1:20" x14ac:dyDescent="0.25">
      <c r="A40" s="525" t="s">
        <v>209</v>
      </c>
      <c r="B40" s="341" t="s">
        <v>391</v>
      </c>
      <c r="C40" s="285" t="s">
        <v>261</v>
      </c>
      <c r="D40" s="311">
        <v>4.7</v>
      </c>
      <c r="E40" s="311">
        <v>4.7</v>
      </c>
      <c r="F40" s="311" t="s">
        <v>28</v>
      </c>
      <c r="G40" s="80">
        <f>+E40/D40</f>
        <v>1</v>
      </c>
      <c r="H40" s="292" t="str">
        <f>+IF(G40&lt;79.99999%,"Incumple",IF(AND(G40&gt;=80%,G40&lt;94.999999%),"Tolerable",IF(AND(G40&gt;=95%,G40&lt;100%),"Satisfactorio","Sobresaliente")))</f>
        <v>Sobresaliente</v>
      </c>
      <c r="I40" s="514">
        <v>44561</v>
      </c>
      <c r="J40" s="514" t="s">
        <v>409</v>
      </c>
      <c r="K40" s="347">
        <v>4.7E-2</v>
      </c>
      <c r="L40" s="544">
        <f t="shared" si="10"/>
        <v>4.7</v>
      </c>
      <c r="M40" s="306">
        <v>4.7E-2</v>
      </c>
      <c r="N40" s="553">
        <f t="shared" si="11"/>
        <v>4.7</v>
      </c>
      <c r="O40" s="507" t="s">
        <v>114</v>
      </c>
      <c r="P40" s="506">
        <f t="shared" si="12"/>
        <v>1</v>
      </c>
      <c r="Q40" s="522">
        <f t="shared" si="4"/>
        <v>1</v>
      </c>
      <c r="R40" s="529" t="str">
        <f t="shared" si="5"/>
        <v>Sobresaliente</v>
      </c>
    </row>
    <row r="41" spans="1:20" x14ac:dyDescent="0.25">
      <c r="A41" s="482" t="s">
        <v>209</v>
      </c>
      <c r="B41" s="297" t="s">
        <v>212</v>
      </c>
      <c r="C41" s="285" t="s">
        <v>261</v>
      </c>
      <c r="D41" s="311" t="s">
        <v>28</v>
      </c>
      <c r="E41" s="311" t="s">
        <v>28</v>
      </c>
      <c r="F41" s="311" t="s">
        <v>28</v>
      </c>
      <c r="G41" s="285" t="s">
        <v>28</v>
      </c>
      <c r="H41" s="285" t="s">
        <v>28</v>
      </c>
      <c r="I41" s="514">
        <v>44561</v>
      </c>
      <c r="J41" s="514"/>
      <c r="K41" s="351"/>
      <c r="L41" s="543">
        <f t="shared" si="10"/>
        <v>0</v>
      </c>
      <c r="N41" s="291">
        <f t="shared" si="11"/>
        <v>0</v>
      </c>
      <c r="P41" s="506" t="str">
        <f t="shared" si="12"/>
        <v>N/A</v>
      </c>
      <c r="Q41" s="522">
        <f t="shared" si="4"/>
        <v>1.2</v>
      </c>
      <c r="R41" s="529" t="str">
        <f t="shared" si="5"/>
        <v>Sobresaliente</v>
      </c>
      <c r="T41" s="500" t="s">
        <v>392</v>
      </c>
    </row>
    <row r="42" spans="1:20" x14ac:dyDescent="0.25">
      <c r="A42" s="482" t="s">
        <v>209</v>
      </c>
      <c r="B42" s="297" t="s">
        <v>213</v>
      </c>
      <c r="C42" s="285" t="s">
        <v>261</v>
      </c>
      <c r="D42" s="311" t="s">
        <v>28</v>
      </c>
      <c r="E42" s="311" t="s">
        <v>28</v>
      </c>
      <c r="F42" s="311" t="s">
        <v>28</v>
      </c>
      <c r="G42" s="285" t="s">
        <v>28</v>
      </c>
      <c r="H42" s="285" t="s">
        <v>28</v>
      </c>
      <c r="I42" s="514">
        <v>44561</v>
      </c>
      <c r="J42" s="514"/>
      <c r="K42" s="351"/>
      <c r="L42" s="543">
        <f t="shared" si="10"/>
        <v>0</v>
      </c>
      <c r="N42" s="291">
        <f t="shared" si="11"/>
        <v>0</v>
      </c>
      <c r="P42" s="506" t="str">
        <f t="shared" si="12"/>
        <v>N/A</v>
      </c>
      <c r="Q42" s="522">
        <f t="shared" si="4"/>
        <v>1.2</v>
      </c>
      <c r="R42" s="529" t="str">
        <f t="shared" si="5"/>
        <v>Sobresaliente</v>
      </c>
      <c r="T42" s="500" t="s">
        <v>392</v>
      </c>
    </row>
    <row r="43" spans="1:20" x14ac:dyDescent="0.25">
      <c r="A43" s="482" t="s">
        <v>209</v>
      </c>
      <c r="B43" s="297" t="s">
        <v>214</v>
      </c>
      <c r="C43" s="285" t="s">
        <v>261</v>
      </c>
      <c r="D43" s="316">
        <v>4.5999999999999996</v>
      </c>
      <c r="E43" s="311">
        <v>4.67</v>
      </c>
      <c r="F43" s="311" t="s">
        <v>28</v>
      </c>
      <c r="G43" s="80">
        <f>+E43/D43</f>
        <v>1.0152173913043478</v>
      </c>
      <c r="H43" s="292" t="str">
        <f>+IF(G43&lt;79.99999%,"Incumple",IF(AND(G43&gt;=80%,G43&lt;94.999999%),"Tolerable",IF(AND(G43&gt;=95%,G43&lt;100%),"Satisfactorio","Sobresaliente")))</f>
        <v>Sobresaliente</v>
      </c>
      <c r="I43" s="514">
        <v>44561</v>
      </c>
      <c r="J43" s="514"/>
      <c r="K43" s="353"/>
      <c r="L43" s="541">
        <f t="shared" si="10"/>
        <v>0</v>
      </c>
      <c r="N43" s="291">
        <f t="shared" si="11"/>
        <v>0</v>
      </c>
      <c r="P43" s="506" t="str">
        <f t="shared" si="12"/>
        <v>N/A</v>
      </c>
      <c r="Q43" s="522">
        <f t="shared" si="4"/>
        <v>1.2</v>
      </c>
      <c r="R43" s="529" t="str">
        <f t="shared" si="5"/>
        <v>Sobresaliente</v>
      </c>
      <c r="T43" s="500" t="s">
        <v>392</v>
      </c>
    </row>
    <row r="44" spans="1:20" x14ac:dyDescent="0.25">
      <c r="A44" s="482" t="s">
        <v>216</v>
      </c>
      <c r="B44" s="297" t="s">
        <v>217</v>
      </c>
      <c r="C44" s="285" t="s">
        <v>261</v>
      </c>
      <c r="D44" s="311" t="s">
        <v>28</v>
      </c>
      <c r="E44" s="311" t="s">
        <v>28</v>
      </c>
      <c r="F44" s="309" t="s">
        <v>28</v>
      </c>
      <c r="G44" s="285" t="s">
        <v>28</v>
      </c>
      <c r="H44" s="285" t="s">
        <v>28</v>
      </c>
      <c r="I44" s="514">
        <v>44561</v>
      </c>
      <c r="J44" s="514" t="s">
        <v>410</v>
      </c>
      <c r="K44" s="347">
        <v>0</v>
      </c>
      <c r="L44" s="544">
        <f t="shared" si="10"/>
        <v>0</v>
      </c>
      <c r="M44" s="306">
        <v>0</v>
      </c>
      <c r="N44" s="553">
        <f t="shared" si="11"/>
        <v>0</v>
      </c>
      <c r="O44" s="507" t="s">
        <v>114</v>
      </c>
      <c r="P44" s="506" t="str">
        <f t="shared" si="12"/>
        <v>N/A</v>
      </c>
      <c r="Q44" s="522">
        <f t="shared" si="4"/>
        <v>1.2</v>
      </c>
      <c r="R44" s="529" t="str">
        <f t="shared" si="5"/>
        <v>Sobresaliente</v>
      </c>
      <c r="S44" s="500" t="s">
        <v>400</v>
      </c>
    </row>
    <row r="45" spans="1:20" x14ac:dyDescent="0.25">
      <c r="A45" s="482" t="s">
        <v>218</v>
      </c>
      <c r="B45" s="297" t="s">
        <v>219</v>
      </c>
      <c r="C45" s="285" t="s">
        <v>261</v>
      </c>
      <c r="D45" s="310">
        <v>0.9</v>
      </c>
      <c r="E45" s="305">
        <v>0.91500000000000004</v>
      </c>
      <c r="F45" s="477">
        <v>2965</v>
      </c>
      <c r="G45" s="80">
        <f>+E45/D45</f>
        <v>1.0166666666666666</v>
      </c>
      <c r="H45" s="292" t="str">
        <f>+IF(G45&lt;79.99999%,"Incumple",IF(AND(G45&gt;=80%,G45&lt;94.999999%),"Tolerable",IF(AND(G45&gt;=95%,G45&lt;100%),"Satisfactorio","Sobresaliente")))</f>
        <v>Sobresaliente</v>
      </c>
      <c r="I45" s="514">
        <v>44561</v>
      </c>
      <c r="J45" s="514" t="s">
        <v>164</v>
      </c>
      <c r="K45" s="347">
        <v>0.9</v>
      </c>
      <c r="L45" s="544">
        <f t="shared" si="10"/>
        <v>90</v>
      </c>
      <c r="M45" s="306">
        <v>0.91500000000000004</v>
      </c>
      <c r="N45" s="553">
        <f t="shared" si="11"/>
        <v>91.5</v>
      </c>
      <c r="O45" s="507" t="s">
        <v>114</v>
      </c>
      <c r="P45" s="506">
        <f t="shared" si="12"/>
        <v>1.0166666666666666</v>
      </c>
      <c r="Q45" s="522">
        <f t="shared" si="4"/>
        <v>1.0166666666666666</v>
      </c>
      <c r="R45" s="529" t="str">
        <f t="shared" si="5"/>
        <v>Sobresaliente</v>
      </c>
      <c r="S45" s="500" t="s">
        <v>398</v>
      </c>
    </row>
    <row r="46" spans="1:20" x14ac:dyDescent="0.25">
      <c r="A46" s="482" t="s">
        <v>159</v>
      </c>
      <c r="B46" s="297" t="s">
        <v>419</v>
      </c>
      <c r="C46" s="285" t="s">
        <v>260</v>
      </c>
      <c r="D46" s="310" t="s">
        <v>28</v>
      </c>
      <c r="E46" s="310" t="s">
        <v>28</v>
      </c>
      <c r="F46" s="310" t="s">
        <v>28</v>
      </c>
      <c r="G46" s="80">
        <v>0</v>
      </c>
      <c r="H46" s="292"/>
      <c r="I46" s="514">
        <v>44592</v>
      </c>
      <c r="J46" s="514" t="s">
        <v>126</v>
      </c>
      <c r="K46" s="347">
        <v>0.06</v>
      </c>
      <c r="L46" s="548">
        <f t="shared" ref="L46:L77" si="13">+K46*100</f>
        <v>6</v>
      </c>
      <c r="M46" s="588">
        <v>9.98E-2</v>
      </c>
      <c r="N46" s="589">
        <f t="shared" ref="N46:N77" si="14">+M46*100</f>
        <v>9.98</v>
      </c>
      <c r="O46" s="507" t="s">
        <v>114</v>
      </c>
      <c r="P46" s="506">
        <f t="shared" ref="P46:P77" si="15">+IFERROR(IF(O46="Creciente",IF(AND(M46&lt;0,K46&lt;0),1-(M46-K46)/K46,IF(M46&lt;0,M46/K46,IF(K46&lt;0,1+((M46-K46)/M46),M46/K46))),IF(AND(M46&lt;0,K46&lt;0),(K46*-1)/(M46*-1),IF(M46&lt;0,(M46-K46)/M46,IF(K46&lt;0,-1+(M46-K46)/K46,IF(O46="Decreciente",1+(K46-M46)/K46,M46/K46))))),"N/A")</f>
        <v>1.6633333333333333</v>
      </c>
      <c r="Q46" s="522">
        <f t="shared" ref="Q46:Q77" si="16">+IF(P46&lt;0,0%,IF(P46&gt;120%,120%,P46))</f>
        <v>1.2</v>
      </c>
      <c r="R46" s="529" t="str">
        <f t="shared" ref="R46:R77" si="17">+IF(Q46&lt;79.99999%,"Incumple",IF(AND(Q46&gt;=80%,Q46&lt;94.999999%),"Tolerable",IF(AND(Q46&gt;=95%,Q46&lt;100%),"Satisfactorio","Sobresaliente")))</f>
        <v>Sobresaliente</v>
      </c>
    </row>
    <row r="47" spans="1:20" x14ac:dyDescent="0.25">
      <c r="A47" s="482" t="s">
        <v>159</v>
      </c>
      <c r="B47" s="297" t="s">
        <v>417</v>
      </c>
      <c r="C47" s="285" t="s">
        <v>261</v>
      </c>
      <c r="D47" s="310" t="s">
        <v>28</v>
      </c>
      <c r="E47" s="310" t="s">
        <v>28</v>
      </c>
      <c r="F47" s="310" t="s">
        <v>28</v>
      </c>
      <c r="G47" s="80">
        <v>0</v>
      </c>
      <c r="H47" s="292"/>
      <c r="I47" s="514">
        <v>44592</v>
      </c>
      <c r="J47" s="514" t="s">
        <v>126</v>
      </c>
      <c r="K47" s="347">
        <v>1</v>
      </c>
      <c r="L47" s="548">
        <f t="shared" si="13"/>
        <v>100</v>
      </c>
      <c r="M47" s="588">
        <v>1</v>
      </c>
      <c r="N47" s="589">
        <f t="shared" si="14"/>
        <v>100</v>
      </c>
      <c r="O47" s="507" t="s">
        <v>114</v>
      </c>
      <c r="P47" s="506">
        <f t="shared" si="15"/>
        <v>1</v>
      </c>
      <c r="Q47" s="522">
        <f t="shared" si="16"/>
        <v>1</v>
      </c>
      <c r="R47" s="529" t="str">
        <f t="shared" si="17"/>
        <v>Sobresaliente</v>
      </c>
    </row>
    <row r="48" spans="1:20" ht="36" customHeight="1" x14ac:dyDescent="0.25">
      <c r="A48" s="482" t="s">
        <v>159</v>
      </c>
      <c r="B48" s="297" t="s">
        <v>418</v>
      </c>
      <c r="C48" s="285" t="s">
        <v>260</v>
      </c>
      <c r="D48" s="310" t="s">
        <v>28</v>
      </c>
      <c r="E48" s="310" t="s">
        <v>28</v>
      </c>
      <c r="F48" s="310" t="s">
        <v>28</v>
      </c>
      <c r="G48" s="80">
        <v>0</v>
      </c>
      <c r="H48" s="292"/>
      <c r="I48" s="514">
        <v>44592</v>
      </c>
      <c r="J48" s="514" t="s">
        <v>126</v>
      </c>
      <c r="K48" s="347">
        <v>0.90439999999999998</v>
      </c>
      <c r="L48" s="548">
        <f t="shared" si="13"/>
        <v>90.44</v>
      </c>
      <c r="M48" s="588">
        <v>0.87880000000000003</v>
      </c>
      <c r="N48" s="589">
        <f t="shared" si="14"/>
        <v>87.88</v>
      </c>
      <c r="O48" s="507" t="s">
        <v>116</v>
      </c>
      <c r="P48" s="506">
        <f t="shared" si="15"/>
        <v>1.0283060592658115</v>
      </c>
      <c r="Q48" s="522">
        <f t="shared" si="16"/>
        <v>1.0283060592658115</v>
      </c>
      <c r="R48" s="529" t="str">
        <f t="shared" si="17"/>
        <v>Sobresaliente</v>
      </c>
    </row>
    <row r="49" spans="1:18" x14ac:dyDescent="0.25">
      <c r="A49" s="482" t="s">
        <v>159</v>
      </c>
      <c r="B49" s="297" t="s">
        <v>143</v>
      </c>
      <c r="C49" s="285" t="s">
        <v>261</v>
      </c>
      <c r="D49" s="310" t="s">
        <v>28</v>
      </c>
      <c r="E49" s="310" t="s">
        <v>28</v>
      </c>
      <c r="F49" s="310" t="s">
        <v>28</v>
      </c>
      <c r="G49" s="80">
        <v>0</v>
      </c>
      <c r="H49" s="292"/>
      <c r="I49" s="514">
        <v>44592</v>
      </c>
      <c r="J49" s="514" t="s">
        <v>126</v>
      </c>
      <c r="K49" s="347">
        <v>0.5</v>
      </c>
      <c r="L49" s="548">
        <f t="shared" si="13"/>
        <v>50</v>
      </c>
      <c r="M49" s="588">
        <v>0.44209999999999999</v>
      </c>
      <c r="N49" s="589">
        <f t="shared" si="14"/>
        <v>44.21</v>
      </c>
      <c r="O49" s="507" t="s">
        <v>116</v>
      </c>
      <c r="P49" s="506">
        <f t="shared" si="15"/>
        <v>1.1158000000000001</v>
      </c>
      <c r="Q49" s="522">
        <f t="shared" si="16"/>
        <v>1.1158000000000001</v>
      </c>
      <c r="R49" s="529" t="str">
        <f t="shared" si="17"/>
        <v>Sobresaliente</v>
      </c>
    </row>
    <row r="50" spans="1:18" x14ac:dyDescent="0.25">
      <c r="A50" s="482" t="s">
        <v>159</v>
      </c>
      <c r="B50" s="297" t="s">
        <v>144</v>
      </c>
      <c r="C50" s="285" t="s">
        <v>261</v>
      </c>
      <c r="D50" s="310" t="s">
        <v>28</v>
      </c>
      <c r="E50" s="310" t="s">
        <v>28</v>
      </c>
      <c r="F50" s="310" t="s">
        <v>28</v>
      </c>
      <c r="G50" s="80">
        <v>0</v>
      </c>
      <c r="H50" s="292"/>
      <c r="I50" s="514">
        <v>44592</v>
      </c>
      <c r="J50" s="514" t="s">
        <v>126</v>
      </c>
      <c r="K50" s="347">
        <v>1.1599999999999999E-2</v>
      </c>
      <c r="L50" s="548">
        <f t="shared" si="13"/>
        <v>1.1599999999999999</v>
      </c>
      <c r="M50" s="588">
        <v>1.15E-2</v>
      </c>
      <c r="N50" s="589">
        <f t="shared" si="14"/>
        <v>1.1499999999999999</v>
      </c>
      <c r="O50" s="507" t="s">
        <v>114</v>
      </c>
      <c r="P50" s="506">
        <f t="shared" si="15"/>
        <v>0.99137931034482762</v>
      </c>
      <c r="Q50" s="522">
        <f t="shared" si="16"/>
        <v>0.99137931034482762</v>
      </c>
      <c r="R50" s="529" t="str">
        <f t="shared" si="17"/>
        <v>Satisfactorio</v>
      </c>
    </row>
    <row r="51" spans="1:18" x14ac:dyDescent="0.25">
      <c r="A51" s="482" t="s">
        <v>159</v>
      </c>
      <c r="B51" s="297" t="s">
        <v>147</v>
      </c>
      <c r="C51" s="285" t="s">
        <v>261</v>
      </c>
      <c r="D51" s="310" t="s">
        <v>28</v>
      </c>
      <c r="E51" s="310" t="s">
        <v>28</v>
      </c>
      <c r="F51" s="310" t="s">
        <v>28</v>
      </c>
      <c r="G51" s="80">
        <v>0</v>
      </c>
      <c r="H51" s="292"/>
      <c r="I51" s="514">
        <v>44592</v>
      </c>
      <c r="J51" s="514" t="s">
        <v>126</v>
      </c>
      <c r="K51" s="347">
        <v>-0.24859999999999999</v>
      </c>
      <c r="L51" s="548">
        <f t="shared" si="13"/>
        <v>-24.86</v>
      </c>
      <c r="M51" s="588">
        <v>0.1192</v>
      </c>
      <c r="N51" s="589">
        <f t="shared" si="14"/>
        <v>11.92</v>
      </c>
      <c r="O51" s="507" t="s">
        <v>114</v>
      </c>
      <c r="P51" s="506">
        <f t="shared" si="15"/>
        <v>4.0855704697986575</v>
      </c>
      <c r="Q51" s="522">
        <f t="shared" si="16"/>
        <v>1.2</v>
      </c>
      <c r="R51" s="529" t="str">
        <f t="shared" si="17"/>
        <v>Sobresaliente</v>
      </c>
    </row>
    <row r="52" spans="1:18" x14ac:dyDescent="0.25">
      <c r="A52" s="482" t="s">
        <v>159</v>
      </c>
      <c r="B52" s="297" t="s">
        <v>146</v>
      </c>
      <c r="C52" s="285" t="s">
        <v>261</v>
      </c>
      <c r="D52" s="310" t="s">
        <v>28</v>
      </c>
      <c r="E52" s="310" t="s">
        <v>28</v>
      </c>
      <c r="F52" s="310" t="s">
        <v>28</v>
      </c>
      <c r="G52" s="80">
        <v>0</v>
      </c>
      <c r="H52" s="292"/>
      <c r="I52" s="514">
        <v>44592</v>
      </c>
      <c r="J52" s="514" t="s">
        <v>126</v>
      </c>
      <c r="K52" s="347">
        <v>0.74039999999999995</v>
      </c>
      <c r="L52" s="548">
        <f t="shared" si="13"/>
        <v>74.039999999999992</v>
      </c>
      <c r="M52" s="588">
        <v>0.70050000000000001</v>
      </c>
      <c r="N52" s="589">
        <f t="shared" si="14"/>
        <v>70.05</v>
      </c>
      <c r="O52" s="507" t="s">
        <v>116</v>
      </c>
      <c r="P52" s="506">
        <f t="shared" si="15"/>
        <v>1.0538897893030794</v>
      </c>
      <c r="Q52" s="522">
        <f t="shared" si="16"/>
        <v>1.0538897893030794</v>
      </c>
      <c r="R52" s="529" t="str">
        <f t="shared" si="17"/>
        <v>Sobresaliente</v>
      </c>
    </row>
    <row r="53" spans="1:18" x14ac:dyDescent="0.25">
      <c r="A53" s="482" t="s">
        <v>159</v>
      </c>
      <c r="B53" s="297" t="s">
        <v>145</v>
      </c>
      <c r="C53" s="285" t="s">
        <v>261</v>
      </c>
      <c r="D53" s="310" t="s">
        <v>28</v>
      </c>
      <c r="E53" s="310" t="s">
        <v>28</v>
      </c>
      <c r="F53" s="310" t="s">
        <v>28</v>
      </c>
      <c r="G53" s="80">
        <v>0</v>
      </c>
      <c r="H53" s="292"/>
      <c r="I53" s="514">
        <v>44592</v>
      </c>
      <c r="J53" s="514" t="s">
        <v>126</v>
      </c>
      <c r="K53" s="347">
        <v>1</v>
      </c>
      <c r="L53" s="548">
        <f t="shared" si="13"/>
        <v>100</v>
      </c>
      <c r="M53" s="588">
        <v>0.95789999999999997</v>
      </c>
      <c r="N53" s="589">
        <f t="shared" si="14"/>
        <v>95.789999999999992</v>
      </c>
      <c r="O53" s="507" t="s">
        <v>116</v>
      </c>
      <c r="P53" s="506">
        <f t="shared" si="15"/>
        <v>1.0421</v>
      </c>
      <c r="Q53" s="522">
        <f t="shared" si="16"/>
        <v>1.0421</v>
      </c>
      <c r="R53" s="529" t="str">
        <f t="shared" si="17"/>
        <v>Sobresaliente</v>
      </c>
    </row>
    <row r="54" spans="1:18" x14ac:dyDescent="0.25">
      <c r="A54" s="482" t="s">
        <v>159</v>
      </c>
      <c r="B54" s="297" t="s">
        <v>414</v>
      </c>
      <c r="C54" s="285" t="s">
        <v>261</v>
      </c>
      <c r="D54" s="310" t="s">
        <v>28</v>
      </c>
      <c r="E54" s="310" t="s">
        <v>28</v>
      </c>
      <c r="F54" s="310" t="s">
        <v>28</v>
      </c>
      <c r="G54" s="80">
        <v>0</v>
      </c>
      <c r="H54" s="292"/>
      <c r="I54" s="514">
        <v>44592</v>
      </c>
      <c r="J54" s="514" t="s">
        <v>126</v>
      </c>
      <c r="K54" s="347">
        <v>1</v>
      </c>
      <c r="L54" s="548">
        <f t="shared" si="13"/>
        <v>100</v>
      </c>
      <c r="M54" s="588">
        <v>0.84519999999999995</v>
      </c>
      <c r="N54" s="589">
        <f t="shared" si="14"/>
        <v>84.52</v>
      </c>
      <c r="O54" s="507" t="s">
        <v>116</v>
      </c>
      <c r="P54" s="506">
        <f t="shared" si="15"/>
        <v>1.1548</v>
      </c>
      <c r="Q54" s="522">
        <f t="shared" si="16"/>
        <v>1.1548</v>
      </c>
      <c r="R54" s="529" t="str">
        <f t="shared" si="17"/>
        <v>Sobresaliente</v>
      </c>
    </row>
    <row r="55" spans="1:18" x14ac:dyDescent="0.25">
      <c r="A55" s="482" t="s">
        <v>158</v>
      </c>
      <c r="B55" s="297" t="s">
        <v>420</v>
      </c>
      <c r="C55" s="285" t="s">
        <v>260</v>
      </c>
      <c r="D55" s="310" t="s">
        <v>28</v>
      </c>
      <c r="E55" s="310" t="s">
        <v>28</v>
      </c>
      <c r="F55" s="310" t="s">
        <v>28</v>
      </c>
      <c r="G55" s="80">
        <v>0</v>
      </c>
      <c r="H55" s="292"/>
      <c r="I55" s="514">
        <v>44592</v>
      </c>
      <c r="J55" s="514" t="s">
        <v>126</v>
      </c>
      <c r="K55" s="347">
        <v>0.2306</v>
      </c>
      <c r="L55" s="548">
        <f t="shared" si="13"/>
        <v>23.06</v>
      </c>
      <c r="M55" s="588">
        <v>0.60750000000000004</v>
      </c>
      <c r="N55" s="589">
        <f t="shared" si="14"/>
        <v>60.750000000000007</v>
      </c>
      <c r="O55" s="507" t="s">
        <v>114</v>
      </c>
      <c r="P55" s="506">
        <f t="shared" si="15"/>
        <v>2.6344319167389423</v>
      </c>
      <c r="Q55" s="522">
        <f t="shared" si="16"/>
        <v>1.2</v>
      </c>
      <c r="R55" s="529" t="str">
        <f t="shared" si="17"/>
        <v>Sobresaliente</v>
      </c>
    </row>
    <row r="56" spans="1:18" x14ac:dyDescent="0.25">
      <c r="A56" s="482" t="s">
        <v>158</v>
      </c>
      <c r="B56" s="297" t="s">
        <v>150</v>
      </c>
      <c r="C56" s="285" t="s">
        <v>261</v>
      </c>
      <c r="D56" s="310" t="s">
        <v>28</v>
      </c>
      <c r="E56" s="310" t="s">
        <v>28</v>
      </c>
      <c r="F56" s="310" t="s">
        <v>28</v>
      </c>
      <c r="G56" s="80">
        <v>0</v>
      </c>
      <c r="H56" s="292"/>
      <c r="I56" s="514">
        <v>44592</v>
      </c>
      <c r="J56" s="514" t="s">
        <v>126</v>
      </c>
      <c r="K56" s="347">
        <v>0.1002</v>
      </c>
      <c r="L56" s="548">
        <f t="shared" si="13"/>
        <v>10.02</v>
      </c>
      <c r="M56" s="588">
        <v>0.1013</v>
      </c>
      <c r="N56" s="589">
        <f t="shared" si="14"/>
        <v>10.130000000000001</v>
      </c>
      <c r="O56" s="507" t="s">
        <v>114</v>
      </c>
      <c r="P56" s="506">
        <f t="shared" si="15"/>
        <v>1.0109780439121756</v>
      </c>
      <c r="Q56" s="522">
        <f t="shared" si="16"/>
        <v>1.0109780439121756</v>
      </c>
      <c r="R56" s="529" t="str">
        <f t="shared" si="17"/>
        <v>Sobresaliente</v>
      </c>
    </row>
    <row r="57" spans="1:18" x14ac:dyDescent="0.25">
      <c r="A57" s="482" t="s">
        <v>158</v>
      </c>
      <c r="B57" s="297" t="s">
        <v>148</v>
      </c>
      <c r="C57" s="285" t="s">
        <v>261</v>
      </c>
      <c r="D57" s="310" t="s">
        <v>28</v>
      </c>
      <c r="E57" s="310" t="s">
        <v>28</v>
      </c>
      <c r="F57" s="310" t="s">
        <v>28</v>
      </c>
      <c r="G57" s="80">
        <v>0</v>
      </c>
      <c r="H57" s="292"/>
      <c r="I57" s="514">
        <v>44592</v>
      </c>
      <c r="J57" s="514" t="s">
        <v>126</v>
      </c>
      <c r="K57" s="347">
        <v>9.2200000000000004E-2</v>
      </c>
      <c r="L57" s="548">
        <f t="shared" si="13"/>
        <v>9.2200000000000006</v>
      </c>
      <c r="M57" s="588">
        <v>0.13830000000000001</v>
      </c>
      <c r="N57" s="589">
        <f t="shared" si="14"/>
        <v>13.83</v>
      </c>
      <c r="O57" s="507" t="s">
        <v>114</v>
      </c>
      <c r="P57" s="506">
        <f t="shared" si="15"/>
        <v>1.5</v>
      </c>
      <c r="Q57" s="522">
        <f t="shared" si="16"/>
        <v>1.2</v>
      </c>
      <c r="R57" s="529" t="str">
        <f t="shared" si="17"/>
        <v>Sobresaliente</v>
      </c>
    </row>
    <row r="58" spans="1:18" x14ac:dyDescent="0.25">
      <c r="A58" s="482" t="s">
        <v>158</v>
      </c>
      <c r="B58" s="297" t="s">
        <v>151</v>
      </c>
      <c r="C58" s="285" t="s">
        <v>261</v>
      </c>
      <c r="D58" s="310" t="s">
        <v>28</v>
      </c>
      <c r="E58" s="310" t="s">
        <v>28</v>
      </c>
      <c r="F58" s="310" t="s">
        <v>28</v>
      </c>
      <c r="G58" s="80">
        <v>0</v>
      </c>
      <c r="H58" s="292"/>
      <c r="I58" s="514">
        <v>44592</v>
      </c>
      <c r="J58" s="514" t="s">
        <v>126</v>
      </c>
      <c r="K58" s="347">
        <v>0.1203</v>
      </c>
      <c r="L58" s="548">
        <f t="shared" si="13"/>
        <v>12.030000000000001</v>
      </c>
      <c r="M58" s="588">
        <v>9.8599999999999993E-2</v>
      </c>
      <c r="N58" s="589">
        <f t="shared" si="14"/>
        <v>9.86</v>
      </c>
      <c r="O58" s="507" t="s">
        <v>114</v>
      </c>
      <c r="P58" s="506">
        <f t="shared" si="15"/>
        <v>0.81961762261014126</v>
      </c>
      <c r="Q58" s="522">
        <f t="shared" si="16"/>
        <v>0.81961762261014126</v>
      </c>
      <c r="R58" s="529" t="str">
        <f t="shared" si="17"/>
        <v>Tolerable</v>
      </c>
    </row>
    <row r="59" spans="1:18" x14ac:dyDescent="0.25">
      <c r="A59" s="482" t="s">
        <v>158</v>
      </c>
      <c r="B59" s="297" t="s">
        <v>421</v>
      </c>
      <c r="C59" s="285" t="s">
        <v>260</v>
      </c>
      <c r="D59" s="310" t="s">
        <v>28</v>
      </c>
      <c r="E59" s="310" t="s">
        <v>28</v>
      </c>
      <c r="F59" s="310" t="s">
        <v>28</v>
      </c>
      <c r="G59" s="80">
        <v>0</v>
      </c>
      <c r="H59" s="292"/>
      <c r="I59" s="514">
        <v>44592</v>
      </c>
      <c r="J59" s="514" t="s">
        <v>126</v>
      </c>
      <c r="K59" s="347">
        <v>-5.0000000000000001E-4</v>
      </c>
      <c r="L59" s="548">
        <f t="shared" si="13"/>
        <v>-0.05</v>
      </c>
      <c r="M59" s="588">
        <v>1.6999999999999999E-3</v>
      </c>
      <c r="N59" s="589">
        <f t="shared" si="14"/>
        <v>0.16999999999999998</v>
      </c>
      <c r="O59" s="507" t="s">
        <v>114</v>
      </c>
      <c r="P59" s="506">
        <f t="shared" si="15"/>
        <v>2.2941176470588234</v>
      </c>
      <c r="Q59" s="522">
        <f t="shared" si="16"/>
        <v>1.2</v>
      </c>
      <c r="R59" s="529" t="str">
        <f t="shared" si="17"/>
        <v>Sobresaliente</v>
      </c>
    </row>
    <row r="60" spans="1:18" x14ac:dyDescent="0.25">
      <c r="A60" s="482" t="s">
        <v>158</v>
      </c>
      <c r="B60" s="297" t="s">
        <v>155</v>
      </c>
      <c r="C60" s="285" t="s">
        <v>261</v>
      </c>
      <c r="D60" s="310" t="s">
        <v>28</v>
      </c>
      <c r="E60" s="310" t="s">
        <v>28</v>
      </c>
      <c r="F60" s="310" t="s">
        <v>28</v>
      </c>
      <c r="G60" s="80">
        <v>0</v>
      </c>
      <c r="H60" s="292"/>
      <c r="I60" s="514">
        <v>44592</v>
      </c>
      <c r="J60" s="514" t="s">
        <v>177</v>
      </c>
      <c r="K60" s="347">
        <v>0</v>
      </c>
      <c r="L60" s="548">
        <f t="shared" si="13"/>
        <v>0</v>
      </c>
      <c r="M60" s="588">
        <v>0</v>
      </c>
      <c r="N60" s="589">
        <f t="shared" si="14"/>
        <v>0</v>
      </c>
      <c r="O60" s="507" t="s">
        <v>114</v>
      </c>
      <c r="P60" s="506" t="str">
        <f t="shared" si="15"/>
        <v>N/A</v>
      </c>
      <c r="Q60" s="522">
        <f t="shared" si="16"/>
        <v>1.2</v>
      </c>
      <c r="R60" s="529" t="str">
        <f t="shared" si="17"/>
        <v>Sobresaliente</v>
      </c>
    </row>
    <row r="61" spans="1:18" x14ac:dyDescent="0.25">
      <c r="A61" s="482" t="s">
        <v>158</v>
      </c>
      <c r="B61" s="297" t="s">
        <v>156</v>
      </c>
      <c r="C61" s="285" t="s">
        <v>261</v>
      </c>
      <c r="D61" s="310" t="s">
        <v>28</v>
      </c>
      <c r="E61" s="310" t="s">
        <v>28</v>
      </c>
      <c r="F61" s="310" t="s">
        <v>28</v>
      </c>
      <c r="G61" s="80">
        <v>0</v>
      </c>
      <c r="H61" s="292"/>
      <c r="I61" s="514">
        <v>44592</v>
      </c>
      <c r="J61" s="514" t="s">
        <v>177</v>
      </c>
      <c r="K61" s="347">
        <v>0.26100000000000001</v>
      </c>
      <c r="L61" s="548">
        <f t="shared" si="13"/>
        <v>26.1</v>
      </c>
      <c r="M61" s="588">
        <v>0.25900000000000001</v>
      </c>
      <c r="N61" s="589">
        <f t="shared" si="14"/>
        <v>25.900000000000002</v>
      </c>
      <c r="O61" s="507" t="s">
        <v>114</v>
      </c>
      <c r="P61" s="506">
        <f t="shared" si="15"/>
        <v>0.9923371647509579</v>
      </c>
      <c r="Q61" s="522">
        <f t="shared" si="16"/>
        <v>0.9923371647509579</v>
      </c>
      <c r="R61" s="529" t="str">
        <f t="shared" si="17"/>
        <v>Satisfactorio</v>
      </c>
    </row>
    <row r="62" spans="1:18" x14ac:dyDescent="0.25">
      <c r="A62" s="482" t="s">
        <v>158</v>
      </c>
      <c r="B62" s="297" t="s">
        <v>157</v>
      </c>
      <c r="C62" s="285" t="s">
        <v>261</v>
      </c>
      <c r="D62" s="310" t="s">
        <v>28</v>
      </c>
      <c r="E62" s="310" t="s">
        <v>28</v>
      </c>
      <c r="F62" s="310" t="s">
        <v>28</v>
      </c>
      <c r="G62" s="80">
        <v>0</v>
      </c>
      <c r="H62" s="292"/>
      <c r="I62" s="514">
        <v>44592</v>
      </c>
      <c r="J62" s="514" t="s">
        <v>177</v>
      </c>
      <c r="K62" s="347">
        <v>0</v>
      </c>
      <c r="L62" s="548">
        <f t="shared" si="13"/>
        <v>0</v>
      </c>
      <c r="M62" s="588">
        <v>0</v>
      </c>
      <c r="N62" s="589">
        <f t="shared" si="14"/>
        <v>0</v>
      </c>
      <c r="O62" s="507" t="s">
        <v>114</v>
      </c>
      <c r="P62" s="506" t="str">
        <f t="shared" si="15"/>
        <v>N/A</v>
      </c>
      <c r="Q62" s="522">
        <f t="shared" si="16"/>
        <v>1.2</v>
      </c>
      <c r="R62" s="529" t="str">
        <f t="shared" si="17"/>
        <v>Sobresaliente</v>
      </c>
    </row>
    <row r="63" spans="1:18" x14ac:dyDescent="0.25">
      <c r="A63" s="482" t="s">
        <v>158</v>
      </c>
      <c r="B63" s="297" t="s">
        <v>96</v>
      </c>
      <c r="C63" s="285" t="s">
        <v>261</v>
      </c>
      <c r="D63" s="310" t="s">
        <v>28</v>
      </c>
      <c r="E63" s="310" t="s">
        <v>28</v>
      </c>
      <c r="F63" s="310" t="s">
        <v>28</v>
      </c>
      <c r="G63" s="80">
        <v>0</v>
      </c>
      <c r="H63" s="292"/>
      <c r="I63" s="514">
        <v>44592</v>
      </c>
      <c r="J63" s="514" t="s">
        <v>126</v>
      </c>
      <c r="K63" s="347">
        <v>0</v>
      </c>
      <c r="L63" s="548">
        <f t="shared" si="13"/>
        <v>0</v>
      </c>
      <c r="M63" s="347">
        <v>0</v>
      </c>
      <c r="N63" s="589">
        <f t="shared" si="14"/>
        <v>0</v>
      </c>
      <c r="P63" s="506" t="str">
        <f t="shared" si="15"/>
        <v>N/A</v>
      </c>
      <c r="Q63" s="522">
        <f t="shared" si="16"/>
        <v>1.2</v>
      </c>
      <c r="R63" s="529" t="str">
        <f t="shared" si="17"/>
        <v>Sobresaliente</v>
      </c>
    </row>
    <row r="64" spans="1:18" x14ac:dyDescent="0.25">
      <c r="A64" s="482" t="s">
        <v>158</v>
      </c>
      <c r="B64" s="297" t="s">
        <v>149</v>
      </c>
      <c r="C64" s="285" t="s">
        <v>261</v>
      </c>
      <c r="D64" s="310" t="s">
        <v>28</v>
      </c>
      <c r="E64" s="310" t="s">
        <v>28</v>
      </c>
      <c r="F64" s="310" t="s">
        <v>28</v>
      </c>
      <c r="G64" s="80">
        <v>0</v>
      </c>
      <c r="H64" s="292"/>
      <c r="I64" s="514">
        <v>44592</v>
      </c>
      <c r="J64" s="514" t="s">
        <v>126</v>
      </c>
      <c r="K64" s="347">
        <v>0</v>
      </c>
      <c r="L64" s="548">
        <f t="shared" si="13"/>
        <v>0</v>
      </c>
      <c r="M64" s="347">
        <v>0</v>
      </c>
      <c r="N64" s="589">
        <f t="shared" si="14"/>
        <v>0</v>
      </c>
      <c r="P64" s="506" t="str">
        <f t="shared" si="15"/>
        <v>N/A</v>
      </c>
      <c r="Q64" s="522">
        <f t="shared" si="16"/>
        <v>1.2</v>
      </c>
      <c r="R64" s="529" t="str">
        <f t="shared" si="17"/>
        <v>Sobresaliente</v>
      </c>
    </row>
    <row r="65" spans="1:20" x14ac:dyDescent="0.25">
      <c r="A65" s="482" t="s">
        <v>158</v>
      </c>
      <c r="B65" s="297" t="s">
        <v>98</v>
      </c>
      <c r="C65" s="285" t="s">
        <v>261</v>
      </c>
      <c r="D65" s="310" t="s">
        <v>28</v>
      </c>
      <c r="E65" s="310" t="s">
        <v>28</v>
      </c>
      <c r="F65" s="310" t="s">
        <v>28</v>
      </c>
      <c r="G65" s="80">
        <v>0</v>
      </c>
      <c r="H65" s="292"/>
      <c r="I65" s="514">
        <v>44592</v>
      </c>
      <c r="J65" s="514" t="s">
        <v>126</v>
      </c>
      <c r="K65" s="347">
        <v>0</v>
      </c>
      <c r="L65" s="548">
        <f t="shared" si="13"/>
        <v>0</v>
      </c>
      <c r="M65" s="347">
        <v>0</v>
      </c>
      <c r="N65" s="589">
        <f t="shared" si="14"/>
        <v>0</v>
      </c>
      <c r="P65" s="506" t="str">
        <f t="shared" si="15"/>
        <v>N/A</v>
      </c>
      <c r="Q65" s="522">
        <f t="shared" si="16"/>
        <v>1.2</v>
      </c>
      <c r="R65" s="529" t="str">
        <f t="shared" si="17"/>
        <v>Sobresaliente</v>
      </c>
    </row>
    <row r="66" spans="1:20" x14ac:dyDescent="0.25">
      <c r="A66" s="482" t="s">
        <v>158</v>
      </c>
      <c r="B66" s="297" t="s">
        <v>152</v>
      </c>
      <c r="C66" s="285" t="s">
        <v>261</v>
      </c>
      <c r="D66" s="310" t="s">
        <v>28</v>
      </c>
      <c r="E66" s="310" t="s">
        <v>28</v>
      </c>
      <c r="F66" s="310" t="s">
        <v>28</v>
      </c>
      <c r="G66" s="80">
        <v>0</v>
      </c>
      <c r="H66" s="292"/>
      <c r="I66" s="514">
        <v>44592</v>
      </c>
      <c r="J66" s="514" t="s">
        <v>126</v>
      </c>
      <c r="K66" s="347">
        <v>0</v>
      </c>
      <c r="L66" s="548">
        <f t="shared" si="13"/>
        <v>0</v>
      </c>
      <c r="M66" s="347">
        <v>0</v>
      </c>
      <c r="N66" s="589">
        <f t="shared" si="14"/>
        <v>0</v>
      </c>
      <c r="P66" s="506" t="str">
        <f t="shared" si="15"/>
        <v>N/A</v>
      </c>
      <c r="Q66" s="522">
        <f t="shared" si="16"/>
        <v>1.2</v>
      </c>
      <c r="R66" s="529" t="str">
        <f t="shared" si="17"/>
        <v>Sobresaliente</v>
      </c>
    </row>
    <row r="67" spans="1:20" x14ac:dyDescent="0.25">
      <c r="A67" s="482" t="s">
        <v>158</v>
      </c>
      <c r="B67" s="297" t="s">
        <v>154</v>
      </c>
      <c r="C67" s="285" t="s">
        <v>261</v>
      </c>
      <c r="D67" s="310" t="s">
        <v>28</v>
      </c>
      <c r="E67" s="310" t="s">
        <v>28</v>
      </c>
      <c r="F67" s="310" t="s">
        <v>28</v>
      </c>
      <c r="G67" s="80">
        <v>0</v>
      </c>
      <c r="H67" s="292"/>
      <c r="I67" s="514">
        <v>44592</v>
      </c>
      <c r="J67" s="514" t="s">
        <v>126</v>
      </c>
      <c r="K67" s="347">
        <v>0</v>
      </c>
      <c r="L67" s="548">
        <f t="shared" si="13"/>
        <v>0</v>
      </c>
      <c r="M67" s="347">
        <v>0</v>
      </c>
      <c r="N67" s="589">
        <f t="shared" si="14"/>
        <v>0</v>
      </c>
      <c r="P67" s="506" t="str">
        <f t="shared" si="15"/>
        <v>N/A</v>
      </c>
      <c r="Q67" s="522">
        <f t="shared" si="16"/>
        <v>1.2</v>
      </c>
      <c r="R67" s="529" t="str">
        <f t="shared" si="17"/>
        <v>Sobresaliente</v>
      </c>
    </row>
    <row r="68" spans="1:20" x14ac:dyDescent="0.25">
      <c r="A68" s="482" t="s">
        <v>160</v>
      </c>
      <c r="B68" s="297" t="s">
        <v>17</v>
      </c>
      <c r="C68" s="285" t="s">
        <v>261</v>
      </c>
      <c r="D68" s="310" t="s">
        <v>28</v>
      </c>
      <c r="E68" s="310" t="s">
        <v>28</v>
      </c>
      <c r="F68" s="310" t="s">
        <v>28</v>
      </c>
      <c r="G68" s="80">
        <v>0</v>
      </c>
      <c r="H68" s="292"/>
      <c r="I68" s="514">
        <v>44592</v>
      </c>
      <c r="J68" s="514" t="s">
        <v>126</v>
      </c>
      <c r="K68" s="347">
        <v>4.65E-2</v>
      </c>
      <c r="L68" s="548">
        <f t="shared" si="13"/>
        <v>4.6500000000000004</v>
      </c>
      <c r="M68" s="588">
        <v>4.6199999999999998E-2</v>
      </c>
      <c r="N68" s="589">
        <f t="shared" si="14"/>
        <v>4.62</v>
      </c>
      <c r="O68" s="507" t="s">
        <v>114</v>
      </c>
      <c r="P68" s="506">
        <f t="shared" si="15"/>
        <v>0.99354838709677418</v>
      </c>
      <c r="Q68" s="522">
        <f t="shared" si="16"/>
        <v>0.99354838709677418</v>
      </c>
      <c r="R68" s="529" t="str">
        <f t="shared" si="17"/>
        <v>Satisfactorio</v>
      </c>
    </row>
    <row r="69" spans="1:20" x14ac:dyDescent="0.25">
      <c r="A69" s="482" t="s">
        <v>160</v>
      </c>
      <c r="B69" s="297" t="s">
        <v>181</v>
      </c>
      <c r="C69" s="285" t="s">
        <v>261</v>
      </c>
      <c r="D69" s="310" t="s">
        <v>28</v>
      </c>
      <c r="E69" s="310" t="s">
        <v>28</v>
      </c>
      <c r="F69" s="310" t="s">
        <v>28</v>
      </c>
      <c r="G69" s="80">
        <v>0</v>
      </c>
      <c r="H69" s="292"/>
      <c r="I69" s="514">
        <v>44592</v>
      </c>
      <c r="J69" s="514" t="s">
        <v>164</v>
      </c>
      <c r="K69" s="347">
        <v>4.65E-2</v>
      </c>
      <c r="L69" s="548">
        <f t="shared" si="13"/>
        <v>4.6500000000000004</v>
      </c>
      <c r="M69" s="588">
        <v>4.1700000000000001E-2</v>
      </c>
      <c r="N69" s="589">
        <f t="shared" si="14"/>
        <v>4.17</v>
      </c>
      <c r="O69" s="507" t="s">
        <v>114</v>
      </c>
      <c r="P69" s="506">
        <f t="shared" si="15"/>
        <v>0.89677419354838717</v>
      </c>
      <c r="Q69" s="522">
        <f t="shared" si="16"/>
        <v>0.89677419354838717</v>
      </c>
      <c r="R69" s="529" t="str">
        <f t="shared" si="17"/>
        <v>Tolerable</v>
      </c>
    </row>
    <row r="70" spans="1:20" x14ac:dyDescent="0.25">
      <c r="A70" s="482" t="s">
        <v>163</v>
      </c>
      <c r="B70" s="297" t="s">
        <v>161</v>
      </c>
      <c r="C70" s="285" t="s">
        <v>261</v>
      </c>
      <c r="D70" s="310" t="s">
        <v>28</v>
      </c>
      <c r="E70" s="310" t="s">
        <v>28</v>
      </c>
      <c r="F70" s="310" t="s">
        <v>28</v>
      </c>
      <c r="G70" s="80">
        <v>0</v>
      </c>
      <c r="H70" s="292"/>
      <c r="I70" s="514">
        <v>44592</v>
      </c>
      <c r="J70" s="514" t="s">
        <v>126</v>
      </c>
      <c r="K70" s="347">
        <v>0</v>
      </c>
      <c r="L70" s="548">
        <f t="shared" si="13"/>
        <v>0</v>
      </c>
      <c r="M70" s="588">
        <v>0</v>
      </c>
      <c r="N70" s="589">
        <f t="shared" si="14"/>
        <v>0</v>
      </c>
      <c r="O70" s="507" t="s">
        <v>114</v>
      </c>
      <c r="P70" s="506" t="str">
        <f t="shared" si="15"/>
        <v>N/A</v>
      </c>
      <c r="Q70" s="522">
        <f t="shared" si="16"/>
        <v>1.2</v>
      </c>
      <c r="R70" s="529" t="str">
        <f t="shared" si="17"/>
        <v>Sobresaliente</v>
      </c>
    </row>
    <row r="71" spans="1:20" x14ac:dyDescent="0.25">
      <c r="A71" s="482" t="s">
        <v>163</v>
      </c>
      <c r="B71" s="297" t="s">
        <v>162</v>
      </c>
      <c r="C71" s="285" t="s">
        <v>261</v>
      </c>
      <c r="D71" s="310" t="s">
        <v>28</v>
      </c>
      <c r="E71" s="310" t="s">
        <v>28</v>
      </c>
      <c r="F71" s="310" t="s">
        <v>28</v>
      </c>
      <c r="G71" s="80">
        <v>0</v>
      </c>
      <c r="H71" s="292"/>
      <c r="I71" s="514">
        <v>44592</v>
      </c>
      <c r="J71" s="514" t="s">
        <v>126</v>
      </c>
      <c r="K71" s="347">
        <v>0.21929999999999999</v>
      </c>
      <c r="L71" s="548">
        <f t="shared" si="13"/>
        <v>21.93</v>
      </c>
      <c r="M71" s="588">
        <v>0.28189999999999998</v>
      </c>
      <c r="N71" s="589">
        <f t="shared" si="14"/>
        <v>28.189999999999998</v>
      </c>
      <c r="O71" s="507" t="s">
        <v>114</v>
      </c>
      <c r="P71" s="506">
        <f t="shared" si="15"/>
        <v>1.2854537163702691</v>
      </c>
      <c r="Q71" s="522">
        <f t="shared" si="16"/>
        <v>1.2</v>
      </c>
      <c r="R71" s="529" t="str">
        <f t="shared" si="17"/>
        <v>Sobresaliente</v>
      </c>
    </row>
    <row r="72" spans="1:20" x14ac:dyDescent="0.25">
      <c r="A72" s="482" t="s">
        <v>163</v>
      </c>
      <c r="B72" s="297" t="s">
        <v>422</v>
      </c>
      <c r="C72" s="285" t="s">
        <v>260</v>
      </c>
      <c r="D72" s="310" t="s">
        <v>28</v>
      </c>
      <c r="E72" s="310" t="s">
        <v>28</v>
      </c>
      <c r="F72" s="310" t="s">
        <v>28</v>
      </c>
      <c r="G72" s="80">
        <v>0</v>
      </c>
      <c r="H72" s="292"/>
      <c r="I72" s="514">
        <v>44592</v>
      </c>
      <c r="J72" s="514" t="s">
        <v>126</v>
      </c>
      <c r="K72" s="347">
        <v>0.54</v>
      </c>
      <c r="L72" s="548">
        <f t="shared" si="13"/>
        <v>54</v>
      </c>
      <c r="M72" s="588">
        <v>0.68220000000000003</v>
      </c>
      <c r="N72" s="589">
        <f t="shared" si="14"/>
        <v>68.22</v>
      </c>
      <c r="O72" s="507" t="s">
        <v>114</v>
      </c>
      <c r="P72" s="506">
        <f t="shared" si="15"/>
        <v>1.2633333333333332</v>
      </c>
      <c r="Q72" s="522">
        <f t="shared" si="16"/>
        <v>1.2</v>
      </c>
      <c r="R72" s="529" t="str">
        <f t="shared" si="17"/>
        <v>Sobresaliente</v>
      </c>
    </row>
    <row r="73" spans="1:20" x14ac:dyDescent="0.25">
      <c r="A73" s="482" t="s">
        <v>187</v>
      </c>
      <c r="B73" s="297" t="s">
        <v>184</v>
      </c>
      <c r="C73" s="285" t="s">
        <v>261</v>
      </c>
      <c r="D73" s="310" t="s">
        <v>28</v>
      </c>
      <c r="E73" s="310" t="s">
        <v>28</v>
      </c>
      <c r="F73" s="310" t="s">
        <v>28</v>
      </c>
      <c r="G73" s="80">
        <v>0</v>
      </c>
      <c r="H73" s="292"/>
      <c r="I73" s="514">
        <v>44592</v>
      </c>
      <c r="J73" s="514" t="s">
        <v>126</v>
      </c>
      <c r="K73" s="347">
        <v>0</v>
      </c>
      <c r="L73" s="548">
        <f t="shared" si="13"/>
        <v>0</v>
      </c>
      <c r="M73" s="588">
        <v>0</v>
      </c>
      <c r="N73" s="589">
        <f t="shared" si="14"/>
        <v>0</v>
      </c>
      <c r="O73" s="507" t="s">
        <v>114</v>
      </c>
      <c r="P73" s="506" t="str">
        <f t="shared" si="15"/>
        <v>N/A</v>
      </c>
      <c r="Q73" s="522">
        <f t="shared" si="16"/>
        <v>1.2</v>
      </c>
      <c r="R73" s="529" t="str">
        <f t="shared" si="17"/>
        <v>Sobresaliente</v>
      </c>
      <c r="S73" s="255"/>
    </row>
    <row r="74" spans="1:20" x14ac:dyDescent="0.25">
      <c r="A74" s="482" t="s">
        <v>187</v>
      </c>
      <c r="B74" s="297" t="s">
        <v>185</v>
      </c>
      <c r="C74" s="285" t="s">
        <v>261</v>
      </c>
      <c r="D74" s="310" t="s">
        <v>28</v>
      </c>
      <c r="E74" s="310" t="s">
        <v>28</v>
      </c>
      <c r="F74" s="310" t="s">
        <v>28</v>
      </c>
      <c r="G74" s="80">
        <v>0</v>
      </c>
      <c r="H74" s="292"/>
      <c r="I74" s="514">
        <v>44592</v>
      </c>
      <c r="J74" s="514" t="s">
        <v>126</v>
      </c>
      <c r="K74" s="347">
        <v>0.8</v>
      </c>
      <c r="L74" s="548">
        <f t="shared" si="13"/>
        <v>80</v>
      </c>
      <c r="M74" s="588">
        <v>0.8125</v>
      </c>
      <c r="N74" s="589">
        <f t="shared" si="14"/>
        <v>81.25</v>
      </c>
      <c r="O74" s="507" t="s">
        <v>114</v>
      </c>
      <c r="P74" s="506">
        <f t="shared" si="15"/>
        <v>1.015625</v>
      </c>
      <c r="Q74" s="522">
        <f t="shared" si="16"/>
        <v>1.015625</v>
      </c>
      <c r="R74" s="529" t="str">
        <f t="shared" si="17"/>
        <v>Sobresaliente</v>
      </c>
      <c r="S74" s="500" t="s">
        <v>405</v>
      </c>
    </row>
    <row r="75" spans="1:20" ht="34.5" customHeight="1" x14ac:dyDescent="0.25">
      <c r="A75" s="482" t="s">
        <v>187</v>
      </c>
      <c r="B75" s="297" t="s">
        <v>186</v>
      </c>
      <c r="C75" s="285" t="s">
        <v>261</v>
      </c>
      <c r="D75" s="310" t="s">
        <v>28</v>
      </c>
      <c r="E75" s="310" t="s">
        <v>28</v>
      </c>
      <c r="F75" s="310" t="s">
        <v>28</v>
      </c>
      <c r="G75" s="80">
        <v>0</v>
      </c>
      <c r="H75" s="292"/>
      <c r="I75" s="514">
        <v>44592</v>
      </c>
      <c r="J75" s="514" t="s">
        <v>126</v>
      </c>
      <c r="K75" s="347">
        <v>0.1</v>
      </c>
      <c r="L75" s="548">
        <f t="shared" si="13"/>
        <v>10</v>
      </c>
      <c r="M75" s="588">
        <v>0.20100000000000001</v>
      </c>
      <c r="N75" s="589">
        <f t="shared" si="14"/>
        <v>20.100000000000001</v>
      </c>
      <c r="O75" s="507" t="s">
        <v>114</v>
      </c>
      <c r="P75" s="506">
        <f t="shared" si="15"/>
        <v>2.0099999999999998</v>
      </c>
      <c r="Q75" s="522">
        <f t="shared" si="16"/>
        <v>1.2</v>
      </c>
      <c r="R75" s="529" t="str">
        <f t="shared" si="17"/>
        <v>Sobresaliente</v>
      </c>
      <c r="S75" s="500" t="s">
        <v>406</v>
      </c>
    </row>
    <row r="76" spans="1:20" ht="15.75" customHeight="1" x14ac:dyDescent="0.25">
      <c r="A76" s="482" t="s">
        <v>187</v>
      </c>
      <c r="B76" s="297" t="s">
        <v>193</v>
      </c>
      <c r="C76" s="285" t="s">
        <v>261</v>
      </c>
      <c r="D76" s="310" t="s">
        <v>28</v>
      </c>
      <c r="E76" s="310" t="s">
        <v>28</v>
      </c>
      <c r="F76" s="310" t="s">
        <v>28</v>
      </c>
      <c r="G76" s="80">
        <v>0</v>
      </c>
      <c r="H76" s="292"/>
      <c r="I76" s="514">
        <v>44592</v>
      </c>
      <c r="J76" s="514" t="s">
        <v>164</v>
      </c>
      <c r="K76" s="347">
        <v>1.2E-2</v>
      </c>
      <c r="L76" s="548">
        <f t="shared" si="13"/>
        <v>1.2</v>
      </c>
      <c r="M76" s="588">
        <v>7.7000000000000002E-3</v>
      </c>
      <c r="N76" s="589">
        <f t="shared" si="14"/>
        <v>0.77</v>
      </c>
      <c r="O76" s="507" t="s">
        <v>114</v>
      </c>
      <c r="P76" s="506">
        <f t="shared" si="15"/>
        <v>0.64166666666666672</v>
      </c>
      <c r="Q76" s="522">
        <f t="shared" si="16"/>
        <v>0.64166666666666672</v>
      </c>
      <c r="R76" s="529" t="str">
        <f t="shared" si="17"/>
        <v>Incumple</v>
      </c>
      <c r="S76" s="255"/>
    </row>
    <row r="77" spans="1:20" x14ac:dyDescent="0.25">
      <c r="A77" s="482" t="s">
        <v>187</v>
      </c>
      <c r="B77" s="297" t="s">
        <v>194</v>
      </c>
      <c r="C77" s="285" t="s">
        <v>261</v>
      </c>
      <c r="D77" s="310" t="s">
        <v>28</v>
      </c>
      <c r="E77" s="310" t="s">
        <v>28</v>
      </c>
      <c r="F77" s="310" t="s">
        <v>28</v>
      </c>
      <c r="G77" s="80">
        <v>0</v>
      </c>
      <c r="H77" s="292"/>
      <c r="I77" s="514">
        <v>44592</v>
      </c>
      <c r="J77" s="514"/>
      <c r="K77" s="347">
        <v>0</v>
      </c>
      <c r="L77" s="548">
        <f t="shared" si="13"/>
        <v>0</v>
      </c>
      <c r="M77" s="588">
        <v>0</v>
      </c>
      <c r="N77" s="589">
        <f t="shared" si="14"/>
        <v>0</v>
      </c>
      <c r="O77" s="306"/>
      <c r="P77" s="506" t="str">
        <f t="shared" si="15"/>
        <v>N/A</v>
      </c>
      <c r="Q77" s="522">
        <f t="shared" si="16"/>
        <v>1.2</v>
      </c>
      <c r="R77" s="529" t="str">
        <f t="shared" si="17"/>
        <v>Sobresaliente</v>
      </c>
      <c r="T77" s="500" t="s">
        <v>390</v>
      </c>
    </row>
    <row r="78" spans="1:20" x14ac:dyDescent="0.25">
      <c r="A78" s="482" t="s">
        <v>187</v>
      </c>
      <c r="B78" s="297" t="s">
        <v>195</v>
      </c>
      <c r="C78" s="285" t="s">
        <v>261</v>
      </c>
      <c r="D78" s="310" t="s">
        <v>28</v>
      </c>
      <c r="E78" s="310" t="s">
        <v>28</v>
      </c>
      <c r="F78" s="310" t="s">
        <v>28</v>
      </c>
      <c r="G78" s="80">
        <v>0</v>
      </c>
      <c r="H78" s="292"/>
      <c r="I78" s="514">
        <v>44592</v>
      </c>
      <c r="J78" s="514"/>
      <c r="K78" s="347">
        <v>0</v>
      </c>
      <c r="L78" s="548">
        <f t="shared" ref="L78:L109" si="18">+K78*100</f>
        <v>0</v>
      </c>
      <c r="M78" s="588">
        <v>0</v>
      </c>
      <c r="N78" s="589">
        <f t="shared" ref="N78:N109" si="19">+M78*100</f>
        <v>0</v>
      </c>
      <c r="O78" s="306"/>
      <c r="P78" s="506" t="str">
        <f t="shared" ref="P78:P109" si="20">+IFERROR(IF(O78="Creciente",IF(AND(M78&lt;0,K78&lt;0),1-(M78-K78)/K78,IF(M78&lt;0,M78/K78,IF(K78&lt;0,1+((M78-K78)/M78),M78/K78))),IF(AND(M78&lt;0,K78&lt;0),(K78*-1)/(M78*-1),IF(M78&lt;0,(M78-K78)/M78,IF(K78&lt;0,-1+(M78-K78)/K78,IF(O78="Decreciente",1+(K78-M78)/K78,M78/K78))))),"N/A")</f>
        <v>N/A</v>
      </c>
      <c r="Q78" s="522">
        <f t="shared" ref="Q78:Q109" si="21">+IF(P78&lt;0,0%,IF(P78&gt;120%,120%,P78))</f>
        <v>1.2</v>
      </c>
      <c r="R78" s="529" t="str">
        <f t="shared" ref="R78:R109" si="22">+IF(Q78&lt;79.99999%,"Incumple",IF(AND(Q78&gt;=80%,Q78&lt;94.999999%),"Tolerable",IF(AND(Q78&gt;=95%,Q78&lt;100%),"Satisfactorio","Sobresaliente")))</f>
        <v>Sobresaliente</v>
      </c>
      <c r="T78" s="500" t="s">
        <v>390</v>
      </c>
    </row>
    <row r="79" spans="1:20" x14ac:dyDescent="0.25">
      <c r="A79" s="482" t="s">
        <v>188</v>
      </c>
      <c r="B79" s="297" t="s">
        <v>20</v>
      </c>
      <c r="C79" s="285" t="s">
        <v>261</v>
      </c>
      <c r="D79" s="310" t="s">
        <v>28</v>
      </c>
      <c r="E79" s="310" t="s">
        <v>28</v>
      </c>
      <c r="F79" s="310" t="s">
        <v>28</v>
      </c>
      <c r="G79" s="80">
        <v>0</v>
      </c>
      <c r="H79" s="292"/>
      <c r="I79" s="514">
        <v>44592</v>
      </c>
      <c r="J79" s="514" t="s">
        <v>126</v>
      </c>
      <c r="K79" s="347">
        <v>9.3399999999999997E-2</v>
      </c>
      <c r="L79" s="548">
        <f t="shared" si="18"/>
        <v>9.34</v>
      </c>
      <c r="M79" s="588">
        <v>8.4199999999999997E-2</v>
      </c>
      <c r="N79" s="589">
        <f t="shared" si="19"/>
        <v>8.42</v>
      </c>
      <c r="O79" s="507" t="s">
        <v>114</v>
      </c>
      <c r="P79" s="506">
        <f t="shared" si="20"/>
        <v>0.90149892933618847</v>
      </c>
      <c r="Q79" s="522">
        <f t="shared" si="21"/>
        <v>0.90149892933618847</v>
      </c>
      <c r="R79" s="529" t="str">
        <f t="shared" si="22"/>
        <v>Tolerable</v>
      </c>
    </row>
    <row r="80" spans="1:20" x14ac:dyDescent="0.25">
      <c r="A80" s="482" t="s">
        <v>198</v>
      </c>
      <c r="B80" s="297" t="s">
        <v>206</v>
      </c>
      <c r="C80" s="285" t="s">
        <v>261</v>
      </c>
      <c r="D80" s="310" t="s">
        <v>28</v>
      </c>
      <c r="E80" s="310" t="s">
        <v>28</v>
      </c>
      <c r="F80" s="310" t="s">
        <v>28</v>
      </c>
      <c r="G80" s="80">
        <v>0</v>
      </c>
      <c r="H80" s="292"/>
      <c r="I80" s="514">
        <v>44592</v>
      </c>
      <c r="J80" s="514" t="s">
        <v>164</v>
      </c>
      <c r="K80" s="347">
        <v>0.8</v>
      </c>
      <c r="L80" s="548">
        <f t="shared" si="18"/>
        <v>80</v>
      </c>
      <c r="M80" s="588">
        <v>0.80510000000000004</v>
      </c>
      <c r="N80" s="589">
        <f t="shared" si="19"/>
        <v>80.510000000000005</v>
      </c>
      <c r="O80" s="507" t="s">
        <v>114</v>
      </c>
      <c r="P80" s="506">
        <f t="shared" si="20"/>
        <v>1.006375</v>
      </c>
      <c r="Q80" s="522">
        <f t="shared" si="21"/>
        <v>1.006375</v>
      </c>
      <c r="R80" s="529" t="str">
        <f t="shared" si="22"/>
        <v>Sobresaliente</v>
      </c>
      <c r="S80" s="500" t="s">
        <v>398</v>
      </c>
    </row>
    <row r="81" spans="1:20" x14ac:dyDescent="0.25">
      <c r="A81" s="482" t="s">
        <v>198</v>
      </c>
      <c r="B81" s="297" t="s">
        <v>199</v>
      </c>
      <c r="C81" s="285" t="s">
        <v>260</v>
      </c>
      <c r="D81" s="310" t="s">
        <v>28</v>
      </c>
      <c r="E81" s="310" t="s">
        <v>28</v>
      </c>
      <c r="F81" s="310" t="s">
        <v>28</v>
      </c>
      <c r="G81" s="80">
        <v>0</v>
      </c>
      <c r="H81" s="292"/>
      <c r="I81" s="514">
        <v>44592</v>
      </c>
      <c r="J81" s="514" t="s">
        <v>164</v>
      </c>
      <c r="K81" s="347">
        <v>0.15</v>
      </c>
      <c r="L81" s="548">
        <f t="shared" si="18"/>
        <v>15</v>
      </c>
      <c r="M81" s="588">
        <v>0.15939999999999999</v>
      </c>
      <c r="N81" s="589">
        <f t="shared" si="19"/>
        <v>15.939999999999998</v>
      </c>
      <c r="O81" s="507" t="s">
        <v>114</v>
      </c>
      <c r="P81" s="506">
        <f t="shared" si="20"/>
        <v>1.0626666666666666</v>
      </c>
      <c r="Q81" s="522">
        <f t="shared" si="21"/>
        <v>1.0626666666666666</v>
      </c>
      <c r="R81" s="529" t="str">
        <f t="shared" si="22"/>
        <v>Sobresaliente</v>
      </c>
      <c r="S81" s="500" t="s">
        <v>398</v>
      </c>
    </row>
    <row r="82" spans="1:20" x14ac:dyDescent="0.25">
      <c r="A82" s="482" t="s">
        <v>198</v>
      </c>
      <c r="B82" s="297" t="s">
        <v>203</v>
      </c>
      <c r="C82" s="285" t="s">
        <v>261</v>
      </c>
      <c r="D82" s="310" t="s">
        <v>28</v>
      </c>
      <c r="E82" s="310" t="s">
        <v>28</v>
      </c>
      <c r="F82" s="310" t="s">
        <v>28</v>
      </c>
      <c r="G82" s="80">
        <v>0</v>
      </c>
      <c r="H82" s="292"/>
      <c r="I82" s="514">
        <v>44592</v>
      </c>
      <c r="J82" s="514"/>
      <c r="K82" s="347">
        <v>0</v>
      </c>
      <c r="L82" s="548">
        <f t="shared" si="18"/>
        <v>0</v>
      </c>
      <c r="M82" s="588">
        <v>0</v>
      </c>
      <c r="N82" s="589">
        <f t="shared" si="19"/>
        <v>0</v>
      </c>
      <c r="P82" s="506" t="str">
        <f t="shared" si="20"/>
        <v>N/A</v>
      </c>
      <c r="Q82" s="522">
        <f t="shared" si="21"/>
        <v>1.2</v>
      </c>
      <c r="R82" s="529" t="str">
        <f t="shared" si="22"/>
        <v>Sobresaliente</v>
      </c>
    </row>
    <row r="83" spans="1:20" x14ac:dyDescent="0.25">
      <c r="A83" s="482" t="s">
        <v>209</v>
      </c>
      <c r="B83" s="297" t="s">
        <v>210</v>
      </c>
      <c r="C83" s="285" t="s">
        <v>261</v>
      </c>
      <c r="D83" s="310" t="s">
        <v>28</v>
      </c>
      <c r="E83" s="310" t="s">
        <v>28</v>
      </c>
      <c r="F83" s="310" t="s">
        <v>28</v>
      </c>
      <c r="G83" s="80">
        <v>0</v>
      </c>
      <c r="H83" s="292"/>
      <c r="I83" s="514">
        <v>44592</v>
      </c>
      <c r="J83" s="514" t="s">
        <v>409</v>
      </c>
      <c r="K83" s="347">
        <v>0.3</v>
      </c>
      <c r="L83" s="548">
        <f t="shared" si="18"/>
        <v>30</v>
      </c>
      <c r="M83" s="588">
        <v>0.32300000000000001</v>
      </c>
      <c r="N83" s="589">
        <f t="shared" si="19"/>
        <v>32.300000000000004</v>
      </c>
      <c r="O83" s="507" t="s">
        <v>116</v>
      </c>
      <c r="P83" s="506">
        <f t="shared" si="20"/>
        <v>0.92333333333333323</v>
      </c>
      <c r="Q83" s="522">
        <f t="shared" si="21"/>
        <v>0.92333333333333323</v>
      </c>
      <c r="R83" s="529" t="str">
        <f t="shared" si="22"/>
        <v>Tolerable</v>
      </c>
    </row>
    <row r="84" spans="1:20" x14ac:dyDescent="0.25">
      <c r="A84" s="482" t="s">
        <v>209</v>
      </c>
      <c r="B84" s="297" t="s">
        <v>215</v>
      </c>
      <c r="C84" s="285" t="s">
        <v>261</v>
      </c>
      <c r="D84" s="310" t="s">
        <v>28</v>
      </c>
      <c r="E84" s="310" t="s">
        <v>28</v>
      </c>
      <c r="F84" s="310" t="s">
        <v>28</v>
      </c>
      <c r="G84" s="80">
        <v>0</v>
      </c>
      <c r="H84" s="292"/>
      <c r="I84" s="514">
        <v>44592</v>
      </c>
      <c r="J84" s="514" t="s">
        <v>294</v>
      </c>
      <c r="K84" s="347">
        <v>4.5999999999999999E-2</v>
      </c>
      <c r="L84" s="548">
        <f t="shared" si="18"/>
        <v>4.5999999999999996</v>
      </c>
      <c r="M84" s="588">
        <v>4.6699999999999998E-2</v>
      </c>
      <c r="N84" s="589">
        <f t="shared" si="19"/>
        <v>4.67</v>
      </c>
      <c r="O84" s="507" t="s">
        <v>114</v>
      </c>
      <c r="P84" s="506">
        <f t="shared" si="20"/>
        <v>1.0152173913043478</v>
      </c>
      <c r="Q84" s="522">
        <f t="shared" si="21"/>
        <v>1.0152173913043478</v>
      </c>
      <c r="R84" s="529" t="str">
        <f t="shared" si="22"/>
        <v>Sobresaliente</v>
      </c>
    </row>
    <row r="85" spans="1:20" x14ac:dyDescent="0.25">
      <c r="A85" s="525" t="s">
        <v>209</v>
      </c>
      <c r="B85" s="341" t="s">
        <v>391</v>
      </c>
      <c r="C85" s="285" t="s">
        <v>261</v>
      </c>
      <c r="D85" s="310" t="s">
        <v>28</v>
      </c>
      <c r="E85" s="310" t="s">
        <v>28</v>
      </c>
      <c r="F85" s="310" t="s">
        <v>28</v>
      </c>
      <c r="G85" s="80">
        <v>0</v>
      </c>
      <c r="H85" s="292"/>
      <c r="I85" s="514">
        <v>44592</v>
      </c>
      <c r="J85" s="514" t="s">
        <v>409</v>
      </c>
      <c r="K85" s="347">
        <v>4.7E-2</v>
      </c>
      <c r="L85" s="548">
        <f t="shared" si="18"/>
        <v>4.7</v>
      </c>
      <c r="M85" s="588">
        <v>4.7E-2</v>
      </c>
      <c r="N85" s="589">
        <f t="shared" si="19"/>
        <v>4.7</v>
      </c>
      <c r="O85" s="507" t="s">
        <v>114</v>
      </c>
      <c r="P85" s="506">
        <f t="shared" si="20"/>
        <v>1</v>
      </c>
      <c r="Q85" s="522">
        <f t="shared" si="21"/>
        <v>1</v>
      </c>
      <c r="R85" s="529" t="str">
        <f t="shared" si="22"/>
        <v>Sobresaliente</v>
      </c>
    </row>
    <row r="86" spans="1:20" x14ac:dyDescent="0.25">
      <c r="A86" s="482" t="s">
        <v>209</v>
      </c>
      <c r="B86" s="297" t="s">
        <v>212</v>
      </c>
      <c r="C86" s="285" t="s">
        <v>261</v>
      </c>
      <c r="D86" s="310" t="s">
        <v>28</v>
      </c>
      <c r="E86" s="310" t="s">
        <v>28</v>
      </c>
      <c r="F86" s="310" t="s">
        <v>28</v>
      </c>
      <c r="G86" s="80">
        <v>0</v>
      </c>
      <c r="H86" s="292"/>
      <c r="I86" s="514">
        <v>44592</v>
      </c>
      <c r="J86" s="514"/>
      <c r="K86" s="347">
        <v>0</v>
      </c>
      <c r="L86" s="548">
        <f t="shared" si="18"/>
        <v>0</v>
      </c>
      <c r="M86" s="588">
        <v>0</v>
      </c>
      <c r="N86" s="589">
        <f t="shared" si="19"/>
        <v>0</v>
      </c>
      <c r="P86" s="506" t="str">
        <f t="shared" si="20"/>
        <v>N/A</v>
      </c>
      <c r="Q86" s="522">
        <f t="shared" si="21"/>
        <v>1.2</v>
      </c>
      <c r="R86" s="529" t="str">
        <f t="shared" si="22"/>
        <v>Sobresaliente</v>
      </c>
      <c r="T86" s="500" t="s">
        <v>392</v>
      </c>
    </row>
    <row r="87" spans="1:20" x14ac:dyDescent="0.25">
      <c r="A87" s="482" t="s">
        <v>209</v>
      </c>
      <c r="B87" s="297" t="s">
        <v>213</v>
      </c>
      <c r="C87" s="285" t="s">
        <v>261</v>
      </c>
      <c r="D87" s="310" t="s">
        <v>28</v>
      </c>
      <c r="E87" s="310" t="s">
        <v>28</v>
      </c>
      <c r="F87" s="310" t="s">
        <v>28</v>
      </c>
      <c r="G87" s="80">
        <v>0</v>
      </c>
      <c r="H87" s="292"/>
      <c r="I87" s="514">
        <v>44592</v>
      </c>
      <c r="J87" s="514"/>
      <c r="K87" s="347">
        <v>0</v>
      </c>
      <c r="L87" s="548">
        <f t="shared" si="18"/>
        <v>0</v>
      </c>
      <c r="M87" s="588">
        <v>0</v>
      </c>
      <c r="N87" s="589">
        <f t="shared" si="19"/>
        <v>0</v>
      </c>
      <c r="P87" s="506" t="str">
        <f t="shared" si="20"/>
        <v>N/A</v>
      </c>
      <c r="Q87" s="522">
        <f t="shared" si="21"/>
        <v>1.2</v>
      </c>
      <c r="R87" s="529" t="str">
        <f t="shared" si="22"/>
        <v>Sobresaliente</v>
      </c>
      <c r="T87" s="500" t="s">
        <v>392</v>
      </c>
    </row>
    <row r="88" spans="1:20" x14ac:dyDescent="0.25">
      <c r="A88" s="482" t="s">
        <v>209</v>
      </c>
      <c r="B88" s="297" t="s">
        <v>214</v>
      </c>
      <c r="C88" s="285" t="s">
        <v>261</v>
      </c>
      <c r="D88" s="310" t="s">
        <v>28</v>
      </c>
      <c r="E88" s="310" t="s">
        <v>28</v>
      </c>
      <c r="F88" s="310" t="s">
        <v>28</v>
      </c>
      <c r="G88" s="80">
        <v>0</v>
      </c>
      <c r="H88" s="292"/>
      <c r="I88" s="514">
        <v>44592</v>
      </c>
      <c r="J88" s="514"/>
      <c r="K88" s="347">
        <v>0</v>
      </c>
      <c r="L88" s="548">
        <f t="shared" si="18"/>
        <v>0</v>
      </c>
      <c r="M88" s="588">
        <v>0</v>
      </c>
      <c r="N88" s="589">
        <f t="shared" si="19"/>
        <v>0</v>
      </c>
      <c r="P88" s="506" t="str">
        <f t="shared" si="20"/>
        <v>N/A</v>
      </c>
      <c r="Q88" s="522">
        <f t="shared" si="21"/>
        <v>1.2</v>
      </c>
      <c r="R88" s="529" t="str">
        <f t="shared" si="22"/>
        <v>Sobresaliente</v>
      </c>
      <c r="T88" s="500" t="s">
        <v>392</v>
      </c>
    </row>
    <row r="89" spans="1:20" x14ac:dyDescent="0.25">
      <c r="A89" s="482" t="s">
        <v>216</v>
      </c>
      <c r="B89" s="297" t="s">
        <v>217</v>
      </c>
      <c r="C89" s="285" t="s">
        <v>261</v>
      </c>
      <c r="D89" s="310" t="s">
        <v>28</v>
      </c>
      <c r="E89" s="310" t="s">
        <v>28</v>
      </c>
      <c r="F89" s="310" t="s">
        <v>28</v>
      </c>
      <c r="G89" s="80">
        <v>0</v>
      </c>
      <c r="H89" s="292"/>
      <c r="I89" s="514">
        <v>44592</v>
      </c>
      <c r="J89" s="514" t="s">
        <v>410</v>
      </c>
      <c r="K89" s="347">
        <v>0</v>
      </c>
      <c r="L89" s="548">
        <f t="shared" si="18"/>
        <v>0</v>
      </c>
      <c r="M89" s="588">
        <v>0</v>
      </c>
      <c r="N89" s="589">
        <f t="shared" si="19"/>
        <v>0</v>
      </c>
      <c r="O89" s="507" t="s">
        <v>114</v>
      </c>
      <c r="P89" s="506" t="str">
        <f t="shared" si="20"/>
        <v>N/A</v>
      </c>
      <c r="Q89" s="522">
        <f t="shared" si="21"/>
        <v>1.2</v>
      </c>
      <c r="R89" s="529" t="str">
        <f t="shared" si="22"/>
        <v>Sobresaliente</v>
      </c>
      <c r="S89" s="500" t="s">
        <v>400</v>
      </c>
    </row>
    <row r="90" spans="1:20" x14ac:dyDescent="0.25">
      <c r="A90" s="482" t="s">
        <v>218</v>
      </c>
      <c r="B90" s="297" t="s">
        <v>219</v>
      </c>
      <c r="C90" s="285" t="s">
        <v>261</v>
      </c>
      <c r="D90" s="310" t="s">
        <v>28</v>
      </c>
      <c r="E90" s="310" t="s">
        <v>28</v>
      </c>
      <c r="F90" s="310" t="s">
        <v>28</v>
      </c>
      <c r="G90" s="80">
        <v>0</v>
      </c>
      <c r="H90" s="292"/>
      <c r="I90" s="514">
        <v>44592</v>
      </c>
      <c r="J90" s="514" t="s">
        <v>164</v>
      </c>
      <c r="K90" s="347">
        <v>0.9</v>
      </c>
      <c r="L90" s="548">
        <f t="shared" si="18"/>
        <v>90</v>
      </c>
      <c r="M90" s="588">
        <v>0.91500000000000004</v>
      </c>
      <c r="N90" s="589">
        <f t="shared" si="19"/>
        <v>91.5</v>
      </c>
      <c r="O90" s="507" t="s">
        <v>114</v>
      </c>
      <c r="P90" s="506">
        <f t="shared" si="20"/>
        <v>1.0166666666666666</v>
      </c>
      <c r="Q90" s="522">
        <f t="shared" si="21"/>
        <v>1.0166666666666666</v>
      </c>
      <c r="R90" s="529" t="str">
        <f t="shared" si="22"/>
        <v>Sobresaliente</v>
      </c>
      <c r="S90" s="500" t="s">
        <v>398</v>
      </c>
    </row>
    <row r="91" spans="1:20" x14ac:dyDescent="0.25">
      <c r="A91" s="587" t="s">
        <v>159</v>
      </c>
      <c r="B91" s="297" t="s">
        <v>419</v>
      </c>
      <c r="C91" s="285" t="s">
        <v>260</v>
      </c>
      <c r="D91" s="310" t="s">
        <v>28</v>
      </c>
      <c r="E91" s="310" t="s">
        <v>28</v>
      </c>
      <c r="F91" s="310" t="s">
        <v>28</v>
      </c>
      <c r="G91" s="80">
        <v>0</v>
      </c>
      <c r="H91" s="292"/>
      <c r="I91" s="514">
        <v>44620</v>
      </c>
      <c r="J91" s="514" t="s">
        <v>126</v>
      </c>
      <c r="K91" s="347">
        <v>0.06</v>
      </c>
      <c r="L91" s="548">
        <f t="shared" si="18"/>
        <v>6</v>
      </c>
      <c r="M91" s="588">
        <v>9.2999999999999999E-2</v>
      </c>
      <c r="N91" s="589">
        <f t="shared" si="19"/>
        <v>9.3000000000000007</v>
      </c>
      <c r="O91" s="507" t="s">
        <v>114</v>
      </c>
      <c r="P91" s="506">
        <f t="shared" si="20"/>
        <v>1.55</v>
      </c>
      <c r="Q91" s="522">
        <f t="shared" si="21"/>
        <v>1.2</v>
      </c>
      <c r="R91" s="529" t="str">
        <f t="shared" si="22"/>
        <v>Sobresaliente</v>
      </c>
    </row>
    <row r="92" spans="1:20" x14ac:dyDescent="0.25">
      <c r="A92" s="482" t="s">
        <v>159</v>
      </c>
      <c r="B92" s="297" t="s">
        <v>417</v>
      </c>
      <c r="C92" s="285" t="s">
        <v>261</v>
      </c>
      <c r="D92" s="310" t="s">
        <v>28</v>
      </c>
      <c r="E92" s="310" t="s">
        <v>28</v>
      </c>
      <c r="F92" s="310" t="s">
        <v>28</v>
      </c>
      <c r="G92" s="80">
        <v>0</v>
      </c>
      <c r="H92" s="292"/>
      <c r="I92" s="514">
        <v>44620</v>
      </c>
      <c r="J92" s="514" t="s">
        <v>126</v>
      </c>
      <c r="K92" s="347">
        <v>1</v>
      </c>
      <c r="L92" s="548">
        <f t="shared" si="18"/>
        <v>100</v>
      </c>
      <c r="M92" s="588">
        <v>1</v>
      </c>
      <c r="N92" s="589">
        <f t="shared" si="19"/>
        <v>100</v>
      </c>
      <c r="O92" s="507" t="s">
        <v>114</v>
      </c>
      <c r="P92" s="506">
        <f t="shared" si="20"/>
        <v>1</v>
      </c>
      <c r="Q92" s="522">
        <f t="shared" si="21"/>
        <v>1</v>
      </c>
      <c r="R92" s="529" t="str">
        <f t="shared" si="22"/>
        <v>Sobresaliente</v>
      </c>
    </row>
    <row r="93" spans="1:20" x14ac:dyDescent="0.25">
      <c r="A93" s="482" t="s">
        <v>159</v>
      </c>
      <c r="B93" s="297" t="s">
        <v>418</v>
      </c>
      <c r="C93" s="285" t="s">
        <v>260</v>
      </c>
      <c r="D93" s="310" t="s">
        <v>28</v>
      </c>
      <c r="E93" s="310" t="s">
        <v>28</v>
      </c>
      <c r="F93" s="310" t="s">
        <v>28</v>
      </c>
      <c r="G93" s="80">
        <v>0</v>
      </c>
      <c r="H93" s="292"/>
      <c r="I93" s="514">
        <v>44620</v>
      </c>
      <c r="J93" s="514" t="s">
        <v>126</v>
      </c>
      <c r="K93" s="347">
        <v>0.88109999999999999</v>
      </c>
      <c r="L93" s="548">
        <f t="shared" si="18"/>
        <v>88.11</v>
      </c>
      <c r="M93" s="588">
        <v>0.86060000000000003</v>
      </c>
      <c r="N93" s="589">
        <f t="shared" si="19"/>
        <v>86.06</v>
      </c>
      <c r="O93" s="507" t="s">
        <v>116</v>
      </c>
      <c r="P93" s="506">
        <f t="shared" si="20"/>
        <v>1.0232663715809782</v>
      </c>
      <c r="Q93" s="522">
        <f t="shared" si="21"/>
        <v>1.0232663715809782</v>
      </c>
      <c r="R93" s="529" t="str">
        <f t="shared" si="22"/>
        <v>Sobresaliente</v>
      </c>
    </row>
    <row r="94" spans="1:20" x14ac:dyDescent="0.25">
      <c r="A94" s="482" t="s">
        <v>159</v>
      </c>
      <c r="B94" s="297" t="s">
        <v>143</v>
      </c>
      <c r="C94" s="285" t="s">
        <v>261</v>
      </c>
      <c r="D94" s="310" t="s">
        <v>28</v>
      </c>
      <c r="E94" s="310" t="s">
        <v>28</v>
      </c>
      <c r="F94" s="310" t="s">
        <v>28</v>
      </c>
      <c r="G94" s="80">
        <v>0</v>
      </c>
      <c r="H94" s="292"/>
      <c r="I94" s="514">
        <v>44620</v>
      </c>
      <c r="J94" s="514" t="s">
        <v>126</v>
      </c>
      <c r="K94" s="347">
        <v>0.5</v>
      </c>
      <c r="L94" s="548">
        <f t="shared" si="18"/>
        <v>50</v>
      </c>
      <c r="M94" s="588">
        <v>0.44309999999999999</v>
      </c>
      <c r="N94" s="589">
        <f t="shared" si="19"/>
        <v>44.31</v>
      </c>
      <c r="O94" s="507" t="s">
        <v>116</v>
      </c>
      <c r="P94" s="506">
        <f t="shared" si="20"/>
        <v>1.1137999999999999</v>
      </c>
      <c r="Q94" s="522">
        <f t="shared" si="21"/>
        <v>1.1137999999999999</v>
      </c>
      <c r="R94" s="529" t="str">
        <f t="shared" si="22"/>
        <v>Sobresaliente</v>
      </c>
    </row>
    <row r="95" spans="1:20" x14ac:dyDescent="0.25">
      <c r="A95" s="482" t="s">
        <v>159</v>
      </c>
      <c r="B95" s="297" t="s">
        <v>144</v>
      </c>
      <c r="C95" s="285" t="s">
        <v>261</v>
      </c>
      <c r="D95" s="310" t="s">
        <v>28</v>
      </c>
      <c r="E95" s="310" t="s">
        <v>28</v>
      </c>
      <c r="F95" s="310" t="s">
        <v>28</v>
      </c>
      <c r="G95" s="80">
        <v>0</v>
      </c>
      <c r="H95" s="292"/>
      <c r="I95" s="514">
        <v>44620</v>
      </c>
      <c r="J95" s="514" t="s">
        <v>126</v>
      </c>
      <c r="K95" s="347">
        <v>1.1599999999999999E-2</v>
      </c>
      <c r="L95" s="548">
        <f t="shared" si="18"/>
        <v>1.1599999999999999</v>
      </c>
      <c r="M95" s="588">
        <v>1.17E-2</v>
      </c>
      <c r="N95" s="589">
        <f t="shared" si="19"/>
        <v>1.17</v>
      </c>
      <c r="O95" s="507" t="s">
        <v>114</v>
      </c>
      <c r="P95" s="506">
        <f t="shared" si="20"/>
        <v>1.0086206896551726</v>
      </c>
      <c r="Q95" s="522">
        <f t="shared" si="21"/>
        <v>1.0086206896551726</v>
      </c>
      <c r="R95" s="529" t="str">
        <f t="shared" si="22"/>
        <v>Sobresaliente</v>
      </c>
    </row>
    <row r="96" spans="1:20" x14ac:dyDescent="0.25">
      <c r="A96" s="482" t="s">
        <v>159</v>
      </c>
      <c r="B96" s="297" t="s">
        <v>147</v>
      </c>
      <c r="C96" s="285" t="s">
        <v>261</v>
      </c>
      <c r="D96" s="310" t="s">
        <v>28</v>
      </c>
      <c r="E96" s="310" t="s">
        <v>28</v>
      </c>
      <c r="F96" s="310" t="s">
        <v>28</v>
      </c>
      <c r="G96" s="80">
        <v>0</v>
      </c>
      <c r="H96" s="292"/>
      <c r="I96" s="514">
        <v>44620</v>
      </c>
      <c r="J96" s="514" t="s">
        <v>126</v>
      </c>
      <c r="K96" s="347">
        <v>-8.7099999999999997E-2</v>
      </c>
      <c r="L96" s="548">
        <f t="shared" si="18"/>
        <v>-8.7099999999999991</v>
      </c>
      <c r="M96" s="588">
        <v>0.21360000000000001</v>
      </c>
      <c r="N96" s="589">
        <f t="shared" si="19"/>
        <v>21.36</v>
      </c>
      <c r="O96" s="507" t="s">
        <v>114</v>
      </c>
      <c r="P96" s="506">
        <f t="shared" si="20"/>
        <v>2.4077715355805243</v>
      </c>
      <c r="Q96" s="522">
        <f t="shared" si="21"/>
        <v>1.2</v>
      </c>
      <c r="R96" s="529" t="str">
        <f t="shared" si="22"/>
        <v>Sobresaliente</v>
      </c>
    </row>
    <row r="97" spans="1:18" x14ac:dyDescent="0.25">
      <c r="A97" s="482" t="s">
        <v>159</v>
      </c>
      <c r="B97" s="297" t="s">
        <v>146</v>
      </c>
      <c r="C97" s="285" t="s">
        <v>261</v>
      </c>
      <c r="D97" s="310" t="s">
        <v>28</v>
      </c>
      <c r="E97" s="310" t="s">
        <v>28</v>
      </c>
      <c r="F97" s="310" t="s">
        <v>28</v>
      </c>
      <c r="G97" s="80">
        <v>0</v>
      </c>
      <c r="H97" s="292"/>
      <c r="I97" s="514">
        <v>44620</v>
      </c>
      <c r="J97" s="514" t="s">
        <v>126</v>
      </c>
      <c r="K97" s="347">
        <v>0.77669999999999995</v>
      </c>
      <c r="L97" s="548">
        <f t="shared" si="18"/>
        <v>77.669999999999987</v>
      </c>
      <c r="M97" s="588">
        <v>0.67190000000000005</v>
      </c>
      <c r="N97" s="589">
        <f t="shared" si="19"/>
        <v>67.190000000000012</v>
      </c>
      <c r="O97" s="507" t="s">
        <v>116</v>
      </c>
      <c r="P97" s="506">
        <f t="shared" si="20"/>
        <v>1.1349298313377107</v>
      </c>
      <c r="Q97" s="522">
        <f t="shared" si="21"/>
        <v>1.1349298313377107</v>
      </c>
      <c r="R97" s="529" t="str">
        <f t="shared" si="22"/>
        <v>Sobresaliente</v>
      </c>
    </row>
    <row r="98" spans="1:18" x14ac:dyDescent="0.25">
      <c r="A98" s="482" t="s">
        <v>159</v>
      </c>
      <c r="B98" s="297" t="s">
        <v>145</v>
      </c>
      <c r="C98" s="285" t="s">
        <v>261</v>
      </c>
      <c r="D98" s="310" t="s">
        <v>28</v>
      </c>
      <c r="E98" s="310" t="s">
        <v>28</v>
      </c>
      <c r="F98" s="310" t="s">
        <v>28</v>
      </c>
      <c r="G98" s="80">
        <v>0</v>
      </c>
      <c r="H98" s="292">
        <v>0.03</v>
      </c>
      <c r="I98" s="514">
        <v>44620</v>
      </c>
      <c r="J98" s="514" t="s">
        <v>126</v>
      </c>
      <c r="K98" s="347">
        <v>1</v>
      </c>
      <c r="L98" s="548">
        <f t="shared" si="18"/>
        <v>100</v>
      </c>
      <c r="M98" s="588">
        <v>0.95550000000000002</v>
      </c>
      <c r="N98" s="589">
        <f t="shared" si="19"/>
        <v>95.55</v>
      </c>
      <c r="O98" s="507" t="s">
        <v>116</v>
      </c>
      <c r="P98" s="506">
        <f t="shared" si="20"/>
        <v>1.0445</v>
      </c>
      <c r="Q98" s="522">
        <f t="shared" si="21"/>
        <v>1.0445</v>
      </c>
      <c r="R98" s="529" t="str">
        <f t="shared" si="22"/>
        <v>Sobresaliente</v>
      </c>
    </row>
    <row r="99" spans="1:18" x14ac:dyDescent="0.25">
      <c r="A99" s="482" t="s">
        <v>159</v>
      </c>
      <c r="B99" s="297" t="s">
        <v>414</v>
      </c>
      <c r="C99" s="285" t="s">
        <v>261</v>
      </c>
      <c r="D99" s="310" t="s">
        <v>28</v>
      </c>
      <c r="E99" s="310" t="s">
        <v>28</v>
      </c>
      <c r="F99" s="310" t="s">
        <v>28</v>
      </c>
      <c r="G99" s="80">
        <v>0</v>
      </c>
      <c r="H99" s="292"/>
      <c r="I99" s="514">
        <v>44620</v>
      </c>
      <c r="J99" s="514" t="s">
        <v>126</v>
      </c>
      <c r="K99" s="347">
        <v>1</v>
      </c>
      <c r="L99" s="548">
        <f t="shared" si="18"/>
        <v>100</v>
      </c>
      <c r="M99" s="588">
        <v>0.87139999999999995</v>
      </c>
      <c r="N99" s="589">
        <f t="shared" si="19"/>
        <v>87.14</v>
      </c>
      <c r="O99" s="507" t="s">
        <v>116</v>
      </c>
      <c r="P99" s="506">
        <f t="shared" si="20"/>
        <v>1.1286</v>
      </c>
      <c r="Q99" s="522">
        <f t="shared" si="21"/>
        <v>1.1286</v>
      </c>
      <c r="R99" s="529" t="str">
        <f t="shared" si="22"/>
        <v>Sobresaliente</v>
      </c>
    </row>
    <row r="100" spans="1:18" x14ac:dyDescent="0.25">
      <c r="A100" s="482" t="s">
        <v>158</v>
      </c>
      <c r="B100" s="297" t="s">
        <v>420</v>
      </c>
      <c r="C100" s="285" t="s">
        <v>260</v>
      </c>
      <c r="D100" s="310" t="s">
        <v>28</v>
      </c>
      <c r="E100" s="310" t="s">
        <v>28</v>
      </c>
      <c r="F100" s="310" t="s">
        <v>28</v>
      </c>
      <c r="G100" s="80">
        <v>0</v>
      </c>
      <c r="H100" s="292"/>
      <c r="I100" s="514">
        <v>44620</v>
      </c>
      <c r="J100" s="514" t="s">
        <v>126</v>
      </c>
      <c r="K100" s="347">
        <v>0.38159999999999999</v>
      </c>
      <c r="L100" s="548">
        <f t="shared" si="18"/>
        <v>38.159999999999997</v>
      </c>
      <c r="M100" s="588">
        <v>0.66259999999999997</v>
      </c>
      <c r="N100" s="589">
        <f t="shared" si="19"/>
        <v>66.259999999999991</v>
      </c>
      <c r="O100" s="507" t="s">
        <v>114</v>
      </c>
      <c r="P100" s="506">
        <f t="shared" si="20"/>
        <v>1.7363731656184487</v>
      </c>
      <c r="Q100" s="522">
        <f t="shared" si="21"/>
        <v>1.2</v>
      </c>
      <c r="R100" s="529" t="str">
        <f t="shared" si="22"/>
        <v>Sobresaliente</v>
      </c>
    </row>
    <row r="101" spans="1:18" x14ac:dyDescent="0.25">
      <c r="A101" s="482" t="s">
        <v>158</v>
      </c>
      <c r="B101" s="297" t="s">
        <v>150</v>
      </c>
      <c r="C101" s="285" t="s">
        <v>261</v>
      </c>
      <c r="D101" s="310" t="s">
        <v>28</v>
      </c>
      <c r="E101" s="310" t="s">
        <v>28</v>
      </c>
      <c r="F101" s="310" t="s">
        <v>28</v>
      </c>
      <c r="G101" s="80">
        <v>0</v>
      </c>
      <c r="H101" s="292"/>
      <c r="I101" s="514">
        <v>44620</v>
      </c>
      <c r="J101" s="514" t="s">
        <v>126</v>
      </c>
      <c r="K101" s="347">
        <v>6.7900000000000002E-2</v>
      </c>
      <c r="L101" s="548">
        <f t="shared" si="18"/>
        <v>6.79</v>
      </c>
      <c r="M101" s="588">
        <v>7.0400000000000004E-2</v>
      </c>
      <c r="N101" s="589">
        <f t="shared" si="19"/>
        <v>7.04</v>
      </c>
      <c r="O101" s="507" t="s">
        <v>114</v>
      </c>
      <c r="P101" s="506">
        <f t="shared" si="20"/>
        <v>1.036818851251841</v>
      </c>
      <c r="Q101" s="522">
        <f t="shared" si="21"/>
        <v>1.036818851251841</v>
      </c>
      <c r="R101" s="529" t="str">
        <f t="shared" si="22"/>
        <v>Sobresaliente</v>
      </c>
    </row>
    <row r="102" spans="1:18" x14ac:dyDescent="0.25">
      <c r="A102" s="482" t="s">
        <v>158</v>
      </c>
      <c r="B102" s="297" t="s">
        <v>148</v>
      </c>
      <c r="C102" s="285" t="s">
        <v>261</v>
      </c>
      <c r="D102" s="310" t="s">
        <v>28</v>
      </c>
      <c r="E102" s="310" t="s">
        <v>28</v>
      </c>
      <c r="F102" s="310" t="s">
        <v>28</v>
      </c>
      <c r="G102" s="80">
        <v>0</v>
      </c>
      <c r="H102" s="292"/>
      <c r="I102" s="514">
        <v>44620</v>
      </c>
      <c r="J102" s="514" t="s">
        <v>126</v>
      </c>
      <c r="K102" s="347">
        <v>9.2200000000000004E-2</v>
      </c>
      <c r="L102" s="548">
        <f t="shared" si="18"/>
        <v>9.2200000000000006</v>
      </c>
      <c r="M102" s="588">
        <v>6.6400000000000001E-2</v>
      </c>
      <c r="N102" s="589">
        <f t="shared" si="19"/>
        <v>6.64</v>
      </c>
      <c r="O102" s="507" t="s">
        <v>114</v>
      </c>
      <c r="P102" s="506">
        <f t="shared" si="20"/>
        <v>0.72017353579175702</v>
      </c>
      <c r="Q102" s="522">
        <f t="shared" si="21"/>
        <v>0.72017353579175702</v>
      </c>
      <c r="R102" s="529" t="str">
        <f t="shared" si="22"/>
        <v>Incumple</v>
      </c>
    </row>
    <row r="103" spans="1:18" x14ac:dyDescent="0.25">
      <c r="A103" s="482" t="s">
        <v>158</v>
      </c>
      <c r="B103" s="297" t="s">
        <v>151</v>
      </c>
      <c r="C103" s="285" t="s">
        <v>261</v>
      </c>
      <c r="D103" s="310" t="s">
        <v>28</v>
      </c>
      <c r="E103" s="310" t="s">
        <v>28</v>
      </c>
      <c r="F103" s="310" t="s">
        <v>28</v>
      </c>
      <c r="G103" s="80">
        <v>0</v>
      </c>
      <c r="H103" s="292"/>
      <c r="I103" s="514">
        <v>44620</v>
      </c>
      <c r="J103" s="514" t="s">
        <v>126</v>
      </c>
      <c r="K103" s="347">
        <v>9.69E-2</v>
      </c>
      <c r="L103" s="548">
        <f t="shared" si="18"/>
        <v>9.69</v>
      </c>
      <c r="M103" s="588">
        <v>9.2899999999999996E-2</v>
      </c>
      <c r="N103" s="589">
        <f t="shared" si="19"/>
        <v>9.2899999999999991</v>
      </c>
      <c r="O103" s="507" t="s">
        <v>114</v>
      </c>
      <c r="P103" s="506">
        <f t="shared" si="20"/>
        <v>0.95872033023735803</v>
      </c>
      <c r="Q103" s="522">
        <f t="shared" si="21"/>
        <v>0.95872033023735803</v>
      </c>
      <c r="R103" s="529" t="str">
        <f t="shared" si="22"/>
        <v>Satisfactorio</v>
      </c>
    </row>
    <row r="104" spans="1:18" x14ac:dyDescent="0.25">
      <c r="A104" s="482" t="s">
        <v>158</v>
      </c>
      <c r="B104" s="297" t="s">
        <v>421</v>
      </c>
      <c r="C104" s="285" t="s">
        <v>260</v>
      </c>
      <c r="D104" s="310" t="s">
        <v>28</v>
      </c>
      <c r="E104" s="310" t="s">
        <v>28</v>
      </c>
      <c r="F104" s="310" t="s">
        <v>28</v>
      </c>
      <c r="G104" s="80">
        <v>0</v>
      </c>
      <c r="H104" s="292"/>
      <c r="I104" s="514">
        <v>44620</v>
      </c>
      <c r="J104" s="514" t="s">
        <v>126</v>
      </c>
      <c r="K104" s="347">
        <v>3.3999999999999998E-3</v>
      </c>
      <c r="L104" s="548">
        <f t="shared" si="18"/>
        <v>0.33999999999999997</v>
      </c>
      <c r="M104" s="588">
        <v>6.4000000000000003E-3</v>
      </c>
      <c r="N104" s="589">
        <f t="shared" si="19"/>
        <v>0.64</v>
      </c>
      <c r="O104" s="507" t="s">
        <v>114</v>
      </c>
      <c r="P104" s="506">
        <f t="shared" si="20"/>
        <v>1.8823529411764708</v>
      </c>
      <c r="Q104" s="522">
        <f t="shared" si="21"/>
        <v>1.2</v>
      </c>
      <c r="R104" s="529" t="str">
        <f t="shared" si="22"/>
        <v>Sobresaliente</v>
      </c>
    </row>
    <row r="105" spans="1:18" x14ac:dyDescent="0.25">
      <c r="A105" s="482" t="s">
        <v>158</v>
      </c>
      <c r="B105" s="297" t="s">
        <v>155</v>
      </c>
      <c r="C105" s="285" t="s">
        <v>261</v>
      </c>
      <c r="D105" s="310" t="s">
        <v>28</v>
      </c>
      <c r="E105" s="310" t="s">
        <v>28</v>
      </c>
      <c r="F105" s="310" t="s">
        <v>28</v>
      </c>
      <c r="G105" s="80">
        <v>0</v>
      </c>
      <c r="H105" s="292"/>
      <c r="I105" s="514">
        <v>44620</v>
      </c>
      <c r="J105" s="514" t="s">
        <v>177</v>
      </c>
      <c r="K105" s="347">
        <v>0</v>
      </c>
      <c r="L105" s="548">
        <f t="shared" si="18"/>
        <v>0</v>
      </c>
      <c r="M105" s="588">
        <v>0</v>
      </c>
      <c r="N105" s="589">
        <f t="shared" si="19"/>
        <v>0</v>
      </c>
      <c r="O105" s="507" t="s">
        <v>114</v>
      </c>
      <c r="P105" s="506" t="str">
        <f t="shared" si="20"/>
        <v>N/A</v>
      </c>
      <c r="Q105" s="522">
        <f t="shared" si="21"/>
        <v>1.2</v>
      </c>
      <c r="R105" s="529" t="str">
        <f t="shared" si="22"/>
        <v>Sobresaliente</v>
      </c>
    </row>
    <row r="106" spans="1:18" x14ac:dyDescent="0.25">
      <c r="A106" s="482" t="s">
        <v>158</v>
      </c>
      <c r="B106" s="297" t="s">
        <v>156</v>
      </c>
      <c r="C106" s="285" t="s">
        <v>261</v>
      </c>
      <c r="D106" s="310" t="s">
        <v>28</v>
      </c>
      <c r="E106" s="310" t="s">
        <v>28</v>
      </c>
      <c r="F106" s="310" t="s">
        <v>28</v>
      </c>
      <c r="G106" s="80">
        <v>0</v>
      </c>
      <c r="H106" s="292"/>
      <c r="I106" s="514">
        <v>44620</v>
      </c>
      <c r="J106" s="514" t="s">
        <v>177</v>
      </c>
      <c r="K106" s="347">
        <v>0.26100000000000001</v>
      </c>
      <c r="L106" s="548">
        <f t="shared" si="18"/>
        <v>26.1</v>
      </c>
      <c r="M106" s="588">
        <v>0.25900000000000001</v>
      </c>
      <c r="N106" s="589">
        <f t="shared" si="19"/>
        <v>25.900000000000002</v>
      </c>
      <c r="O106" s="507" t="s">
        <v>114</v>
      </c>
      <c r="P106" s="506">
        <f t="shared" si="20"/>
        <v>0.9923371647509579</v>
      </c>
      <c r="Q106" s="522">
        <f t="shared" si="21"/>
        <v>0.9923371647509579</v>
      </c>
      <c r="R106" s="529" t="str">
        <f t="shared" si="22"/>
        <v>Satisfactorio</v>
      </c>
    </row>
    <row r="107" spans="1:18" x14ac:dyDescent="0.25">
      <c r="A107" s="482" t="s">
        <v>158</v>
      </c>
      <c r="B107" s="297" t="s">
        <v>157</v>
      </c>
      <c r="C107" s="285" t="s">
        <v>261</v>
      </c>
      <c r="D107" s="310" t="s">
        <v>28</v>
      </c>
      <c r="E107" s="310" t="s">
        <v>28</v>
      </c>
      <c r="F107" s="310" t="s">
        <v>28</v>
      </c>
      <c r="G107" s="80">
        <v>0</v>
      </c>
      <c r="H107" s="292"/>
      <c r="I107" s="514">
        <v>44620</v>
      </c>
      <c r="J107" s="514" t="s">
        <v>177</v>
      </c>
      <c r="K107" s="347">
        <v>0</v>
      </c>
      <c r="L107" s="548">
        <f t="shared" si="18"/>
        <v>0</v>
      </c>
      <c r="M107" s="588">
        <v>0</v>
      </c>
      <c r="N107" s="589">
        <f t="shared" si="19"/>
        <v>0</v>
      </c>
      <c r="O107" s="507" t="s">
        <v>114</v>
      </c>
      <c r="P107" s="506" t="str">
        <f t="shared" si="20"/>
        <v>N/A</v>
      </c>
      <c r="Q107" s="522">
        <f t="shared" si="21"/>
        <v>1.2</v>
      </c>
      <c r="R107" s="529" t="str">
        <f t="shared" si="22"/>
        <v>Sobresaliente</v>
      </c>
    </row>
    <row r="108" spans="1:18" x14ac:dyDescent="0.25">
      <c r="A108" s="482" t="s">
        <v>158</v>
      </c>
      <c r="B108" s="297" t="s">
        <v>96</v>
      </c>
      <c r="C108" s="285" t="s">
        <v>261</v>
      </c>
      <c r="D108" s="310" t="s">
        <v>28</v>
      </c>
      <c r="E108" s="310" t="s">
        <v>28</v>
      </c>
      <c r="F108" s="310" t="s">
        <v>28</v>
      </c>
      <c r="G108" s="80">
        <v>0</v>
      </c>
      <c r="H108" s="292"/>
      <c r="I108" s="514">
        <v>44620</v>
      </c>
      <c r="J108" s="514" t="s">
        <v>126</v>
      </c>
      <c r="K108" s="347">
        <v>0</v>
      </c>
      <c r="L108" s="548">
        <f t="shared" si="18"/>
        <v>0</v>
      </c>
      <c r="M108" s="347">
        <v>0</v>
      </c>
      <c r="N108" s="589">
        <f t="shared" si="19"/>
        <v>0</v>
      </c>
      <c r="P108" s="506" t="str">
        <f t="shared" si="20"/>
        <v>N/A</v>
      </c>
      <c r="Q108" s="522">
        <f t="shared" si="21"/>
        <v>1.2</v>
      </c>
      <c r="R108" s="529" t="str">
        <f t="shared" si="22"/>
        <v>Sobresaliente</v>
      </c>
    </row>
    <row r="109" spans="1:18" x14ac:dyDescent="0.25">
      <c r="A109" s="482" t="s">
        <v>158</v>
      </c>
      <c r="B109" s="297" t="s">
        <v>149</v>
      </c>
      <c r="C109" s="285" t="s">
        <v>261</v>
      </c>
      <c r="D109" s="310" t="s">
        <v>28</v>
      </c>
      <c r="E109" s="310" t="s">
        <v>28</v>
      </c>
      <c r="F109" s="310" t="s">
        <v>28</v>
      </c>
      <c r="G109" s="80">
        <v>0</v>
      </c>
      <c r="H109" s="292"/>
      <c r="I109" s="514">
        <v>44620</v>
      </c>
      <c r="J109" s="514" t="s">
        <v>126</v>
      </c>
      <c r="K109" s="347">
        <v>0</v>
      </c>
      <c r="L109" s="548">
        <f t="shared" si="18"/>
        <v>0</v>
      </c>
      <c r="M109" s="347">
        <v>0</v>
      </c>
      <c r="N109" s="589">
        <f t="shared" si="19"/>
        <v>0</v>
      </c>
      <c r="P109" s="506" t="str">
        <f t="shared" si="20"/>
        <v>N/A</v>
      </c>
      <c r="Q109" s="522">
        <f t="shared" si="21"/>
        <v>1.2</v>
      </c>
      <c r="R109" s="529" t="str">
        <f t="shared" si="22"/>
        <v>Sobresaliente</v>
      </c>
    </row>
    <row r="110" spans="1:18" x14ac:dyDescent="0.25">
      <c r="A110" s="482" t="s">
        <v>158</v>
      </c>
      <c r="B110" s="297" t="s">
        <v>98</v>
      </c>
      <c r="C110" s="285" t="s">
        <v>261</v>
      </c>
      <c r="D110" s="310" t="s">
        <v>28</v>
      </c>
      <c r="E110" s="310" t="s">
        <v>28</v>
      </c>
      <c r="F110" s="310" t="s">
        <v>28</v>
      </c>
      <c r="G110" s="80">
        <v>0</v>
      </c>
      <c r="H110" s="292"/>
      <c r="I110" s="514">
        <v>44620</v>
      </c>
      <c r="J110" s="514" t="s">
        <v>126</v>
      </c>
      <c r="K110" s="347">
        <v>0</v>
      </c>
      <c r="L110" s="548">
        <f t="shared" ref="L110:L135" si="23">+K110*100</f>
        <v>0</v>
      </c>
      <c r="M110" s="347">
        <v>0</v>
      </c>
      <c r="N110" s="589">
        <f t="shared" ref="N110:N135" si="24">+M110*100</f>
        <v>0</v>
      </c>
      <c r="P110" s="506" t="str">
        <f t="shared" ref="P110:P135" si="25">+IFERROR(IF(O110="Creciente",IF(AND(M110&lt;0,K110&lt;0),1-(M110-K110)/K110,IF(M110&lt;0,M110/K110,IF(K110&lt;0,1+((M110-K110)/M110),M110/K110))),IF(AND(M110&lt;0,K110&lt;0),(K110*-1)/(M110*-1),IF(M110&lt;0,(M110-K110)/M110,IF(K110&lt;0,-1+(M110-K110)/K110,IF(O110="Decreciente",1+(K110-M110)/K110,M110/K110))))),"N/A")</f>
        <v>N/A</v>
      </c>
      <c r="Q110" s="522">
        <f t="shared" ref="Q110:Q135" si="26">+IF(P110&lt;0,0%,IF(P110&gt;120%,120%,P110))</f>
        <v>1.2</v>
      </c>
      <c r="R110" s="529" t="str">
        <f t="shared" ref="R110:R135" si="27">+IF(Q110&lt;79.99999%,"Incumple",IF(AND(Q110&gt;=80%,Q110&lt;94.999999%),"Tolerable",IF(AND(Q110&gt;=95%,Q110&lt;100%),"Satisfactorio","Sobresaliente")))</f>
        <v>Sobresaliente</v>
      </c>
    </row>
    <row r="111" spans="1:18" x14ac:dyDescent="0.25">
      <c r="A111" s="482" t="s">
        <v>158</v>
      </c>
      <c r="B111" s="297" t="s">
        <v>152</v>
      </c>
      <c r="C111" s="285" t="s">
        <v>261</v>
      </c>
      <c r="D111" s="310" t="s">
        <v>28</v>
      </c>
      <c r="E111" s="310" t="s">
        <v>28</v>
      </c>
      <c r="F111" s="310" t="s">
        <v>28</v>
      </c>
      <c r="G111" s="80">
        <v>0</v>
      </c>
      <c r="H111" s="292"/>
      <c r="I111" s="514">
        <v>44620</v>
      </c>
      <c r="J111" s="514" t="s">
        <v>126</v>
      </c>
      <c r="K111" s="347">
        <v>0</v>
      </c>
      <c r="L111" s="548">
        <f t="shared" si="23"/>
        <v>0</v>
      </c>
      <c r="M111" s="347">
        <v>0</v>
      </c>
      <c r="N111" s="589">
        <f t="shared" si="24"/>
        <v>0</v>
      </c>
      <c r="P111" s="506" t="str">
        <f t="shared" si="25"/>
        <v>N/A</v>
      </c>
      <c r="Q111" s="522">
        <f t="shared" si="26"/>
        <v>1.2</v>
      </c>
      <c r="R111" s="529" t="str">
        <f t="shared" si="27"/>
        <v>Sobresaliente</v>
      </c>
    </row>
    <row r="112" spans="1:18" x14ac:dyDescent="0.25">
      <c r="A112" s="482" t="s">
        <v>158</v>
      </c>
      <c r="B112" s="297" t="s">
        <v>154</v>
      </c>
      <c r="C112" s="285" t="s">
        <v>261</v>
      </c>
      <c r="D112" s="310" t="s">
        <v>28</v>
      </c>
      <c r="E112" s="310" t="s">
        <v>28</v>
      </c>
      <c r="F112" s="310" t="s">
        <v>28</v>
      </c>
      <c r="G112" s="80">
        <v>0</v>
      </c>
      <c r="H112" s="292"/>
      <c r="I112" s="514">
        <v>44620</v>
      </c>
      <c r="J112" s="514" t="s">
        <v>126</v>
      </c>
      <c r="K112" s="347">
        <v>0</v>
      </c>
      <c r="L112" s="548">
        <f t="shared" si="23"/>
        <v>0</v>
      </c>
      <c r="M112" s="347">
        <v>0</v>
      </c>
      <c r="N112" s="589">
        <f t="shared" si="24"/>
        <v>0</v>
      </c>
      <c r="P112" s="506" t="str">
        <f t="shared" si="25"/>
        <v>N/A</v>
      </c>
      <c r="Q112" s="522">
        <f t="shared" si="26"/>
        <v>1.2</v>
      </c>
      <c r="R112" s="529" t="str">
        <f t="shared" si="27"/>
        <v>Sobresaliente</v>
      </c>
    </row>
    <row r="113" spans="1:18" x14ac:dyDescent="0.25">
      <c r="A113" s="482" t="s">
        <v>160</v>
      </c>
      <c r="B113" s="297" t="s">
        <v>17</v>
      </c>
      <c r="C113" s="285" t="s">
        <v>261</v>
      </c>
      <c r="D113" s="310" t="s">
        <v>28</v>
      </c>
      <c r="E113" s="310" t="s">
        <v>28</v>
      </c>
      <c r="F113" s="310" t="s">
        <v>28</v>
      </c>
      <c r="G113" s="80">
        <v>0</v>
      </c>
      <c r="H113" s="292"/>
      <c r="I113" s="514">
        <v>44620</v>
      </c>
      <c r="J113" s="514" t="s">
        <v>126</v>
      </c>
      <c r="K113" s="347">
        <v>4.65E-2</v>
      </c>
      <c r="L113" s="548">
        <f t="shared" si="23"/>
        <v>4.6500000000000004</v>
      </c>
      <c r="M113" s="588">
        <v>4.6699999999999998E-2</v>
      </c>
      <c r="N113" s="589">
        <f t="shared" si="24"/>
        <v>4.67</v>
      </c>
      <c r="O113" s="507" t="s">
        <v>114</v>
      </c>
      <c r="P113" s="506">
        <f t="shared" si="25"/>
        <v>1.0043010752688173</v>
      </c>
      <c r="Q113" s="522">
        <f t="shared" si="26"/>
        <v>1.0043010752688173</v>
      </c>
      <c r="R113" s="529" t="str">
        <f t="shared" si="27"/>
        <v>Sobresaliente</v>
      </c>
    </row>
    <row r="114" spans="1:18" x14ac:dyDescent="0.25">
      <c r="A114" s="482" t="s">
        <v>160</v>
      </c>
      <c r="B114" s="297" t="s">
        <v>181</v>
      </c>
      <c r="C114" s="285" t="s">
        <v>261</v>
      </c>
      <c r="D114" s="310" t="s">
        <v>28</v>
      </c>
      <c r="E114" s="310" t="s">
        <v>28</v>
      </c>
      <c r="F114" s="310" t="s">
        <v>28</v>
      </c>
      <c r="G114" s="80">
        <v>0</v>
      </c>
      <c r="H114" s="292"/>
      <c r="I114" s="514">
        <v>44620</v>
      </c>
      <c r="J114" s="514" t="s">
        <v>164</v>
      </c>
      <c r="K114" s="347">
        <v>4.65E-2</v>
      </c>
      <c r="L114" s="548">
        <f t="shared" si="23"/>
        <v>4.6500000000000004</v>
      </c>
      <c r="M114" s="588">
        <v>4.1700000000000001E-2</v>
      </c>
      <c r="N114" s="589">
        <f t="shared" si="24"/>
        <v>4.17</v>
      </c>
      <c r="O114" s="507" t="s">
        <v>114</v>
      </c>
      <c r="P114" s="506">
        <f t="shared" si="25"/>
        <v>0.89677419354838717</v>
      </c>
      <c r="Q114" s="522">
        <f t="shared" si="26"/>
        <v>0.89677419354838717</v>
      </c>
      <c r="R114" s="529" t="str">
        <f t="shared" si="27"/>
        <v>Tolerable</v>
      </c>
    </row>
    <row r="115" spans="1:18" x14ac:dyDescent="0.25">
      <c r="A115" s="482" t="s">
        <v>163</v>
      </c>
      <c r="B115" s="297" t="s">
        <v>161</v>
      </c>
      <c r="C115" s="285" t="s">
        <v>261</v>
      </c>
      <c r="D115" s="310" t="s">
        <v>28</v>
      </c>
      <c r="E115" s="310" t="s">
        <v>28</v>
      </c>
      <c r="F115" s="310" t="s">
        <v>28</v>
      </c>
      <c r="G115" s="80">
        <v>0</v>
      </c>
      <c r="H115" s="292"/>
      <c r="I115" s="514">
        <v>44620</v>
      </c>
      <c r="J115" s="514" t="s">
        <v>126</v>
      </c>
      <c r="K115" s="347">
        <v>0</v>
      </c>
      <c r="L115" s="548">
        <f t="shared" si="23"/>
        <v>0</v>
      </c>
      <c r="M115" s="588">
        <v>0</v>
      </c>
      <c r="N115" s="589">
        <f t="shared" si="24"/>
        <v>0</v>
      </c>
      <c r="O115" s="507" t="s">
        <v>114</v>
      </c>
      <c r="P115" s="506" t="str">
        <f t="shared" si="25"/>
        <v>N/A</v>
      </c>
      <c r="Q115" s="522">
        <f t="shared" si="26"/>
        <v>1.2</v>
      </c>
      <c r="R115" s="529" t="str">
        <f t="shared" si="27"/>
        <v>Sobresaliente</v>
      </c>
    </row>
    <row r="116" spans="1:18" x14ac:dyDescent="0.25">
      <c r="A116" s="482" t="s">
        <v>163</v>
      </c>
      <c r="B116" s="297" t="s">
        <v>162</v>
      </c>
      <c r="C116" s="285" t="s">
        <v>261</v>
      </c>
      <c r="D116" s="310" t="s">
        <v>28</v>
      </c>
      <c r="E116" s="310" t="s">
        <v>28</v>
      </c>
      <c r="F116" s="310" t="s">
        <v>28</v>
      </c>
      <c r="G116" s="80">
        <v>0</v>
      </c>
      <c r="H116" s="292"/>
      <c r="I116" s="514">
        <v>44620</v>
      </c>
      <c r="J116" s="514" t="s">
        <v>126</v>
      </c>
      <c r="K116" s="347">
        <v>6.7400000000000002E-2</v>
      </c>
      <c r="L116" s="548">
        <f t="shared" si="23"/>
        <v>6.74</v>
      </c>
      <c r="M116" s="588">
        <v>1.7600000000000001E-2</v>
      </c>
      <c r="N116" s="589">
        <f t="shared" si="24"/>
        <v>1.76</v>
      </c>
      <c r="O116" s="507" t="s">
        <v>114</v>
      </c>
      <c r="P116" s="506">
        <f t="shared" si="25"/>
        <v>0.26112759643916916</v>
      </c>
      <c r="Q116" s="522">
        <f t="shared" si="26"/>
        <v>0.26112759643916916</v>
      </c>
      <c r="R116" s="529" t="str">
        <f t="shared" si="27"/>
        <v>Incumple</v>
      </c>
    </row>
    <row r="117" spans="1:18" x14ac:dyDescent="0.25">
      <c r="A117" s="482" t="s">
        <v>163</v>
      </c>
      <c r="B117" s="297" t="s">
        <v>422</v>
      </c>
      <c r="C117" s="285" t="s">
        <v>260</v>
      </c>
      <c r="D117" s="310" t="s">
        <v>28</v>
      </c>
      <c r="E117" s="310" t="s">
        <v>28</v>
      </c>
      <c r="F117" s="310" t="s">
        <v>28</v>
      </c>
      <c r="G117" s="80">
        <v>0</v>
      </c>
      <c r="H117" s="292"/>
      <c r="I117" s="514">
        <v>44620</v>
      </c>
      <c r="J117" s="514" t="s">
        <v>126</v>
      </c>
      <c r="K117" s="347">
        <v>0.54</v>
      </c>
      <c r="L117" s="548">
        <f t="shared" si="23"/>
        <v>54</v>
      </c>
      <c r="M117" s="588">
        <v>0.69689999999999996</v>
      </c>
      <c r="N117" s="589">
        <f t="shared" si="24"/>
        <v>69.69</v>
      </c>
      <c r="O117" s="507" t="s">
        <v>114</v>
      </c>
      <c r="P117" s="506">
        <f t="shared" si="25"/>
        <v>1.2905555555555555</v>
      </c>
      <c r="Q117" s="522">
        <f t="shared" si="26"/>
        <v>1.2</v>
      </c>
      <c r="R117" s="529" t="str">
        <f t="shared" si="27"/>
        <v>Sobresaliente</v>
      </c>
    </row>
    <row r="118" spans="1:18" x14ac:dyDescent="0.25">
      <c r="A118" s="482" t="s">
        <v>187</v>
      </c>
      <c r="B118" s="297" t="s">
        <v>184</v>
      </c>
      <c r="C118" s="285" t="s">
        <v>261</v>
      </c>
      <c r="D118" s="310" t="s">
        <v>28</v>
      </c>
      <c r="E118" s="310" t="s">
        <v>28</v>
      </c>
      <c r="F118" s="310" t="s">
        <v>28</v>
      </c>
      <c r="G118" s="80">
        <v>0</v>
      </c>
      <c r="H118" s="292"/>
      <c r="I118" s="514">
        <v>44620</v>
      </c>
      <c r="J118" s="514" t="s">
        <v>126</v>
      </c>
      <c r="K118" s="347">
        <v>0</v>
      </c>
      <c r="L118" s="548">
        <f t="shared" si="23"/>
        <v>0</v>
      </c>
      <c r="M118" s="588">
        <v>0</v>
      </c>
      <c r="N118" s="589">
        <f t="shared" si="24"/>
        <v>0</v>
      </c>
      <c r="O118" s="507" t="s">
        <v>114</v>
      </c>
      <c r="P118" s="506" t="str">
        <f t="shared" si="25"/>
        <v>N/A</v>
      </c>
      <c r="Q118" s="522">
        <f t="shared" si="26"/>
        <v>1.2</v>
      </c>
      <c r="R118" s="529" t="str">
        <f t="shared" si="27"/>
        <v>Sobresaliente</v>
      </c>
    </row>
    <row r="119" spans="1:18" x14ac:dyDescent="0.25">
      <c r="A119" s="482" t="s">
        <v>187</v>
      </c>
      <c r="B119" s="297" t="s">
        <v>185</v>
      </c>
      <c r="C119" s="285" t="s">
        <v>261</v>
      </c>
      <c r="D119" s="310" t="s">
        <v>28</v>
      </c>
      <c r="E119" s="310" t="s">
        <v>28</v>
      </c>
      <c r="F119" s="310" t="s">
        <v>28</v>
      </c>
      <c r="G119" s="80">
        <v>0</v>
      </c>
      <c r="H119" s="292"/>
      <c r="I119" s="514">
        <v>44620</v>
      </c>
      <c r="J119" s="514" t="s">
        <v>126</v>
      </c>
      <c r="K119" s="347">
        <v>0.8</v>
      </c>
      <c r="L119" s="548">
        <f t="shared" si="23"/>
        <v>80</v>
      </c>
      <c r="M119" s="588">
        <v>0.8125</v>
      </c>
      <c r="N119" s="589">
        <f t="shared" si="24"/>
        <v>81.25</v>
      </c>
      <c r="O119" s="507" t="s">
        <v>114</v>
      </c>
      <c r="P119" s="506">
        <f t="shared" si="25"/>
        <v>1.015625</v>
      </c>
      <c r="Q119" s="522">
        <f t="shared" si="26"/>
        <v>1.015625</v>
      </c>
      <c r="R119" s="529" t="str">
        <f t="shared" si="27"/>
        <v>Sobresaliente</v>
      </c>
    </row>
    <row r="120" spans="1:18" x14ac:dyDescent="0.25">
      <c r="A120" s="482" t="s">
        <v>187</v>
      </c>
      <c r="B120" s="297" t="s">
        <v>186</v>
      </c>
      <c r="C120" s="285" t="s">
        <v>261</v>
      </c>
      <c r="D120" s="310" t="s">
        <v>28</v>
      </c>
      <c r="E120" s="310" t="s">
        <v>28</v>
      </c>
      <c r="F120" s="310" t="s">
        <v>28</v>
      </c>
      <c r="G120" s="80">
        <v>0</v>
      </c>
      <c r="H120" s="292"/>
      <c r="I120" s="514">
        <v>44620</v>
      </c>
      <c r="J120" s="514" t="s">
        <v>126</v>
      </c>
      <c r="K120" s="347">
        <v>0.1</v>
      </c>
      <c r="L120" s="548">
        <f t="shared" si="23"/>
        <v>10</v>
      </c>
      <c r="M120" s="588">
        <v>0.20100000000000001</v>
      </c>
      <c r="N120" s="589">
        <f t="shared" si="24"/>
        <v>20.100000000000001</v>
      </c>
      <c r="O120" s="507" t="s">
        <v>114</v>
      </c>
      <c r="P120" s="506">
        <f t="shared" si="25"/>
        <v>2.0099999999999998</v>
      </c>
      <c r="Q120" s="522">
        <f t="shared" si="26"/>
        <v>1.2</v>
      </c>
      <c r="R120" s="529" t="str">
        <f t="shared" si="27"/>
        <v>Sobresaliente</v>
      </c>
    </row>
    <row r="121" spans="1:18" x14ac:dyDescent="0.25">
      <c r="A121" s="482" t="s">
        <v>187</v>
      </c>
      <c r="B121" s="297" t="s">
        <v>193</v>
      </c>
      <c r="C121" s="285" t="s">
        <v>261</v>
      </c>
      <c r="D121" s="310" t="s">
        <v>28</v>
      </c>
      <c r="E121" s="310" t="s">
        <v>28</v>
      </c>
      <c r="F121" s="310" t="s">
        <v>28</v>
      </c>
      <c r="G121" s="80">
        <v>0</v>
      </c>
      <c r="H121" s="292"/>
      <c r="I121" s="514">
        <v>44620</v>
      </c>
      <c r="J121" s="514" t="s">
        <v>164</v>
      </c>
      <c r="K121" s="347">
        <v>1.2E-2</v>
      </c>
      <c r="L121" s="548">
        <f t="shared" si="23"/>
        <v>1.2</v>
      </c>
      <c r="M121" s="588">
        <v>7.7000000000000002E-3</v>
      </c>
      <c r="N121" s="589">
        <f t="shared" si="24"/>
        <v>0.77</v>
      </c>
      <c r="O121" s="507" t="s">
        <v>114</v>
      </c>
      <c r="P121" s="506">
        <f t="shared" si="25"/>
        <v>0.64166666666666672</v>
      </c>
      <c r="Q121" s="522">
        <f t="shared" si="26"/>
        <v>0.64166666666666672</v>
      </c>
      <c r="R121" s="529" t="str">
        <f t="shared" si="27"/>
        <v>Incumple</v>
      </c>
    </row>
    <row r="122" spans="1:18" x14ac:dyDescent="0.25">
      <c r="A122" s="482" t="s">
        <v>187</v>
      </c>
      <c r="B122" s="297" t="s">
        <v>194</v>
      </c>
      <c r="C122" s="285" t="s">
        <v>261</v>
      </c>
      <c r="D122" s="310" t="s">
        <v>28</v>
      </c>
      <c r="E122" s="310" t="s">
        <v>28</v>
      </c>
      <c r="F122" s="310" t="s">
        <v>28</v>
      </c>
      <c r="G122" s="80">
        <v>0</v>
      </c>
      <c r="H122" s="292"/>
      <c r="I122" s="514">
        <v>44620</v>
      </c>
      <c r="J122" s="514"/>
      <c r="K122" s="347">
        <v>0</v>
      </c>
      <c r="L122" s="548">
        <f t="shared" si="23"/>
        <v>0</v>
      </c>
      <c r="M122" s="588">
        <v>0</v>
      </c>
      <c r="N122" s="589">
        <f t="shared" si="24"/>
        <v>0</v>
      </c>
      <c r="O122" s="306"/>
      <c r="P122" s="506" t="str">
        <f t="shared" si="25"/>
        <v>N/A</v>
      </c>
      <c r="Q122" s="522">
        <f t="shared" si="26"/>
        <v>1.2</v>
      </c>
      <c r="R122" s="529" t="str">
        <f t="shared" si="27"/>
        <v>Sobresaliente</v>
      </c>
    </row>
    <row r="123" spans="1:18" x14ac:dyDescent="0.25">
      <c r="A123" s="482" t="s">
        <v>187</v>
      </c>
      <c r="B123" s="297" t="s">
        <v>195</v>
      </c>
      <c r="C123" s="285" t="s">
        <v>261</v>
      </c>
      <c r="D123" s="310" t="s">
        <v>28</v>
      </c>
      <c r="E123" s="310" t="s">
        <v>28</v>
      </c>
      <c r="F123" s="310" t="s">
        <v>28</v>
      </c>
      <c r="G123" s="80">
        <v>0</v>
      </c>
      <c r="H123" s="292"/>
      <c r="I123" s="514">
        <v>44620</v>
      </c>
      <c r="J123" s="514"/>
      <c r="K123" s="347">
        <v>0</v>
      </c>
      <c r="L123" s="548">
        <f t="shared" si="23"/>
        <v>0</v>
      </c>
      <c r="M123" s="588">
        <v>0</v>
      </c>
      <c r="N123" s="589">
        <f t="shared" si="24"/>
        <v>0</v>
      </c>
      <c r="O123" s="306"/>
      <c r="P123" s="506" t="str">
        <f t="shared" si="25"/>
        <v>N/A</v>
      </c>
      <c r="Q123" s="522">
        <f t="shared" si="26"/>
        <v>1.2</v>
      </c>
      <c r="R123" s="529" t="str">
        <f t="shared" si="27"/>
        <v>Sobresaliente</v>
      </c>
    </row>
    <row r="124" spans="1:18" x14ac:dyDescent="0.25">
      <c r="A124" s="482" t="s">
        <v>188</v>
      </c>
      <c r="B124" s="297" t="s">
        <v>20</v>
      </c>
      <c r="C124" s="285" t="s">
        <v>261</v>
      </c>
      <c r="D124" s="310" t="s">
        <v>28</v>
      </c>
      <c r="E124" s="310" t="s">
        <v>28</v>
      </c>
      <c r="F124" s="310" t="s">
        <v>28</v>
      </c>
      <c r="G124" s="80">
        <v>0</v>
      </c>
      <c r="H124" s="292"/>
      <c r="I124" s="514">
        <v>44620</v>
      </c>
      <c r="J124" s="514" t="s">
        <v>126</v>
      </c>
      <c r="K124" s="347">
        <v>7.3899999999999993E-2</v>
      </c>
      <c r="L124" s="548">
        <f t="shared" si="23"/>
        <v>7.39</v>
      </c>
      <c r="M124" s="588">
        <v>8.3799999999999999E-2</v>
      </c>
      <c r="N124" s="589">
        <f t="shared" si="24"/>
        <v>8.3800000000000008</v>
      </c>
      <c r="O124" s="507" t="s">
        <v>114</v>
      </c>
      <c r="P124" s="506">
        <f t="shared" si="25"/>
        <v>1.1339648173207038</v>
      </c>
      <c r="Q124" s="522">
        <f t="shared" si="26"/>
        <v>1.1339648173207038</v>
      </c>
      <c r="R124" s="529" t="str">
        <f t="shared" si="27"/>
        <v>Sobresaliente</v>
      </c>
    </row>
    <row r="125" spans="1:18" x14ac:dyDescent="0.25">
      <c r="A125" s="482" t="s">
        <v>198</v>
      </c>
      <c r="B125" s="297" t="s">
        <v>206</v>
      </c>
      <c r="C125" s="285" t="s">
        <v>261</v>
      </c>
      <c r="D125" s="310" t="s">
        <v>28</v>
      </c>
      <c r="E125" s="310" t="s">
        <v>28</v>
      </c>
      <c r="F125" s="310" t="s">
        <v>28</v>
      </c>
      <c r="G125" s="80">
        <v>0</v>
      </c>
      <c r="H125" s="292"/>
      <c r="I125" s="514">
        <v>44620</v>
      </c>
      <c r="J125" s="514" t="s">
        <v>164</v>
      </c>
      <c r="K125" s="347">
        <v>0.8</v>
      </c>
      <c r="L125" s="548">
        <f t="shared" si="23"/>
        <v>80</v>
      </c>
      <c r="M125" s="588">
        <v>0.80510000000000004</v>
      </c>
      <c r="N125" s="589">
        <f t="shared" si="24"/>
        <v>80.510000000000005</v>
      </c>
      <c r="O125" s="507" t="s">
        <v>114</v>
      </c>
      <c r="P125" s="506">
        <f t="shared" si="25"/>
        <v>1.006375</v>
      </c>
      <c r="Q125" s="522">
        <f t="shared" si="26"/>
        <v>1.006375</v>
      </c>
      <c r="R125" s="529" t="str">
        <f t="shared" si="27"/>
        <v>Sobresaliente</v>
      </c>
    </row>
    <row r="126" spans="1:18" x14ac:dyDescent="0.25">
      <c r="A126" s="482" t="s">
        <v>198</v>
      </c>
      <c r="B126" s="297" t="s">
        <v>199</v>
      </c>
      <c r="C126" s="285" t="s">
        <v>260</v>
      </c>
      <c r="D126" s="310" t="s">
        <v>28</v>
      </c>
      <c r="E126" s="310" t="s">
        <v>28</v>
      </c>
      <c r="F126" s="310" t="s">
        <v>28</v>
      </c>
      <c r="G126" s="80">
        <v>0</v>
      </c>
      <c r="H126" s="292"/>
      <c r="I126" s="514">
        <v>44620</v>
      </c>
      <c r="J126" s="514" t="s">
        <v>164</v>
      </c>
      <c r="K126" s="347">
        <v>0.15</v>
      </c>
      <c r="L126" s="548">
        <f t="shared" si="23"/>
        <v>15</v>
      </c>
      <c r="M126" s="588">
        <v>0.15939999999999999</v>
      </c>
      <c r="N126" s="589">
        <f t="shared" si="24"/>
        <v>15.939999999999998</v>
      </c>
      <c r="O126" s="507" t="s">
        <v>114</v>
      </c>
      <c r="P126" s="506">
        <f t="shared" si="25"/>
        <v>1.0626666666666666</v>
      </c>
      <c r="Q126" s="522">
        <f t="shared" si="26"/>
        <v>1.0626666666666666</v>
      </c>
      <c r="R126" s="529" t="str">
        <f t="shared" si="27"/>
        <v>Sobresaliente</v>
      </c>
    </row>
    <row r="127" spans="1:18" x14ac:dyDescent="0.25">
      <c r="A127" s="482" t="s">
        <v>198</v>
      </c>
      <c r="B127" s="297" t="s">
        <v>203</v>
      </c>
      <c r="C127" s="285" t="s">
        <v>261</v>
      </c>
      <c r="D127" s="310" t="s">
        <v>28</v>
      </c>
      <c r="E127" s="310" t="s">
        <v>28</v>
      </c>
      <c r="F127" s="310" t="s">
        <v>28</v>
      </c>
      <c r="G127" s="80">
        <v>0</v>
      </c>
      <c r="H127" s="292"/>
      <c r="I127" s="514">
        <v>44620</v>
      </c>
      <c r="J127" s="514"/>
      <c r="K127" s="347">
        <v>0</v>
      </c>
      <c r="L127" s="548">
        <f t="shared" si="23"/>
        <v>0</v>
      </c>
      <c r="M127" s="588">
        <v>0</v>
      </c>
      <c r="N127" s="589">
        <f t="shared" si="24"/>
        <v>0</v>
      </c>
      <c r="P127" s="506" t="str">
        <f t="shared" si="25"/>
        <v>N/A</v>
      </c>
      <c r="Q127" s="522">
        <f t="shared" si="26"/>
        <v>1.2</v>
      </c>
      <c r="R127" s="529" t="str">
        <f t="shared" si="27"/>
        <v>Sobresaliente</v>
      </c>
    </row>
    <row r="128" spans="1:18" x14ac:dyDescent="0.25">
      <c r="A128" s="482" t="s">
        <v>209</v>
      </c>
      <c r="B128" s="297" t="s">
        <v>210</v>
      </c>
      <c r="C128" s="285" t="s">
        <v>261</v>
      </c>
      <c r="D128" s="310" t="s">
        <v>28</v>
      </c>
      <c r="E128" s="310" t="s">
        <v>28</v>
      </c>
      <c r="F128" s="310" t="s">
        <v>28</v>
      </c>
      <c r="G128" s="80">
        <v>0</v>
      </c>
      <c r="H128" s="292"/>
      <c r="I128" s="514">
        <v>44620</v>
      </c>
      <c r="J128" s="514" t="s">
        <v>409</v>
      </c>
      <c r="K128" s="347">
        <v>0.3</v>
      </c>
      <c r="L128" s="548">
        <f t="shared" si="23"/>
        <v>30</v>
      </c>
      <c r="M128" s="588">
        <v>0.32300000000000001</v>
      </c>
      <c r="N128" s="589">
        <f t="shared" si="24"/>
        <v>32.300000000000004</v>
      </c>
      <c r="O128" s="507" t="s">
        <v>116</v>
      </c>
      <c r="P128" s="506">
        <f t="shared" si="25"/>
        <v>0.92333333333333323</v>
      </c>
      <c r="Q128" s="522">
        <f t="shared" si="26"/>
        <v>0.92333333333333323</v>
      </c>
      <c r="R128" s="529" t="str">
        <f t="shared" si="27"/>
        <v>Tolerable</v>
      </c>
    </row>
    <row r="129" spans="1:18" x14ac:dyDescent="0.25">
      <c r="A129" s="482" t="s">
        <v>209</v>
      </c>
      <c r="B129" s="297" t="s">
        <v>215</v>
      </c>
      <c r="C129" s="285" t="s">
        <v>261</v>
      </c>
      <c r="D129" s="310" t="s">
        <v>28</v>
      </c>
      <c r="E129" s="310" t="s">
        <v>28</v>
      </c>
      <c r="F129" s="310" t="s">
        <v>28</v>
      </c>
      <c r="G129" s="80">
        <v>0</v>
      </c>
      <c r="H129" s="292"/>
      <c r="I129" s="514">
        <v>44620</v>
      </c>
      <c r="J129" s="514" t="s">
        <v>294</v>
      </c>
      <c r="K129" s="347">
        <v>4.5999999999999999E-2</v>
      </c>
      <c r="L129" s="548">
        <f t="shared" si="23"/>
        <v>4.5999999999999996</v>
      </c>
      <c r="M129" s="588">
        <v>4.6699999999999998E-2</v>
      </c>
      <c r="N129" s="589">
        <f t="shared" si="24"/>
        <v>4.67</v>
      </c>
      <c r="O129" s="507" t="s">
        <v>114</v>
      </c>
      <c r="P129" s="506">
        <f t="shared" si="25"/>
        <v>1.0152173913043478</v>
      </c>
      <c r="Q129" s="522">
        <f t="shared" si="26"/>
        <v>1.0152173913043478</v>
      </c>
      <c r="R129" s="529" t="str">
        <f t="shared" si="27"/>
        <v>Sobresaliente</v>
      </c>
    </row>
    <row r="130" spans="1:18" x14ac:dyDescent="0.25">
      <c r="A130" s="525" t="s">
        <v>209</v>
      </c>
      <c r="B130" s="341" t="s">
        <v>391</v>
      </c>
      <c r="C130" s="285" t="s">
        <v>261</v>
      </c>
      <c r="D130" s="310" t="s">
        <v>28</v>
      </c>
      <c r="E130" s="310" t="s">
        <v>28</v>
      </c>
      <c r="F130" s="310" t="s">
        <v>28</v>
      </c>
      <c r="G130" s="80">
        <v>0</v>
      </c>
      <c r="H130" s="292"/>
      <c r="I130" s="514">
        <v>44620</v>
      </c>
      <c r="J130" s="514" t="s">
        <v>409</v>
      </c>
      <c r="K130" s="347">
        <v>4.7E-2</v>
      </c>
      <c r="L130" s="548">
        <f t="shared" si="23"/>
        <v>4.7</v>
      </c>
      <c r="M130" s="588">
        <v>4.7E-2</v>
      </c>
      <c r="N130" s="589">
        <f t="shared" si="24"/>
        <v>4.7</v>
      </c>
      <c r="O130" s="507" t="s">
        <v>114</v>
      </c>
      <c r="P130" s="506">
        <f t="shared" si="25"/>
        <v>1</v>
      </c>
      <c r="Q130" s="522">
        <f t="shared" si="26"/>
        <v>1</v>
      </c>
      <c r="R130" s="529" t="str">
        <f t="shared" si="27"/>
        <v>Sobresaliente</v>
      </c>
    </row>
    <row r="131" spans="1:18" x14ac:dyDescent="0.25">
      <c r="A131" s="482" t="s">
        <v>209</v>
      </c>
      <c r="B131" s="297" t="s">
        <v>212</v>
      </c>
      <c r="C131" s="285" t="s">
        <v>261</v>
      </c>
      <c r="D131" s="310" t="s">
        <v>28</v>
      </c>
      <c r="E131" s="310" t="s">
        <v>28</v>
      </c>
      <c r="F131" s="310" t="s">
        <v>28</v>
      </c>
      <c r="G131" s="80">
        <v>0</v>
      </c>
      <c r="H131" s="292"/>
      <c r="I131" s="514">
        <v>44620</v>
      </c>
      <c r="J131" s="514"/>
      <c r="K131" s="347">
        <v>0</v>
      </c>
      <c r="L131" s="548">
        <f t="shared" si="23"/>
        <v>0</v>
      </c>
      <c r="M131" s="588">
        <v>0</v>
      </c>
      <c r="N131" s="589">
        <f t="shared" si="24"/>
        <v>0</v>
      </c>
      <c r="P131" s="506" t="str">
        <f t="shared" si="25"/>
        <v>N/A</v>
      </c>
      <c r="Q131" s="522">
        <f t="shared" si="26"/>
        <v>1.2</v>
      </c>
      <c r="R131" s="529" t="str">
        <f t="shared" si="27"/>
        <v>Sobresaliente</v>
      </c>
    </row>
    <row r="132" spans="1:18" x14ac:dyDescent="0.25">
      <c r="A132" s="482" t="s">
        <v>209</v>
      </c>
      <c r="B132" s="297" t="s">
        <v>213</v>
      </c>
      <c r="C132" s="285" t="s">
        <v>261</v>
      </c>
      <c r="D132" s="310" t="s">
        <v>28</v>
      </c>
      <c r="E132" s="310" t="s">
        <v>28</v>
      </c>
      <c r="F132" s="310" t="s">
        <v>28</v>
      </c>
      <c r="G132" s="80">
        <v>0</v>
      </c>
      <c r="H132" s="292"/>
      <c r="I132" s="514">
        <v>44620</v>
      </c>
      <c r="J132" s="514"/>
      <c r="K132" s="347">
        <v>0</v>
      </c>
      <c r="L132" s="548">
        <f t="shared" si="23"/>
        <v>0</v>
      </c>
      <c r="M132" s="588">
        <v>0</v>
      </c>
      <c r="N132" s="589">
        <f t="shared" si="24"/>
        <v>0</v>
      </c>
      <c r="P132" s="506" t="str">
        <f t="shared" si="25"/>
        <v>N/A</v>
      </c>
      <c r="Q132" s="522">
        <f t="shared" si="26"/>
        <v>1.2</v>
      </c>
      <c r="R132" s="529" t="str">
        <f t="shared" si="27"/>
        <v>Sobresaliente</v>
      </c>
    </row>
    <row r="133" spans="1:18" x14ac:dyDescent="0.25">
      <c r="A133" s="482" t="s">
        <v>209</v>
      </c>
      <c r="B133" s="297" t="s">
        <v>214</v>
      </c>
      <c r="C133" s="285" t="s">
        <v>261</v>
      </c>
      <c r="D133" s="310" t="s">
        <v>28</v>
      </c>
      <c r="E133" s="310" t="s">
        <v>28</v>
      </c>
      <c r="F133" s="310" t="s">
        <v>28</v>
      </c>
      <c r="G133" s="80">
        <v>0</v>
      </c>
      <c r="H133" s="292"/>
      <c r="I133" s="514">
        <v>44620</v>
      </c>
      <c r="J133" s="514"/>
      <c r="K133" s="347">
        <v>0</v>
      </c>
      <c r="L133" s="548">
        <f t="shared" si="23"/>
        <v>0</v>
      </c>
      <c r="M133" s="588">
        <v>0</v>
      </c>
      <c r="N133" s="589">
        <f t="shared" si="24"/>
        <v>0</v>
      </c>
      <c r="P133" s="506" t="str">
        <f t="shared" si="25"/>
        <v>N/A</v>
      </c>
      <c r="Q133" s="522">
        <f t="shared" si="26"/>
        <v>1.2</v>
      </c>
      <c r="R133" s="529" t="str">
        <f t="shared" si="27"/>
        <v>Sobresaliente</v>
      </c>
    </row>
    <row r="134" spans="1:18" x14ac:dyDescent="0.25">
      <c r="A134" s="482" t="s">
        <v>216</v>
      </c>
      <c r="B134" s="297" t="s">
        <v>217</v>
      </c>
      <c r="C134" s="285" t="s">
        <v>261</v>
      </c>
      <c r="D134" s="310" t="s">
        <v>28</v>
      </c>
      <c r="E134" s="310" t="s">
        <v>28</v>
      </c>
      <c r="F134" s="310" t="s">
        <v>28</v>
      </c>
      <c r="G134" s="80">
        <v>0</v>
      </c>
      <c r="H134" s="292"/>
      <c r="I134" s="514">
        <v>44620</v>
      </c>
      <c r="J134" s="514" t="s">
        <v>410</v>
      </c>
      <c r="K134" s="347">
        <v>0</v>
      </c>
      <c r="L134" s="548">
        <f t="shared" si="23"/>
        <v>0</v>
      </c>
      <c r="M134" s="588">
        <v>0</v>
      </c>
      <c r="N134" s="589">
        <f t="shared" si="24"/>
        <v>0</v>
      </c>
      <c r="O134" s="507" t="s">
        <v>114</v>
      </c>
      <c r="P134" s="506" t="str">
        <f t="shared" si="25"/>
        <v>N/A</v>
      </c>
      <c r="Q134" s="522">
        <f t="shared" si="26"/>
        <v>1.2</v>
      </c>
      <c r="R134" s="529" t="str">
        <f t="shared" si="27"/>
        <v>Sobresaliente</v>
      </c>
    </row>
    <row r="135" spans="1:18" x14ac:dyDescent="0.25">
      <c r="A135" s="482" t="s">
        <v>218</v>
      </c>
      <c r="B135" s="297" t="s">
        <v>219</v>
      </c>
      <c r="C135" s="285" t="s">
        <v>261</v>
      </c>
      <c r="D135" s="310" t="s">
        <v>28</v>
      </c>
      <c r="E135" s="310" t="s">
        <v>28</v>
      </c>
      <c r="F135" s="310" t="s">
        <v>28</v>
      </c>
      <c r="G135" s="80">
        <v>0</v>
      </c>
      <c r="H135" s="292"/>
      <c r="I135" s="514">
        <v>44620</v>
      </c>
      <c r="J135" s="514" t="s">
        <v>164</v>
      </c>
      <c r="K135" s="347">
        <v>0.9</v>
      </c>
      <c r="L135" s="548">
        <f t="shared" si="23"/>
        <v>90</v>
      </c>
      <c r="M135" s="588">
        <v>0.91500000000000004</v>
      </c>
      <c r="N135" s="589">
        <f t="shared" si="24"/>
        <v>91.5</v>
      </c>
      <c r="O135" s="507" t="s">
        <v>114</v>
      </c>
      <c r="P135" s="506">
        <f t="shared" si="25"/>
        <v>1.0166666666666666</v>
      </c>
      <c r="Q135" s="522">
        <f t="shared" si="26"/>
        <v>1.0166666666666666</v>
      </c>
      <c r="R135" s="529" t="str">
        <f t="shared" si="27"/>
        <v>Sobresaliente</v>
      </c>
    </row>
    <row r="136" spans="1:18" x14ac:dyDescent="0.25">
      <c r="A136" s="482" t="s">
        <v>159</v>
      </c>
      <c r="B136" s="297" t="s">
        <v>419</v>
      </c>
      <c r="C136" s="285" t="s">
        <v>260</v>
      </c>
      <c r="D136" s="305">
        <v>5.8999999999999997E-2</v>
      </c>
      <c r="E136" s="305">
        <v>6.7000000000000004E-2</v>
      </c>
      <c r="F136" s="314">
        <v>32126</v>
      </c>
      <c r="G136" s="80">
        <f>+E136/D136</f>
        <v>1.1355932203389831</v>
      </c>
      <c r="H136" s="292" t="str">
        <f t="shared" ref="H136:H166" si="28">+IF(G136&lt;79.99999%,"Incumple",IF(AND(G136&gt;=80%,G136&lt;94.999999%),"Tolerable",IF(AND(G136&gt;=95%,G136&lt;100%),"Satisfactorio","Sobresaliente")))</f>
        <v>Sobresaliente</v>
      </c>
      <c r="I136" s="514">
        <v>44651</v>
      </c>
      <c r="J136" s="514" t="s">
        <v>126</v>
      </c>
      <c r="K136" s="346">
        <v>0.06</v>
      </c>
      <c r="L136" s="548">
        <f t="shared" si="10"/>
        <v>6</v>
      </c>
      <c r="M136" s="504">
        <v>6.9800000000000001E-2</v>
      </c>
      <c r="N136" s="556">
        <f t="shared" si="11"/>
        <v>6.98</v>
      </c>
      <c r="O136" s="507" t="s">
        <v>114</v>
      </c>
      <c r="P136" s="80">
        <f t="shared" si="12"/>
        <v>1.1633333333333333</v>
      </c>
      <c r="Q136" s="522">
        <f t="shared" ref="Q136:Q180" si="29">+IF(P136&lt;0,0%,IF(P136&gt;120%,120%,P136))</f>
        <v>1.1633333333333333</v>
      </c>
      <c r="R136" s="529" t="str">
        <f t="shared" ref="R136:R142" si="30">+IF(Q136&lt;79.99999%,"Incumple",IF(AND(Q136&gt;=80%,Q136&lt;94.999999%),"Tolerable",IF(AND(Q136&gt;=95%,Q136&lt;100%),"Satisfactorio","Sobresaliente")))</f>
        <v>Sobresaliente</v>
      </c>
    </row>
    <row r="137" spans="1:18" x14ac:dyDescent="0.25">
      <c r="A137" s="482" t="s">
        <v>159</v>
      </c>
      <c r="B137" s="297" t="s">
        <v>417</v>
      </c>
      <c r="C137" s="285" t="s">
        <v>261</v>
      </c>
      <c r="D137" s="309">
        <v>97</v>
      </c>
      <c r="E137" s="309">
        <v>95</v>
      </c>
      <c r="F137" s="309" t="s">
        <v>28</v>
      </c>
      <c r="G137" s="80">
        <f>+E137/D137</f>
        <v>0.97938144329896903</v>
      </c>
      <c r="H137" s="292" t="str">
        <f>+IF(G137&lt;79.99999%,"Incumple",IF(AND(G137&gt;=80%,G137&lt;94.999999%),"Tolerable",IF(AND(G137&gt;=95%,G137&lt;100%),"Satisfactorio","Sobresaliente")))</f>
        <v>Satisfactorio</v>
      </c>
      <c r="I137" s="514">
        <v>44651</v>
      </c>
      <c r="J137" s="514" t="s">
        <v>126</v>
      </c>
      <c r="K137" s="349">
        <v>1</v>
      </c>
      <c r="L137" s="544">
        <f t="shared" si="10"/>
        <v>100</v>
      </c>
      <c r="M137" s="502">
        <v>1</v>
      </c>
      <c r="N137" s="551">
        <f t="shared" si="11"/>
        <v>100</v>
      </c>
      <c r="O137" s="507" t="s">
        <v>114</v>
      </c>
      <c r="P137" s="80">
        <f t="shared" si="12"/>
        <v>1</v>
      </c>
      <c r="Q137" s="522">
        <f t="shared" si="29"/>
        <v>1</v>
      </c>
      <c r="R137" s="529" t="str">
        <f t="shared" si="30"/>
        <v>Sobresaliente</v>
      </c>
    </row>
    <row r="138" spans="1:18" x14ac:dyDescent="0.25">
      <c r="A138" s="482" t="s">
        <v>159</v>
      </c>
      <c r="B138" s="297" t="s">
        <v>418</v>
      </c>
      <c r="C138" s="285" t="s">
        <v>260</v>
      </c>
      <c r="D138" s="305">
        <v>0.82599999999999996</v>
      </c>
      <c r="E138" s="305">
        <v>0.81599999999999995</v>
      </c>
      <c r="F138" s="320">
        <f>390426/(390426+88261)</f>
        <v>0.81561855659334803</v>
      </c>
      <c r="G138" s="80">
        <f>+D138/E138</f>
        <v>1.0122549019607843</v>
      </c>
      <c r="H138" s="292" t="str">
        <f t="shared" si="28"/>
        <v>Sobresaliente</v>
      </c>
      <c r="I138" s="514">
        <v>44651</v>
      </c>
      <c r="J138" s="514" t="s">
        <v>126</v>
      </c>
      <c r="K138" s="347">
        <v>0.86570000000000003</v>
      </c>
      <c r="L138" s="544">
        <f t="shared" si="10"/>
        <v>86.570000000000007</v>
      </c>
      <c r="M138" s="501">
        <v>0.84589999999999999</v>
      </c>
      <c r="N138" s="551">
        <f t="shared" si="11"/>
        <v>84.59</v>
      </c>
      <c r="O138" s="507" t="s">
        <v>116</v>
      </c>
      <c r="P138" s="80">
        <f t="shared" si="12"/>
        <v>1.02287166454892</v>
      </c>
      <c r="Q138" s="522">
        <f t="shared" si="29"/>
        <v>1.02287166454892</v>
      </c>
      <c r="R138" s="529" t="str">
        <f t="shared" si="30"/>
        <v>Sobresaliente</v>
      </c>
    </row>
    <row r="139" spans="1:18" x14ac:dyDescent="0.25">
      <c r="A139" s="482" t="s">
        <v>159</v>
      </c>
      <c r="B139" s="297" t="s">
        <v>143</v>
      </c>
      <c r="C139" s="285" t="s">
        <v>261</v>
      </c>
      <c r="D139" s="310">
        <v>0.5</v>
      </c>
      <c r="E139" s="305">
        <v>0.46400000000000002</v>
      </c>
      <c r="F139" s="311" t="s">
        <v>28</v>
      </c>
      <c r="G139" s="80">
        <f>+D139/E139</f>
        <v>1.0775862068965516</v>
      </c>
      <c r="H139" s="292" t="str">
        <f t="shared" si="28"/>
        <v>Sobresaliente</v>
      </c>
      <c r="I139" s="514">
        <v>44651</v>
      </c>
      <c r="J139" s="514" t="s">
        <v>126</v>
      </c>
      <c r="K139" s="349">
        <v>0.5</v>
      </c>
      <c r="L139" s="544">
        <f t="shared" si="10"/>
        <v>50</v>
      </c>
      <c r="M139" s="501">
        <v>0.44650000000000001</v>
      </c>
      <c r="N139" s="551">
        <f t="shared" si="11"/>
        <v>44.65</v>
      </c>
      <c r="O139" s="507" t="s">
        <v>116</v>
      </c>
      <c r="P139" s="80">
        <f t="shared" si="12"/>
        <v>1.107</v>
      </c>
      <c r="Q139" s="522">
        <f t="shared" si="29"/>
        <v>1.107</v>
      </c>
      <c r="R139" s="529" t="str">
        <f t="shared" si="30"/>
        <v>Sobresaliente</v>
      </c>
    </row>
    <row r="140" spans="1:18" x14ac:dyDescent="0.25">
      <c r="A140" s="482" t="s">
        <v>159</v>
      </c>
      <c r="B140" s="297" t="s">
        <v>144</v>
      </c>
      <c r="C140" s="285" t="s">
        <v>261</v>
      </c>
      <c r="D140" s="311">
        <v>1.2</v>
      </c>
      <c r="E140" s="311">
        <v>1.1200000000000001</v>
      </c>
      <c r="F140" s="311" t="s">
        <v>28</v>
      </c>
      <c r="G140" s="80">
        <f>+E140/D140</f>
        <v>0.93333333333333346</v>
      </c>
      <c r="H140" s="292" t="str">
        <f t="shared" si="28"/>
        <v>Tolerable</v>
      </c>
      <c r="I140" s="514">
        <v>44651</v>
      </c>
      <c r="J140" s="514" t="s">
        <v>126</v>
      </c>
      <c r="K140" s="505">
        <v>1.1599999999999999E-2</v>
      </c>
      <c r="L140" s="353">
        <f t="shared" si="10"/>
        <v>1.1599999999999999</v>
      </c>
      <c r="M140" s="501">
        <v>1.15E-2</v>
      </c>
      <c r="N140" s="552">
        <f t="shared" si="11"/>
        <v>1.1499999999999999</v>
      </c>
      <c r="O140" s="507" t="s">
        <v>114</v>
      </c>
      <c r="P140" s="80">
        <f t="shared" si="12"/>
        <v>0.99137931034482762</v>
      </c>
      <c r="Q140" s="524">
        <f t="shared" si="29"/>
        <v>0.99137931034482762</v>
      </c>
      <c r="R140" s="529" t="str">
        <f t="shared" si="30"/>
        <v>Satisfactorio</v>
      </c>
    </row>
    <row r="141" spans="1:18" x14ac:dyDescent="0.25">
      <c r="A141" s="482" t="s">
        <v>159</v>
      </c>
      <c r="B141" s="297" t="s">
        <v>147</v>
      </c>
      <c r="C141" s="285" t="s">
        <v>261</v>
      </c>
      <c r="D141" s="305">
        <v>7.6999999999999999E-2</v>
      </c>
      <c r="E141" s="305">
        <v>0.122</v>
      </c>
      <c r="F141" s="311" t="s">
        <v>28</v>
      </c>
      <c r="G141" s="80">
        <f>+E141/D141</f>
        <v>1.5844155844155845</v>
      </c>
      <c r="H141" s="292" t="str">
        <f>+IF(G141&lt;79.99999%,"Incumple",IF(AND(G141&gt;=80%,G141&lt;94.999999%),"Tolerable",IF(AND(G141&gt;=95%,G141&lt;100%),"Satisfactorio","Sobresaliente")))</f>
        <v>Sobresaliente</v>
      </c>
      <c r="I141" s="514">
        <v>44651</v>
      </c>
      <c r="J141" s="514" t="s">
        <v>126</v>
      </c>
      <c r="K141" s="346">
        <v>-5.0099999999999999E-2</v>
      </c>
      <c r="L141" s="544">
        <f t="shared" si="10"/>
        <v>-5.01</v>
      </c>
      <c r="M141" s="501">
        <v>7.7100000000000002E-2</v>
      </c>
      <c r="N141" s="551">
        <f t="shared" si="11"/>
        <v>7.71</v>
      </c>
      <c r="O141" s="507" t="s">
        <v>114</v>
      </c>
      <c r="P141" s="80">
        <f t="shared" si="12"/>
        <v>2.6498054474708175</v>
      </c>
      <c r="Q141" s="522">
        <f t="shared" si="29"/>
        <v>1.2</v>
      </c>
      <c r="R141" s="529" t="str">
        <f t="shared" si="30"/>
        <v>Sobresaliente</v>
      </c>
    </row>
    <row r="142" spans="1:18" x14ac:dyDescent="0.25">
      <c r="A142" s="482" t="s">
        <v>159</v>
      </c>
      <c r="B142" s="297" t="s">
        <v>146</v>
      </c>
      <c r="C142" s="285" t="s">
        <v>261</v>
      </c>
      <c r="D142" s="305">
        <v>0.61699999999999999</v>
      </c>
      <c r="E142" s="305">
        <v>0.61599999999999999</v>
      </c>
      <c r="F142" s="311" t="s">
        <v>28</v>
      </c>
      <c r="G142" s="80">
        <f>+D142/E142</f>
        <v>1.0016233766233766</v>
      </c>
      <c r="H142" s="292" t="str">
        <f>+IF(G142&lt;79.99999%,"Incumple",IF(AND(G142&gt;=80%,G142&lt;94.999999%),"Tolerable",IF(AND(G142&gt;=95%,G142&lt;100%),"Satisfactorio","Sobresaliente")))</f>
        <v>Sobresaliente</v>
      </c>
      <c r="I142" s="514">
        <v>44651</v>
      </c>
      <c r="J142" s="514" t="s">
        <v>126</v>
      </c>
      <c r="K142" s="347">
        <v>0.75019999999999998</v>
      </c>
      <c r="L142" s="544">
        <f t="shared" si="10"/>
        <v>75.02</v>
      </c>
      <c r="M142" s="501">
        <v>0.63759999999999994</v>
      </c>
      <c r="N142" s="551">
        <f t="shared" si="11"/>
        <v>63.759999999999991</v>
      </c>
      <c r="O142" s="507" t="s">
        <v>116</v>
      </c>
      <c r="P142" s="80">
        <f t="shared" si="12"/>
        <v>1.1500933084510798</v>
      </c>
      <c r="Q142" s="522">
        <f t="shared" si="29"/>
        <v>1.1500933084510798</v>
      </c>
      <c r="R142" s="529" t="str">
        <f t="shared" si="30"/>
        <v>Sobresaliente</v>
      </c>
    </row>
    <row r="143" spans="1:18" x14ac:dyDescent="0.25">
      <c r="A143" s="482" t="s">
        <v>159</v>
      </c>
      <c r="B143" s="297" t="s">
        <v>145</v>
      </c>
      <c r="C143" s="285" t="s">
        <v>261</v>
      </c>
      <c r="D143" s="312">
        <v>446763</v>
      </c>
      <c r="E143" s="312">
        <v>469231</v>
      </c>
      <c r="F143" s="340">
        <f>+G143</f>
        <v>0.95211740059799965</v>
      </c>
      <c r="G143" s="80">
        <f>+D143/E143</f>
        <v>0.95211740059799965</v>
      </c>
      <c r="H143" s="292" t="str">
        <f t="shared" si="28"/>
        <v>Satisfactorio</v>
      </c>
      <c r="I143" s="514">
        <v>44651</v>
      </c>
      <c r="J143" s="514" t="s">
        <v>126</v>
      </c>
      <c r="K143" s="347">
        <v>1</v>
      </c>
      <c r="L143" s="544">
        <f t="shared" si="10"/>
        <v>100</v>
      </c>
      <c r="M143" s="501">
        <v>0.98380000000000001</v>
      </c>
      <c r="N143" s="551">
        <f t="shared" si="11"/>
        <v>98.38</v>
      </c>
      <c r="O143" s="507" t="s">
        <v>116</v>
      </c>
      <c r="P143" s="80">
        <f t="shared" si="12"/>
        <v>1.0162</v>
      </c>
      <c r="Q143" s="522">
        <f t="shared" si="29"/>
        <v>1.0162</v>
      </c>
      <c r="R143" s="529" t="str">
        <f t="shared" ref="R143:R187" si="31">+IF(Q143&lt;79.99999%,"Incumple",IF(AND(Q143&gt;=80%,Q143&lt;94.999999%),"Tolerable",IF(AND(Q143&gt;=95%,Q143&lt;100%),"Satisfactorio","Sobresaliente")))</f>
        <v>Sobresaliente</v>
      </c>
    </row>
    <row r="144" spans="1:18" x14ac:dyDescent="0.25">
      <c r="A144" s="482" t="s">
        <v>159</v>
      </c>
      <c r="B144" s="297" t="s">
        <v>414</v>
      </c>
      <c r="C144" s="285" t="s">
        <v>261</v>
      </c>
      <c r="D144" s="312" t="s">
        <v>28</v>
      </c>
      <c r="E144" s="312" t="s">
        <v>28</v>
      </c>
      <c r="F144" s="340" t="s">
        <v>28</v>
      </c>
      <c r="G144" s="80" t="s">
        <v>28</v>
      </c>
      <c r="H144" s="292" t="str">
        <f t="shared" si="28"/>
        <v>Sobresaliente</v>
      </c>
      <c r="I144" s="514">
        <v>44651</v>
      </c>
      <c r="J144" s="514" t="s">
        <v>126</v>
      </c>
      <c r="K144" s="347">
        <v>1</v>
      </c>
      <c r="L144" s="544">
        <f t="shared" si="10"/>
        <v>100</v>
      </c>
      <c r="M144" s="501">
        <v>0.87444999999999995</v>
      </c>
      <c r="N144" s="551">
        <f t="shared" si="11"/>
        <v>87.444999999999993</v>
      </c>
      <c r="O144" s="507" t="s">
        <v>116</v>
      </c>
      <c r="P144" s="80">
        <f t="shared" si="12"/>
        <v>1.1255500000000001</v>
      </c>
      <c r="Q144" s="522">
        <f>+IF(P144&lt;0,0%,IF(P144&gt;120%,120%,P144))</f>
        <v>1.1255500000000001</v>
      </c>
      <c r="R144" s="529" t="str">
        <f>+IF(Q144&lt;79.99999%,"Incumple",IF(AND(Q144&gt;=80%,Q144&lt;94.999999%),"Tolerable",IF(AND(Q144&gt;=95%,Q144&lt;100%),"Satisfactorio","Sobresaliente")))</f>
        <v>Sobresaliente</v>
      </c>
    </row>
    <row r="145" spans="1:18" x14ac:dyDescent="0.25">
      <c r="A145" s="482" t="s">
        <v>158</v>
      </c>
      <c r="B145" s="297" t="s">
        <v>420</v>
      </c>
      <c r="C145" s="285" t="s">
        <v>260</v>
      </c>
      <c r="D145" s="305">
        <v>0.38990000000000002</v>
      </c>
      <c r="E145" s="305">
        <v>0.56499999999999995</v>
      </c>
      <c r="F145" s="311" t="s">
        <v>28</v>
      </c>
      <c r="G145" s="80">
        <f t="shared" ref="G145:G156" si="32">+E145/D145</f>
        <v>1.4490895101308026</v>
      </c>
      <c r="H145" s="292" t="str">
        <f t="shared" ref="H145:H152" si="33">+IF(G145&lt;79.99999%,"Incumple",IF(AND(G145&gt;=80%,G145&lt;94.999999%),"Tolerable",IF(AND(G145&gt;=95%,G145&lt;100%),"Satisfactorio","Sobresaliente")))</f>
        <v>Sobresaliente</v>
      </c>
      <c r="I145" s="514">
        <v>44651</v>
      </c>
      <c r="J145" s="514" t="s">
        <v>126</v>
      </c>
      <c r="K145" s="346">
        <v>0.22739999999999999</v>
      </c>
      <c r="L145" s="544">
        <f t="shared" si="10"/>
        <v>22.74</v>
      </c>
      <c r="M145" s="501">
        <v>0.45119999999999999</v>
      </c>
      <c r="N145" s="551">
        <f t="shared" si="11"/>
        <v>45.12</v>
      </c>
      <c r="O145" s="507" t="s">
        <v>114</v>
      </c>
      <c r="P145" s="80">
        <f t="shared" si="12"/>
        <v>1.9841688654353562</v>
      </c>
      <c r="Q145" s="522">
        <f t="shared" si="29"/>
        <v>1.2</v>
      </c>
      <c r="R145" s="529" t="str">
        <f t="shared" si="31"/>
        <v>Sobresaliente</v>
      </c>
    </row>
    <row r="146" spans="1:18" x14ac:dyDescent="0.25">
      <c r="A146" s="482" t="s">
        <v>158</v>
      </c>
      <c r="B146" s="297" t="s">
        <v>150</v>
      </c>
      <c r="C146" s="285" t="s">
        <v>261</v>
      </c>
      <c r="D146" s="305">
        <v>0.11799999999999999</v>
      </c>
      <c r="E146" s="305">
        <v>0.1192</v>
      </c>
      <c r="F146" s="311" t="s">
        <v>28</v>
      </c>
      <c r="G146" s="80">
        <f t="shared" si="32"/>
        <v>1.0101694915254238</v>
      </c>
      <c r="H146" s="292" t="str">
        <f t="shared" si="33"/>
        <v>Sobresaliente</v>
      </c>
      <c r="I146" s="514">
        <v>44651</v>
      </c>
      <c r="J146" s="514" t="s">
        <v>126</v>
      </c>
      <c r="K146" s="346">
        <v>7.9100000000000004E-2</v>
      </c>
      <c r="L146" s="544">
        <f t="shared" si="10"/>
        <v>7.91</v>
      </c>
      <c r="M146" s="501">
        <v>8.6199999999999999E-2</v>
      </c>
      <c r="N146" s="551">
        <f t="shared" si="11"/>
        <v>8.6199999999999992</v>
      </c>
      <c r="O146" s="507" t="s">
        <v>114</v>
      </c>
      <c r="P146" s="80">
        <f t="shared" si="12"/>
        <v>1.0897597977243993</v>
      </c>
      <c r="Q146" s="522">
        <f t="shared" si="29"/>
        <v>1.0897597977243993</v>
      </c>
      <c r="R146" s="529" t="str">
        <f t="shared" si="31"/>
        <v>Sobresaliente</v>
      </c>
    </row>
    <row r="147" spans="1:18" x14ac:dyDescent="0.25">
      <c r="A147" s="482" t="s">
        <v>158</v>
      </c>
      <c r="B147" s="297" t="s">
        <v>148</v>
      </c>
      <c r="C147" s="285" t="s">
        <v>261</v>
      </c>
      <c r="D147" s="305">
        <v>1.4500000000000001E-2</v>
      </c>
      <c r="E147" s="305">
        <v>8.8400000000000006E-2</v>
      </c>
      <c r="F147" s="311" t="s">
        <v>28</v>
      </c>
      <c r="G147" s="80">
        <f t="shared" si="32"/>
        <v>6.0965517241379308</v>
      </c>
      <c r="H147" s="292" t="str">
        <f t="shared" si="33"/>
        <v>Sobresaliente</v>
      </c>
      <c r="I147" s="514">
        <v>44651</v>
      </c>
      <c r="J147" s="514" t="s">
        <v>126</v>
      </c>
      <c r="K147" s="346">
        <v>9.2200000000000004E-2</v>
      </c>
      <c r="L147" s="544">
        <f t="shared" si="10"/>
        <v>9.2200000000000006</v>
      </c>
      <c r="M147" s="501">
        <v>0.1173</v>
      </c>
      <c r="N147" s="551">
        <f t="shared" si="11"/>
        <v>11.73</v>
      </c>
      <c r="O147" s="507" t="s">
        <v>114</v>
      </c>
      <c r="P147" s="80">
        <f t="shared" si="12"/>
        <v>1.2722342733188721</v>
      </c>
      <c r="Q147" s="522">
        <f t="shared" si="29"/>
        <v>1.2</v>
      </c>
      <c r="R147" s="529" t="str">
        <f t="shared" si="31"/>
        <v>Sobresaliente</v>
      </c>
    </row>
    <row r="148" spans="1:18" x14ac:dyDescent="0.25">
      <c r="A148" s="482" t="s">
        <v>158</v>
      </c>
      <c r="B148" s="297" t="s">
        <v>151</v>
      </c>
      <c r="C148" s="285" t="s">
        <v>261</v>
      </c>
      <c r="D148" s="305">
        <v>7.1099999999999997E-2</v>
      </c>
      <c r="E148" s="305">
        <v>8.5300000000000001E-2</v>
      </c>
      <c r="F148" s="477" t="s">
        <v>28</v>
      </c>
      <c r="G148" s="80">
        <f t="shared" si="32"/>
        <v>1.19971870604782</v>
      </c>
      <c r="H148" s="292" t="str">
        <f t="shared" si="33"/>
        <v>Sobresaliente</v>
      </c>
      <c r="I148" s="514">
        <v>44651</v>
      </c>
      <c r="J148" s="514" t="s">
        <v>126</v>
      </c>
      <c r="K148" s="505">
        <v>8.2000000000000003E-2</v>
      </c>
      <c r="L148" s="353">
        <f t="shared" si="10"/>
        <v>8.2000000000000011</v>
      </c>
      <c r="M148" s="501">
        <v>9.2999999999999999E-2</v>
      </c>
      <c r="N148" s="551">
        <f t="shared" si="11"/>
        <v>9.3000000000000007</v>
      </c>
      <c r="O148" s="507" t="s">
        <v>114</v>
      </c>
      <c r="P148" s="80">
        <f t="shared" si="12"/>
        <v>1.1341463414634145</v>
      </c>
      <c r="Q148" s="522">
        <f t="shared" si="29"/>
        <v>1.1341463414634145</v>
      </c>
      <c r="R148" s="529" t="str">
        <f t="shared" si="31"/>
        <v>Sobresaliente</v>
      </c>
    </row>
    <row r="149" spans="1:18" x14ac:dyDescent="0.25">
      <c r="A149" s="482" t="s">
        <v>158</v>
      </c>
      <c r="B149" s="297" t="s">
        <v>421</v>
      </c>
      <c r="C149" s="285" t="s">
        <v>260</v>
      </c>
      <c r="D149" s="305">
        <v>1.1599999999999999E-2</v>
      </c>
      <c r="E149" s="305">
        <v>1.5299999999999999E-2</v>
      </c>
      <c r="F149" s="477">
        <v>19319</v>
      </c>
      <c r="G149" s="80">
        <f t="shared" si="32"/>
        <v>1.3189655172413794</v>
      </c>
      <c r="H149" s="292" t="str">
        <f t="shared" si="33"/>
        <v>Sobresaliente</v>
      </c>
      <c r="I149" s="514">
        <v>44651</v>
      </c>
      <c r="J149" s="514" t="s">
        <v>126</v>
      </c>
      <c r="K149" s="505">
        <v>8.8999999999999999E-3</v>
      </c>
      <c r="L149" s="353">
        <f t="shared" si="10"/>
        <v>0.89</v>
      </c>
      <c r="M149" s="501">
        <v>1.84E-2</v>
      </c>
      <c r="N149" s="551">
        <f t="shared" si="11"/>
        <v>1.8399999999999999</v>
      </c>
      <c r="O149" s="507" t="s">
        <v>114</v>
      </c>
      <c r="P149" s="80">
        <f t="shared" si="12"/>
        <v>2.0674157303370788</v>
      </c>
      <c r="Q149" s="522">
        <f t="shared" si="29"/>
        <v>1.2</v>
      </c>
      <c r="R149" s="529" t="str">
        <f t="shared" si="31"/>
        <v>Sobresaliente</v>
      </c>
    </row>
    <row r="150" spans="1:18" x14ac:dyDescent="0.25">
      <c r="A150" s="482" t="s">
        <v>158</v>
      </c>
      <c r="B150" s="297" t="s">
        <v>155</v>
      </c>
      <c r="C150" s="285" t="s">
        <v>261</v>
      </c>
      <c r="D150" s="305">
        <v>0.158</v>
      </c>
      <c r="E150" s="305">
        <v>0.151</v>
      </c>
      <c r="F150" s="311" t="s">
        <v>28</v>
      </c>
      <c r="G150" s="80">
        <f t="shared" si="32"/>
        <v>0.95569620253164556</v>
      </c>
      <c r="H150" s="292" t="str">
        <f t="shared" si="33"/>
        <v>Satisfactorio</v>
      </c>
      <c r="I150" s="514">
        <v>44651</v>
      </c>
      <c r="J150" s="514" t="s">
        <v>177</v>
      </c>
      <c r="K150" s="505">
        <v>0.158</v>
      </c>
      <c r="L150" s="353">
        <f t="shared" si="10"/>
        <v>15.8</v>
      </c>
      <c r="M150" s="501">
        <v>0.15140000000000001</v>
      </c>
      <c r="N150" s="551">
        <f t="shared" si="11"/>
        <v>15.14</v>
      </c>
      <c r="O150" s="507" t="s">
        <v>114</v>
      </c>
      <c r="P150" s="80">
        <f t="shared" si="12"/>
        <v>0.95822784810126582</v>
      </c>
      <c r="Q150" s="522">
        <f t="shared" si="29"/>
        <v>0.95822784810126582</v>
      </c>
      <c r="R150" s="529" t="str">
        <f t="shared" si="31"/>
        <v>Satisfactorio</v>
      </c>
    </row>
    <row r="151" spans="1:18" x14ac:dyDescent="0.25">
      <c r="A151" s="482" t="s">
        <v>158</v>
      </c>
      <c r="B151" s="297" t="s">
        <v>156</v>
      </c>
      <c r="C151" s="285" t="s">
        <v>261</v>
      </c>
      <c r="D151" s="305">
        <v>0.25879999999999997</v>
      </c>
      <c r="E151" s="305">
        <v>0.25900000000000001</v>
      </c>
      <c r="F151" s="311" t="s">
        <v>28</v>
      </c>
      <c r="G151" s="80">
        <f t="shared" si="32"/>
        <v>1.000772797527048</v>
      </c>
      <c r="H151" s="292" t="str">
        <f t="shared" si="33"/>
        <v>Sobresaliente</v>
      </c>
      <c r="I151" s="514">
        <v>44651</v>
      </c>
      <c r="J151" s="514" t="s">
        <v>177</v>
      </c>
      <c r="K151" s="505">
        <v>0.26100000000000001</v>
      </c>
      <c r="L151" s="353">
        <f t="shared" si="10"/>
        <v>26.1</v>
      </c>
      <c r="M151" s="501">
        <v>0.25900000000000001</v>
      </c>
      <c r="N151" s="551">
        <f t="shared" si="11"/>
        <v>25.900000000000002</v>
      </c>
      <c r="O151" s="507" t="s">
        <v>114</v>
      </c>
      <c r="P151" s="80">
        <f t="shared" si="12"/>
        <v>0.9923371647509579</v>
      </c>
      <c r="Q151" s="522">
        <f t="shared" si="29"/>
        <v>0.9923371647509579</v>
      </c>
      <c r="R151" s="529" t="str">
        <f t="shared" si="31"/>
        <v>Satisfactorio</v>
      </c>
    </row>
    <row r="152" spans="1:18" x14ac:dyDescent="0.25">
      <c r="A152" s="482" t="s">
        <v>158</v>
      </c>
      <c r="B152" s="297" t="s">
        <v>157</v>
      </c>
      <c r="C152" s="285" t="s">
        <v>261</v>
      </c>
      <c r="D152" s="305">
        <v>0.24199999999999999</v>
      </c>
      <c r="E152" s="305">
        <v>0.245</v>
      </c>
      <c r="F152" s="311" t="s">
        <v>28</v>
      </c>
      <c r="G152" s="80">
        <f t="shared" si="32"/>
        <v>1.0123966942148761</v>
      </c>
      <c r="H152" s="292" t="str">
        <f t="shared" si="33"/>
        <v>Sobresaliente</v>
      </c>
      <c r="I152" s="514">
        <v>44651</v>
      </c>
      <c r="J152" s="514" t="s">
        <v>177</v>
      </c>
      <c r="K152" s="505">
        <v>0.24199999999999999</v>
      </c>
      <c r="L152" s="353">
        <f t="shared" si="10"/>
        <v>24.2</v>
      </c>
      <c r="M152" s="501">
        <v>0.2447</v>
      </c>
      <c r="N152" s="551">
        <f t="shared" si="11"/>
        <v>24.47</v>
      </c>
      <c r="O152" s="507" t="s">
        <v>114</v>
      </c>
      <c r="P152" s="80">
        <f t="shared" si="12"/>
        <v>1.0111570247933885</v>
      </c>
      <c r="Q152" s="522">
        <f t="shared" si="29"/>
        <v>1.0111570247933885</v>
      </c>
      <c r="R152" s="529" t="str">
        <f t="shared" si="31"/>
        <v>Sobresaliente</v>
      </c>
    </row>
    <row r="153" spans="1:18" x14ac:dyDescent="0.25">
      <c r="A153" s="482" t="s">
        <v>158</v>
      </c>
      <c r="B153" s="297" t="s">
        <v>96</v>
      </c>
      <c r="C153" s="285" t="s">
        <v>261</v>
      </c>
      <c r="D153" s="312">
        <v>3720</v>
      </c>
      <c r="E153" s="312">
        <v>3980</v>
      </c>
      <c r="F153" s="311" t="s">
        <v>28</v>
      </c>
      <c r="G153" s="80">
        <f t="shared" si="32"/>
        <v>1.0698924731182795</v>
      </c>
      <c r="H153" s="292" t="str">
        <f t="shared" si="28"/>
        <v>Sobresaliente</v>
      </c>
      <c r="I153" s="514">
        <v>44651</v>
      </c>
      <c r="J153" s="514" t="s">
        <v>126</v>
      </c>
      <c r="K153" s="348">
        <v>4110</v>
      </c>
      <c r="L153" s="542">
        <f t="shared" si="10"/>
        <v>411000</v>
      </c>
      <c r="N153" s="291">
        <f t="shared" si="11"/>
        <v>0</v>
      </c>
      <c r="P153" s="80">
        <f t="shared" si="12"/>
        <v>0</v>
      </c>
      <c r="Q153" s="522">
        <f t="shared" si="29"/>
        <v>0</v>
      </c>
      <c r="R153" s="529" t="str">
        <f t="shared" si="31"/>
        <v>Incumple</v>
      </c>
    </row>
    <row r="154" spans="1:18" x14ac:dyDescent="0.25">
      <c r="A154" s="482" t="s">
        <v>158</v>
      </c>
      <c r="B154" s="297" t="s">
        <v>149</v>
      </c>
      <c r="C154" s="285" t="s">
        <v>261</v>
      </c>
      <c r="D154" s="312">
        <v>390081</v>
      </c>
      <c r="E154" s="312">
        <v>390426</v>
      </c>
      <c r="F154" s="311" t="s">
        <v>28</v>
      </c>
      <c r="G154" s="80">
        <f t="shared" si="32"/>
        <v>1.0008844316949557</v>
      </c>
      <c r="H154" s="292" t="str">
        <f t="shared" si="28"/>
        <v>Sobresaliente</v>
      </c>
      <c r="I154" s="514">
        <v>44651</v>
      </c>
      <c r="J154" s="514" t="s">
        <v>126</v>
      </c>
      <c r="K154" s="355">
        <v>446583</v>
      </c>
      <c r="L154" s="539">
        <f t="shared" si="10"/>
        <v>44658300</v>
      </c>
      <c r="N154" s="291">
        <f t="shared" si="11"/>
        <v>0</v>
      </c>
      <c r="P154" s="80">
        <f t="shared" si="12"/>
        <v>0</v>
      </c>
      <c r="Q154" s="522">
        <f t="shared" si="29"/>
        <v>0</v>
      </c>
      <c r="R154" s="529" t="str">
        <f t="shared" si="31"/>
        <v>Incumple</v>
      </c>
    </row>
    <row r="155" spans="1:18" x14ac:dyDescent="0.25">
      <c r="A155" s="482" t="s">
        <v>158</v>
      </c>
      <c r="B155" s="297" t="s">
        <v>98</v>
      </c>
      <c r="C155" s="285" t="s">
        <v>261</v>
      </c>
      <c r="D155" s="313">
        <v>417834</v>
      </c>
      <c r="E155" s="313">
        <v>423385</v>
      </c>
      <c r="F155" s="311" t="s">
        <v>28</v>
      </c>
      <c r="G155" s="80">
        <f t="shared" si="32"/>
        <v>1.0132851802390423</v>
      </c>
      <c r="H155" s="292" t="str">
        <f t="shared" si="28"/>
        <v>Sobresaliente</v>
      </c>
      <c r="I155" s="514">
        <v>44651</v>
      </c>
      <c r="J155" s="514" t="s">
        <v>126</v>
      </c>
      <c r="K155" s="348" t="s">
        <v>272</v>
      </c>
      <c r="L155" s="542" t="e">
        <f t="shared" si="10"/>
        <v>#VALUE!</v>
      </c>
      <c r="N155" s="291">
        <f t="shared" si="11"/>
        <v>0</v>
      </c>
      <c r="P155" s="80" t="str">
        <f t="shared" si="12"/>
        <v>N/A</v>
      </c>
      <c r="Q155" s="522">
        <f t="shared" si="29"/>
        <v>1.2</v>
      </c>
      <c r="R155" s="529" t="str">
        <f t="shared" si="31"/>
        <v>Sobresaliente</v>
      </c>
    </row>
    <row r="156" spans="1:18" x14ac:dyDescent="0.25">
      <c r="A156" s="482" t="s">
        <v>158</v>
      </c>
      <c r="B156" s="297" t="s">
        <v>152</v>
      </c>
      <c r="C156" s="285" t="s">
        <v>261</v>
      </c>
      <c r="D156" s="314">
        <v>78381</v>
      </c>
      <c r="E156" s="314">
        <v>88261</v>
      </c>
      <c r="F156" s="311" t="s">
        <v>28</v>
      </c>
      <c r="G156" s="80">
        <f t="shared" si="32"/>
        <v>1.1260509562266365</v>
      </c>
      <c r="H156" s="292" t="str">
        <f t="shared" si="28"/>
        <v>Sobresaliente</v>
      </c>
      <c r="I156" s="514">
        <v>44651</v>
      </c>
      <c r="J156" s="514" t="s">
        <v>126</v>
      </c>
      <c r="K156" s="350">
        <v>106295.15235741501</v>
      </c>
      <c r="L156" s="540">
        <f t="shared" ref="L156:L200" si="34">+K156*100</f>
        <v>10629515.2357415</v>
      </c>
      <c r="N156" s="291">
        <f t="shared" ref="N156:N200" si="35">+M156*100</f>
        <v>0</v>
      </c>
      <c r="P156" s="80">
        <f t="shared" si="12"/>
        <v>0</v>
      </c>
      <c r="Q156" s="522">
        <f t="shared" si="29"/>
        <v>0</v>
      </c>
      <c r="R156" s="529" t="str">
        <f t="shared" si="31"/>
        <v>Incumple</v>
      </c>
    </row>
    <row r="157" spans="1:18" x14ac:dyDescent="0.25">
      <c r="A157" s="482" t="s">
        <v>158</v>
      </c>
      <c r="B157" s="297" t="s">
        <v>154</v>
      </c>
      <c r="C157" s="285" t="s">
        <v>261</v>
      </c>
      <c r="D157" s="305">
        <v>0.219</v>
      </c>
      <c r="E157" s="305">
        <v>0.218</v>
      </c>
      <c r="F157" s="311" t="s">
        <v>28</v>
      </c>
      <c r="G157" s="345">
        <f>+AVERAGE(G150:G152)</f>
        <v>0.98962189809118983</v>
      </c>
      <c r="H157" s="292" t="str">
        <f t="shared" si="28"/>
        <v>Satisfactorio</v>
      </c>
      <c r="I157" s="514">
        <v>44651</v>
      </c>
      <c r="J157" s="514" t="s">
        <v>126</v>
      </c>
      <c r="K157" s="348" t="s">
        <v>272</v>
      </c>
      <c r="L157" s="542" t="e">
        <f t="shared" si="34"/>
        <v>#VALUE!</v>
      </c>
      <c r="N157" s="291">
        <f t="shared" si="35"/>
        <v>0</v>
      </c>
      <c r="P157" s="80" t="str">
        <f t="shared" si="12"/>
        <v>N/A</v>
      </c>
      <c r="Q157" s="522">
        <f t="shared" si="29"/>
        <v>1.2</v>
      </c>
      <c r="R157" s="529" t="str">
        <f t="shared" si="31"/>
        <v>Sobresaliente</v>
      </c>
    </row>
    <row r="158" spans="1:18" x14ac:dyDescent="0.25">
      <c r="A158" s="482" t="s">
        <v>160</v>
      </c>
      <c r="B158" s="297" t="s">
        <v>17</v>
      </c>
      <c r="C158" s="285" t="s">
        <v>261</v>
      </c>
      <c r="D158" s="311">
        <v>4.6500000000000004</v>
      </c>
      <c r="E158" s="311">
        <v>4.62</v>
      </c>
      <c r="F158" s="311" t="s">
        <v>28</v>
      </c>
      <c r="G158" s="80">
        <f t="shared" ref="G158:G166" si="36">+E158/D158</f>
        <v>0.99354838709677418</v>
      </c>
      <c r="H158" s="292" t="str">
        <f t="shared" si="28"/>
        <v>Satisfactorio</v>
      </c>
      <c r="I158" s="514">
        <v>44651</v>
      </c>
      <c r="J158" s="514" t="s">
        <v>126</v>
      </c>
      <c r="K158" s="505">
        <v>4.65E-2</v>
      </c>
      <c r="L158" s="353">
        <f t="shared" si="34"/>
        <v>4.6500000000000004</v>
      </c>
      <c r="M158" s="306">
        <v>4.7100000000000003E-2</v>
      </c>
      <c r="N158" s="553">
        <f t="shared" si="35"/>
        <v>4.71</v>
      </c>
      <c r="O158" s="507" t="s">
        <v>114</v>
      </c>
      <c r="P158" s="80">
        <f t="shared" si="12"/>
        <v>1.0129032258064516</v>
      </c>
      <c r="Q158" s="522">
        <f t="shared" si="29"/>
        <v>1.0129032258064516</v>
      </c>
      <c r="R158" s="529" t="str">
        <f t="shared" si="31"/>
        <v>Sobresaliente</v>
      </c>
    </row>
    <row r="159" spans="1:18" x14ac:dyDescent="0.25">
      <c r="A159" s="482" t="s">
        <v>160</v>
      </c>
      <c r="B159" s="297" t="s">
        <v>181</v>
      </c>
      <c r="C159" s="285" t="s">
        <v>261</v>
      </c>
      <c r="D159" s="311">
        <v>4.6500000000000004</v>
      </c>
      <c r="E159" s="311">
        <v>4.17</v>
      </c>
      <c r="F159" s="311" t="s">
        <v>28</v>
      </c>
      <c r="G159" s="303">
        <f t="shared" si="36"/>
        <v>0.89677419354838706</v>
      </c>
      <c r="H159" s="292" t="str">
        <f t="shared" si="28"/>
        <v>Tolerable</v>
      </c>
      <c r="I159" s="514">
        <v>44651</v>
      </c>
      <c r="J159" s="514" t="s">
        <v>164</v>
      </c>
      <c r="K159" s="348">
        <v>4.6500000000000004</v>
      </c>
      <c r="L159" s="353">
        <f t="shared" si="34"/>
        <v>465.00000000000006</v>
      </c>
      <c r="M159" s="285">
        <v>4.17</v>
      </c>
      <c r="N159" s="553">
        <f t="shared" si="35"/>
        <v>417</v>
      </c>
      <c r="O159" s="507" t="s">
        <v>114</v>
      </c>
      <c r="P159" s="80">
        <f t="shared" si="12"/>
        <v>0.89677419354838706</v>
      </c>
      <c r="Q159" s="522">
        <f t="shared" si="29"/>
        <v>0.89677419354838706</v>
      </c>
      <c r="R159" s="529" t="str">
        <f t="shared" si="31"/>
        <v>Tolerable</v>
      </c>
    </row>
    <row r="160" spans="1:18" x14ac:dyDescent="0.25">
      <c r="A160" s="482" t="s">
        <v>163</v>
      </c>
      <c r="B160" s="297" t="s">
        <v>161</v>
      </c>
      <c r="C160" s="285" t="s">
        <v>261</v>
      </c>
      <c r="D160" s="312">
        <v>5178063</v>
      </c>
      <c r="E160" s="312">
        <v>4163464</v>
      </c>
      <c r="F160" s="311" t="s">
        <v>28</v>
      </c>
      <c r="G160" s="80">
        <f t="shared" si="36"/>
        <v>0.80405819705167747</v>
      </c>
      <c r="H160" s="292" t="str">
        <f t="shared" si="28"/>
        <v>Tolerable</v>
      </c>
      <c r="I160" s="514">
        <v>44651</v>
      </c>
      <c r="J160" s="514" t="s">
        <v>126</v>
      </c>
      <c r="K160" s="352">
        <v>4784886</v>
      </c>
      <c r="L160" s="546">
        <f t="shared" si="34"/>
        <v>478488600</v>
      </c>
      <c r="N160" s="554">
        <f t="shared" si="35"/>
        <v>0</v>
      </c>
      <c r="O160" s="507" t="s">
        <v>114</v>
      </c>
      <c r="P160" s="80">
        <f t="shared" si="12"/>
        <v>0</v>
      </c>
      <c r="Q160" s="522">
        <f t="shared" si="29"/>
        <v>0</v>
      </c>
      <c r="R160" s="529" t="str">
        <f t="shared" si="31"/>
        <v>Incumple</v>
      </c>
    </row>
    <row r="161" spans="1:18" x14ac:dyDescent="0.25">
      <c r="A161" s="482" t="s">
        <v>163</v>
      </c>
      <c r="B161" s="297" t="s">
        <v>162</v>
      </c>
      <c r="C161" s="285" t="s">
        <v>261</v>
      </c>
      <c r="D161" s="305">
        <v>0.54900000000000004</v>
      </c>
      <c r="E161" s="305">
        <v>0.245</v>
      </c>
      <c r="F161" s="311" t="s">
        <v>28</v>
      </c>
      <c r="G161" s="80">
        <f t="shared" si="36"/>
        <v>0.44626593806921672</v>
      </c>
      <c r="H161" s="292" t="str">
        <f t="shared" si="28"/>
        <v>Incumple</v>
      </c>
      <c r="I161" s="514">
        <v>44651</v>
      </c>
      <c r="J161" s="514" t="s">
        <v>126</v>
      </c>
      <c r="K161" s="346">
        <v>5.7700000000000001E-2</v>
      </c>
      <c r="L161" s="544">
        <f t="shared" si="34"/>
        <v>5.7700000000000005</v>
      </c>
      <c r="M161" s="501">
        <v>-1.44E-2</v>
      </c>
      <c r="N161" s="551">
        <f t="shared" si="35"/>
        <v>-1.44</v>
      </c>
      <c r="O161" s="507" t="s">
        <v>114</v>
      </c>
      <c r="P161" s="80">
        <f t="shared" si="12"/>
        <v>-0.24956672443674174</v>
      </c>
      <c r="Q161" s="522">
        <f t="shared" si="29"/>
        <v>0</v>
      </c>
      <c r="R161" s="529" t="str">
        <f t="shared" si="31"/>
        <v>Incumple</v>
      </c>
    </row>
    <row r="162" spans="1:18" x14ac:dyDescent="0.25">
      <c r="A162" s="482" t="s">
        <v>163</v>
      </c>
      <c r="B162" s="297" t="s">
        <v>422</v>
      </c>
      <c r="C162" s="285" t="s">
        <v>260</v>
      </c>
      <c r="D162" s="310">
        <v>0.5</v>
      </c>
      <c r="E162" s="305">
        <v>0.53739999999999999</v>
      </c>
      <c r="F162" s="311" t="s">
        <v>28</v>
      </c>
      <c r="G162" s="80">
        <f t="shared" si="36"/>
        <v>1.0748</v>
      </c>
      <c r="H162" s="292" t="str">
        <f t="shared" si="28"/>
        <v>Sobresaliente</v>
      </c>
      <c r="I162" s="514">
        <v>44651</v>
      </c>
      <c r="J162" s="514" t="s">
        <v>126</v>
      </c>
      <c r="K162" s="425">
        <v>0.54</v>
      </c>
      <c r="L162" s="353">
        <f t="shared" si="34"/>
        <v>54</v>
      </c>
      <c r="M162" s="501">
        <v>0.72189999999999999</v>
      </c>
      <c r="N162" s="551">
        <f t="shared" si="35"/>
        <v>72.19</v>
      </c>
      <c r="O162" s="507" t="s">
        <v>114</v>
      </c>
      <c r="P162" s="80">
        <f t="shared" si="12"/>
        <v>1.3368518518518517</v>
      </c>
      <c r="Q162" s="522">
        <f t="shared" si="29"/>
        <v>1.2</v>
      </c>
      <c r="R162" s="529" t="str">
        <f t="shared" si="31"/>
        <v>Sobresaliente</v>
      </c>
    </row>
    <row r="163" spans="1:18" x14ac:dyDescent="0.25">
      <c r="A163" s="482" t="s">
        <v>187</v>
      </c>
      <c r="B163" s="297" t="s">
        <v>184</v>
      </c>
      <c r="C163" s="285" t="s">
        <v>261</v>
      </c>
      <c r="D163" s="315">
        <v>0.95</v>
      </c>
      <c r="E163" s="305">
        <v>0.90800000000000003</v>
      </c>
      <c r="F163" s="311" t="s">
        <v>28</v>
      </c>
      <c r="G163" s="80">
        <f t="shared" si="36"/>
        <v>0.95578947368421063</v>
      </c>
      <c r="H163" s="292" t="str">
        <f t="shared" si="28"/>
        <v>Satisfactorio</v>
      </c>
      <c r="I163" s="514">
        <v>44651</v>
      </c>
      <c r="J163" s="514" t="s">
        <v>126</v>
      </c>
      <c r="K163" s="347">
        <v>0.95</v>
      </c>
      <c r="L163" s="544">
        <f t="shared" si="34"/>
        <v>95</v>
      </c>
      <c r="M163" s="306">
        <v>0.92700000000000005</v>
      </c>
      <c r="N163" s="553">
        <f t="shared" si="35"/>
        <v>92.7</v>
      </c>
      <c r="O163" s="507" t="s">
        <v>114</v>
      </c>
      <c r="P163" s="80">
        <f t="shared" si="12"/>
        <v>0.97578947368421065</v>
      </c>
      <c r="Q163" s="522">
        <f t="shared" si="29"/>
        <v>0.97578947368421065</v>
      </c>
      <c r="R163" s="529" t="str">
        <f t="shared" si="31"/>
        <v>Satisfactorio</v>
      </c>
    </row>
    <row r="164" spans="1:18" x14ac:dyDescent="0.25">
      <c r="A164" s="482" t="s">
        <v>187</v>
      </c>
      <c r="B164" s="297" t="s">
        <v>185</v>
      </c>
      <c r="C164" s="285" t="s">
        <v>261</v>
      </c>
      <c r="D164" s="310">
        <v>0.8</v>
      </c>
      <c r="E164" s="310">
        <v>0.81</v>
      </c>
      <c r="F164" s="311" t="s">
        <v>28</v>
      </c>
      <c r="G164" s="80">
        <f t="shared" si="36"/>
        <v>1.0125</v>
      </c>
      <c r="H164" s="292" t="str">
        <f t="shared" si="28"/>
        <v>Sobresaliente</v>
      </c>
      <c r="I164" s="514">
        <v>44651</v>
      </c>
      <c r="J164" s="514" t="s">
        <v>126</v>
      </c>
      <c r="K164" s="347">
        <v>0.9</v>
      </c>
      <c r="L164" s="544">
        <f t="shared" si="34"/>
        <v>90</v>
      </c>
      <c r="M164" s="306">
        <v>0</v>
      </c>
      <c r="N164" s="553">
        <f t="shared" si="35"/>
        <v>0</v>
      </c>
      <c r="O164" s="507" t="s">
        <v>114</v>
      </c>
      <c r="P164" s="80">
        <f t="shared" si="12"/>
        <v>0</v>
      </c>
      <c r="Q164" s="522">
        <f t="shared" si="29"/>
        <v>0</v>
      </c>
      <c r="R164" s="529" t="str">
        <f t="shared" si="31"/>
        <v>Incumple</v>
      </c>
    </row>
    <row r="165" spans="1:18" x14ac:dyDescent="0.25">
      <c r="A165" s="482" t="s">
        <v>187</v>
      </c>
      <c r="B165" s="297" t="s">
        <v>186</v>
      </c>
      <c r="C165" s="285" t="s">
        <v>261</v>
      </c>
      <c r="D165" s="310">
        <v>0.1</v>
      </c>
      <c r="E165" s="305">
        <v>0.20100000000000001</v>
      </c>
      <c r="F165" s="311" t="s">
        <v>28</v>
      </c>
      <c r="G165" s="80">
        <f t="shared" si="36"/>
        <v>2.0099999999999998</v>
      </c>
      <c r="H165" s="292" t="str">
        <f t="shared" si="28"/>
        <v>Sobresaliente</v>
      </c>
      <c r="I165" s="514">
        <v>44651</v>
      </c>
      <c r="J165" s="514" t="s">
        <v>126</v>
      </c>
      <c r="K165" s="347">
        <v>0.3</v>
      </c>
      <c r="L165" s="544">
        <f t="shared" si="34"/>
        <v>30</v>
      </c>
      <c r="M165" s="306">
        <v>0.27329999999999999</v>
      </c>
      <c r="N165" s="553">
        <f t="shared" si="35"/>
        <v>27.33</v>
      </c>
      <c r="O165" s="507" t="s">
        <v>114</v>
      </c>
      <c r="P165" s="80">
        <f t="shared" si="12"/>
        <v>0.91100000000000003</v>
      </c>
      <c r="Q165" s="522">
        <f t="shared" si="29"/>
        <v>0.91100000000000003</v>
      </c>
      <c r="R165" s="529" t="str">
        <f t="shared" si="31"/>
        <v>Tolerable</v>
      </c>
    </row>
    <row r="166" spans="1:18" x14ac:dyDescent="0.25">
      <c r="A166" s="482" t="s">
        <v>187</v>
      </c>
      <c r="B166" s="297" t="s">
        <v>193</v>
      </c>
      <c r="C166" s="285" t="s">
        <v>261</v>
      </c>
      <c r="D166" s="305">
        <v>1.2E-2</v>
      </c>
      <c r="E166" s="305">
        <v>7.7000000000000002E-3</v>
      </c>
      <c r="F166" s="478">
        <v>612</v>
      </c>
      <c r="G166" s="80">
        <f t="shared" si="36"/>
        <v>0.64166666666666672</v>
      </c>
      <c r="H166" s="292" t="str">
        <f t="shared" si="28"/>
        <v>Incumple</v>
      </c>
      <c r="I166" s="514">
        <v>44651</v>
      </c>
      <c r="J166" s="514" t="s">
        <v>164</v>
      </c>
      <c r="K166" s="347">
        <v>1.2E-2</v>
      </c>
      <c r="L166" s="544">
        <f t="shared" si="34"/>
        <v>1.2</v>
      </c>
      <c r="M166" s="306">
        <v>7.7000000000000002E-3</v>
      </c>
      <c r="N166" s="553">
        <f t="shared" si="35"/>
        <v>0.77</v>
      </c>
      <c r="O166" s="507" t="s">
        <v>114</v>
      </c>
      <c r="P166" s="80">
        <f t="shared" si="12"/>
        <v>0.64166666666666672</v>
      </c>
      <c r="Q166" s="522">
        <f t="shared" si="29"/>
        <v>0.64166666666666672</v>
      </c>
      <c r="R166" s="529" t="str">
        <f t="shared" si="31"/>
        <v>Incumple</v>
      </c>
    </row>
    <row r="167" spans="1:18" x14ac:dyDescent="0.25">
      <c r="A167" s="482" t="s">
        <v>187</v>
      </c>
      <c r="B167" s="297" t="s">
        <v>194</v>
      </c>
      <c r="C167" s="285" t="s">
        <v>261</v>
      </c>
      <c r="D167" s="311" t="s">
        <v>28</v>
      </c>
      <c r="E167" s="311" t="s">
        <v>28</v>
      </c>
      <c r="F167" s="311" t="s">
        <v>28</v>
      </c>
      <c r="G167" s="285" t="s">
        <v>28</v>
      </c>
      <c r="H167" s="285" t="s">
        <v>28</v>
      </c>
      <c r="I167" s="514">
        <v>44651</v>
      </c>
      <c r="J167" s="514"/>
      <c r="K167" s="347">
        <v>0.95</v>
      </c>
      <c r="L167" s="347">
        <f t="shared" si="34"/>
        <v>95</v>
      </c>
      <c r="M167" s="306"/>
      <c r="N167" s="306">
        <f t="shared" si="35"/>
        <v>0</v>
      </c>
      <c r="O167" s="306"/>
      <c r="P167" s="80">
        <f t="shared" si="12"/>
        <v>0</v>
      </c>
      <c r="Q167" s="522">
        <f t="shared" si="29"/>
        <v>0</v>
      </c>
      <c r="R167" s="529" t="str">
        <f t="shared" si="31"/>
        <v>Incumple</v>
      </c>
    </row>
    <row r="168" spans="1:18" x14ac:dyDescent="0.25">
      <c r="A168" s="482" t="s">
        <v>187</v>
      </c>
      <c r="B168" s="297" t="s">
        <v>195</v>
      </c>
      <c r="C168" s="285" t="s">
        <v>261</v>
      </c>
      <c r="D168" s="311" t="s">
        <v>28</v>
      </c>
      <c r="E168" s="311" t="s">
        <v>28</v>
      </c>
      <c r="F168" s="311" t="s">
        <v>28</v>
      </c>
      <c r="G168" s="285" t="s">
        <v>28</v>
      </c>
      <c r="H168" s="285" t="s">
        <v>28</v>
      </c>
      <c r="I168" s="514">
        <v>44651</v>
      </c>
      <c r="J168" s="514"/>
      <c r="K168" s="347">
        <v>90</v>
      </c>
      <c r="L168" s="347">
        <f t="shared" si="34"/>
        <v>9000</v>
      </c>
      <c r="M168" s="306"/>
      <c r="N168" s="306">
        <f t="shared" si="35"/>
        <v>0</v>
      </c>
      <c r="O168" s="306"/>
      <c r="P168" s="80">
        <f t="shared" si="12"/>
        <v>0</v>
      </c>
      <c r="Q168" s="522">
        <f t="shared" si="29"/>
        <v>0</v>
      </c>
      <c r="R168" s="529" t="str">
        <f t="shared" si="31"/>
        <v>Incumple</v>
      </c>
    </row>
    <row r="169" spans="1:18" x14ac:dyDescent="0.25">
      <c r="A169" s="482" t="s">
        <v>188</v>
      </c>
      <c r="B169" s="297" t="s">
        <v>20</v>
      </c>
      <c r="C169" s="285" t="s">
        <v>261</v>
      </c>
      <c r="D169" s="305">
        <v>6.3799999999999996E-2</v>
      </c>
      <c r="E169" s="305">
        <v>6.0999999999999999E-2</v>
      </c>
      <c r="F169" s="478">
        <v>253993</v>
      </c>
      <c r="G169" s="80">
        <f>+E169/D169</f>
        <v>0.9561128526645768</v>
      </c>
      <c r="H169" s="292" t="str">
        <f>+IF(G169&lt;79.99999%,"Incumple",IF(AND(G169&gt;=80%,G169&lt;94.999999%),"Tolerable",IF(AND(G169&gt;=95%,G169&lt;100%),"Satisfactorio","Sobresaliente")))</f>
        <v>Satisfactorio</v>
      </c>
      <c r="I169" s="514">
        <v>44651</v>
      </c>
      <c r="J169" s="514" t="s">
        <v>126</v>
      </c>
      <c r="K169" s="346">
        <v>7.1999999999999995E-2</v>
      </c>
      <c r="L169" s="547">
        <f t="shared" si="34"/>
        <v>7.1999999999999993</v>
      </c>
      <c r="M169" s="249">
        <v>9.9099999999999994E-2</v>
      </c>
      <c r="N169" s="555">
        <f t="shared" si="35"/>
        <v>9.91</v>
      </c>
      <c r="O169" s="507" t="s">
        <v>114</v>
      </c>
      <c r="P169" s="80">
        <f t="shared" si="12"/>
        <v>1.3763888888888889</v>
      </c>
      <c r="Q169" s="522">
        <f t="shared" si="29"/>
        <v>1.2</v>
      </c>
      <c r="R169" s="529" t="str">
        <f t="shared" si="31"/>
        <v>Sobresaliente</v>
      </c>
    </row>
    <row r="170" spans="1:18" x14ac:dyDescent="0.25">
      <c r="A170" s="482" t="s">
        <v>198</v>
      </c>
      <c r="B170" s="297" t="s">
        <v>206</v>
      </c>
      <c r="C170" s="285" t="s">
        <v>261</v>
      </c>
      <c r="D170" s="310">
        <v>0.8</v>
      </c>
      <c r="E170" s="305">
        <v>0.80500000000000005</v>
      </c>
      <c r="F170" s="311" t="s">
        <v>28</v>
      </c>
      <c r="G170" s="80">
        <f>+E170/D170</f>
        <v>1.0062500000000001</v>
      </c>
      <c r="H170" s="292" t="str">
        <f>+IF(G170&lt;79.99999%,"Incumple",IF(AND(G170&gt;=80%,G170&lt;94.999999%),"Tolerable",IF(AND(G170&gt;=95%,G170&lt;100%),"Satisfactorio","Sobresaliente")))</f>
        <v>Sobresaliente</v>
      </c>
      <c r="I170" s="514">
        <v>44651</v>
      </c>
      <c r="J170" s="514" t="s">
        <v>164</v>
      </c>
      <c r="K170" s="347">
        <v>0.8</v>
      </c>
      <c r="L170" s="544">
        <f t="shared" si="34"/>
        <v>80</v>
      </c>
      <c r="M170" s="306">
        <v>0.80510000000000004</v>
      </c>
      <c r="N170" s="553">
        <f t="shared" si="35"/>
        <v>80.510000000000005</v>
      </c>
      <c r="O170" s="507" t="s">
        <v>114</v>
      </c>
      <c r="P170" s="80">
        <f t="shared" si="12"/>
        <v>1.006375</v>
      </c>
      <c r="Q170" s="522">
        <f t="shared" si="29"/>
        <v>1.006375</v>
      </c>
      <c r="R170" s="529" t="str">
        <f t="shared" si="31"/>
        <v>Sobresaliente</v>
      </c>
    </row>
    <row r="171" spans="1:18" x14ac:dyDescent="0.25">
      <c r="A171" s="482" t="s">
        <v>198</v>
      </c>
      <c r="B171" s="297" t="s">
        <v>199</v>
      </c>
      <c r="C171" s="285" t="s">
        <v>260</v>
      </c>
      <c r="D171" s="310">
        <v>0.15</v>
      </c>
      <c r="E171" s="305">
        <v>0.159</v>
      </c>
      <c r="F171" s="477">
        <v>518665</v>
      </c>
      <c r="G171" s="80">
        <f>+E171/D171</f>
        <v>1.06</v>
      </c>
      <c r="H171" s="292" t="str">
        <f>+IF(G171&lt;79.99999%,"Incumple",IF(AND(G171&gt;=80%,G171&lt;94.999999%),"Tolerable",IF(AND(G171&gt;=95%,G171&lt;100%),"Satisfactorio","Sobresaliente")))</f>
        <v>Sobresaliente</v>
      </c>
      <c r="I171" s="514">
        <v>44651</v>
      </c>
      <c r="J171" s="514" t="s">
        <v>164</v>
      </c>
      <c r="K171" s="347">
        <v>0.15</v>
      </c>
      <c r="L171" s="544">
        <f t="shared" si="34"/>
        <v>15</v>
      </c>
      <c r="M171" s="306">
        <v>0.15939999999999999</v>
      </c>
      <c r="N171" s="553">
        <f t="shared" si="35"/>
        <v>15.939999999999998</v>
      </c>
      <c r="O171" s="507" t="s">
        <v>114</v>
      </c>
      <c r="P171" s="80">
        <f t="shared" si="12"/>
        <v>1.0626666666666666</v>
      </c>
      <c r="Q171" s="522">
        <f t="shared" si="29"/>
        <v>1.0626666666666666</v>
      </c>
      <c r="R171" s="529" t="str">
        <f t="shared" si="31"/>
        <v>Sobresaliente</v>
      </c>
    </row>
    <row r="172" spans="1:18" x14ac:dyDescent="0.25">
      <c r="A172" s="482" t="s">
        <v>198</v>
      </c>
      <c r="B172" s="297" t="s">
        <v>203</v>
      </c>
      <c r="C172" s="285" t="s">
        <v>261</v>
      </c>
      <c r="D172" s="311" t="s">
        <v>28</v>
      </c>
      <c r="E172" s="311" t="s">
        <v>28</v>
      </c>
      <c r="F172" s="311" t="s">
        <v>28</v>
      </c>
      <c r="G172" s="285" t="s">
        <v>28</v>
      </c>
      <c r="H172" s="285" t="s">
        <v>28</v>
      </c>
      <c r="I172" s="514">
        <v>44651</v>
      </c>
      <c r="J172" s="514"/>
      <c r="K172" s="348" t="s">
        <v>272</v>
      </c>
      <c r="L172" s="542" t="e">
        <f t="shared" si="34"/>
        <v>#VALUE!</v>
      </c>
      <c r="N172" s="291">
        <f t="shared" si="35"/>
        <v>0</v>
      </c>
      <c r="P172" s="80" t="str">
        <f t="shared" si="12"/>
        <v>N/A</v>
      </c>
      <c r="Q172" s="522">
        <f t="shared" si="29"/>
        <v>1.2</v>
      </c>
      <c r="R172" s="529" t="str">
        <f t="shared" si="31"/>
        <v>Sobresaliente</v>
      </c>
    </row>
    <row r="173" spans="1:18" x14ac:dyDescent="0.25">
      <c r="A173" s="482" t="s">
        <v>209</v>
      </c>
      <c r="B173" s="297" t="s">
        <v>210</v>
      </c>
      <c r="C173" s="285" t="s">
        <v>261</v>
      </c>
      <c r="D173" s="310">
        <v>0.3</v>
      </c>
      <c r="E173" s="305">
        <v>0.32300000000000001</v>
      </c>
      <c r="F173" s="311" t="s">
        <v>28</v>
      </c>
      <c r="G173" s="80">
        <f>+D173/E173</f>
        <v>0.92879256965944268</v>
      </c>
      <c r="H173" s="292" t="str">
        <f>+IF(G173&lt;79.99999%,"Incumple",IF(AND(G173&gt;=80%,G173&lt;94.999999%),"Tolerable",IF(AND(G173&gt;=95%,G173&lt;100%),"Satisfactorio","Sobresaliente")))</f>
        <v>Tolerable</v>
      </c>
      <c r="I173" s="514">
        <v>44651</v>
      </c>
      <c r="J173" s="514" t="s">
        <v>409</v>
      </c>
      <c r="K173" s="347">
        <v>0.3</v>
      </c>
      <c r="L173" s="544">
        <f t="shared" si="34"/>
        <v>30</v>
      </c>
      <c r="M173" s="306">
        <v>0.32300000000000001</v>
      </c>
      <c r="N173" s="553">
        <f t="shared" si="35"/>
        <v>32.300000000000004</v>
      </c>
      <c r="O173" s="507" t="s">
        <v>116</v>
      </c>
      <c r="P173" s="80">
        <f t="shared" si="12"/>
        <v>0.92333333333333323</v>
      </c>
      <c r="Q173" s="522">
        <f t="shared" si="29"/>
        <v>0.92333333333333323</v>
      </c>
      <c r="R173" s="529" t="str">
        <f t="shared" si="31"/>
        <v>Tolerable</v>
      </c>
    </row>
    <row r="174" spans="1:18" x14ac:dyDescent="0.25">
      <c r="A174" s="482" t="s">
        <v>209</v>
      </c>
      <c r="B174" s="297" t="s">
        <v>215</v>
      </c>
      <c r="C174" s="285" t="s">
        <v>261</v>
      </c>
      <c r="D174" s="311" t="s">
        <v>28</v>
      </c>
      <c r="E174" s="311" t="s">
        <v>28</v>
      </c>
      <c r="F174" s="311" t="s">
        <v>28</v>
      </c>
      <c r="G174" s="285" t="s">
        <v>28</v>
      </c>
      <c r="H174" s="285" t="s">
        <v>28</v>
      </c>
      <c r="I174" s="514">
        <v>44651</v>
      </c>
      <c r="J174" s="514" t="s">
        <v>294</v>
      </c>
      <c r="K174" s="347">
        <v>4.5999999999999999E-2</v>
      </c>
      <c r="L174" s="544">
        <f t="shared" si="34"/>
        <v>4.5999999999999996</v>
      </c>
      <c r="M174" s="306">
        <v>4.6699999999999998E-2</v>
      </c>
      <c r="N174" s="553">
        <f t="shared" si="35"/>
        <v>4.67</v>
      </c>
      <c r="O174" s="507" t="s">
        <v>114</v>
      </c>
      <c r="P174" s="80">
        <f t="shared" si="12"/>
        <v>1.0152173913043478</v>
      </c>
      <c r="Q174" s="522">
        <f t="shared" si="29"/>
        <v>1.0152173913043478</v>
      </c>
      <c r="R174" s="529" t="str">
        <f t="shared" si="31"/>
        <v>Sobresaliente</v>
      </c>
    </row>
    <row r="175" spans="1:18" x14ac:dyDescent="0.25">
      <c r="A175" s="525" t="s">
        <v>209</v>
      </c>
      <c r="B175" s="341" t="s">
        <v>391</v>
      </c>
      <c r="C175" s="285" t="s">
        <v>261</v>
      </c>
      <c r="D175" s="311">
        <v>4.7</v>
      </c>
      <c r="E175" s="311">
        <v>4.7</v>
      </c>
      <c r="F175" s="311" t="s">
        <v>28</v>
      </c>
      <c r="G175" s="80">
        <f>+E175/D175</f>
        <v>1</v>
      </c>
      <c r="H175" s="292" t="str">
        <f>+IF(G175&lt;79.99999%,"Incumple",IF(AND(G175&gt;=80%,G175&lt;94.999999%),"Tolerable",IF(AND(G175&gt;=95%,G175&lt;100%),"Satisfactorio","Sobresaliente")))</f>
        <v>Sobresaliente</v>
      </c>
      <c r="I175" s="514">
        <v>44651</v>
      </c>
      <c r="J175" s="514" t="s">
        <v>409</v>
      </c>
      <c r="K175" s="347">
        <v>4.7E-2</v>
      </c>
      <c r="L175" s="544">
        <f t="shared" si="34"/>
        <v>4.7</v>
      </c>
      <c r="M175" s="306">
        <v>4.7E-2</v>
      </c>
      <c r="N175" s="553">
        <f t="shared" si="35"/>
        <v>4.7</v>
      </c>
      <c r="O175" s="507" t="s">
        <v>114</v>
      </c>
      <c r="P175" s="80">
        <f t="shared" si="12"/>
        <v>1</v>
      </c>
      <c r="Q175" s="522">
        <f t="shared" si="29"/>
        <v>1</v>
      </c>
      <c r="R175" s="529" t="str">
        <f t="shared" si="31"/>
        <v>Sobresaliente</v>
      </c>
    </row>
    <row r="176" spans="1:18" x14ac:dyDescent="0.25">
      <c r="A176" s="482" t="s">
        <v>209</v>
      </c>
      <c r="B176" s="297" t="s">
        <v>212</v>
      </c>
      <c r="C176" s="285" t="s">
        <v>261</v>
      </c>
      <c r="D176" s="311" t="s">
        <v>28</v>
      </c>
      <c r="E176" s="311" t="s">
        <v>28</v>
      </c>
      <c r="F176" s="311" t="s">
        <v>28</v>
      </c>
      <c r="G176" s="285" t="s">
        <v>28</v>
      </c>
      <c r="H176" s="285" t="s">
        <v>28</v>
      </c>
      <c r="I176" s="514">
        <v>44651</v>
      </c>
      <c r="J176" s="514"/>
      <c r="K176" s="351"/>
      <c r="L176" s="543">
        <f t="shared" si="34"/>
        <v>0</v>
      </c>
      <c r="N176" s="291">
        <f t="shared" si="35"/>
        <v>0</v>
      </c>
      <c r="P176" s="80" t="str">
        <f t="shared" si="12"/>
        <v>N/A</v>
      </c>
      <c r="Q176" s="522">
        <f t="shared" si="29"/>
        <v>1.2</v>
      </c>
      <c r="R176" s="529" t="str">
        <f t="shared" si="31"/>
        <v>Sobresaliente</v>
      </c>
    </row>
    <row r="177" spans="1:18" x14ac:dyDescent="0.25">
      <c r="A177" s="482" t="s">
        <v>209</v>
      </c>
      <c r="B177" s="297" t="s">
        <v>213</v>
      </c>
      <c r="C177" s="285" t="s">
        <v>261</v>
      </c>
      <c r="D177" s="311" t="s">
        <v>28</v>
      </c>
      <c r="E177" s="311" t="s">
        <v>28</v>
      </c>
      <c r="F177" s="311" t="s">
        <v>28</v>
      </c>
      <c r="G177" s="285" t="s">
        <v>28</v>
      </c>
      <c r="H177" s="285" t="s">
        <v>28</v>
      </c>
      <c r="I177" s="514">
        <v>44651</v>
      </c>
      <c r="J177" s="514"/>
      <c r="K177" s="351"/>
      <c r="L177" s="543">
        <f t="shared" si="34"/>
        <v>0</v>
      </c>
      <c r="N177" s="291">
        <f t="shared" si="35"/>
        <v>0</v>
      </c>
      <c r="P177" s="80" t="str">
        <f t="shared" si="12"/>
        <v>N/A</v>
      </c>
      <c r="Q177" s="522">
        <f t="shared" si="29"/>
        <v>1.2</v>
      </c>
      <c r="R177" s="529" t="str">
        <f t="shared" si="31"/>
        <v>Sobresaliente</v>
      </c>
    </row>
    <row r="178" spans="1:18" x14ac:dyDescent="0.25">
      <c r="A178" s="482" t="s">
        <v>209</v>
      </c>
      <c r="B178" s="297" t="s">
        <v>214</v>
      </c>
      <c r="C178" s="285" t="s">
        <v>261</v>
      </c>
      <c r="D178" s="316">
        <v>4.5999999999999996</v>
      </c>
      <c r="E178" s="311">
        <v>4.67</v>
      </c>
      <c r="F178" s="311" t="s">
        <v>28</v>
      </c>
      <c r="G178" s="80">
        <f>+E178/D178</f>
        <v>1.0152173913043478</v>
      </c>
      <c r="H178" s="292" t="str">
        <f>+IF(G178&lt;79.99999%,"Incumple",IF(AND(G178&gt;=80%,G178&lt;94.999999%),"Tolerable",IF(AND(G178&gt;=95%,G178&lt;100%),"Satisfactorio","Sobresaliente")))</f>
        <v>Sobresaliente</v>
      </c>
      <c r="I178" s="514">
        <v>44651</v>
      </c>
      <c r="J178" s="514"/>
      <c r="K178" s="353">
        <v>4.5999999999999996</v>
      </c>
      <c r="L178" s="541">
        <f t="shared" si="34"/>
        <v>459.99999999999994</v>
      </c>
      <c r="N178" s="291">
        <f t="shared" si="35"/>
        <v>0</v>
      </c>
      <c r="P178" s="80">
        <f t="shared" si="12"/>
        <v>0</v>
      </c>
      <c r="Q178" s="522">
        <f t="shared" si="29"/>
        <v>0</v>
      </c>
      <c r="R178" s="529" t="str">
        <f t="shared" si="31"/>
        <v>Incumple</v>
      </c>
    </row>
    <row r="179" spans="1:18" x14ac:dyDescent="0.25">
      <c r="A179" s="482" t="s">
        <v>216</v>
      </c>
      <c r="B179" s="297" t="s">
        <v>217</v>
      </c>
      <c r="C179" s="285" t="s">
        <v>261</v>
      </c>
      <c r="D179" s="311" t="s">
        <v>28</v>
      </c>
      <c r="E179" s="311" t="s">
        <v>28</v>
      </c>
      <c r="F179" s="309" t="s">
        <v>28</v>
      </c>
      <c r="G179" s="285" t="s">
        <v>28</v>
      </c>
      <c r="H179" s="285" t="s">
        <v>28</v>
      </c>
      <c r="I179" s="514">
        <v>44651</v>
      </c>
      <c r="J179" s="514" t="s">
        <v>410</v>
      </c>
      <c r="K179" s="347">
        <v>1</v>
      </c>
      <c r="L179" s="544">
        <f t="shared" si="34"/>
        <v>100</v>
      </c>
      <c r="M179" s="306">
        <v>0</v>
      </c>
      <c r="N179" s="553">
        <f t="shared" si="35"/>
        <v>0</v>
      </c>
      <c r="O179" s="507" t="s">
        <v>114</v>
      </c>
      <c r="P179" s="80">
        <f t="shared" si="12"/>
        <v>0</v>
      </c>
      <c r="Q179" s="522">
        <f t="shared" si="29"/>
        <v>0</v>
      </c>
      <c r="R179" s="529" t="str">
        <f t="shared" si="31"/>
        <v>Incumple</v>
      </c>
    </row>
    <row r="180" spans="1:18" x14ac:dyDescent="0.25">
      <c r="A180" s="482" t="s">
        <v>218</v>
      </c>
      <c r="B180" s="297" t="s">
        <v>219</v>
      </c>
      <c r="C180" s="285" t="s">
        <v>261</v>
      </c>
      <c r="D180" s="310">
        <v>0.9</v>
      </c>
      <c r="E180" s="305">
        <v>0.91500000000000004</v>
      </c>
      <c r="F180" s="477">
        <v>2965</v>
      </c>
      <c r="G180" s="80">
        <f>+E180/D180</f>
        <v>1.0166666666666666</v>
      </c>
      <c r="H180" s="292" t="str">
        <f>+IF(G180&lt;79.99999%,"Incumple",IF(AND(G180&gt;=80%,G180&lt;94.999999%),"Tolerable",IF(AND(G180&gt;=95%,G180&lt;100%),"Satisfactorio","Sobresaliente")))</f>
        <v>Sobresaliente</v>
      </c>
      <c r="I180" s="514">
        <v>44651</v>
      </c>
      <c r="J180" s="514" t="s">
        <v>164</v>
      </c>
      <c r="K180" s="347">
        <v>0.9</v>
      </c>
      <c r="L180" s="544">
        <f t="shared" si="34"/>
        <v>90</v>
      </c>
      <c r="M180" s="306">
        <v>0.91500000000000004</v>
      </c>
      <c r="N180" s="553">
        <f t="shared" si="35"/>
        <v>91.5</v>
      </c>
      <c r="O180" s="507" t="s">
        <v>114</v>
      </c>
      <c r="P180" s="80">
        <f t="shared" si="12"/>
        <v>1.0166666666666666</v>
      </c>
      <c r="Q180" s="522">
        <f t="shared" si="29"/>
        <v>1.0166666666666666</v>
      </c>
      <c r="R180" s="529" t="str">
        <f t="shared" si="31"/>
        <v>Sobresaliente</v>
      </c>
    </row>
    <row r="181" spans="1:18" x14ac:dyDescent="0.25">
      <c r="A181" s="482" t="s">
        <v>159</v>
      </c>
      <c r="B181" s="297" t="s">
        <v>419</v>
      </c>
      <c r="C181" s="285" t="s">
        <v>260</v>
      </c>
      <c r="D181" s="305"/>
      <c r="E181" s="305"/>
      <c r="F181" s="309">
        <v>32126</v>
      </c>
      <c r="G181" s="593" t="e">
        <f>+E181/D181</f>
        <v>#DIV/0!</v>
      </c>
      <c r="H181" s="292" t="e">
        <f t="shared" ref="H181" si="37">+IF(G181&lt;79.99999%,"Incumple",IF(AND(G181&gt;=80%,G181&lt;94.999999%),"Tolerable",IF(AND(G181&gt;=95%,G181&lt;100%),"Satisfactorio","Sobresaliente")))</f>
        <v>#DIV/0!</v>
      </c>
      <c r="I181" s="514">
        <v>44681</v>
      </c>
      <c r="J181" s="514" t="s">
        <v>126</v>
      </c>
      <c r="K181" s="346">
        <v>0.06</v>
      </c>
      <c r="L181" s="606">
        <f t="shared" si="34"/>
        <v>6</v>
      </c>
      <c r="M181" s="504">
        <v>7.0800000000000002E-2</v>
      </c>
      <c r="N181" s="607">
        <f t="shared" si="35"/>
        <v>7.08</v>
      </c>
      <c r="O181" s="507" t="s">
        <v>114</v>
      </c>
      <c r="P181" s="80">
        <f t="shared" ref="P181:P225" si="38">+IFERROR(IF(O181="Creciente",IF(AND(M181&lt;0,K181&lt;0),1-(M181-K181)/K181,IF(M181&lt;0,M181/K181,IF(K181&lt;0,1+((M181-K181)/M181),M181/K181))),IF(AND(M181&lt;0,K181&lt;0),(K181*-1)/(M181*-1),IF(M181&lt;0,(M181-K181)/M181,IF(K181&lt;0,-1+(M181-K181)/K181,IF(O181="Decreciente",1+(K181-M181)/K181,M181/K181))))),"N/A")</f>
        <v>1.1800000000000002</v>
      </c>
      <c r="Q181" s="522">
        <f t="shared" ref="Q181:Q188" si="39">+IF(P181&lt;0,0%,IF(P181&gt;120%,120%,P181))</f>
        <v>1.1800000000000002</v>
      </c>
      <c r="R181" s="529" t="str">
        <f t="shared" si="31"/>
        <v>Sobresaliente</v>
      </c>
    </row>
    <row r="182" spans="1:18" x14ac:dyDescent="0.25">
      <c r="A182" s="482" t="s">
        <v>159</v>
      </c>
      <c r="B182" s="297" t="s">
        <v>417</v>
      </c>
      <c r="C182" s="285" t="s">
        <v>261</v>
      </c>
      <c r="D182" s="309"/>
      <c r="E182" s="309"/>
      <c r="F182" s="309" t="s">
        <v>28</v>
      </c>
      <c r="G182" s="593" t="e">
        <f>+E182/D182</f>
        <v>#DIV/0!</v>
      </c>
      <c r="H182" s="292" t="e">
        <f>+IF(G182&lt;79.99999%,"Incumple",IF(AND(G182&gt;=80%,G182&lt;94.999999%),"Tolerable",IF(AND(G182&gt;=95%,G182&lt;100%),"Satisfactorio","Sobresaliente")))</f>
        <v>#DIV/0!</v>
      </c>
      <c r="I182" s="514">
        <v>44681</v>
      </c>
      <c r="J182" s="514" t="s">
        <v>126</v>
      </c>
      <c r="K182" s="349">
        <v>1</v>
      </c>
      <c r="L182" s="527">
        <f t="shared" si="34"/>
        <v>100</v>
      </c>
      <c r="M182" s="502">
        <v>1</v>
      </c>
      <c r="N182" s="537">
        <f t="shared" si="35"/>
        <v>100</v>
      </c>
      <c r="O182" s="507" t="s">
        <v>114</v>
      </c>
      <c r="P182" s="80">
        <f t="shared" si="38"/>
        <v>1</v>
      </c>
      <c r="Q182" s="522">
        <f t="shared" si="39"/>
        <v>1</v>
      </c>
      <c r="R182" s="529" t="str">
        <f t="shared" si="31"/>
        <v>Sobresaliente</v>
      </c>
    </row>
    <row r="183" spans="1:18" x14ac:dyDescent="0.25">
      <c r="A183" s="482" t="s">
        <v>159</v>
      </c>
      <c r="B183" s="297" t="s">
        <v>418</v>
      </c>
      <c r="C183" s="285" t="s">
        <v>260</v>
      </c>
      <c r="D183" s="305"/>
      <c r="E183" s="305"/>
      <c r="F183" s="309">
        <f>390426/(390426+88261)</f>
        <v>0.81561855659334803</v>
      </c>
      <c r="G183" s="593" t="e">
        <f>+D183/E183</f>
        <v>#DIV/0!</v>
      </c>
      <c r="H183" s="292" t="e">
        <f t="shared" ref="H183:H185" si="40">+IF(G183&lt;79.99999%,"Incumple",IF(AND(G183&gt;=80%,G183&lt;94.999999%),"Tolerable",IF(AND(G183&gt;=95%,G183&lt;100%),"Satisfactorio","Sobresaliente")))</f>
        <v>#DIV/0!</v>
      </c>
      <c r="I183" s="514">
        <v>44681</v>
      </c>
      <c r="J183" s="514" t="s">
        <v>126</v>
      </c>
      <c r="K183" s="347">
        <v>0.85350000000000004</v>
      </c>
      <c r="L183" s="527">
        <f t="shared" si="34"/>
        <v>85.350000000000009</v>
      </c>
      <c r="M183" s="501">
        <v>0.8417</v>
      </c>
      <c r="N183" s="537">
        <f t="shared" si="35"/>
        <v>84.17</v>
      </c>
      <c r="O183" s="507" t="s">
        <v>116</v>
      </c>
      <c r="P183" s="80">
        <f t="shared" si="38"/>
        <v>1.013825424721734</v>
      </c>
      <c r="Q183" s="522">
        <f t="shared" si="39"/>
        <v>1.013825424721734</v>
      </c>
      <c r="R183" s="529" t="str">
        <f t="shared" si="31"/>
        <v>Sobresaliente</v>
      </c>
    </row>
    <row r="184" spans="1:18" x14ac:dyDescent="0.25">
      <c r="A184" s="482" t="s">
        <v>159</v>
      </c>
      <c r="B184" s="297" t="s">
        <v>143</v>
      </c>
      <c r="C184" s="285" t="s">
        <v>261</v>
      </c>
      <c r="D184" s="310"/>
      <c r="E184" s="305"/>
      <c r="F184" s="309" t="s">
        <v>28</v>
      </c>
      <c r="G184" s="593" t="e">
        <f>+D184/E184</f>
        <v>#DIV/0!</v>
      </c>
      <c r="H184" s="292" t="e">
        <f t="shared" si="40"/>
        <v>#DIV/0!</v>
      </c>
      <c r="I184" s="514">
        <v>44681</v>
      </c>
      <c r="J184" s="514" t="s">
        <v>126</v>
      </c>
      <c r="K184" s="349">
        <v>0.5</v>
      </c>
      <c r="L184" s="527">
        <f t="shared" si="34"/>
        <v>50</v>
      </c>
      <c r="M184" s="501">
        <v>0.43680000000000002</v>
      </c>
      <c r="N184" s="537">
        <f t="shared" si="35"/>
        <v>43.68</v>
      </c>
      <c r="O184" s="507" t="s">
        <v>116</v>
      </c>
      <c r="P184" s="80">
        <f t="shared" si="38"/>
        <v>1.1263999999999998</v>
      </c>
      <c r="Q184" s="522">
        <f t="shared" si="39"/>
        <v>1.1263999999999998</v>
      </c>
      <c r="R184" s="529" t="str">
        <f t="shared" si="31"/>
        <v>Sobresaliente</v>
      </c>
    </row>
    <row r="185" spans="1:18" x14ac:dyDescent="0.25">
      <c r="A185" s="482" t="s">
        <v>159</v>
      </c>
      <c r="B185" s="297" t="s">
        <v>144</v>
      </c>
      <c r="C185" s="285" t="s">
        <v>261</v>
      </c>
      <c r="D185" s="311"/>
      <c r="E185" s="311"/>
      <c r="F185" s="309" t="s">
        <v>28</v>
      </c>
      <c r="G185" s="593" t="e">
        <f>+E185/D185</f>
        <v>#DIV/0!</v>
      </c>
      <c r="H185" s="292" t="e">
        <f t="shared" si="40"/>
        <v>#DIV/0!</v>
      </c>
      <c r="I185" s="514">
        <v>44681</v>
      </c>
      <c r="J185" s="514" t="s">
        <v>126</v>
      </c>
      <c r="K185" s="505">
        <v>1.18E-2</v>
      </c>
      <c r="L185" s="527">
        <f t="shared" si="34"/>
        <v>1.18</v>
      </c>
      <c r="M185" s="501">
        <v>1.1299999999999999E-2</v>
      </c>
      <c r="N185" s="538">
        <f t="shared" si="35"/>
        <v>1.1299999999999999</v>
      </c>
      <c r="O185" s="507" t="s">
        <v>114</v>
      </c>
      <c r="P185" s="80">
        <f t="shared" si="38"/>
        <v>0.9576271186440678</v>
      </c>
      <c r="Q185" s="522">
        <f t="shared" si="39"/>
        <v>0.9576271186440678</v>
      </c>
      <c r="R185" s="529" t="str">
        <f t="shared" si="31"/>
        <v>Satisfactorio</v>
      </c>
    </row>
    <row r="186" spans="1:18" x14ac:dyDescent="0.25">
      <c r="A186" s="482" t="s">
        <v>159</v>
      </c>
      <c r="B186" s="297" t="s">
        <v>147</v>
      </c>
      <c r="C186" s="285" t="s">
        <v>261</v>
      </c>
      <c r="D186" s="305"/>
      <c r="E186" s="305"/>
      <c r="F186" s="309" t="s">
        <v>28</v>
      </c>
      <c r="G186" s="593" t="e">
        <f>+E186/D186</f>
        <v>#DIV/0!</v>
      </c>
      <c r="H186" s="292" t="e">
        <f>+IF(G186&lt;79.99999%,"Incumple",IF(AND(G186&gt;=80%,G186&lt;94.999999%),"Tolerable",IF(AND(G186&gt;=95%,G186&lt;100%),"Satisfactorio","Sobresaliente")))</f>
        <v>#DIV/0!</v>
      </c>
      <c r="I186" s="514">
        <v>44681</v>
      </c>
      <c r="J186" s="514" t="s">
        <v>126</v>
      </c>
      <c r="K186" s="346">
        <v>1.6400000000000001E-2</v>
      </c>
      <c r="L186" s="527">
        <f t="shared" si="34"/>
        <v>1.6400000000000001</v>
      </c>
      <c r="M186" s="501">
        <v>9.8299999999999998E-2</v>
      </c>
      <c r="N186" s="537">
        <f t="shared" si="35"/>
        <v>9.83</v>
      </c>
      <c r="O186" s="507" t="s">
        <v>114</v>
      </c>
      <c r="P186" s="80">
        <f t="shared" si="38"/>
        <v>5.9939024390243896</v>
      </c>
      <c r="Q186" s="522">
        <f t="shared" si="39"/>
        <v>1.2</v>
      </c>
      <c r="R186" s="529" t="str">
        <f t="shared" si="31"/>
        <v>Sobresaliente</v>
      </c>
    </row>
    <row r="187" spans="1:18" x14ac:dyDescent="0.25">
      <c r="A187" s="482" t="s">
        <v>159</v>
      </c>
      <c r="B187" s="297" t="s">
        <v>146</v>
      </c>
      <c r="C187" s="285" t="s">
        <v>261</v>
      </c>
      <c r="D187" s="305"/>
      <c r="E187" s="305"/>
      <c r="F187" s="309" t="s">
        <v>28</v>
      </c>
      <c r="G187" s="593" t="e">
        <f>+D187/E187</f>
        <v>#DIV/0!</v>
      </c>
      <c r="H187" s="292" t="e">
        <f>+IF(G187&lt;79.99999%,"Incumple",IF(AND(G187&gt;=80%,G187&lt;94.999999%),"Tolerable",IF(AND(G187&gt;=95%,G187&lt;100%),"Satisfactorio","Sobresaliente")))</f>
        <v>#DIV/0!</v>
      </c>
      <c r="I187" s="514">
        <v>44681</v>
      </c>
      <c r="J187" s="514" t="s">
        <v>126</v>
      </c>
      <c r="K187" s="347">
        <v>0.72840000000000005</v>
      </c>
      <c r="L187" s="527">
        <f t="shared" si="34"/>
        <v>72.84</v>
      </c>
      <c r="M187" s="501">
        <v>0.64259999999999995</v>
      </c>
      <c r="N187" s="537">
        <f t="shared" si="35"/>
        <v>64.259999999999991</v>
      </c>
      <c r="O187" s="507" t="s">
        <v>116</v>
      </c>
      <c r="P187" s="80">
        <f t="shared" si="38"/>
        <v>1.1177924217462933</v>
      </c>
      <c r="Q187" s="522">
        <f t="shared" si="39"/>
        <v>1.1177924217462933</v>
      </c>
      <c r="R187" s="529" t="str">
        <f t="shared" si="31"/>
        <v>Sobresaliente</v>
      </c>
    </row>
    <row r="188" spans="1:18" x14ac:dyDescent="0.25">
      <c r="A188" s="482" t="s">
        <v>159</v>
      </c>
      <c r="B188" s="297" t="s">
        <v>145</v>
      </c>
      <c r="C188" s="285" t="s">
        <v>261</v>
      </c>
      <c r="D188" s="312"/>
      <c r="E188" s="312"/>
      <c r="F188" s="309" t="e">
        <f>+G188</f>
        <v>#DIV/0!</v>
      </c>
      <c r="G188" s="593" t="e">
        <f>+D188/E188</f>
        <v>#DIV/0!</v>
      </c>
      <c r="H188" s="292" t="e">
        <f t="shared" ref="H188:H211" si="41">+IF(G188&lt;79.99999%,"Incumple",IF(AND(G188&gt;=80%,G188&lt;94.999999%),"Tolerable",IF(AND(G188&gt;=95%,G188&lt;100%),"Satisfactorio","Sobresaliente")))</f>
        <v>#DIV/0!</v>
      </c>
      <c r="I188" s="514">
        <v>44681</v>
      </c>
      <c r="J188" s="514" t="s">
        <v>126</v>
      </c>
      <c r="K188" s="347">
        <v>1</v>
      </c>
      <c r="L188" s="527">
        <f t="shared" si="34"/>
        <v>100</v>
      </c>
      <c r="M188" s="501">
        <v>0.98</v>
      </c>
      <c r="N188" s="537">
        <f t="shared" si="35"/>
        <v>98</v>
      </c>
      <c r="O188" s="507" t="s">
        <v>116</v>
      </c>
      <c r="P188" s="80">
        <f t="shared" si="38"/>
        <v>1.02</v>
      </c>
      <c r="Q188" s="522">
        <f t="shared" si="39"/>
        <v>1.02</v>
      </c>
      <c r="R188" s="529" t="str">
        <f t="shared" ref="R188" si="42">+IF(Q188&lt;79.99999%,"Incumple",IF(AND(Q188&gt;=80%,Q188&lt;94.999999%),"Tolerable",IF(AND(Q188&gt;=95%,Q188&lt;100%),"Satisfactorio","Sobresaliente")))</f>
        <v>Sobresaliente</v>
      </c>
    </row>
    <row r="189" spans="1:18" x14ac:dyDescent="0.25">
      <c r="A189" s="482" t="s">
        <v>159</v>
      </c>
      <c r="B189" s="297" t="s">
        <v>414</v>
      </c>
      <c r="C189" s="285" t="s">
        <v>261</v>
      </c>
      <c r="D189" s="312"/>
      <c r="E189" s="312"/>
      <c r="F189" s="309" t="s">
        <v>28</v>
      </c>
      <c r="G189" s="593" t="s">
        <v>28</v>
      </c>
      <c r="H189" s="292" t="str">
        <f t="shared" si="41"/>
        <v>Sobresaliente</v>
      </c>
      <c r="I189" s="514">
        <v>44681</v>
      </c>
      <c r="J189" s="514" t="s">
        <v>126</v>
      </c>
      <c r="K189" s="347">
        <v>1</v>
      </c>
      <c r="L189" s="527">
        <f t="shared" si="34"/>
        <v>100</v>
      </c>
      <c r="M189" s="501">
        <v>0.87070000000000003</v>
      </c>
      <c r="N189" s="537">
        <f t="shared" si="35"/>
        <v>87.070000000000007</v>
      </c>
      <c r="O189" s="507" t="s">
        <v>116</v>
      </c>
      <c r="P189" s="80">
        <f t="shared" si="38"/>
        <v>1.1293</v>
      </c>
      <c r="Q189" s="522">
        <f>+IF(P189&lt;0,0%,IF(P189&gt;120%,120%,P189))</f>
        <v>1.1293</v>
      </c>
      <c r="R189" s="529" t="str">
        <f>+IF(Q189&lt;79.99999%,"Incumple",IF(AND(Q189&gt;=80%,Q189&lt;94.999999%),"Tolerable",IF(AND(Q189&gt;=95%,Q189&lt;100%),"Satisfactorio","Sobresaliente")))</f>
        <v>Sobresaliente</v>
      </c>
    </row>
    <row r="190" spans="1:18" x14ac:dyDescent="0.25">
      <c r="A190" s="482" t="s">
        <v>158</v>
      </c>
      <c r="B190" s="297" t="s">
        <v>420</v>
      </c>
      <c r="C190" s="285" t="s">
        <v>260</v>
      </c>
      <c r="D190" s="305"/>
      <c r="E190" s="305"/>
      <c r="F190" s="309" t="s">
        <v>28</v>
      </c>
      <c r="G190" s="593" t="e">
        <f t="shared" ref="G190:G201" si="43">+E190/D190</f>
        <v>#DIV/0!</v>
      </c>
      <c r="H190" s="292" t="e">
        <f t="shared" si="41"/>
        <v>#DIV/0!</v>
      </c>
      <c r="I190" s="514">
        <v>44681</v>
      </c>
      <c r="J190" s="514" t="s">
        <v>126</v>
      </c>
      <c r="K190" s="346">
        <v>0.3498</v>
      </c>
      <c r="L190" s="527">
        <f t="shared" si="34"/>
        <v>34.979999999999997</v>
      </c>
      <c r="M190" s="501">
        <v>0.49059999999999998</v>
      </c>
      <c r="N190" s="537">
        <f t="shared" si="35"/>
        <v>49.059999999999995</v>
      </c>
      <c r="O190" s="507" t="s">
        <v>114</v>
      </c>
      <c r="P190" s="80">
        <f t="shared" si="38"/>
        <v>1.4025157232704402</v>
      </c>
      <c r="Q190" s="522">
        <f t="shared" ref="Q190:Q225" si="44">+IF(P190&lt;0,0%,IF(P190&gt;120%,120%,P190))</f>
        <v>1.2</v>
      </c>
      <c r="R190" s="529" t="str">
        <f t="shared" ref="R190:R225" si="45">+IF(Q190&lt;79.99999%,"Incumple",IF(AND(Q190&gt;=80%,Q190&lt;94.999999%),"Tolerable",IF(AND(Q190&gt;=95%,Q190&lt;100%),"Satisfactorio","Sobresaliente")))</f>
        <v>Sobresaliente</v>
      </c>
    </row>
    <row r="191" spans="1:18" x14ac:dyDescent="0.25">
      <c r="A191" s="482" t="s">
        <v>158</v>
      </c>
      <c r="B191" s="297" t="s">
        <v>150</v>
      </c>
      <c r="C191" s="285" t="s">
        <v>261</v>
      </c>
      <c r="D191" s="305"/>
      <c r="E191" s="305"/>
      <c r="F191" s="309" t="s">
        <v>28</v>
      </c>
      <c r="G191" s="593" t="e">
        <f t="shared" si="43"/>
        <v>#DIV/0!</v>
      </c>
      <c r="H191" s="292" t="e">
        <f t="shared" si="41"/>
        <v>#DIV/0!</v>
      </c>
      <c r="I191" s="514">
        <v>44681</v>
      </c>
      <c r="J191" s="514" t="s">
        <v>126</v>
      </c>
      <c r="K191" s="346">
        <v>8.6800000000000002E-2</v>
      </c>
      <c r="L191" s="527">
        <f t="shared" si="34"/>
        <v>8.68</v>
      </c>
      <c r="M191" s="501">
        <v>9.5399999999999999E-2</v>
      </c>
      <c r="N191" s="537">
        <f t="shared" si="35"/>
        <v>9.5399999999999991</v>
      </c>
      <c r="O191" s="507" t="s">
        <v>114</v>
      </c>
      <c r="P191" s="80">
        <f t="shared" si="38"/>
        <v>1.0990783410138247</v>
      </c>
      <c r="Q191" s="522">
        <f t="shared" si="44"/>
        <v>1.0990783410138247</v>
      </c>
      <c r="R191" s="529" t="str">
        <f t="shared" si="45"/>
        <v>Sobresaliente</v>
      </c>
    </row>
    <row r="192" spans="1:18" x14ac:dyDescent="0.25">
      <c r="A192" s="482" t="s">
        <v>158</v>
      </c>
      <c r="B192" s="297" t="s">
        <v>148</v>
      </c>
      <c r="C192" s="285" t="s">
        <v>261</v>
      </c>
      <c r="D192" s="305"/>
      <c r="E192" s="305"/>
      <c r="F192" s="309" t="s">
        <v>28</v>
      </c>
      <c r="G192" s="593" t="e">
        <f t="shared" si="43"/>
        <v>#DIV/0!</v>
      </c>
      <c r="H192" s="292" t="e">
        <f t="shared" si="41"/>
        <v>#DIV/0!</v>
      </c>
      <c r="I192" s="514">
        <v>44681</v>
      </c>
      <c r="J192" s="514" t="s">
        <v>126</v>
      </c>
      <c r="K192" s="346">
        <v>9.2200000000000004E-2</v>
      </c>
      <c r="L192" s="527">
        <f t="shared" si="34"/>
        <v>9.2200000000000006</v>
      </c>
      <c r="M192" s="501">
        <v>5.33E-2</v>
      </c>
      <c r="N192" s="537">
        <f t="shared" si="35"/>
        <v>5.33</v>
      </c>
      <c r="O192" s="507" t="s">
        <v>114</v>
      </c>
      <c r="P192" s="80">
        <f t="shared" si="38"/>
        <v>0.5780911062906724</v>
      </c>
      <c r="Q192" s="522">
        <f t="shared" si="44"/>
        <v>0.5780911062906724</v>
      </c>
      <c r="R192" s="529" t="str">
        <f t="shared" si="45"/>
        <v>Incumple</v>
      </c>
    </row>
    <row r="193" spans="1:18" x14ac:dyDescent="0.25">
      <c r="A193" s="482" t="s">
        <v>158</v>
      </c>
      <c r="B193" s="297" t="s">
        <v>151</v>
      </c>
      <c r="C193" s="285" t="s">
        <v>261</v>
      </c>
      <c r="D193" s="305"/>
      <c r="E193" s="305"/>
      <c r="F193" s="309" t="s">
        <v>28</v>
      </c>
      <c r="G193" s="593" t="e">
        <f t="shared" si="43"/>
        <v>#DIV/0!</v>
      </c>
      <c r="H193" s="292" t="e">
        <f t="shared" si="41"/>
        <v>#DIV/0!</v>
      </c>
      <c r="I193" s="514">
        <v>44681</v>
      </c>
      <c r="J193" s="514" t="s">
        <v>126</v>
      </c>
      <c r="K193" s="505">
        <v>8.1600000000000006E-2</v>
      </c>
      <c r="L193" s="527">
        <f t="shared" si="34"/>
        <v>8.16</v>
      </c>
      <c r="M193" s="501">
        <v>8.5199999999999998E-2</v>
      </c>
      <c r="N193" s="537">
        <f t="shared" si="35"/>
        <v>8.52</v>
      </c>
      <c r="O193" s="507" t="s">
        <v>114</v>
      </c>
      <c r="P193" s="80">
        <f t="shared" si="38"/>
        <v>1.0441176470588234</v>
      </c>
      <c r="Q193" s="522">
        <f t="shared" si="44"/>
        <v>1.0441176470588234</v>
      </c>
      <c r="R193" s="529" t="str">
        <f t="shared" si="45"/>
        <v>Sobresaliente</v>
      </c>
    </row>
    <row r="194" spans="1:18" x14ac:dyDescent="0.25">
      <c r="A194" s="482" t="s">
        <v>158</v>
      </c>
      <c r="B194" s="297" t="s">
        <v>421</v>
      </c>
      <c r="C194" s="285" t="s">
        <v>260</v>
      </c>
      <c r="D194" s="305"/>
      <c r="E194" s="305"/>
      <c r="F194" s="309">
        <v>19319</v>
      </c>
      <c r="G194" s="593" t="e">
        <f t="shared" si="43"/>
        <v>#DIV/0!</v>
      </c>
      <c r="H194" s="292" t="e">
        <f t="shared" si="41"/>
        <v>#DIV/0!</v>
      </c>
      <c r="I194" s="514">
        <v>44681</v>
      </c>
      <c r="J194" s="514" t="s">
        <v>126</v>
      </c>
      <c r="K194" s="505">
        <v>9.4999999999999998E-3</v>
      </c>
      <c r="L194" s="527">
        <f t="shared" si="34"/>
        <v>0.95</v>
      </c>
      <c r="M194" s="501">
        <v>1.9400000000000001E-2</v>
      </c>
      <c r="N194" s="537">
        <f t="shared" si="35"/>
        <v>1.94</v>
      </c>
      <c r="O194" s="507" t="s">
        <v>114</v>
      </c>
      <c r="P194" s="80">
        <f t="shared" si="38"/>
        <v>2.0421052631578949</v>
      </c>
      <c r="Q194" s="522">
        <f t="shared" si="44"/>
        <v>1.2</v>
      </c>
      <c r="R194" s="529" t="str">
        <f t="shared" si="45"/>
        <v>Sobresaliente</v>
      </c>
    </row>
    <row r="195" spans="1:18" x14ac:dyDescent="0.25">
      <c r="A195" s="482" t="s">
        <v>158</v>
      </c>
      <c r="B195" s="297" t="s">
        <v>155</v>
      </c>
      <c r="C195" s="285" t="s">
        <v>261</v>
      </c>
      <c r="D195" s="305"/>
      <c r="E195" s="305"/>
      <c r="F195" s="309" t="s">
        <v>28</v>
      </c>
      <c r="G195" s="593" t="e">
        <f t="shared" si="43"/>
        <v>#DIV/0!</v>
      </c>
      <c r="H195" s="292" t="e">
        <f t="shared" si="41"/>
        <v>#DIV/0!</v>
      </c>
      <c r="I195" s="514">
        <v>44681</v>
      </c>
      <c r="J195" s="514" t="s">
        <v>177</v>
      </c>
      <c r="K195" s="505">
        <v>0</v>
      </c>
      <c r="L195" s="527">
        <f t="shared" si="34"/>
        <v>0</v>
      </c>
      <c r="M195" s="501">
        <v>0</v>
      </c>
      <c r="N195" s="537">
        <f t="shared" si="35"/>
        <v>0</v>
      </c>
      <c r="O195" s="507" t="s">
        <v>114</v>
      </c>
      <c r="P195" s="80" t="str">
        <f t="shared" si="38"/>
        <v>N/A</v>
      </c>
      <c r="Q195" s="522">
        <f t="shared" si="44"/>
        <v>1.2</v>
      </c>
      <c r="R195" s="529" t="str">
        <f t="shared" si="45"/>
        <v>Sobresaliente</v>
      </c>
    </row>
    <row r="196" spans="1:18" x14ac:dyDescent="0.25">
      <c r="A196" s="482" t="s">
        <v>158</v>
      </c>
      <c r="B196" s="297" t="s">
        <v>156</v>
      </c>
      <c r="C196" s="285" t="s">
        <v>261</v>
      </c>
      <c r="D196" s="305"/>
      <c r="E196" s="305"/>
      <c r="F196" s="309" t="s">
        <v>28</v>
      </c>
      <c r="G196" s="593" t="e">
        <f t="shared" si="43"/>
        <v>#DIV/0!</v>
      </c>
      <c r="H196" s="292" t="e">
        <f t="shared" si="41"/>
        <v>#DIV/0!</v>
      </c>
      <c r="I196" s="514">
        <v>44681</v>
      </c>
      <c r="J196" s="514" t="s">
        <v>177</v>
      </c>
      <c r="K196" s="505">
        <v>0</v>
      </c>
      <c r="L196" s="527">
        <f t="shared" si="34"/>
        <v>0</v>
      </c>
      <c r="M196" s="501">
        <v>0</v>
      </c>
      <c r="N196" s="537">
        <f t="shared" si="35"/>
        <v>0</v>
      </c>
      <c r="O196" s="507" t="s">
        <v>114</v>
      </c>
      <c r="P196" s="80" t="str">
        <f t="shared" si="38"/>
        <v>N/A</v>
      </c>
      <c r="Q196" s="522">
        <f t="shared" si="44"/>
        <v>1.2</v>
      </c>
      <c r="R196" s="529" t="str">
        <f t="shared" si="45"/>
        <v>Sobresaliente</v>
      </c>
    </row>
    <row r="197" spans="1:18" x14ac:dyDescent="0.25">
      <c r="A197" s="482" t="s">
        <v>158</v>
      </c>
      <c r="B197" s="297" t="s">
        <v>157</v>
      </c>
      <c r="C197" s="285" t="s">
        <v>261</v>
      </c>
      <c r="D197" s="305"/>
      <c r="E197" s="305"/>
      <c r="F197" s="309" t="s">
        <v>28</v>
      </c>
      <c r="G197" s="593" t="e">
        <f t="shared" si="43"/>
        <v>#DIV/0!</v>
      </c>
      <c r="H197" s="292" t="e">
        <f t="shared" si="41"/>
        <v>#DIV/0!</v>
      </c>
      <c r="I197" s="514">
        <v>44681</v>
      </c>
      <c r="J197" s="514" t="s">
        <v>177</v>
      </c>
      <c r="K197" s="505">
        <v>0</v>
      </c>
      <c r="L197" s="527">
        <f t="shared" si="34"/>
        <v>0</v>
      </c>
      <c r="M197" s="501">
        <v>0</v>
      </c>
      <c r="N197" s="537">
        <f t="shared" si="35"/>
        <v>0</v>
      </c>
      <c r="O197" s="507" t="s">
        <v>114</v>
      </c>
      <c r="P197" s="80" t="str">
        <f t="shared" si="38"/>
        <v>N/A</v>
      </c>
      <c r="Q197" s="522">
        <f t="shared" si="44"/>
        <v>1.2</v>
      </c>
      <c r="R197" s="529" t="str">
        <f t="shared" si="45"/>
        <v>Sobresaliente</v>
      </c>
    </row>
    <row r="198" spans="1:18" x14ac:dyDescent="0.25">
      <c r="A198" s="482" t="s">
        <v>158</v>
      </c>
      <c r="B198" s="297" t="s">
        <v>96</v>
      </c>
      <c r="C198" s="285" t="s">
        <v>261</v>
      </c>
      <c r="D198" s="312"/>
      <c r="E198" s="312"/>
      <c r="F198" s="309" t="s">
        <v>28</v>
      </c>
      <c r="G198" s="593" t="e">
        <f t="shared" si="43"/>
        <v>#DIV/0!</v>
      </c>
      <c r="H198" s="292" t="e">
        <f t="shared" si="41"/>
        <v>#DIV/0!</v>
      </c>
      <c r="I198" s="514">
        <v>44681</v>
      </c>
      <c r="J198" s="514" t="s">
        <v>126</v>
      </c>
      <c r="K198" s="505">
        <v>0</v>
      </c>
      <c r="L198" s="527">
        <f t="shared" si="34"/>
        <v>0</v>
      </c>
      <c r="M198" s="501">
        <v>0</v>
      </c>
      <c r="N198" s="537">
        <f t="shared" si="35"/>
        <v>0</v>
      </c>
      <c r="O198" s="507" t="s">
        <v>114</v>
      </c>
      <c r="P198" s="80" t="str">
        <f t="shared" si="38"/>
        <v>N/A</v>
      </c>
      <c r="Q198" s="522">
        <f t="shared" si="44"/>
        <v>1.2</v>
      </c>
      <c r="R198" s="529" t="str">
        <f t="shared" si="45"/>
        <v>Sobresaliente</v>
      </c>
    </row>
    <row r="199" spans="1:18" x14ac:dyDescent="0.25">
      <c r="A199" s="482" t="s">
        <v>158</v>
      </c>
      <c r="B199" s="297" t="s">
        <v>149</v>
      </c>
      <c r="C199" s="285" t="s">
        <v>261</v>
      </c>
      <c r="D199" s="312"/>
      <c r="E199" s="312"/>
      <c r="F199" s="309" t="s">
        <v>28</v>
      </c>
      <c r="G199" s="593" t="e">
        <f t="shared" si="43"/>
        <v>#DIV/0!</v>
      </c>
      <c r="H199" s="292" t="e">
        <f t="shared" si="41"/>
        <v>#DIV/0!</v>
      </c>
      <c r="I199" s="514">
        <v>44681</v>
      </c>
      <c r="J199" s="514" t="s">
        <v>126</v>
      </c>
      <c r="K199" s="505">
        <v>0</v>
      </c>
      <c r="L199" s="527">
        <f t="shared" si="34"/>
        <v>0</v>
      </c>
      <c r="M199" s="501">
        <v>0</v>
      </c>
      <c r="N199" s="537">
        <f t="shared" si="35"/>
        <v>0</v>
      </c>
      <c r="O199" s="507" t="s">
        <v>114</v>
      </c>
      <c r="P199" s="80" t="str">
        <f t="shared" si="38"/>
        <v>N/A</v>
      </c>
      <c r="Q199" s="522">
        <f t="shared" si="44"/>
        <v>1.2</v>
      </c>
      <c r="R199" s="529" t="str">
        <f t="shared" si="45"/>
        <v>Sobresaliente</v>
      </c>
    </row>
    <row r="200" spans="1:18" x14ac:dyDescent="0.25">
      <c r="A200" s="482" t="s">
        <v>158</v>
      </c>
      <c r="B200" s="297" t="s">
        <v>98</v>
      </c>
      <c r="C200" s="285" t="s">
        <v>261</v>
      </c>
      <c r="D200" s="313"/>
      <c r="E200" s="313"/>
      <c r="F200" s="309" t="s">
        <v>28</v>
      </c>
      <c r="G200" s="593" t="e">
        <f t="shared" si="43"/>
        <v>#DIV/0!</v>
      </c>
      <c r="H200" s="292" t="e">
        <f t="shared" si="41"/>
        <v>#DIV/0!</v>
      </c>
      <c r="I200" s="514">
        <v>44681</v>
      </c>
      <c r="J200" s="514" t="s">
        <v>126</v>
      </c>
      <c r="K200" s="505">
        <v>0</v>
      </c>
      <c r="L200" s="527">
        <f t="shared" si="34"/>
        <v>0</v>
      </c>
      <c r="M200" s="501">
        <v>0</v>
      </c>
      <c r="N200" s="537">
        <f t="shared" si="35"/>
        <v>0</v>
      </c>
      <c r="O200" s="507" t="s">
        <v>114</v>
      </c>
      <c r="P200" s="80" t="str">
        <f t="shared" si="38"/>
        <v>N/A</v>
      </c>
      <c r="Q200" s="522">
        <f t="shared" si="44"/>
        <v>1.2</v>
      </c>
      <c r="R200" s="529" t="str">
        <f t="shared" si="45"/>
        <v>Sobresaliente</v>
      </c>
    </row>
    <row r="201" spans="1:18" x14ac:dyDescent="0.25">
      <c r="A201" s="482" t="s">
        <v>158</v>
      </c>
      <c r="B201" s="297" t="s">
        <v>152</v>
      </c>
      <c r="C201" s="285" t="s">
        <v>261</v>
      </c>
      <c r="D201" s="314"/>
      <c r="E201" s="314"/>
      <c r="F201" s="309" t="s">
        <v>28</v>
      </c>
      <c r="G201" s="593" t="e">
        <f t="shared" si="43"/>
        <v>#DIV/0!</v>
      </c>
      <c r="H201" s="292" t="e">
        <f t="shared" si="41"/>
        <v>#DIV/0!</v>
      </c>
      <c r="I201" s="514">
        <v>44681</v>
      </c>
      <c r="J201" s="514" t="s">
        <v>126</v>
      </c>
      <c r="K201" s="505">
        <v>0</v>
      </c>
      <c r="L201" s="527">
        <f t="shared" ref="L201:L225" si="46">+K201*100</f>
        <v>0</v>
      </c>
      <c r="M201" s="501">
        <v>0</v>
      </c>
      <c r="N201" s="537">
        <f t="shared" ref="N201:N225" si="47">+M201*100</f>
        <v>0</v>
      </c>
      <c r="O201" s="507" t="s">
        <v>114</v>
      </c>
      <c r="P201" s="80" t="str">
        <f t="shared" si="38"/>
        <v>N/A</v>
      </c>
      <c r="Q201" s="522">
        <f t="shared" si="44"/>
        <v>1.2</v>
      </c>
      <c r="R201" s="529" t="str">
        <f t="shared" si="45"/>
        <v>Sobresaliente</v>
      </c>
    </row>
    <row r="202" spans="1:18" x14ac:dyDescent="0.25">
      <c r="A202" s="482" t="s">
        <v>158</v>
      </c>
      <c r="B202" s="297" t="s">
        <v>154</v>
      </c>
      <c r="C202" s="285" t="s">
        <v>261</v>
      </c>
      <c r="D202" s="305"/>
      <c r="E202" s="305"/>
      <c r="F202" s="309" t="s">
        <v>28</v>
      </c>
      <c r="G202" s="594" t="e">
        <f>+AVERAGE(G195:G197)</f>
        <v>#DIV/0!</v>
      </c>
      <c r="H202" s="292" t="e">
        <f t="shared" si="41"/>
        <v>#DIV/0!</v>
      </c>
      <c r="I202" s="514">
        <v>44681</v>
      </c>
      <c r="J202" s="514" t="s">
        <v>126</v>
      </c>
      <c r="K202" s="505">
        <v>0</v>
      </c>
      <c r="L202" s="527">
        <f t="shared" si="46"/>
        <v>0</v>
      </c>
      <c r="M202" s="501">
        <v>0</v>
      </c>
      <c r="N202" s="537">
        <f t="shared" si="47"/>
        <v>0</v>
      </c>
      <c r="O202" s="507" t="s">
        <v>114</v>
      </c>
      <c r="P202" s="80" t="str">
        <f t="shared" si="38"/>
        <v>N/A</v>
      </c>
      <c r="Q202" s="522">
        <f t="shared" si="44"/>
        <v>1.2</v>
      </c>
      <c r="R202" s="529" t="str">
        <f t="shared" si="45"/>
        <v>Sobresaliente</v>
      </c>
    </row>
    <row r="203" spans="1:18" x14ac:dyDescent="0.25">
      <c r="A203" s="482" t="s">
        <v>160</v>
      </c>
      <c r="B203" s="297" t="s">
        <v>17</v>
      </c>
      <c r="C203" s="285" t="s">
        <v>261</v>
      </c>
      <c r="D203" s="311"/>
      <c r="E203" s="311"/>
      <c r="F203" s="309" t="s">
        <v>28</v>
      </c>
      <c r="G203" s="593" t="e">
        <f t="shared" ref="G203:G211" si="48">+E203/D203</f>
        <v>#DIV/0!</v>
      </c>
      <c r="H203" s="292" t="e">
        <f t="shared" si="41"/>
        <v>#DIV/0!</v>
      </c>
      <c r="I203" s="514">
        <v>44681</v>
      </c>
      <c r="J203" s="514" t="s">
        <v>126</v>
      </c>
      <c r="K203" s="505">
        <v>4.65E-2</v>
      </c>
      <c r="L203" s="527">
        <f t="shared" si="46"/>
        <v>4.6500000000000004</v>
      </c>
      <c r="M203" s="501">
        <v>4.7100000000000003E-2</v>
      </c>
      <c r="N203" s="537">
        <f t="shared" si="47"/>
        <v>4.71</v>
      </c>
      <c r="O203" s="507" t="s">
        <v>114</v>
      </c>
      <c r="P203" s="80">
        <f t="shared" si="38"/>
        <v>1.0129032258064516</v>
      </c>
      <c r="Q203" s="522">
        <f t="shared" si="44"/>
        <v>1.0129032258064516</v>
      </c>
      <c r="R203" s="529" t="str">
        <f t="shared" si="45"/>
        <v>Sobresaliente</v>
      </c>
    </row>
    <row r="204" spans="1:18" x14ac:dyDescent="0.25">
      <c r="A204" s="482" t="s">
        <v>160</v>
      </c>
      <c r="B204" s="297" t="s">
        <v>181</v>
      </c>
      <c r="C204" s="285" t="s">
        <v>261</v>
      </c>
      <c r="D204" s="311"/>
      <c r="E204" s="311"/>
      <c r="F204" s="309" t="s">
        <v>28</v>
      </c>
      <c r="G204" s="593" t="e">
        <f t="shared" si="48"/>
        <v>#DIV/0!</v>
      </c>
      <c r="H204" s="292" t="e">
        <f t="shared" si="41"/>
        <v>#DIV/0!</v>
      </c>
      <c r="I204" s="514">
        <v>44681</v>
      </c>
      <c r="J204" s="514" t="s">
        <v>164</v>
      </c>
      <c r="K204" s="505">
        <v>0</v>
      </c>
      <c r="L204" s="527">
        <f t="shared" si="46"/>
        <v>0</v>
      </c>
      <c r="M204" s="501">
        <v>0</v>
      </c>
      <c r="N204" s="537">
        <f t="shared" si="47"/>
        <v>0</v>
      </c>
      <c r="O204" s="507" t="s">
        <v>114</v>
      </c>
      <c r="P204" s="80" t="str">
        <f t="shared" si="38"/>
        <v>N/A</v>
      </c>
      <c r="Q204" s="522">
        <f t="shared" si="44"/>
        <v>1.2</v>
      </c>
      <c r="R204" s="529" t="str">
        <f t="shared" si="45"/>
        <v>Sobresaliente</v>
      </c>
    </row>
    <row r="205" spans="1:18" x14ac:dyDescent="0.25">
      <c r="A205" s="482" t="s">
        <v>163</v>
      </c>
      <c r="B205" s="297" t="s">
        <v>161</v>
      </c>
      <c r="C205" s="285" t="s">
        <v>261</v>
      </c>
      <c r="D205" s="312"/>
      <c r="E205" s="312"/>
      <c r="F205" s="309" t="s">
        <v>28</v>
      </c>
      <c r="G205" s="593" t="e">
        <f t="shared" si="48"/>
        <v>#DIV/0!</v>
      </c>
      <c r="H205" s="292" t="e">
        <f t="shared" si="41"/>
        <v>#DIV/0!</v>
      </c>
      <c r="I205" s="514">
        <v>44681</v>
      </c>
      <c r="J205" s="514" t="s">
        <v>126</v>
      </c>
      <c r="K205" s="505">
        <v>0</v>
      </c>
      <c r="L205" s="527">
        <f t="shared" si="46"/>
        <v>0</v>
      </c>
      <c r="M205" s="501">
        <v>0</v>
      </c>
      <c r="N205" s="537">
        <f t="shared" si="47"/>
        <v>0</v>
      </c>
      <c r="O205" s="507" t="s">
        <v>114</v>
      </c>
      <c r="P205" s="80" t="str">
        <f t="shared" si="38"/>
        <v>N/A</v>
      </c>
      <c r="Q205" s="522">
        <f t="shared" si="44"/>
        <v>1.2</v>
      </c>
      <c r="R205" s="529" t="str">
        <f t="shared" si="45"/>
        <v>Sobresaliente</v>
      </c>
    </row>
    <row r="206" spans="1:18" x14ac:dyDescent="0.25">
      <c r="A206" s="482" t="s">
        <v>163</v>
      </c>
      <c r="B206" s="297" t="s">
        <v>162</v>
      </c>
      <c r="C206" s="285" t="s">
        <v>261</v>
      </c>
      <c r="D206" s="305"/>
      <c r="E206" s="305"/>
      <c r="F206" s="309" t="s">
        <v>28</v>
      </c>
      <c r="G206" s="593" t="e">
        <f t="shared" si="48"/>
        <v>#DIV/0!</v>
      </c>
      <c r="H206" s="292" t="e">
        <f t="shared" si="41"/>
        <v>#DIV/0!</v>
      </c>
      <c r="I206" s="514">
        <v>44681</v>
      </c>
      <c r="J206" s="514" t="s">
        <v>126</v>
      </c>
      <c r="K206" s="505">
        <v>0.1399</v>
      </c>
      <c r="L206" s="527">
        <f t="shared" si="46"/>
        <v>13.99</v>
      </c>
      <c r="M206" s="501">
        <v>0.18759999999999999</v>
      </c>
      <c r="N206" s="537">
        <f t="shared" si="47"/>
        <v>18.759999999999998</v>
      </c>
      <c r="O206" s="507" t="s">
        <v>114</v>
      </c>
      <c r="P206" s="80">
        <f t="shared" si="38"/>
        <v>1.3409578270192994</v>
      </c>
      <c r="Q206" s="522">
        <f t="shared" si="44"/>
        <v>1.2</v>
      </c>
      <c r="R206" s="529" t="str">
        <f t="shared" si="45"/>
        <v>Sobresaliente</v>
      </c>
    </row>
    <row r="207" spans="1:18" x14ac:dyDescent="0.25">
      <c r="A207" s="482" t="s">
        <v>163</v>
      </c>
      <c r="B207" s="297" t="s">
        <v>422</v>
      </c>
      <c r="C207" s="285" t="s">
        <v>260</v>
      </c>
      <c r="D207" s="310"/>
      <c r="E207" s="305"/>
      <c r="F207" s="309" t="s">
        <v>28</v>
      </c>
      <c r="G207" s="593" t="e">
        <f t="shared" si="48"/>
        <v>#DIV/0!</v>
      </c>
      <c r="H207" s="292" t="e">
        <f t="shared" si="41"/>
        <v>#DIV/0!</v>
      </c>
      <c r="I207" s="514">
        <v>44681</v>
      </c>
      <c r="J207" s="514" t="s">
        <v>126</v>
      </c>
      <c r="K207" s="505">
        <v>0.54</v>
      </c>
      <c r="L207" s="527">
        <f t="shared" si="46"/>
        <v>54</v>
      </c>
      <c r="M207" s="501">
        <v>0.7208</v>
      </c>
      <c r="N207" s="537">
        <f t="shared" si="47"/>
        <v>72.08</v>
      </c>
      <c r="O207" s="507" t="s">
        <v>114</v>
      </c>
      <c r="P207" s="80">
        <f t="shared" si="38"/>
        <v>1.3348148148148147</v>
      </c>
      <c r="Q207" s="522">
        <f t="shared" si="44"/>
        <v>1.2</v>
      </c>
      <c r="R207" s="529" t="str">
        <f t="shared" si="45"/>
        <v>Sobresaliente</v>
      </c>
    </row>
    <row r="208" spans="1:18" x14ac:dyDescent="0.25">
      <c r="A208" s="482" t="s">
        <v>187</v>
      </c>
      <c r="B208" s="297" t="s">
        <v>184</v>
      </c>
      <c r="C208" s="285" t="s">
        <v>261</v>
      </c>
      <c r="D208" s="315"/>
      <c r="E208" s="305"/>
      <c r="F208" s="309" t="s">
        <v>28</v>
      </c>
      <c r="G208" s="593" t="e">
        <f t="shared" si="48"/>
        <v>#DIV/0!</v>
      </c>
      <c r="H208" s="292" t="e">
        <f t="shared" si="41"/>
        <v>#DIV/0!</v>
      </c>
      <c r="I208" s="514">
        <v>44681</v>
      </c>
      <c r="J208" s="514" t="s">
        <v>126</v>
      </c>
      <c r="K208" s="505">
        <v>0.95</v>
      </c>
      <c r="L208" s="527">
        <f t="shared" si="46"/>
        <v>95</v>
      </c>
      <c r="M208" s="501">
        <v>0</v>
      </c>
      <c r="N208" s="537">
        <f t="shared" si="47"/>
        <v>0</v>
      </c>
      <c r="O208" s="507" t="s">
        <v>114</v>
      </c>
      <c r="P208" s="80">
        <f t="shared" si="38"/>
        <v>0</v>
      </c>
      <c r="Q208" s="522">
        <f t="shared" si="44"/>
        <v>0</v>
      </c>
      <c r="R208" s="529" t="str">
        <f t="shared" si="45"/>
        <v>Incumple</v>
      </c>
    </row>
    <row r="209" spans="1:18" x14ac:dyDescent="0.25">
      <c r="A209" s="482" t="s">
        <v>187</v>
      </c>
      <c r="B209" s="297" t="s">
        <v>185</v>
      </c>
      <c r="C209" s="285" t="s">
        <v>261</v>
      </c>
      <c r="D209" s="310"/>
      <c r="E209" s="310"/>
      <c r="F209" s="309" t="s">
        <v>28</v>
      </c>
      <c r="G209" s="593" t="e">
        <f t="shared" si="48"/>
        <v>#DIV/0!</v>
      </c>
      <c r="H209" s="292" t="e">
        <f t="shared" si="41"/>
        <v>#DIV/0!</v>
      </c>
      <c r="I209" s="514">
        <v>44681</v>
      </c>
      <c r="J209" s="514" t="s">
        <v>126</v>
      </c>
      <c r="K209" s="505">
        <v>0</v>
      </c>
      <c r="L209" s="527">
        <f t="shared" si="46"/>
        <v>0</v>
      </c>
      <c r="M209" s="501">
        <v>0</v>
      </c>
      <c r="N209" s="537">
        <f t="shared" si="47"/>
        <v>0</v>
      </c>
      <c r="O209" s="507" t="s">
        <v>114</v>
      </c>
      <c r="P209" s="80" t="str">
        <f t="shared" si="38"/>
        <v>N/A</v>
      </c>
      <c r="Q209" s="522">
        <f t="shared" si="44"/>
        <v>1.2</v>
      </c>
      <c r="R209" s="529" t="str">
        <f t="shared" si="45"/>
        <v>Sobresaliente</v>
      </c>
    </row>
    <row r="210" spans="1:18" x14ac:dyDescent="0.25">
      <c r="A210" s="482" t="s">
        <v>187</v>
      </c>
      <c r="B210" s="297" t="s">
        <v>186</v>
      </c>
      <c r="C210" s="285" t="s">
        <v>261</v>
      </c>
      <c r="D210" s="310"/>
      <c r="E210" s="305"/>
      <c r="F210" s="309" t="s">
        <v>28</v>
      </c>
      <c r="G210" s="593" t="e">
        <f t="shared" si="48"/>
        <v>#DIV/0!</v>
      </c>
      <c r="H210" s="292" t="e">
        <f t="shared" si="41"/>
        <v>#DIV/0!</v>
      </c>
      <c r="I210" s="514">
        <v>44681</v>
      </c>
      <c r="J210" s="514" t="s">
        <v>126</v>
      </c>
      <c r="K210" s="505">
        <v>0</v>
      </c>
      <c r="L210" s="527">
        <f t="shared" si="46"/>
        <v>0</v>
      </c>
      <c r="M210" s="501">
        <v>0</v>
      </c>
      <c r="N210" s="537">
        <f t="shared" si="47"/>
        <v>0</v>
      </c>
      <c r="O210" s="507" t="s">
        <v>114</v>
      </c>
      <c r="P210" s="80" t="str">
        <f t="shared" si="38"/>
        <v>N/A</v>
      </c>
      <c r="Q210" s="522">
        <f t="shared" si="44"/>
        <v>1.2</v>
      </c>
      <c r="R210" s="529" t="str">
        <f t="shared" si="45"/>
        <v>Sobresaliente</v>
      </c>
    </row>
    <row r="211" spans="1:18" x14ac:dyDescent="0.25">
      <c r="A211" s="482" t="s">
        <v>187</v>
      </c>
      <c r="B211" s="297" t="s">
        <v>193</v>
      </c>
      <c r="C211" s="285" t="s">
        <v>261</v>
      </c>
      <c r="D211" s="305"/>
      <c r="E211" s="305"/>
      <c r="F211" s="309">
        <v>612</v>
      </c>
      <c r="G211" s="593" t="e">
        <f t="shared" si="48"/>
        <v>#DIV/0!</v>
      </c>
      <c r="H211" s="292" t="e">
        <f t="shared" si="41"/>
        <v>#DIV/0!</v>
      </c>
      <c r="I211" s="514">
        <v>44681</v>
      </c>
      <c r="J211" s="514" t="s">
        <v>164</v>
      </c>
      <c r="K211" s="505">
        <v>0</v>
      </c>
      <c r="L211" s="527">
        <f t="shared" si="46"/>
        <v>0</v>
      </c>
      <c r="M211" s="501">
        <v>0</v>
      </c>
      <c r="N211" s="537">
        <f t="shared" si="47"/>
        <v>0</v>
      </c>
      <c r="O211" s="507" t="s">
        <v>114</v>
      </c>
      <c r="P211" s="80" t="str">
        <f t="shared" si="38"/>
        <v>N/A</v>
      </c>
      <c r="Q211" s="522">
        <f t="shared" si="44"/>
        <v>1.2</v>
      </c>
      <c r="R211" s="529" t="str">
        <f t="shared" si="45"/>
        <v>Sobresaliente</v>
      </c>
    </row>
    <row r="212" spans="1:18" x14ac:dyDescent="0.25">
      <c r="A212" s="482" t="s">
        <v>187</v>
      </c>
      <c r="B212" s="297" t="s">
        <v>194</v>
      </c>
      <c r="C212" s="285" t="s">
        <v>261</v>
      </c>
      <c r="D212" s="311"/>
      <c r="E212" s="311"/>
      <c r="F212" s="309" t="s">
        <v>28</v>
      </c>
      <c r="G212" s="285" t="s">
        <v>28</v>
      </c>
      <c r="H212" s="285" t="s">
        <v>28</v>
      </c>
      <c r="I212" s="514">
        <v>44681</v>
      </c>
      <c r="J212" s="514"/>
      <c r="K212" s="505">
        <v>0</v>
      </c>
      <c r="L212" s="527">
        <f t="shared" si="46"/>
        <v>0</v>
      </c>
      <c r="M212" s="501">
        <v>0</v>
      </c>
      <c r="N212" s="537">
        <f t="shared" si="47"/>
        <v>0</v>
      </c>
      <c r="O212" s="507" t="s">
        <v>114</v>
      </c>
      <c r="P212" s="80" t="str">
        <f t="shared" si="38"/>
        <v>N/A</v>
      </c>
      <c r="Q212" s="522">
        <f t="shared" si="44"/>
        <v>1.2</v>
      </c>
      <c r="R212" s="529" t="str">
        <f t="shared" si="45"/>
        <v>Sobresaliente</v>
      </c>
    </row>
    <row r="213" spans="1:18" x14ac:dyDescent="0.25">
      <c r="A213" s="482" t="s">
        <v>187</v>
      </c>
      <c r="B213" s="297" t="s">
        <v>195</v>
      </c>
      <c r="C213" s="285" t="s">
        <v>261</v>
      </c>
      <c r="D213" s="311"/>
      <c r="E213" s="311"/>
      <c r="F213" s="309" t="s">
        <v>28</v>
      </c>
      <c r="G213" s="285" t="s">
        <v>28</v>
      </c>
      <c r="H213" s="285" t="s">
        <v>28</v>
      </c>
      <c r="I213" s="514">
        <v>44681</v>
      </c>
      <c r="J213" s="514"/>
      <c r="K213" s="505">
        <v>0</v>
      </c>
      <c r="L213" s="527">
        <f t="shared" si="46"/>
        <v>0</v>
      </c>
      <c r="M213" s="501">
        <v>0</v>
      </c>
      <c r="N213" s="537">
        <f t="shared" si="47"/>
        <v>0</v>
      </c>
      <c r="O213" s="507" t="s">
        <v>114</v>
      </c>
      <c r="P213" s="80" t="str">
        <f t="shared" si="38"/>
        <v>N/A</v>
      </c>
      <c r="Q213" s="522">
        <f t="shared" si="44"/>
        <v>1.2</v>
      </c>
      <c r="R213" s="529" t="str">
        <f t="shared" si="45"/>
        <v>Sobresaliente</v>
      </c>
    </row>
    <row r="214" spans="1:18" x14ac:dyDescent="0.25">
      <c r="A214" s="482" t="s">
        <v>188</v>
      </c>
      <c r="B214" s="297" t="s">
        <v>20</v>
      </c>
      <c r="C214" s="285" t="s">
        <v>261</v>
      </c>
      <c r="D214" s="305"/>
      <c r="E214" s="305"/>
      <c r="F214" s="309">
        <v>253993</v>
      </c>
      <c r="G214" s="593" t="e">
        <f>+E214/D214</f>
        <v>#DIV/0!</v>
      </c>
      <c r="H214" s="292" t="e">
        <f>+IF(G214&lt;79.99999%,"Incumple",IF(AND(G214&gt;=80%,G214&lt;94.999999%),"Tolerable",IF(AND(G214&gt;=95%,G214&lt;100%),"Satisfactorio","Sobresaliente")))</f>
        <v>#DIV/0!</v>
      </c>
      <c r="I214" s="514">
        <v>44681</v>
      </c>
      <c r="J214" s="514" t="s">
        <v>126</v>
      </c>
      <c r="K214" s="505">
        <v>6.9699999999999998E-2</v>
      </c>
      <c r="L214" s="527">
        <f t="shared" si="46"/>
        <v>6.97</v>
      </c>
      <c r="M214" s="501">
        <v>8.48E-2</v>
      </c>
      <c r="N214" s="537">
        <f t="shared" si="47"/>
        <v>8.48</v>
      </c>
      <c r="O214" s="507" t="s">
        <v>114</v>
      </c>
      <c r="P214" s="80">
        <f t="shared" si="38"/>
        <v>1.2166427546628409</v>
      </c>
      <c r="Q214" s="522">
        <f t="shared" si="44"/>
        <v>1.2</v>
      </c>
      <c r="R214" s="529" t="str">
        <f t="shared" si="45"/>
        <v>Sobresaliente</v>
      </c>
    </row>
    <row r="215" spans="1:18" x14ac:dyDescent="0.25">
      <c r="A215" s="482" t="s">
        <v>198</v>
      </c>
      <c r="B215" s="297" t="s">
        <v>206</v>
      </c>
      <c r="C215" s="285" t="s">
        <v>261</v>
      </c>
      <c r="D215" s="310"/>
      <c r="E215" s="305"/>
      <c r="F215" s="309" t="s">
        <v>28</v>
      </c>
      <c r="G215" s="593" t="e">
        <f>+E215/D215</f>
        <v>#DIV/0!</v>
      </c>
      <c r="H215" s="292" t="e">
        <f>+IF(G215&lt;79.99999%,"Incumple",IF(AND(G215&gt;=80%,G215&lt;94.999999%),"Tolerable",IF(AND(G215&gt;=95%,G215&lt;100%),"Satisfactorio","Sobresaliente")))</f>
        <v>#DIV/0!</v>
      </c>
      <c r="I215" s="514">
        <v>44681</v>
      </c>
      <c r="J215" s="514" t="s">
        <v>164</v>
      </c>
      <c r="K215" s="505">
        <v>0</v>
      </c>
      <c r="L215" s="527">
        <f t="shared" si="46"/>
        <v>0</v>
      </c>
      <c r="M215" s="501">
        <v>0</v>
      </c>
      <c r="N215" s="537">
        <f t="shared" si="47"/>
        <v>0</v>
      </c>
      <c r="O215" s="507" t="s">
        <v>114</v>
      </c>
      <c r="P215" s="80" t="str">
        <f t="shared" si="38"/>
        <v>N/A</v>
      </c>
      <c r="Q215" s="522">
        <f t="shared" si="44"/>
        <v>1.2</v>
      </c>
      <c r="R215" s="529" t="str">
        <f t="shared" si="45"/>
        <v>Sobresaliente</v>
      </c>
    </row>
    <row r="216" spans="1:18" x14ac:dyDescent="0.25">
      <c r="A216" s="482" t="s">
        <v>198</v>
      </c>
      <c r="B216" s="297" t="s">
        <v>199</v>
      </c>
      <c r="C216" s="285" t="s">
        <v>260</v>
      </c>
      <c r="D216" s="310"/>
      <c r="E216" s="305"/>
      <c r="F216" s="309">
        <v>518665</v>
      </c>
      <c r="G216" s="593" t="e">
        <f>+E216/D216</f>
        <v>#DIV/0!</v>
      </c>
      <c r="H216" s="292" t="e">
        <f>+IF(G216&lt;79.99999%,"Incumple",IF(AND(G216&gt;=80%,G216&lt;94.999999%),"Tolerable",IF(AND(G216&gt;=95%,G216&lt;100%),"Satisfactorio","Sobresaliente")))</f>
        <v>#DIV/0!</v>
      </c>
      <c r="I216" s="514">
        <v>44681</v>
      </c>
      <c r="J216" s="514" t="s">
        <v>164</v>
      </c>
      <c r="K216" s="505">
        <v>0</v>
      </c>
      <c r="L216" s="527">
        <f t="shared" si="46"/>
        <v>0</v>
      </c>
      <c r="M216" s="501">
        <v>0</v>
      </c>
      <c r="N216" s="537">
        <f t="shared" si="47"/>
        <v>0</v>
      </c>
      <c r="O216" s="507" t="s">
        <v>114</v>
      </c>
      <c r="P216" s="80" t="str">
        <f t="shared" si="38"/>
        <v>N/A</v>
      </c>
      <c r="Q216" s="522">
        <f t="shared" si="44"/>
        <v>1.2</v>
      </c>
      <c r="R216" s="529" t="str">
        <f t="shared" si="45"/>
        <v>Sobresaliente</v>
      </c>
    </row>
    <row r="217" spans="1:18" x14ac:dyDescent="0.25">
      <c r="A217" s="482" t="s">
        <v>198</v>
      </c>
      <c r="B217" s="297" t="s">
        <v>203</v>
      </c>
      <c r="C217" s="285" t="s">
        <v>261</v>
      </c>
      <c r="D217" s="311"/>
      <c r="E217" s="311"/>
      <c r="F217" s="309" t="s">
        <v>28</v>
      </c>
      <c r="G217" s="285" t="s">
        <v>28</v>
      </c>
      <c r="H217" s="285" t="s">
        <v>28</v>
      </c>
      <c r="I217" s="514">
        <v>44681</v>
      </c>
      <c r="J217" s="514"/>
      <c r="K217" s="505">
        <v>0</v>
      </c>
      <c r="L217" s="527">
        <f t="shared" si="46"/>
        <v>0</v>
      </c>
      <c r="M217" s="501">
        <v>0</v>
      </c>
      <c r="N217" s="537">
        <f t="shared" si="47"/>
        <v>0</v>
      </c>
      <c r="O217" s="507" t="s">
        <v>114</v>
      </c>
      <c r="P217" s="80" t="str">
        <f t="shared" si="38"/>
        <v>N/A</v>
      </c>
      <c r="Q217" s="522">
        <f t="shared" si="44"/>
        <v>1.2</v>
      </c>
      <c r="R217" s="529" t="str">
        <f t="shared" si="45"/>
        <v>Sobresaliente</v>
      </c>
    </row>
    <row r="218" spans="1:18" x14ac:dyDescent="0.25">
      <c r="A218" s="482" t="s">
        <v>209</v>
      </c>
      <c r="B218" s="297" t="s">
        <v>210</v>
      </c>
      <c r="C218" s="285" t="s">
        <v>261</v>
      </c>
      <c r="D218" s="310"/>
      <c r="E218" s="305"/>
      <c r="F218" s="309" t="s">
        <v>28</v>
      </c>
      <c r="G218" s="593" t="e">
        <f>+D218/E218</f>
        <v>#DIV/0!</v>
      </c>
      <c r="H218" s="292" t="e">
        <f>+IF(G218&lt;79.99999%,"Incumple",IF(AND(G218&gt;=80%,G218&lt;94.999999%),"Tolerable",IF(AND(G218&gt;=95%,G218&lt;100%),"Satisfactorio","Sobresaliente")))</f>
        <v>#DIV/0!</v>
      </c>
      <c r="I218" s="514">
        <v>44681</v>
      </c>
      <c r="J218" s="514" t="s">
        <v>409</v>
      </c>
      <c r="K218" s="505">
        <v>0</v>
      </c>
      <c r="L218" s="527">
        <f t="shared" si="46"/>
        <v>0</v>
      </c>
      <c r="M218" s="501">
        <v>0</v>
      </c>
      <c r="N218" s="537">
        <f t="shared" si="47"/>
        <v>0</v>
      </c>
      <c r="O218" s="507" t="s">
        <v>116</v>
      </c>
      <c r="P218" s="80" t="str">
        <f t="shared" si="38"/>
        <v>N/A</v>
      </c>
      <c r="Q218" s="522">
        <f t="shared" si="44"/>
        <v>1.2</v>
      </c>
      <c r="R218" s="529" t="str">
        <f t="shared" si="45"/>
        <v>Sobresaliente</v>
      </c>
    </row>
    <row r="219" spans="1:18" x14ac:dyDescent="0.25">
      <c r="A219" s="482" t="s">
        <v>209</v>
      </c>
      <c r="B219" s="297" t="s">
        <v>215</v>
      </c>
      <c r="C219" s="285" t="s">
        <v>261</v>
      </c>
      <c r="D219" s="311"/>
      <c r="E219" s="311"/>
      <c r="F219" s="309" t="s">
        <v>28</v>
      </c>
      <c r="G219" s="285" t="s">
        <v>28</v>
      </c>
      <c r="H219" s="285" t="s">
        <v>28</v>
      </c>
      <c r="I219" s="514">
        <v>44681</v>
      </c>
      <c r="J219" s="514" t="s">
        <v>294</v>
      </c>
      <c r="K219" s="505">
        <v>0</v>
      </c>
      <c r="L219" s="527">
        <f t="shared" si="46"/>
        <v>0</v>
      </c>
      <c r="M219" s="501">
        <v>0</v>
      </c>
      <c r="N219" s="537">
        <f t="shared" si="47"/>
        <v>0</v>
      </c>
      <c r="O219" s="507" t="s">
        <v>114</v>
      </c>
      <c r="P219" s="80" t="str">
        <f t="shared" si="38"/>
        <v>N/A</v>
      </c>
      <c r="Q219" s="522">
        <f t="shared" si="44"/>
        <v>1.2</v>
      </c>
      <c r="R219" s="529" t="str">
        <f t="shared" si="45"/>
        <v>Sobresaliente</v>
      </c>
    </row>
    <row r="220" spans="1:18" x14ac:dyDescent="0.25">
      <c r="A220" s="482" t="s">
        <v>209</v>
      </c>
      <c r="B220" s="297" t="s">
        <v>391</v>
      </c>
      <c r="C220" s="285" t="s">
        <v>261</v>
      </c>
      <c r="D220" s="311"/>
      <c r="E220" s="311"/>
      <c r="F220" s="309" t="s">
        <v>28</v>
      </c>
      <c r="G220" s="593" t="e">
        <f>+E220/D220</f>
        <v>#DIV/0!</v>
      </c>
      <c r="H220" s="292" t="e">
        <f>+IF(G220&lt;79.99999%,"Incumple",IF(AND(G220&gt;=80%,G220&lt;94.999999%),"Tolerable",IF(AND(G220&gt;=95%,G220&lt;100%),"Satisfactorio","Sobresaliente")))</f>
        <v>#DIV/0!</v>
      </c>
      <c r="I220" s="514">
        <v>44681</v>
      </c>
      <c r="J220" s="514" t="s">
        <v>409</v>
      </c>
      <c r="K220" s="505">
        <v>0</v>
      </c>
      <c r="L220" s="527">
        <f t="shared" si="46"/>
        <v>0</v>
      </c>
      <c r="M220" s="501">
        <v>0</v>
      </c>
      <c r="N220" s="537">
        <f t="shared" si="47"/>
        <v>0</v>
      </c>
      <c r="O220" s="507" t="s">
        <v>114</v>
      </c>
      <c r="P220" s="80" t="str">
        <f t="shared" si="38"/>
        <v>N/A</v>
      </c>
      <c r="Q220" s="522">
        <f t="shared" si="44"/>
        <v>1.2</v>
      </c>
      <c r="R220" s="529" t="str">
        <f t="shared" si="45"/>
        <v>Sobresaliente</v>
      </c>
    </row>
    <row r="221" spans="1:18" x14ac:dyDescent="0.25">
      <c r="A221" s="482" t="s">
        <v>209</v>
      </c>
      <c r="B221" s="297" t="s">
        <v>212</v>
      </c>
      <c r="C221" s="285" t="s">
        <v>261</v>
      </c>
      <c r="D221" s="311"/>
      <c r="E221" s="311"/>
      <c r="F221" s="309" t="s">
        <v>28</v>
      </c>
      <c r="G221" s="285" t="s">
        <v>28</v>
      </c>
      <c r="H221" s="285" t="s">
        <v>28</v>
      </c>
      <c r="I221" s="514">
        <v>44681</v>
      </c>
      <c r="J221" s="514"/>
      <c r="K221" s="505">
        <v>0</v>
      </c>
      <c r="L221" s="527">
        <f t="shared" si="46"/>
        <v>0</v>
      </c>
      <c r="M221" s="501">
        <v>0</v>
      </c>
      <c r="N221" s="537">
        <f t="shared" si="47"/>
        <v>0</v>
      </c>
      <c r="O221" s="507" t="s">
        <v>114</v>
      </c>
      <c r="P221" s="80" t="str">
        <f t="shared" si="38"/>
        <v>N/A</v>
      </c>
      <c r="Q221" s="522">
        <f t="shared" si="44"/>
        <v>1.2</v>
      </c>
      <c r="R221" s="529" t="str">
        <f t="shared" si="45"/>
        <v>Sobresaliente</v>
      </c>
    </row>
    <row r="222" spans="1:18" x14ac:dyDescent="0.25">
      <c r="A222" s="482" t="s">
        <v>209</v>
      </c>
      <c r="B222" s="297" t="s">
        <v>213</v>
      </c>
      <c r="C222" s="285" t="s">
        <v>261</v>
      </c>
      <c r="D222" s="311"/>
      <c r="E222" s="311"/>
      <c r="F222" s="309" t="s">
        <v>28</v>
      </c>
      <c r="G222" s="285" t="s">
        <v>28</v>
      </c>
      <c r="H222" s="285" t="s">
        <v>28</v>
      </c>
      <c r="I222" s="514">
        <v>44681</v>
      </c>
      <c r="J222" s="514"/>
      <c r="K222" s="505">
        <v>0</v>
      </c>
      <c r="L222" s="527">
        <f t="shared" si="46"/>
        <v>0</v>
      </c>
      <c r="M222" s="501">
        <v>0</v>
      </c>
      <c r="N222" s="537">
        <f t="shared" si="47"/>
        <v>0</v>
      </c>
      <c r="O222" s="507" t="s">
        <v>114</v>
      </c>
      <c r="P222" s="80" t="str">
        <f t="shared" si="38"/>
        <v>N/A</v>
      </c>
      <c r="Q222" s="522">
        <f t="shared" si="44"/>
        <v>1.2</v>
      </c>
      <c r="R222" s="529" t="str">
        <f t="shared" si="45"/>
        <v>Sobresaliente</v>
      </c>
    </row>
    <row r="223" spans="1:18" x14ac:dyDescent="0.25">
      <c r="A223" s="482" t="s">
        <v>209</v>
      </c>
      <c r="B223" s="297" t="s">
        <v>214</v>
      </c>
      <c r="C223" s="285" t="s">
        <v>261</v>
      </c>
      <c r="D223" s="316"/>
      <c r="E223" s="311"/>
      <c r="F223" s="309" t="s">
        <v>28</v>
      </c>
      <c r="G223" s="593" t="e">
        <f>+E223/D223</f>
        <v>#DIV/0!</v>
      </c>
      <c r="H223" s="292" t="e">
        <f>+IF(G223&lt;79.99999%,"Incumple",IF(AND(G223&gt;=80%,G223&lt;94.999999%),"Tolerable",IF(AND(G223&gt;=95%,G223&lt;100%),"Satisfactorio","Sobresaliente")))</f>
        <v>#DIV/0!</v>
      </c>
      <c r="I223" s="514">
        <v>44681</v>
      </c>
      <c r="J223" s="514"/>
      <c r="K223" s="505">
        <v>0</v>
      </c>
      <c r="L223" s="527">
        <f t="shared" si="46"/>
        <v>0</v>
      </c>
      <c r="M223" s="501">
        <v>0</v>
      </c>
      <c r="N223" s="537">
        <f t="shared" si="47"/>
        <v>0</v>
      </c>
      <c r="O223" s="507" t="s">
        <v>114</v>
      </c>
      <c r="P223" s="80" t="str">
        <f t="shared" si="38"/>
        <v>N/A</v>
      </c>
      <c r="Q223" s="522">
        <f t="shared" si="44"/>
        <v>1.2</v>
      </c>
      <c r="R223" s="529" t="str">
        <f t="shared" si="45"/>
        <v>Sobresaliente</v>
      </c>
    </row>
    <row r="224" spans="1:18" x14ac:dyDescent="0.25">
      <c r="A224" s="482" t="s">
        <v>216</v>
      </c>
      <c r="B224" s="297" t="s">
        <v>217</v>
      </c>
      <c r="C224" s="285" t="s">
        <v>261</v>
      </c>
      <c r="D224" s="311"/>
      <c r="E224" s="311"/>
      <c r="F224" s="309" t="s">
        <v>28</v>
      </c>
      <c r="G224" s="285" t="s">
        <v>28</v>
      </c>
      <c r="H224" s="285" t="s">
        <v>28</v>
      </c>
      <c r="I224" s="514">
        <v>44681</v>
      </c>
      <c r="J224" s="514" t="s">
        <v>410</v>
      </c>
      <c r="K224" s="505">
        <v>0</v>
      </c>
      <c r="L224" s="527">
        <f t="shared" si="46"/>
        <v>0</v>
      </c>
      <c r="M224" s="501">
        <v>0</v>
      </c>
      <c r="N224" s="537">
        <f t="shared" si="47"/>
        <v>0</v>
      </c>
      <c r="O224" s="507" t="s">
        <v>114</v>
      </c>
      <c r="P224" s="80" t="str">
        <f t="shared" si="38"/>
        <v>N/A</v>
      </c>
      <c r="Q224" s="522">
        <f t="shared" si="44"/>
        <v>1.2</v>
      </c>
      <c r="R224" s="529" t="str">
        <f t="shared" si="45"/>
        <v>Sobresaliente</v>
      </c>
    </row>
    <row r="225" spans="1:18" x14ac:dyDescent="0.25">
      <c r="A225" s="591" t="s">
        <v>218</v>
      </c>
      <c r="B225" s="595" t="s">
        <v>219</v>
      </c>
      <c r="C225" s="487" t="s">
        <v>261</v>
      </c>
      <c r="D225" s="596"/>
      <c r="E225" s="597"/>
      <c r="F225" s="598">
        <v>2965</v>
      </c>
      <c r="G225" s="599" t="e">
        <f>+E225/D225</f>
        <v>#DIV/0!</v>
      </c>
      <c r="H225" s="600" t="e">
        <f>+IF(G225&lt;79.99999%,"Incumple",IF(AND(G225&gt;=80%,G225&lt;94.999999%),"Tolerable",IF(AND(G225&gt;=95%,G225&lt;100%),"Satisfactorio","Sobresaliente")))</f>
        <v>#DIV/0!</v>
      </c>
      <c r="I225" s="514">
        <v>44681</v>
      </c>
      <c r="J225" s="601" t="s">
        <v>164</v>
      </c>
      <c r="K225" s="505">
        <v>0</v>
      </c>
      <c r="L225" s="527">
        <f t="shared" si="46"/>
        <v>0</v>
      </c>
      <c r="M225" s="501">
        <v>0</v>
      </c>
      <c r="N225" s="537">
        <f t="shared" si="47"/>
        <v>0</v>
      </c>
      <c r="O225" s="602" t="s">
        <v>114</v>
      </c>
      <c r="P225" s="603" t="str">
        <f t="shared" si="38"/>
        <v>N/A</v>
      </c>
      <c r="Q225" s="604">
        <f t="shared" si="44"/>
        <v>1.2</v>
      </c>
      <c r="R225" s="605" t="str">
        <f t="shared" si="45"/>
        <v>Sobresaliente</v>
      </c>
    </row>
  </sheetData>
  <conditionalFormatting sqref="G141:G142 G145:G166 G46:G53 P46:Q90 G55:G90 G136:G137">
    <cfRule type="cellIs" dxfId="305" priority="217" operator="lessThan">
      <formula>0.79999999</formula>
    </cfRule>
    <cfRule type="cellIs" dxfId="304" priority="218" operator="greaterThan">
      <formula>0.999999</formula>
    </cfRule>
    <cfRule type="cellIs" dxfId="303" priority="219" operator="between">
      <formula>0.94999999</formula>
      <formula>0.9999999</formula>
    </cfRule>
    <cfRule type="cellIs" dxfId="302" priority="220" operator="between">
      <formula>0.8</formula>
      <formula>0.94999999</formula>
    </cfRule>
  </conditionalFormatting>
  <conditionalFormatting sqref="G138">
    <cfRule type="cellIs" dxfId="301" priority="213" operator="lessThan">
      <formula>0.79999999</formula>
    </cfRule>
    <cfRule type="cellIs" dxfId="300" priority="214" operator="greaterThan">
      <formula>0.999999</formula>
    </cfRule>
    <cfRule type="cellIs" dxfId="299" priority="215" operator="between">
      <formula>0.94999999</formula>
      <formula>0.9999999</formula>
    </cfRule>
    <cfRule type="cellIs" dxfId="298" priority="216" operator="between">
      <formula>0.8</formula>
      <formula>0.94999999</formula>
    </cfRule>
  </conditionalFormatting>
  <conditionalFormatting sqref="G137">
    <cfRule type="cellIs" dxfId="297" priority="209" operator="lessThan">
      <formula>0.79999999</formula>
    </cfRule>
    <cfRule type="cellIs" dxfId="296" priority="210" operator="greaterThan">
      <formula>0.999999</formula>
    </cfRule>
    <cfRule type="cellIs" dxfId="295" priority="211" operator="between">
      <formula>0.94999999</formula>
      <formula>0.9999999</formula>
    </cfRule>
    <cfRule type="cellIs" dxfId="294" priority="212" operator="between">
      <formula>0.8</formula>
      <formula>0.94999999</formula>
    </cfRule>
  </conditionalFormatting>
  <conditionalFormatting sqref="G178">
    <cfRule type="cellIs" dxfId="293" priority="169" operator="lessThan">
      <formula>0.79999999</formula>
    </cfRule>
    <cfRule type="cellIs" dxfId="292" priority="170" operator="greaterThan">
      <formula>0.999999</formula>
    </cfRule>
    <cfRule type="cellIs" dxfId="291" priority="171" operator="between">
      <formula>0.94999999</formula>
      <formula>0.9999999</formula>
    </cfRule>
    <cfRule type="cellIs" dxfId="290" priority="172" operator="between">
      <formula>0.8</formula>
      <formula>0.94999999</formula>
    </cfRule>
  </conditionalFormatting>
  <conditionalFormatting sqref="G139">
    <cfRule type="cellIs" dxfId="289" priority="205" operator="lessThan">
      <formula>0.79999999</formula>
    </cfRule>
    <cfRule type="cellIs" dxfId="288" priority="206" operator="greaterThan">
      <formula>0.999999</formula>
    </cfRule>
    <cfRule type="cellIs" dxfId="287" priority="207" operator="between">
      <formula>0.94999999</formula>
      <formula>0.9999999</formula>
    </cfRule>
    <cfRule type="cellIs" dxfId="286" priority="208" operator="between">
      <formula>0.8</formula>
      <formula>0.94999999</formula>
    </cfRule>
  </conditionalFormatting>
  <conditionalFormatting sqref="G140:G142">
    <cfRule type="cellIs" dxfId="285" priority="201" operator="lessThan">
      <formula>0.79999999</formula>
    </cfRule>
    <cfRule type="cellIs" dxfId="284" priority="202" operator="greaterThan">
      <formula>0.999999</formula>
    </cfRule>
    <cfRule type="cellIs" dxfId="283" priority="203" operator="between">
      <formula>0.94999999</formula>
      <formula>0.9999999</formula>
    </cfRule>
    <cfRule type="cellIs" dxfId="282" priority="204" operator="between">
      <formula>0.8</formula>
      <formula>0.94999999</formula>
    </cfRule>
  </conditionalFormatting>
  <conditionalFormatting sqref="G143:G152">
    <cfRule type="cellIs" dxfId="281" priority="197" operator="lessThan">
      <formula>0.79999999</formula>
    </cfRule>
    <cfRule type="cellIs" dxfId="280" priority="198" operator="greaterThan">
      <formula>0.999999</formula>
    </cfRule>
    <cfRule type="cellIs" dxfId="279" priority="199" operator="between">
      <formula>0.94999999</formula>
      <formula>0.9999999</formula>
    </cfRule>
    <cfRule type="cellIs" dxfId="278" priority="200" operator="between">
      <formula>0.8</formula>
      <formula>0.94999999</formula>
    </cfRule>
  </conditionalFormatting>
  <conditionalFormatting sqref="G175">
    <cfRule type="cellIs" dxfId="277" priority="173" operator="lessThan">
      <formula>0.79999999</formula>
    </cfRule>
    <cfRule type="cellIs" dxfId="276" priority="174" operator="greaterThan">
      <formula>0.999999</formula>
    </cfRule>
    <cfRule type="cellIs" dxfId="275" priority="175" operator="between">
      <formula>0.94999999</formula>
      <formula>0.9999999</formula>
    </cfRule>
    <cfRule type="cellIs" dxfId="274" priority="176" operator="between">
      <formula>0.8</formula>
      <formula>0.94999999</formula>
    </cfRule>
  </conditionalFormatting>
  <conditionalFormatting sqref="G142">
    <cfRule type="cellIs" dxfId="273" priority="193" operator="lessThan">
      <formula>0.79999999</formula>
    </cfRule>
    <cfRule type="cellIs" dxfId="272" priority="194" operator="greaterThan">
      <formula>0.999999</formula>
    </cfRule>
    <cfRule type="cellIs" dxfId="271" priority="195" operator="between">
      <formula>0.94999999</formula>
      <formula>0.9999999</formula>
    </cfRule>
    <cfRule type="cellIs" dxfId="270" priority="196" operator="between">
      <formula>0.8</formula>
      <formula>0.94999999</formula>
    </cfRule>
  </conditionalFormatting>
  <conditionalFormatting sqref="G169:G171">
    <cfRule type="cellIs" dxfId="269" priority="189" operator="lessThan">
      <formula>0.79999999</formula>
    </cfRule>
    <cfRule type="cellIs" dxfId="268" priority="190" operator="greaterThan">
      <formula>0.999999</formula>
    </cfRule>
    <cfRule type="cellIs" dxfId="267" priority="191" operator="between">
      <formula>0.94999999</formula>
      <formula>0.9999999</formula>
    </cfRule>
    <cfRule type="cellIs" dxfId="266" priority="192" operator="between">
      <formula>0.8</formula>
      <formula>0.94999999</formula>
    </cfRule>
  </conditionalFormatting>
  <conditionalFormatting sqref="G170">
    <cfRule type="cellIs" dxfId="265" priority="185" operator="lessThan">
      <formula>0.79999999</formula>
    </cfRule>
    <cfRule type="cellIs" dxfId="264" priority="186" operator="greaterThan">
      <formula>0.999999</formula>
    </cfRule>
    <cfRule type="cellIs" dxfId="263" priority="187" operator="between">
      <formula>0.94999999</formula>
      <formula>0.9999999</formula>
    </cfRule>
    <cfRule type="cellIs" dxfId="262" priority="188" operator="between">
      <formula>0.8</formula>
      <formula>0.94999999</formula>
    </cfRule>
  </conditionalFormatting>
  <conditionalFormatting sqref="G180">
    <cfRule type="cellIs" dxfId="261" priority="181" operator="lessThan">
      <formula>0.79999999</formula>
    </cfRule>
    <cfRule type="cellIs" dxfId="260" priority="182" operator="greaterThan">
      <formula>0.999999</formula>
    </cfRule>
    <cfRule type="cellIs" dxfId="259" priority="183" operator="between">
      <formula>0.94999999</formula>
      <formula>0.9999999</formula>
    </cfRule>
    <cfRule type="cellIs" dxfId="258" priority="184" operator="between">
      <formula>0.8</formula>
      <formula>0.94999999</formula>
    </cfRule>
  </conditionalFormatting>
  <conditionalFormatting sqref="G173:G174">
    <cfRule type="cellIs" dxfId="257" priority="177" operator="lessThan">
      <formula>0.79999999</formula>
    </cfRule>
    <cfRule type="cellIs" dxfId="256" priority="178" operator="greaterThan">
      <formula>0.999999</formula>
    </cfRule>
    <cfRule type="cellIs" dxfId="255" priority="179" operator="between">
      <formula>0.94999999</formula>
      <formula>0.9999999</formula>
    </cfRule>
    <cfRule type="cellIs" dxfId="254" priority="180" operator="between">
      <formula>0.8</formula>
      <formula>0.94999999</formula>
    </cfRule>
  </conditionalFormatting>
  <conditionalFormatting sqref="Q136">
    <cfRule type="cellIs" dxfId="253" priority="153" operator="lessThan">
      <formula>0.79999999</formula>
    </cfRule>
    <cfRule type="cellIs" dxfId="252" priority="154" operator="greaterThan">
      <formula>0.999999</formula>
    </cfRule>
    <cfRule type="cellIs" dxfId="251" priority="155" operator="between">
      <formula>0.94999999</formula>
      <formula>0.9999999</formula>
    </cfRule>
    <cfRule type="cellIs" dxfId="250" priority="156" operator="between">
      <formula>0.8</formula>
      <formula>0.94999999</formula>
    </cfRule>
  </conditionalFormatting>
  <conditionalFormatting sqref="Q137:Q180">
    <cfRule type="cellIs" dxfId="249" priority="149" operator="lessThan">
      <formula>0.79999999</formula>
    </cfRule>
    <cfRule type="cellIs" dxfId="248" priority="150" operator="greaterThan">
      <formula>0.999999</formula>
    </cfRule>
    <cfRule type="cellIs" dxfId="247" priority="151" operator="between">
      <formula>0.94999999</formula>
      <formula>0.9999999</formula>
    </cfRule>
    <cfRule type="cellIs" dxfId="246" priority="152" operator="between">
      <formula>0.8</formula>
      <formula>0.94999999</formula>
    </cfRule>
  </conditionalFormatting>
  <conditionalFormatting sqref="G2:G3 G7:G8 G10:G31">
    <cfRule type="cellIs" dxfId="245" priority="145" operator="lessThan">
      <formula>0.79999999</formula>
    </cfRule>
    <cfRule type="cellIs" dxfId="244" priority="146" operator="greaterThan">
      <formula>0.999999</formula>
    </cfRule>
    <cfRule type="cellIs" dxfId="243" priority="147" operator="between">
      <formula>0.94999999</formula>
      <formula>0.9999999</formula>
    </cfRule>
    <cfRule type="cellIs" dxfId="242" priority="148" operator="between">
      <formula>0.8</formula>
      <formula>0.94999999</formula>
    </cfRule>
  </conditionalFormatting>
  <conditionalFormatting sqref="G4">
    <cfRule type="cellIs" dxfId="241" priority="141" operator="lessThan">
      <formula>0.79999999</formula>
    </cfRule>
    <cfRule type="cellIs" dxfId="240" priority="142" operator="greaterThan">
      <formula>0.999999</formula>
    </cfRule>
    <cfRule type="cellIs" dxfId="239" priority="143" operator="between">
      <formula>0.94999999</formula>
      <formula>0.9999999</formula>
    </cfRule>
    <cfRule type="cellIs" dxfId="238" priority="144" operator="between">
      <formula>0.8</formula>
      <formula>0.94999999</formula>
    </cfRule>
  </conditionalFormatting>
  <conditionalFormatting sqref="G3">
    <cfRule type="cellIs" dxfId="237" priority="137" operator="lessThan">
      <formula>0.79999999</formula>
    </cfRule>
    <cfRule type="cellIs" dxfId="236" priority="138" operator="greaterThan">
      <formula>0.999999</formula>
    </cfRule>
    <cfRule type="cellIs" dxfId="235" priority="139" operator="between">
      <formula>0.94999999</formula>
      <formula>0.9999999</formula>
    </cfRule>
    <cfRule type="cellIs" dxfId="234" priority="140" operator="between">
      <formula>0.8</formula>
      <formula>0.94999999</formula>
    </cfRule>
  </conditionalFormatting>
  <conditionalFormatting sqref="G43">
    <cfRule type="cellIs" dxfId="233" priority="97" operator="lessThan">
      <formula>0.79999999</formula>
    </cfRule>
    <cfRule type="cellIs" dxfId="232" priority="98" operator="greaterThan">
      <formula>0.999999</formula>
    </cfRule>
    <cfRule type="cellIs" dxfId="231" priority="99" operator="between">
      <formula>0.94999999</formula>
      <formula>0.9999999</formula>
    </cfRule>
    <cfRule type="cellIs" dxfId="230" priority="100" operator="between">
      <formula>0.8</formula>
      <formula>0.94999999</formula>
    </cfRule>
  </conditionalFormatting>
  <conditionalFormatting sqref="G5">
    <cfRule type="cellIs" dxfId="229" priority="133" operator="lessThan">
      <formula>0.79999999</formula>
    </cfRule>
    <cfRule type="cellIs" dxfId="228" priority="134" operator="greaterThan">
      <formula>0.999999</formula>
    </cfRule>
    <cfRule type="cellIs" dxfId="227" priority="135" operator="between">
      <formula>0.94999999</formula>
      <formula>0.9999999</formula>
    </cfRule>
    <cfRule type="cellIs" dxfId="226" priority="136" operator="between">
      <formula>0.8</formula>
      <formula>0.94999999</formula>
    </cfRule>
  </conditionalFormatting>
  <conditionalFormatting sqref="G6:G8">
    <cfRule type="cellIs" dxfId="225" priority="129" operator="lessThan">
      <formula>0.79999999</formula>
    </cfRule>
    <cfRule type="cellIs" dxfId="224" priority="130" operator="greaterThan">
      <formula>0.999999</formula>
    </cfRule>
    <cfRule type="cellIs" dxfId="223" priority="131" operator="between">
      <formula>0.94999999</formula>
      <formula>0.9999999</formula>
    </cfRule>
    <cfRule type="cellIs" dxfId="222" priority="132" operator="between">
      <formula>0.8</formula>
      <formula>0.94999999</formula>
    </cfRule>
  </conditionalFormatting>
  <conditionalFormatting sqref="G9:G17">
    <cfRule type="cellIs" dxfId="221" priority="125" operator="lessThan">
      <formula>0.79999999</formula>
    </cfRule>
    <cfRule type="cellIs" dxfId="220" priority="126" operator="greaterThan">
      <formula>0.999999</formula>
    </cfRule>
    <cfRule type="cellIs" dxfId="219" priority="127" operator="between">
      <formula>0.94999999</formula>
      <formula>0.9999999</formula>
    </cfRule>
    <cfRule type="cellIs" dxfId="218" priority="128" operator="between">
      <formula>0.8</formula>
      <formula>0.94999999</formula>
    </cfRule>
  </conditionalFormatting>
  <conditionalFormatting sqref="G40">
    <cfRule type="cellIs" dxfId="217" priority="101" operator="lessThan">
      <formula>0.79999999</formula>
    </cfRule>
    <cfRule type="cellIs" dxfId="216" priority="102" operator="greaterThan">
      <formula>0.999999</formula>
    </cfRule>
    <cfRule type="cellIs" dxfId="215" priority="103" operator="between">
      <formula>0.94999999</formula>
      <formula>0.9999999</formula>
    </cfRule>
    <cfRule type="cellIs" dxfId="214" priority="104" operator="between">
      <formula>0.8</formula>
      <formula>0.94999999</formula>
    </cfRule>
  </conditionalFormatting>
  <conditionalFormatting sqref="G8">
    <cfRule type="cellIs" dxfId="213" priority="121" operator="lessThan">
      <formula>0.79999999</formula>
    </cfRule>
    <cfRule type="cellIs" dxfId="212" priority="122" operator="greaterThan">
      <formula>0.999999</formula>
    </cfRule>
    <cfRule type="cellIs" dxfId="211" priority="123" operator="between">
      <formula>0.94999999</formula>
      <formula>0.9999999</formula>
    </cfRule>
    <cfRule type="cellIs" dxfId="210" priority="124" operator="between">
      <formula>0.8</formula>
      <formula>0.94999999</formula>
    </cfRule>
  </conditionalFormatting>
  <conditionalFormatting sqref="G34:G36">
    <cfRule type="cellIs" dxfId="209" priority="117" operator="lessThan">
      <formula>0.79999999</formula>
    </cfRule>
    <cfRule type="cellIs" dxfId="208" priority="118" operator="greaterThan">
      <formula>0.999999</formula>
    </cfRule>
    <cfRule type="cellIs" dxfId="207" priority="119" operator="between">
      <formula>0.94999999</formula>
      <formula>0.9999999</formula>
    </cfRule>
    <cfRule type="cellIs" dxfId="206" priority="120" operator="between">
      <formula>0.8</formula>
      <formula>0.94999999</formula>
    </cfRule>
  </conditionalFormatting>
  <conditionalFormatting sqref="G35">
    <cfRule type="cellIs" dxfId="205" priority="113" operator="lessThan">
      <formula>0.79999999</formula>
    </cfRule>
    <cfRule type="cellIs" dxfId="204" priority="114" operator="greaterThan">
      <formula>0.999999</formula>
    </cfRule>
    <cfRule type="cellIs" dxfId="203" priority="115" operator="between">
      <formula>0.94999999</formula>
      <formula>0.9999999</formula>
    </cfRule>
    <cfRule type="cellIs" dxfId="202" priority="116" operator="between">
      <formula>0.8</formula>
      <formula>0.94999999</formula>
    </cfRule>
  </conditionalFormatting>
  <conditionalFormatting sqref="G45">
    <cfRule type="cellIs" dxfId="201" priority="109" operator="lessThan">
      <formula>0.79999999</formula>
    </cfRule>
    <cfRule type="cellIs" dxfId="200" priority="110" operator="greaterThan">
      <formula>0.999999</formula>
    </cfRule>
    <cfRule type="cellIs" dxfId="199" priority="111" operator="between">
      <formula>0.94999999</formula>
      <formula>0.9999999</formula>
    </cfRule>
    <cfRule type="cellIs" dxfId="198" priority="112" operator="between">
      <formula>0.8</formula>
      <formula>0.94999999</formula>
    </cfRule>
  </conditionalFormatting>
  <conditionalFormatting sqref="G38:G39">
    <cfRule type="cellIs" dxfId="197" priority="105" operator="lessThan">
      <formula>0.79999999</formula>
    </cfRule>
    <cfRule type="cellIs" dxfId="196" priority="106" operator="greaterThan">
      <formula>0.999999</formula>
    </cfRule>
    <cfRule type="cellIs" dxfId="195" priority="107" operator="between">
      <formula>0.94999999</formula>
      <formula>0.9999999</formula>
    </cfRule>
    <cfRule type="cellIs" dxfId="194" priority="108" operator="between">
      <formula>0.8</formula>
      <formula>0.94999999</formula>
    </cfRule>
  </conditionalFormatting>
  <conditionalFormatting sqref="P2:P45">
    <cfRule type="cellIs" dxfId="193" priority="93" operator="lessThan">
      <formula>0.79999999</formula>
    </cfRule>
    <cfRule type="cellIs" dxfId="192" priority="94" operator="greaterThan">
      <formula>0.999999</formula>
    </cfRule>
    <cfRule type="cellIs" dxfId="191" priority="95" operator="between">
      <formula>0.94999999</formula>
      <formula>0.9999999</formula>
    </cfRule>
    <cfRule type="cellIs" dxfId="190" priority="96" operator="between">
      <formula>0.8</formula>
      <formula>0.94999999</formula>
    </cfRule>
  </conditionalFormatting>
  <conditionalFormatting sqref="Q2">
    <cfRule type="cellIs" dxfId="189" priority="89" operator="lessThan">
      <formula>0.79999999</formula>
    </cfRule>
    <cfRule type="cellIs" dxfId="188" priority="90" operator="greaterThan">
      <formula>0.999999</formula>
    </cfRule>
    <cfRule type="cellIs" dxfId="187" priority="91" operator="between">
      <formula>0.94999999</formula>
      <formula>0.9999999</formula>
    </cfRule>
    <cfRule type="cellIs" dxfId="186" priority="92" operator="between">
      <formula>0.8</formula>
      <formula>0.94999999</formula>
    </cfRule>
  </conditionalFormatting>
  <conditionalFormatting sqref="Q3:Q45">
    <cfRule type="cellIs" dxfId="185" priority="85" operator="lessThan">
      <formula>0.79999999</formula>
    </cfRule>
    <cfRule type="cellIs" dxfId="184" priority="86" operator="greaterThan">
      <formula>0.999999</formula>
    </cfRule>
    <cfRule type="cellIs" dxfId="183" priority="87" operator="between">
      <formula>0.94999999</formula>
      <formula>0.9999999</formula>
    </cfRule>
    <cfRule type="cellIs" dxfId="182" priority="88" operator="between">
      <formula>0.8</formula>
      <formula>0.94999999</formula>
    </cfRule>
  </conditionalFormatting>
  <conditionalFormatting sqref="P136:P180">
    <cfRule type="cellIs" dxfId="181" priority="77" operator="lessThan">
      <formula>0.79999999</formula>
    </cfRule>
    <cfRule type="cellIs" dxfId="180" priority="78" operator="greaterThan">
      <formula>0.999999</formula>
    </cfRule>
    <cfRule type="cellIs" dxfId="179" priority="79" operator="between">
      <formula>0.94999999</formula>
      <formula>0.9999999</formula>
    </cfRule>
    <cfRule type="cellIs" dxfId="178" priority="80" operator="between">
      <formula>0.8</formula>
      <formula>0.94999999</formula>
    </cfRule>
  </conditionalFormatting>
  <conditionalFormatting sqref="G54">
    <cfRule type="cellIs" dxfId="177" priority="73" operator="lessThan">
      <formula>0.79999999</formula>
    </cfRule>
    <cfRule type="cellIs" dxfId="176" priority="74" operator="greaterThan">
      <formula>0.999999</formula>
    </cfRule>
    <cfRule type="cellIs" dxfId="175" priority="75" operator="between">
      <formula>0.94999999</formula>
      <formula>0.9999999</formula>
    </cfRule>
    <cfRule type="cellIs" dxfId="174" priority="76" operator="between">
      <formula>0.8</formula>
      <formula>0.94999999</formula>
    </cfRule>
  </conditionalFormatting>
  <conditionalFormatting sqref="G91:G98 P91:Q135 G100:G135">
    <cfRule type="cellIs" dxfId="173" priority="69" operator="lessThan">
      <formula>0.79999999</formula>
    </cfRule>
    <cfRule type="cellIs" dxfId="172" priority="70" operator="greaterThan">
      <formula>0.999999</formula>
    </cfRule>
    <cfRule type="cellIs" dxfId="171" priority="71" operator="between">
      <formula>0.94999999</formula>
      <formula>0.9999999</formula>
    </cfRule>
    <cfRule type="cellIs" dxfId="170" priority="72" operator="between">
      <formula>0.8</formula>
      <formula>0.94999999</formula>
    </cfRule>
  </conditionalFormatting>
  <conditionalFormatting sqref="G99">
    <cfRule type="cellIs" dxfId="169" priority="65" operator="lessThan">
      <formula>0.79999999</formula>
    </cfRule>
    <cfRule type="cellIs" dxfId="168" priority="66" operator="greaterThan">
      <formula>0.999999</formula>
    </cfRule>
    <cfRule type="cellIs" dxfId="167" priority="67" operator="between">
      <formula>0.94999999</formula>
      <formula>0.9999999</formula>
    </cfRule>
    <cfRule type="cellIs" dxfId="166" priority="68" operator="between">
      <formula>0.8</formula>
      <formula>0.94999999</formula>
    </cfRule>
  </conditionalFormatting>
  <conditionalFormatting sqref="G186:G187 G190:G211 G181:G182">
    <cfRule type="cellIs" dxfId="165" priority="61" operator="lessThan">
      <formula>0.79999999</formula>
    </cfRule>
    <cfRule type="cellIs" dxfId="164" priority="62" operator="greaterThan">
      <formula>0.999999</formula>
    </cfRule>
    <cfRule type="cellIs" dxfId="163" priority="63" operator="between">
      <formula>0.94999999</formula>
      <formula>0.9999999</formula>
    </cfRule>
    <cfRule type="cellIs" dxfId="162" priority="64" operator="between">
      <formula>0.8</formula>
      <formula>0.94999999</formula>
    </cfRule>
  </conditionalFormatting>
  <conditionalFormatting sqref="G183">
    <cfRule type="cellIs" dxfId="161" priority="57" operator="lessThan">
      <formula>0.79999999</formula>
    </cfRule>
    <cfRule type="cellIs" dxfId="160" priority="58" operator="greaterThan">
      <formula>0.999999</formula>
    </cfRule>
    <cfRule type="cellIs" dxfId="159" priority="59" operator="between">
      <formula>0.94999999</formula>
      <formula>0.9999999</formula>
    </cfRule>
    <cfRule type="cellIs" dxfId="158" priority="60" operator="between">
      <formula>0.8</formula>
      <formula>0.94999999</formula>
    </cfRule>
  </conditionalFormatting>
  <conditionalFormatting sqref="G182">
    <cfRule type="cellIs" dxfId="157" priority="53" operator="lessThan">
      <formula>0.79999999</formula>
    </cfRule>
    <cfRule type="cellIs" dxfId="156" priority="54" operator="greaterThan">
      <formula>0.999999</formula>
    </cfRule>
    <cfRule type="cellIs" dxfId="155" priority="55" operator="between">
      <formula>0.94999999</formula>
      <formula>0.9999999</formula>
    </cfRule>
    <cfRule type="cellIs" dxfId="154" priority="56" operator="between">
      <formula>0.8</formula>
      <formula>0.94999999</formula>
    </cfRule>
  </conditionalFormatting>
  <conditionalFormatting sqref="G223">
    <cfRule type="cellIs" dxfId="153" priority="13" operator="lessThan">
      <formula>0.79999999</formula>
    </cfRule>
    <cfRule type="cellIs" dxfId="152" priority="14" operator="greaterThan">
      <formula>0.999999</formula>
    </cfRule>
    <cfRule type="cellIs" dxfId="151" priority="15" operator="between">
      <formula>0.94999999</formula>
      <formula>0.9999999</formula>
    </cfRule>
    <cfRule type="cellIs" dxfId="150" priority="16" operator="between">
      <formula>0.8</formula>
      <formula>0.94999999</formula>
    </cfRule>
  </conditionalFormatting>
  <conditionalFormatting sqref="G184">
    <cfRule type="cellIs" dxfId="149" priority="49" operator="lessThan">
      <formula>0.79999999</formula>
    </cfRule>
    <cfRule type="cellIs" dxfId="148" priority="50" operator="greaterThan">
      <formula>0.999999</formula>
    </cfRule>
    <cfRule type="cellIs" dxfId="147" priority="51" operator="between">
      <formula>0.94999999</formula>
      <formula>0.9999999</formula>
    </cfRule>
    <cfRule type="cellIs" dxfId="146" priority="52" operator="between">
      <formula>0.8</formula>
      <formula>0.94999999</formula>
    </cfRule>
  </conditionalFormatting>
  <conditionalFormatting sqref="G185:G187">
    <cfRule type="cellIs" dxfId="145" priority="45" operator="lessThan">
      <formula>0.79999999</formula>
    </cfRule>
    <cfRule type="cellIs" dxfId="144" priority="46" operator="greaterThan">
      <formula>0.999999</formula>
    </cfRule>
    <cfRule type="cellIs" dxfId="143" priority="47" operator="between">
      <formula>0.94999999</formula>
      <formula>0.9999999</formula>
    </cfRule>
    <cfRule type="cellIs" dxfId="142" priority="48" operator="between">
      <formula>0.8</formula>
      <formula>0.94999999</formula>
    </cfRule>
  </conditionalFormatting>
  <conditionalFormatting sqref="G188:G197">
    <cfRule type="cellIs" dxfId="141" priority="41" operator="lessThan">
      <formula>0.79999999</formula>
    </cfRule>
    <cfRule type="cellIs" dxfId="140" priority="42" operator="greaterThan">
      <formula>0.999999</formula>
    </cfRule>
    <cfRule type="cellIs" dxfId="139" priority="43" operator="between">
      <formula>0.94999999</formula>
      <formula>0.9999999</formula>
    </cfRule>
    <cfRule type="cellIs" dxfId="138" priority="44" operator="between">
      <formula>0.8</formula>
      <formula>0.94999999</formula>
    </cfRule>
  </conditionalFormatting>
  <conditionalFormatting sqref="G220">
    <cfRule type="cellIs" dxfId="137" priority="17" operator="lessThan">
      <formula>0.79999999</formula>
    </cfRule>
    <cfRule type="cellIs" dxfId="136" priority="18" operator="greaterThan">
      <formula>0.999999</formula>
    </cfRule>
    <cfRule type="cellIs" dxfId="135" priority="19" operator="between">
      <formula>0.94999999</formula>
      <formula>0.9999999</formula>
    </cfRule>
    <cfRule type="cellIs" dxfId="134" priority="20" operator="between">
      <formula>0.8</formula>
      <formula>0.94999999</formula>
    </cfRule>
  </conditionalFormatting>
  <conditionalFormatting sqref="G187">
    <cfRule type="cellIs" dxfId="133" priority="37" operator="lessThan">
      <formula>0.79999999</formula>
    </cfRule>
    <cfRule type="cellIs" dxfId="132" priority="38" operator="greaterThan">
      <formula>0.999999</formula>
    </cfRule>
    <cfRule type="cellIs" dxfId="131" priority="39" operator="between">
      <formula>0.94999999</formula>
      <formula>0.9999999</formula>
    </cfRule>
    <cfRule type="cellIs" dxfId="130" priority="40" operator="between">
      <formula>0.8</formula>
      <formula>0.94999999</formula>
    </cfRule>
  </conditionalFormatting>
  <conditionalFormatting sqref="G214:G216">
    <cfRule type="cellIs" dxfId="129" priority="33" operator="lessThan">
      <formula>0.79999999</formula>
    </cfRule>
    <cfRule type="cellIs" dxfId="128" priority="34" operator="greaterThan">
      <formula>0.999999</formula>
    </cfRule>
    <cfRule type="cellIs" dxfId="127" priority="35" operator="between">
      <formula>0.94999999</formula>
      <formula>0.9999999</formula>
    </cfRule>
    <cfRule type="cellIs" dxfId="126" priority="36" operator="between">
      <formula>0.8</formula>
      <formula>0.94999999</formula>
    </cfRule>
  </conditionalFormatting>
  <conditionalFormatting sqref="G215">
    <cfRule type="cellIs" dxfId="125" priority="29" operator="lessThan">
      <formula>0.79999999</formula>
    </cfRule>
    <cfRule type="cellIs" dxfId="124" priority="30" operator="greaterThan">
      <formula>0.999999</formula>
    </cfRule>
    <cfRule type="cellIs" dxfId="123" priority="31" operator="between">
      <formula>0.94999999</formula>
      <formula>0.9999999</formula>
    </cfRule>
    <cfRule type="cellIs" dxfId="122" priority="32" operator="between">
      <formula>0.8</formula>
      <formula>0.94999999</formula>
    </cfRule>
  </conditionalFormatting>
  <conditionalFormatting sqref="G225">
    <cfRule type="cellIs" dxfId="121" priority="25" operator="lessThan">
      <formula>0.79999999</formula>
    </cfRule>
    <cfRule type="cellIs" dxfId="120" priority="26" operator="greaterThan">
      <formula>0.999999</formula>
    </cfRule>
    <cfRule type="cellIs" dxfId="119" priority="27" operator="between">
      <formula>0.94999999</formula>
      <formula>0.9999999</formula>
    </cfRule>
    <cfRule type="cellIs" dxfId="118" priority="28" operator="between">
      <formula>0.8</formula>
      <formula>0.94999999</formula>
    </cfRule>
  </conditionalFormatting>
  <conditionalFormatting sqref="G218:G219">
    <cfRule type="cellIs" dxfId="117" priority="21" operator="lessThan">
      <formula>0.79999999</formula>
    </cfRule>
    <cfRule type="cellIs" dxfId="116" priority="22" operator="greaterThan">
      <formula>0.999999</formula>
    </cfRule>
    <cfRule type="cellIs" dxfId="115" priority="23" operator="between">
      <formula>0.94999999</formula>
      <formula>0.9999999</formula>
    </cfRule>
    <cfRule type="cellIs" dxfId="114" priority="24" operator="between">
      <formula>0.8</formula>
      <formula>0.94999999</formula>
    </cfRule>
  </conditionalFormatting>
  <conditionalFormatting sqref="Q181">
    <cfRule type="cellIs" dxfId="113" priority="9" operator="lessThan">
      <formula>0.79999999</formula>
    </cfRule>
    <cfRule type="cellIs" dxfId="112" priority="10" operator="greaterThan">
      <formula>0.999999</formula>
    </cfRule>
    <cfRule type="cellIs" dxfId="111" priority="11" operator="between">
      <formula>0.94999999</formula>
      <formula>0.9999999</formula>
    </cfRule>
    <cfRule type="cellIs" dxfId="110" priority="12" operator="between">
      <formula>0.8</formula>
      <formula>0.94999999</formula>
    </cfRule>
  </conditionalFormatting>
  <conditionalFormatting sqref="Q182:Q225">
    <cfRule type="cellIs" dxfId="109" priority="5" operator="lessThan">
      <formula>0.79999999</formula>
    </cfRule>
    <cfRule type="cellIs" dxfId="108" priority="6" operator="greaterThan">
      <formula>0.999999</formula>
    </cfRule>
    <cfRule type="cellIs" dxfId="107" priority="7" operator="between">
      <formula>0.94999999</formula>
      <formula>0.9999999</formula>
    </cfRule>
    <cfRule type="cellIs" dxfId="106" priority="8" operator="between">
      <formula>0.8</formula>
      <formula>0.94999999</formula>
    </cfRule>
  </conditionalFormatting>
  <conditionalFormatting sqref="P181:P225">
    <cfRule type="cellIs" dxfId="105" priority="1" operator="lessThan">
      <formula>0.79999999</formula>
    </cfRule>
    <cfRule type="cellIs" dxfId="104" priority="2" operator="greaterThan">
      <formula>0.999999</formula>
    </cfRule>
    <cfRule type="cellIs" dxfId="103" priority="3" operator="between">
      <formula>0.94999999</formula>
      <formula>0.9999999</formula>
    </cfRule>
    <cfRule type="cellIs" dxfId="102" priority="4" operator="between">
      <formula>0.8</formula>
      <formula>0.94999999</formula>
    </cfRule>
  </conditionalFormatting>
  <dataValidations count="1">
    <dataValidation type="list" allowBlank="1" showInputMessage="1" showErrorMessage="1" sqref="O158:O166 O169:O171 O173:O175 O2:O17 O23:O31 O34:O36 O38:O40 O68:O76 O79:O81 O83:O85 O44:O62 O89:O107 O113:O121 O124:O126 O128:O130 O134:O152 O179:O225" xr:uid="{A50C196B-ECE6-4594-BAF8-5210A7C91E24}">
      <formula1>"Creciente,Decreciente"</formula1>
    </dataValidation>
  </dataValidation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F398-51AF-4C8A-ADC8-AE17911E7504}">
  <dimension ref="A1:Q539"/>
  <sheetViews>
    <sheetView showGridLines="0" tabSelected="1" zoomScale="90" zoomScaleNormal="90" workbookViewId="0">
      <selection activeCell="D17" sqref="D17"/>
    </sheetView>
  </sheetViews>
  <sheetFormatPr baseColWidth="10" defaultRowHeight="15" x14ac:dyDescent="0.25"/>
  <cols>
    <col min="1" max="1" width="72.42578125" customWidth="1"/>
    <col min="2" max="2" width="29.28515625" customWidth="1"/>
    <col min="3" max="3" width="29.5703125" customWidth="1"/>
    <col min="4" max="4" width="34.140625" customWidth="1"/>
    <col min="5" max="8" width="17" customWidth="1"/>
    <col min="9" max="9" width="18" customWidth="1"/>
    <col min="10" max="11" width="13" customWidth="1"/>
    <col min="12" max="12" width="21.140625" customWidth="1"/>
    <col min="13" max="13" width="39.140625" bestFit="1" customWidth="1"/>
    <col min="14" max="14" width="19.140625" customWidth="1"/>
    <col min="17" max="17" width="33.28515625" bestFit="1" customWidth="1"/>
    <col min="18" max="18" width="22.42578125" bestFit="1" customWidth="1"/>
    <col min="19" max="19" width="16.7109375" customWidth="1"/>
    <col min="20" max="20" width="16.140625" customWidth="1"/>
    <col min="21" max="21" width="15.42578125" customWidth="1"/>
    <col min="22" max="22" width="15.85546875" bestFit="1" customWidth="1"/>
    <col min="23" max="23" width="14.42578125" customWidth="1"/>
    <col min="24" max="24" width="12.5703125" customWidth="1"/>
    <col min="25" max="25" width="12.5703125" bestFit="1" customWidth="1"/>
    <col min="26" max="39" width="6.140625" bestFit="1" customWidth="1"/>
    <col min="40" max="40" width="14.140625" bestFit="1" customWidth="1"/>
    <col min="41" max="41" width="13.85546875" bestFit="1" customWidth="1"/>
    <col min="42" max="49" width="6.140625" bestFit="1" customWidth="1"/>
    <col min="50" max="50" width="17" bestFit="1" customWidth="1"/>
    <col min="51" max="51" width="15.140625" bestFit="1" customWidth="1"/>
    <col min="52" max="130" width="7.140625" bestFit="1" customWidth="1"/>
    <col min="131" max="132" width="8.140625" bestFit="1" customWidth="1"/>
    <col min="133" max="133" width="18.28515625" bestFit="1" customWidth="1"/>
    <col min="134" max="134" width="11.28515625" bestFit="1" customWidth="1"/>
    <col min="135" max="152" width="6.140625" bestFit="1" customWidth="1"/>
    <col min="153" max="153" width="14.28515625" bestFit="1" customWidth="1"/>
    <col min="154" max="154" width="12.5703125" bestFit="1" customWidth="1"/>
  </cols>
  <sheetData>
    <row r="1" spans="1:17" x14ac:dyDescent="0.25">
      <c r="A1" s="484" t="s">
        <v>101</v>
      </c>
      <c r="B1" s="485" t="s">
        <v>118</v>
      </c>
      <c r="C1" s="485" t="s">
        <v>107</v>
      </c>
      <c r="D1" s="485" t="s">
        <v>108</v>
      </c>
      <c r="E1" s="485" t="s">
        <v>411</v>
      </c>
      <c r="F1" s="485" t="s">
        <v>430</v>
      </c>
      <c r="G1" s="485" t="s">
        <v>112</v>
      </c>
      <c r="H1" s="485" t="s">
        <v>431</v>
      </c>
      <c r="I1" s="521" t="s">
        <v>113</v>
      </c>
      <c r="J1" s="521" t="s">
        <v>396</v>
      </c>
      <c r="K1" s="486" t="s">
        <v>397</v>
      </c>
      <c r="L1" s="486" t="s">
        <v>117</v>
      </c>
      <c r="M1" s="27"/>
    </row>
    <row r="2" spans="1:17" x14ac:dyDescent="0.25">
      <c r="A2" s="482" t="s">
        <v>423</v>
      </c>
      <c r="B2" s="476">
        <v>44561</v>
      </c>
      <c r="C2" s="285" t="s">
        <v>109</v>
      </c>
      <c r="D2" s="285" t="s">
        <v>110</v>
      </c>
      <c r="E2" s="283">
        <v>0.745</v>
      </c>
      <c r="F2" s="534">
        <f t="shared" ref="F2:F64" si="0">+E2*100</f>
        <v>74.5</v>
      </c>
      <c r="G2" s="494">
        <v>1.4739</v>
      </c>
      <c r="H2" s="537">
        <f t="shared" ref="H2:H64" si="1">+G2*100</f>
        <v>147.38999999999999</v>
      </c>
      <c r="I2" s="487" t="s">
        <v>114</v>
      </c>
      <c r="J2" s="80">
        <f t="shared" ref="J2:J65" si="2">+IFERROR(IF(I2="Creciente",IF(AND(G2&lt;0,E2&lt;0),1-(G2-E2)/E2,IF(G2&lt;0,G2/E2,IF(E2&lt;0,1+((G2-E2)/G2),G2/E2))),IF(AND(G2&lt;0,E2&lt;0),(E2*-1)/(G2*-1),IF(G2&lt;0,(G2-E2)/G2,IF(E2&lt;0,-1+(G2-E2)/E2,IF(I2="Decreciente",1+(E2-G2)/E2,G2/E2))))),"N/A")</f>
        <v>1.9783892617449665</v>
      </c>
      <c r="K2" s="517">
        <f t="shared" ref="K2:K65" si="3">+IF(J2&lt;0,0%,IF(J2&gt;120%,120%,J2))</f>
        <v>1.2</v>
      </c>
      <c r="L2" s="483" t="str">
        <f>+IF(J2&lt;79.99999%,"Incumple",IF(AND(J2&gt;=80%,J2&lt;94.999999%),"Tolerable",IF(AND(J2&gt;=95%,J2&lt;100%),"Satisfactorio","Sobresaliente")))</f>
        <v>Sobresaliente</v>
      </c>
      <c r="M2" s="233"/>
      <c r="N2" s="233"/>
    </row>
    <row r="3" spans="1:17" x14ac:dyDescent="0.25">
      <c r="A3" s="482" t="s">
        <v>357</v>
      </c>
      <c r="B3" s="476">
        <v>44561</v>
      </c>
      <c r="C3" s="285" t="s">
        <v>109</v>
      </c>
      <c r="D3" s="285" t="s">
        <v>110</v>
      </c>
      <c r="E3" s="494">
        <v>-1.1563000000000001</v>
      </c>
      <c r="F3" s="534">
        <f t="shared" si="0"/>
        <v>-115.63000000000001</v>
      </c>
      <c r="G3" s="494">
        <v>-0.65849999999999997</v>
      </c>
      <c r="H3" s="537">
        <f t="shared" si="1"/>
        <v>-65.849999999999994</v>
      </c>
      <c r="I3" s="487" t="s">
        <v>114</v>
      </c>
      <c r="J3" s="80">
        <f t="shared" si="2"/>
        <v>1.43051111303295</v>
      </c>
      <c r="K3" s="517">
        <f t="shared" si="3"/>
        <v>1.2</v>
      </c>
      <c r="L3" s="483" t="str">
        <f t="shared" ref="L3:L66" si="4">+IF(J3&lt;79.99999%,"Incumple",IF(AND(J3&gt;=80%,J3&lt;94.999999%),"Tolerable",IF(AND(J3&gt;=95%,J3&lt;100%),"Satisfactorio","Sobresaliente")))</f>
        <v>Sobresaliente</v>
      </c>
    </row>
    <row r="4" spans="1:17" x14ac:dyDescent="0.25">
      <c r="A4" s="482" t="s">
        <v>358</v>
      </c>
      <c r="B4" s="476">
        <v>44561</v>
      </c>
      <c r="C4" s="285" t="s">
        <v>109</v>
      </c>
      <c r="D4" s="285" t="s">
        <v>110</v>
      </c>
      <c r="E4" s="494">
        <v>1</v>
      </c>
      <c r="F4" s="534">
        <f t="shared" si="0"/>
        <v>100</v>
      </c>
      <c r="G4" s="494">
        <v>1.0904</v>
      </c>
      <c r="H4" s="537">
        <f t="shared" si="1"/>
        <v>109.04</v>
      </c>
      <c r="I4" s="487" t="s">
        <v>116</v>
      </c>
      <c r="J4" s="80">
        <f t="shared" si="2"/>
        <v>0.90959999999999996</v>
      </c>
      <c r="K4" s="517">
        <f t="shared" si="3"/>
        <v>0.90959999999999996</v>
      </c>
      <c r="L4" s="483" t="str">
        <f t="shared" si="4"/>
        <v>Tolerable</v>
      </c>
    </row>
    <row r="5" spans="1:17" x14ac:dyDescent="0.25">
      <c r="A5" s="482" t="s">
        <v>359</v>
      </c>
      <c r="B5" s="476">
        <v>44561</v>
      </c>
      <c r="C5" s="285" t="s">
        <v>109</v>
      </c>
      <c r="D5" s="285" t="s">
        <v>110</v>
      </c>
      <c r="E5" s="494">
        <v>0.53620000000000001</v>
      </c>
      <c r="F5" s="534">
        <f t="shared" si="0"/>
        <v>53.620000000000005</v>
      </c>
      <c r="G5" s="494">
        <v>0.39710000000000001</v>
      </c>
      <c r="H5" s="537">
        <f t="shared" si="1"/>
        <v>39.71</v>
      </c>
      <c r="I5" s="487" t="s">
        <v>116</v>
      </c>
      <c r="J5" s="80">
        <f t="shared" si="2"/>
        <v>1.2594181275643417</v>
      </c>
      <c r="K5" s="517">
        <f t="shared" si="3"/>
        <v>1.2</v>
      </c>
      <c r="L5" s="483" t="str">
        <f t="shared" si="4"/>
        <v>Sobresaliente</v>
      </c>
      <c r="M5" s="255"/>
      <c r="N5" s="291"/>
    </row>
    <row r="6" spans="1:17" x14ac:dyDescent="0.25">
      <c r="A6" s="482" t="s">
        <v>360</v>
      </c>
      <c r="B6" s="476">
        <v>44561</v>
      </c>
      <c r="C6" s="285" t="s">
        <v>109</v>
      </c>
      <c r="D6" s="285" t="s">
        <v>110</v>
      </c>
      <c r="E6" s="496">
        <v>4.6500000000000004</v>
      </c>
      <c r="F6" s="535">
        <f>+E6</f>
        <v>4.6500000000000004</v>
      </c>
      <c r="G6" s="496">
        <v>4.57</v>
      </c>
      <c r="H6" s="538">
        <f>+G6</f>
        <v>4.57</v>
      </c>
      <c r="I6" s="487" t="s">
        <v>114</v>
      </c>
      <c r="J6" s="80">
        <f t="shared" si="2"/>
        <v>0.98279569892473118</v>
      </c>
      <c r="K6" s="517">
        <f t="shared" si="3"/>
        <v>0.98279569892473118</v>
      </c>
      <c r="L6" s="483" t="str">
        <f t="shared" si="4"/>
        <v>Satisfactorio</v>
      </c>
    </row>
    <row r="7" spans="1:17" x14ac:dyDescent="0.25">
      <c r="A7" s="482" t="s">
        <v>361</v>
      </c>
      <c r="B7" s="476">
        <v>44561</v>
      </c>
      <c r="C7" s="285" t="s">
        <v>109</v>
      </c>
      <c r="D7" s="285" t="s">
        <v>110</v>
      </c>
      <c r="E7" s="494">
        <v>0.5</v>
      </c>
      <c r="F7" s="534">
        <f t="shared" si="0"/>
        <v>50</v>
      </c>
      <c r="G7" s="494">
        <v>0.54630000000000001</v>
      </c>
      <c r="H7" s="537">
        <f t="shared" si="1"/>
        <v>54.63</v>
      </c>
      <c r="I7" s="487" t="s">
        <v>114</v>
      </c>
      <c r="J7" s="80">
        <f t="shared" si="2"/>
        <v>1.0926</v>
      </c>
      <c r="K7" s="517">
        <f t="shared" si="3"/>
        <v>1.0926</v>
      </c>
      <c r="L7" s="483" t="str">
        <f t="shared" si="4"/>
        <v>Sobresaliente</v>
      </c>
    </row>
    <row r="8" spans="1:17" x14ac:dyDescent="0.25">
      <c r="A8" s="482" t="s">
        <v>362</v>
      </c>
      <c r="B8" s="476">
        <v>44561</v>
      </c>
      <c r="C8" s="285" t="s">
        <v>109</v>
      </c>
      <c r="D8" s="285" t="s">
        <v>110</v>
      </c>
      <c r="E8" s="494">
        <v>0.44679999999999997</v>
      </c>
      <c r="F8" s="534">
        <f t="shared" si="0"/>
        <v>44.68</v>
      </c>
      <c r="G8" s="494">
        <v>0.70950000000000002</v>
      </c>
      <c r="H8" s="537">
        <f t="shared" si="1"/>
        <v>70.95</v>
      </c>
      <c r="I8" s="487" t="s">
        <v>114</v>
      </c>
      <c r="J8" s="80">
        <f t="shared" si="2"/>
        <v>1.5879588182632052</v>
      </c>
      <c r="K8" s="517">
        <f t="shared" si="3"/>
        <v>1.2</v>
      </c>
      <c r="L8" s="483" t="str">
        <f t="shared" si="4"/>
        <v>Sobresaliente</v>
      </c>
    </row>
    <row r="9" spans="1:17" x14ac:dyDescent="0.25">
      <c r="A9" s="482" t="s">
        <v>424</v>
      </c>
      <c r="B9" s="476">
        <v>44561</v>
      </c>
      <c r="C9" s="285" t="s">
        <v>109</v>
      </c>
      <c r="D9" s="285" t="s">
        <v>110</v>
      </c>
      <c r="E9" s="494">
        <v>0.38869999999999999</v>
      </c>
      <c r="F9" s="534">
        <f t="shared" si="0"/>
        <v>38.869999999999997</v>
      </c>
      <c r="G9" s="494">
        <v>0.28549999999999998</v>
      </c>
      <c r="H9" s="537">
        <f t="shared" si="1"/>
        <v>28.549999999999997</v>
      </c>
      <c r="I9" s="487" t="s">
        <v>114</v>
      </c>
      <c r="J9" s="80">
        <f t="shared" si="2"/>
        <v>0.73449961409827624</v>
      </c>
      <c r="K9" s="517">
        <f t="shared" si="3"/>
        <v>0.73449961409827624</v>
      </c>
      <c r="L9" s="483" t="str">
        <f t="shared" si="4"/>
        <v>Incumple</v>
      </c>
    </row>
    <row r="10" spans="1:17" x14ac:dyDescent="0.25">
      <c r="A10" s="482" t="s">
        <v>423</v>
      </c>
      <c r="B10" s="476">
        <v>44561</v>
      </c>
      <c r="C10" s="285" t="s">
        <v>363</v>
      </c>
      <c r="D10" s="285" t="s">
        <v>110</v>
      </c>
      <c r="E10" s="283">
        <v>0.76729999999999998</v>
      </c>
      <c r="F10" s="534">
        <f t="shared" si="0"/>
        <v>76.73</v>
      </c>
      <c r="G10" s="494">
        <v>1.4785999999999999</v>
      </c>
      <c r="H10" s="537">
        <f t="shared" si="1"/>
        <v>147.85999999999999</v>
      </c>
      <c r="I10" s="487" t="s">
        <v>114</v>
      </c>
      <c r="J10" s="80">
        <f t="shared" si="2"/>
        <v>1.9270168121986184</v>
      </c>
      <c r="K10" s="517">
        <f t="shared" si="3"/>
        <v>1.2</v>
      </c>
      <c r="L10" s="483" t="str">
        <f t="shared" si="4"/>
        <v>Sobresaliente</v>
      </c>
    </row>
    <row r="11" spans="1:17" x14ac:dyDescent="0.25">
      <c r="A11" s="482" t="s">
        <v>358</v>
      </c>
      <c r="B11" s="476">
        <v>44561</v>
      </c>
      <c r="C11" s="285" t="s">
        <v>363</v>
      </c>
      <c r="D11" s="285" t="s">
        <v>110</v>
      </c>
      <c r="E11" s="494">
        <v>1</v>
      </c>
      <c r="F11" s="534">
        <f t="shared" si="0"/>
        <v>100</v>
      </c>
      <c r="G11" s="494">
        <v>1.1034999999999999</v>
      </c>
      <c r="H11" s="537">
        <f t="shared" si="1"/>
        <v>110.35</v>
      </c>
      <c r="I11" s="487" t="s">
        <v>116</v>
      </c>
      <c r="J11" s="80">
        <f t="shared" si="2"/>
        <v>0.89650000000000007</v>
      </c>
      <c r="K11" s="517">
        <f t="shared" si="3"/>
        <v>0.89650000000000007</v>
      </c>
      <c r="L11" s="483" t="str">
        <f t="shared" si="4"/>
        <v>Tolerable</v>
      </c>
      <c r="P11" s="291"/>
      <c r="Q11" s="498"/>
    </row>
    <row r="12" spans="1:17" x14ac:dyDescent="0.25">
      <c r="A12" s="482" t="s">
        <v>359</v>
      </c>
      <c r="B12" s="476">
        <v>44561</v>
      </c>
      <c r="C12" s="285" t="s">
        <v>363</v>
      </c>
      <c r="D12" s="285" t="s">
        <v>110</v>
      </c>
      <c r="E12" s="494">
        <v>0.54300000000000004</v>
      </c>
      <c r="F12" s="534">
        <f t="shared" si="0"/>
        <v>54.300000000000004</v>
      </c>
      <c r="G12" s="494">
        <v>0.41920000000000002</v>
      </c>
      <c r="H12" s="537">
        <f t="shared" si="1"/>
        <v>41.92</v>
      </c>
      <c r="I12" s="487" t="s">
        <v>116</v>
      </c>
      <c r="J12" s="80">
        <f t="shared" si="2"/>
        <v>1.2279926335174953</v>
      </c>
      <c r="K12" s="517">
        <f t="shared" si="3"/>
        <v>1.2</v>
      </c>
      <c r="L12" s="483" t="str">
        <f t="shared" si="4"/>
        <v>Sobresaliente</v>
      </c>
      <c r="M12" s="255"/>
      <c r="P12" s="291"/>
      <c r="Q12" s="498"/>
    </row>
    <row r="13" spans="1:17" x14ac:dyDescent="0.25">
      <c r="A13" s="482" t="s">
        <v>360</v>
      </c>
      <c r="B13" s="476">
        <v>44561</v>
      </c>
      <c r="C13" s="285" t="s">
        <v>363</v>
      </c>
      <c r="D13" s="285" t="s">
        <v>110</v>
      </c>
      <c r="E13" s="287">
        <v>4.6500000000000004</v>
      </c>
      <c r="F13" s="535">
        <f>+E13</f>
        <v>4.6500000000000004</v>
      </c>
      <c r="G13" s="287">
        <v>4.59</v>
      </c>
      <c r="H13" s="538">
        <f>+G13</f>
        <v>4.59</v>
      </c>
      <c r="I13" s="487" t="s">
        <v>114</v>
      </c>
      <c r="J13" s="80">
        <f t="shared" si="2"/>
        <v>0.98709677419354824</v>
      </c>
      <c r="K13" s="517">
        <f t="shared" si="3"/>
        <v>0.98709677419354824</v>
      </c>
      <c r="L13" s="483" t="str">
        <f t="shared" si="4"/>
        <v>Satisfactorio</v>
      </c>
    </row>
    <row r="14" spans="1:17" x14ac:dyDescent="0.25">
      <c r="A14" s="482" t="s">
        <v>361</v>
      </c>
      <c r="B14" s="476">
        <v>44561</v>
      </c>
      <c r="C14" s="285" t="s">
        <v>363</v>
      </c>
      <c r="D14" s="285" t="s">
        <v>110</v>
      </c>
      <c r="E14" s="494">
        <v>0.5</v>
      </c>
      <c r="F14" s="534">
        <f t="shared" si="0"/>
        <v>50</v>
      </c>
      <c r="G14" s="494">
        <v>0.56079999999999997</v>
      </c>
      <c r="H14" s="537">
        <f t="shared" si="1"/>
        <v>56.08</v>
      </c>
      <c r="I14" s="487" t="s">
        <v>114</v>
      </c>
      <c r="J14" s="80">
        <f t="shared" si="2"/>
        <v>1.1215999999999999</v>
      </c>
      <c r="K14" s="517">
        <f t="shared" si="3"/>
        <v>1.1215999999999999</v>
      </c>
      <c r="L14" s="483" t="str">
        <f t="shared" si="4"/>
        <v>Sobresaliente</v>
      </c>
    </row>
    <row r="15" spans="1:17" x14ac:dyDescent="0.25">
      <c r="A15" s="482" t="s">
        <v>362</v>
      </c>
      <c r="B15" s="476">
        <v>44561</v>
      </c>
      <c r="C15" s="285" t="s">
        <v>363</v>
      </c>
      <c r="D15" s="285" t="s">
        <v>110</v>
      </c>
      <c r="E15" s="494">
        <v>0.41460000000000002</v>
      </c>
      <c r="F15" s="534">
        <f t="shared" si="0"/>
        <v>41.46</v>
      </c>
      <c r="G15" s="494">
        <v>0.53149999999999997</v>
      </c>
      <c r="H15" s="537">
        <f t="shared" si="1"/>
        <v>53.15</v>
      </c>
      <c r="I15" s="487" t="s">
        <v>114</v>
      </c>
      <c r="J15" s="80">
        <f t="shared" si="2"/>
        <v>1.2819585142305836</v>
      </c>
      <c r="K15" s="517">
        <f t="shared" si="3"/>
        <v>1.2</v>
      </c>
      <c r="L15" s="483" t="str">
        <f t="shared" si="4"/>
        <v>Sobresaliente</v>
      </c>
    </row>
    <row r="16" spans="1:17" x14ac:dyDescent="0.25">
      <c r="A16" s="482" t="s">
        <v>424</v>
      </c>
      <c r="B16" s="476">
        <v>44561</v>
      </c>
      <c r="C16" s="285" t="s">
        <v>363</v>
      </c>
      <c r="D16" s="285" t="s">
        <v>110</v>
      </c>
      <c r="E16" s="494">
        <v>0.4345</v>
      </c>
      <c r="F16" s="534">
        <f t="shared" si="0"/>
        <v>43.45</v>
      </c>
      <c r="G16" s="494">
        <v>0.34039999999999998</v>
      </c>
      <c r="H16" s="537">
        <f t="shared" si="1"/>
        <v>34.04</v>
      </c>
      <c r="I16" s="487" t="s">
        <v>114</v>
      </c>
      <c r="J16" s="80">
        <f t="shared" si="2"/>
        <v>0.78342922899884926</v>
      </c>
      <c r="K16" s="517">
        <f t="shared" si="3"/>
        <v>0.78342922899884926</v>
      </c>
      <c r="L16" s="483" t="str">
        <f t="shared" si="4"/>
        <v>Incumple</v>
      </c>
    </row>
    <row r="17" spans="1:13" x14ac:dyDescent="0.25">
      <c r="A17" s="482" t="s">
        <v>423</v>
      </c>
      <c r="B17" s="476">
        <v>44561</v>
      </c>
      <c r="C17" s="285" t="s">
        <v>364</v>
      </c>
      <c r="D17" s="285" t="s">
        <v>110</v>
      </c>
      <c r="E17" s="283">
        <v>0.51370000000000005</v>
      </c>
      <c r="F17" s="534">
        <f t="shared" si="0"/>
        <v>51.370000000000005</v>
      </c>
      <c r="G17" s="494">
        <v>1.4249000000000001</v>
      </c>
      <c r="H17" s="537">
        <f t="shared" si="1"/>
        <v>142.49</v>
      </c>
      <c r="I17" s="487" t="s">
        <v>114</v>
      </c>
      <c r="J17" s="80">
        <f t="shared" si="2"/>
        <v>2.7737979365388359</v>
      </c>
      <c r="K17" s="517">
        <f t="shared" si="3"/>
        <v>1.2</v>
      </c>
      <c r="L17" s="483" t="str">
        <f t="shared" si="4"/>
        <v>Sobresaliente</v>
      </c>
    </row>
    <row r="18" spans="1:13" x14ac:dyDescent="0.25">
      <c r="A18" s="482" t="s">
        <v>357</v>
      </c>
      <c r="B18" s="476">
        <v>44561</v>
      </c>
      <c r="C18" s="285" t="s">
        <v>364</v>
      </c>
      <c r="D18" s="285" t="s">
        <v>110</v>
      </c>
      <c r="E18" s="519">
        <v>0.01</v>
      </c>
      <c r="F18" s="536">
        <f t="shared" si="0"/>
        <v>1</v>
      </c>
      <c r="G18" s="494">
        <v>1.46E-2</v>
      </c>
      <c r="H18" s="534">
        <f t="shared" si="1"/>
        <v>1.46</v>
      </c>
      <c r="I18" s="285" t="s">
        <v>114</v>
      </c>
      <c r="J18" s="80">
        <f t="shared" si="2"/>
        <v>1.46</v>
      </c>
      <c r="K18" s="517">
        <f t="shared" si="3"/>
        <v>1.2</v>
      </c>
      <c r="L18" s="483" t="str">
        <f t="shared" si="4"/>
        <v>Sobresaliente</v>
      </c>
      <c r="M18" s="495" t="s">
        <v>365</v>
      </c>
    </row>
    <row r="19" spans="1:13" x14ac:dyDescent="0.25">
      <c r="A19" s="482" t="s">
        <v>358</v>
      </c>
      <c r="B19" s="476">
        <v>44561</v>
      </c>
      <c r="C19" s="285" t="s">
        <v>364</v>
      </c>
      <c r="D19" s="285" t="s">
        <v>110</v>
      </c>
      <c r="E19" s="494">
        <v>1</v>
      </c>
      <c r="F19" s="534">
        <f t="shared" si="0"/>
        <v>100</v>
      </c>
      <c r="G19" s="494">
        <v>0.8931</v>
      </c>
      <c r="H19" s="537">
        <f t="shared" si="1"/>
        <v>89.31</v>
      </c>
      <c r="I19" s="487" t="s">
        <v>116</v>
      </c>
      <c r="J19" s="80">
        <f t="shared" si="2"/>
        <v>1.1069</v>
      </c>
      <c r="K19" s="517">
        <f t="shared" si="3"/>
        <v>1.1069</v>
      </c>
      <c r="L19" s="483" t="str">
        <f t="shared" si="4"/>
        <v>Sobresaliente</v>
      </c>
    </row>
    <row r="20" spans="1:13" x14ac:dyDescent="0.25">
      <c r="A20" s="482" t="s">
        <v>360</v>
      </c>
      <c r="B20" s="476">
        <v>44561</v>
      </c>
      <c r="C20" s="285" t="s">
        <v>364</v>
      </c>
      <c r="D20" s="285" t="s">
        <v>110</v>
      </c>
      <c r="E20" s="496">
        <v>4.6500000000000004</v>
      </c>
      <c r="F20" s="535">
        <f>+E20</f>
        <v>4.6500000000000004</v>
      </c>
      <c r="G20" s="496">
        <v>4.4400000000000004</v>
      </c>
      <c r="H20" s="538">
        <f>+G20</f>
        <v>4.4400000000000004</v>
      </c>
      <c r="I20" s="487" t="s">
        <v>114</v>
      </c>
      <c r="J20" s="80">
        <f t="shared" si="2"/>
        <v>0.95483870967741935</v>
      </c>
      <c r="K20" s="517">
        <f t="shared" si="3"/>
        <v>0.95483870967741935</v>
      </c>
      <c r="L20" s="483" t="str">
        <f t="shared" si="4"/>
        <v>Satisfactorio</v>
      </c>
    </row>
    <row r="21" spans="1:13" x14ac:dyDescent="0.25">
      <c r="A21" s="482" t="s">
        <v>361</v>
      </c>
      <c r="B21" s="476">
        <v>44561</v>
      </c>
      <c r="C21" s="285" t="s">
        <v>364</v>
      </c>
      <c r="D21" s="285" t="s">
        <v>110</v>
      </c>
      <c r="E21" s="494">
        <v>0.5</v>
      </c>
      <c r="F21" s="534">
        <f t="shared" si="0"/>
        <v>50</v>
      </c>
      <c r="G21" s="494">
        <v>0.47289999999999999</v>
      </c>
      <c r="H21" s="537">
        <f t="shared" si="1"/>
        <v>47.29</v>
      </c>
      <c r="I21" s="487" t="s">
        <v>114</v>
      </c>
      <c r="J21" s="80">
        <f t="shared" si="2"/>
        <v>0.94579999999999997</v>
      </c>
      <c r="K21" s="517">
        <f t="shared" si="3"/>
        <v>0.94579999999999997</v>
      </c>
      <c r="L21" s="483" t="str">
        <f t="shared" si="4"/>
        <v>Tolerable</v>
      </c>
    </row>
    <row r="22" spans="1:13" x14ac:dyDescent="0.25">
      <c r="A22" s="482" t="s">
        <v>362</v>
      </c>
      <c r="B22" s="476">
        <v>44561</v>
      </c>
      <c r="C22" s="285" t="s">
        <v>364</v>
      </c>
      <c r="D22" s="285" t="s">
        <v>110</v>
      </c>
      <c r="E22" s="494">
        <v>0.67789999999999995</v>
      </c>
      <c r="F22" s="534">
        <f t="shared" si="0"/>
        <v>67.789999999999992</v>
      </c>
      <c r="G22" s="494">
        <v>1.9856</v>
      </c>
      <c r="H22" s="537">
        <f t="shared" si="1"/>
        <v>198.56</v>
      </c>
      <c r="I22" s="487" t="s">
        <v>114</v>
      </c>
      <c r="J22" s="80">
        <f t="shared" si="2"/>
        <v>2.9290455819442398</v>
      </c>
      <c r="K22" s="517">
        <f t="shared" si="3"/>
        <v>1.2</v>
      </c>
      <c r="L22" s="483" t="str">
        <f t="shared" si="4"/>
        <v>Sobresaliente</v>
      </c>
    </row>
    <row r="23" spans="1:13" x14ac:dyDescent="0.25">
      <c r="A23" s="482" t="s">
        <v>424</v>
      </c>
      <c r="B23" s="476">
        <v>44561</v>
      </c>
      <c r="C23" s="285" t="s">
        <v>364</v>
      </c>
      <c r="D23" s="285" t="s">
        <v>110</v>
      </c>
      <c r="E23" s="494">
        <v>0.112</v>
      </c>
      <c r="F23" s="534">
        <f t="shared" si="0"/>
        <v>11.200000000000001</v>
      </c>
      <c r="G23" s="494">
        <v>8.3799999999999999E-2</v>
      </c>
      <c r="H23" s="537">
        <f t="shared" si="1"/>
        <v>8.3800000000000008</v>
      </c>
      <c r="I23" s="487" t="s">
        <v>114</v>
      </c>
      <c r="J23" s="80">
        <f t="shared" si="2"/>
        <v>0.74821428571428572</v>
      </c>
      <c r="K23" s="517">
        <f t="shared" si="3"/>
        <v>0.74821428571428572</v>
      </c>
      <c r="L23" s="483" t="str">
        <f t="shared" si="4"/>
        <v>Incumple</v>
      </c>
    </row>
    <row r="24" spans="1:13" x14ac:dyDescent="0.25">
      <c r="A24" s="482" t="s">
        <v>423</v>
      </c>
      <c r="B24" s="476">
        <v>44561</v>
      </c>
      <c r="C24" s="285" t="s">
        <v>366</v>
      </c>
      <c r="D24" s="285" t="s">
        <v>110</v>
      </c>
      <c r="E24" s="283">
        <v>1.595</v>
      </c>
      <c r="F24" s="534">
        <f t="shared" si="0"/>
        <v>159.5</v>
      </c>
      <c r="G24" s="494">
        <v>1.7205999999999999</v>
      </c>
      <c r="H24" s="537">
        <f t="shared" si="1"/>
        <v>172.06</v>
      </c>
      <c r="I24" s="487" t="s">
        <v>114</v>
      </c>
      <c r="J24" s="80">
        <f t="shared" si="2"/>
        <v>1.0787460815047021</v>
      </c>
      <c r="K24" s="517">
        <f t="shared" si="3"/>
        <v>1.0787460815047021</v>
      </c>
      <c r="L24" s="483" t="str">
        <f t="shared" si="4"/>
        <v>Sobresaliente</v>
      </c>
    </row>
    <row r="25" spans="1:13" x14ac:dyDescent="0.25">
      <c r="A25" s="482" t="s">
        <v>358</v>
      </c>
      <c r="B25" s="476">
        <v>44561</v>
      </c>
      <c r="C25" s="285" t="s">
        <v>366</v>
      </c>
      <c r="D25" s="285" t="s">
        <v>110</v>
      </c>
      <c r="E25" s="494">
        <v>1</v>
      </c>
      <c r="F25" s="534">
        <f t="shared" si="0"/>
        <v>100</v>
      </c>
      <c r="G25" s="494">
        <v>1.0874999999999999</v>
      </c>
      <c r="H25" s="537">
        <f t="shared" si="1"/>
        <v>108.74999999999999</v>
      </c>
      <c r="I25" s="487" t="s">
        <v>116</v>
      </c>
      <c r="J25" s="80">
        <f t="shared" si="2"/>
        <v>0.91250000000000009</v>
      </c>
      <c r="K25" s="517">
        <f t="shared" si="3"/>
        <v>0.91250000000000009</v>
      </c>
      <c r="L25" s="483" t="str">
        <f t="shared" si="4"/>
        <v>Tolerable</v>
      </c>
    </row>
    <row r="26" spans="1:13" x14ac:dyDescent="0.25">
      <c r="A26" s="482" t="s">
        <v>359</v>
      </c>
      <c r="B26" s="476">
        <v>44561</v>
      </c>
      <c r="C26" s="285" t="s">
        <v>366</v>
      </c>
      <c r="D26" s="285" t="s">
        <v>110</v>
      </c>
      <c r="E26" s="494">
        <v>0.47189999999999999</v>
      </c>
      <c r="F26" s="534">
        <f t="shared" si="0"/>
        <v>47.19</v>
      </c>
      <c r="G26" s="494">
        <v>0.4909</v>
      </c>
      <c r="H26" s="537">
        <f t="shared" si="1"/>
        <v>49.09</v>
      </c>
      <c r="I26" s="487" t="s">
        <v>116</v>
      </c>
      <c r="J26" s="80">
        <f t="shared" si="2"/>
        <v>0.95973723246450515</v>
      </c>
      <c r="K26" s="517">
        <f t="shared" si="3"/>
        <v>0.95973723246450515</v>
      </c>
      <c r="L26" s="483" t="str">
        <f t="shared" si="4"/>
        <v>Satisfactorio</v>
      </c>
    </row>
    <row r="27" spans="1:13" x14ac:dyDescent="0.25">
      <c r="A27" s="482" t="s">
        <v>360</v>
      </c>
      <c r="B27" s="476">
        <v>44561</v>
      </c>
      <c r="C27" s="285" t="s">
        <v>366</v>
      </c>
      <c r="D27" s="285" t="s">
        <v>110</v>
      </c>
      <c r="E27" s="287">
        <v>4.6500000000000004</v>
      </c>
      <c r="F27" s="535">
        <f>+E27</f>
        <v>4.6500000000000004</v>
      </c>
      <c r="G27" s="287">
        <v>4.41</v>
      </c>
      <c r="H27" s="538">
        <f>+G27</f>
        <v>4.41</v>
      </c>
      <c r="I27" s="487" t="s">
        <v>114</v>
      </c>
      <c r="J27" s="80">
        <f t="shared" si="2"/>
        <v>0.94838709677419353</v>
      </c>
      <c r="K27" s="517">
        <f t="shared" si="3"/>
        <v>0.94838709677419353</v>
      </c>
      <c r="L27" s="483" t="str">
        <f t="shared" si="4"/>
        <v>Tolerable</v>
      </c>
    </row>
    <row r="28" spans="1:13" x14ac:dyDescent="0.25">
      <c r="A28" s="482" t="s">
        <v>361</v>
      </c>
      <c r="B28" s="476">
        <v>44561</v>
      </c>
      <c r="C28" s="285" t="s">
        <v>366</v>
      </c>
      <c r="D28" s="285" t="s">
        <v>110</v>
      </c>
      <c r="E28" s="494">
        <v>0.5</v>
      </c>
      <c r="F28" s="534">
        <f t="shared" si="0"/>
        <v>50</v>
      </c>
      <c r="G28" s="497">
        <v>0.54110000000000003</v>
      </c>
      <c r="H28" s="538">
        <f t="shared" si="1"/>
        <v>54.11</v>
      </c>
      <c r="I28" s="487" t="s">
        <v>114</v>
      </c>
      <c r="J28" s="80">
        <f t="shared" si="2"/>
        <v>1.0822000000000001</v>
      </c>
      <c r="K28" s="517">
        <f t="shared" si="3"/>
        <v>1.0822000000000001</v>
      </c>
      <c r="L28" s="483" t="str">
        <f t="shared" si="4"/>
        <v>Sobresaliente</v>
      </c>
    </row>
    <row r="29" spans="1:13" x14ac:dyDescent="0.25">
      <c r="A29" s="482" t="s">
        <v>362</v>
      </c>
      <c r="B29" s="476">
        <v>44561</v>
      </c>
      <c r="C29" s="285" t="s">
        <v>366</v>
      </c>
      <c r="D29" s="285" t="s">
        <v>110</v>
      </c>
      <c r="E29" s="494">
        <v>1.6047</v>
      </c>
      <c r="F29" s="534">
        <f t="shared" si="0"/>
        <v>160.47</v>
      </c>
      <c r="G29" s="494">
        <v>1.3501000000000001</v>
      </c>
      <c r="H29" s="537">
        <f t="shared" si="1"/>
        <v>135.01000000000002</v>
      </c>
      <c r="I29" s="487" t="s">
        <v>114</v>
      </c>
      <c r="J29" s="80">
        <f t="shared" si="2"/>
        <v>0.84134106063438652</v>
      </c>
      <c r="K29" s="517">
        <f t="shared" si="3"/>
        <v>0.84134106063438652</v>
      </c>
      <c r="L29" s="483" t="str">
        <f t="shared" si="4"/>
        <v>Tolerable</v>
      </c>
    </row>
    <row r="30" spans="1:13" x14ac:dyDescent="0.25">
      <c r="A30" s="482" t="s">
        <v>424</v>
      </c>
      <c r="B30" s="476">
        <v>44561</v>
      </c>
      <c r="C30" s="285" t="s">
        <v>366</v>
      </c>
      <c r="D30" s="285" t="s">
        <v>110</v>
      </c>
      <c r="E30" s="494">
        <v>0.27760000000000001</v>
      </c>
      <c r="F30" s="534">
        <f t="shared" si="0"/>
        <v>27.76</v>
      </c>
      <c r="G30" s="494">
        <v>0.1996</v>
      </c>
      <c r="H30" s="537">
        <f t="shared" si="1"/>
        <v>19.96</v>
      </c>
      <c r="I30" s="487" t="s">
        <v>114</v>
      </c>
      <c r="J30" s="80">
        <f t="shared" si="2"/>
        <v>0.71902017291066278</v>
      </c>
      <c r="K30" s="517">
        <f t="shared" si="3"/>
        <v>0.71902017291066278</v>
      </c>
      <c r="L30" s="483" t="str">
        <f t="shared" si="4"/>
        <v>Incumple</v>
      </c>
    </row>
    <row r="31" spans="1:13" x14ac:dyDescent="0.25">
      <c r="A31" s="482" t="s">
        <v>423</v>
      </c>
      <c r="B31" s="476">
        <v>44561</v>
      </c>
      <c r="C31" s="285" t="s">
        <v>111</v>
      </c>
      <c r="D31" s="285" t="s">
        <v>110</v>
      </c>
      <c r="E31" s="494">
        <v>1.2797000000000001</v>
      </c>
      <c r="F31" s="534">
        <f t="shared" si="0"/>
        <v>127.97</v>
      </c>
      <c r="G31" s="494">
        <v>1.8875</v>
      </c>
      <c r="H31" s="537">
        <f t="shared" si="1"/>
        <v>188.75</v>
      </c>
      <c r="I31" s="487" t="s">
        <v>114</v>
      </c>
      <c r="J31" s="80">
        <f t="shared" si="2"/>
        <v>1.4749550675939673</v>
      </c>
      <c r="K31" s="517">
        <f t="shared" si="3"/>
        <v>1.2</v>
      </c>
      <c r="L31" s="483" t="str">
        <f t="shared" si="4"/>
        <v>Sobresaliente</v>
      </c>
    </row>
    <row r="32" spans="1:13" x14ac:dyDescent="0.25">
      <c r="A32" s="482" t="s">
        <v>357</v>
      </c>
      <c r="B32" s="476">
        <v>44561</v>
      </c>
      <c r="C32" s="285" t="s">
        <v>111</v>
      </c>
      <c r="D32" s="285" t="s">
        <v>110</v>
      </c>
      <c r="E32" s="494">
        <v>5.7599999999999998E-2</v>
      </c>
      <c r="F32" s="534">
        <f t="shared" si="0"/>
        <v>5.76</v>
      </c>
      <c r="G32" s="494">
        <v>0.18940000000000001</v>
      </c>
      <c r="H32" s="537">
        <f t="shared" si="1"/>
        <v>18.940000000000001</v>
      </c>
      <c r="I32" s="487" t="s">
        <v>114</v>
      </c>
      <c r="J32" s="80">
        <f t="shared" si="2"/>
        <v>3.2881944444444446</v>
      </c>
      <c r="K32" s="517">
        <f t="shared" si="3"/>
        <v>1.2</v>
      </c>
      <c r="L32" s="483" t="str">
        <f t="shared" si="4"/>
        <v>Sobresaliente</v>
      </c>
    </row>
    <row r="33" spans="1:15" x14ac:dyDescent="0.25">
      <c r="A33" s="482" t="s">
        <v>358</v>
      </c>
      <c r="B33" s="476">
        <v>44561</v>
      </c>
      <c r="C33" s="285" t="s">
        <v>111</v>
      </c>
      <c r="D33" s="285" t="s">
        <v>110</v>
      </c>
      <c r="E33" s="494">
        <v>1</v>
      </c>
      <c r="F33" s="534">
        <f t="shared" si="0"/>
        <v>100</v>
      </c>
      <c r="G33" s="494">
        <v>1.0899000000000001</v>
      </c>
      <c r="H33" s="537">
        <f t="shared" si="1"/>
        <v>108.99000000000001</v>
      </c>
      <c r="I33" s="487" t="s">
        <v>116</v>
      </c>
      <c r="J33" s="80">
        <f t="shared" si="2"/>
        <v>0.91009999999999991</v>
      </c>
      <c r="K33" s="517">
        <f t="shared" si="3"/>
        <v>0.91009999999999991</v>
      </c>
      <c r="L33" s="483" t="str">
        <f t="shared" si="4"/>
        <v>Tolerable</v>
      </c>
    </row>
    <row r="34" spans="1:15" x14ac:dyDescent="0.25">
      <c r="A34" s="482" t="s">
        <v>423</v>
      </c>
      <c r="B34" s="476">
        <v>44561</v>
      </c>
      <c r="C34" s="285" t="s">
        <v>367</v>
      </c>
      <c r="D34" s="285" t="s">
        <v>110</v>
      </c>
      <c r="E34" s="283">
        <v>8.7499999999999994E-2</v>
      </c>
      <c r="F34" s="534">
        <f t="shared" si="0"/>
        <v>8.75</v>
      </c>
      <c r="G34" s="494">
        <v>1.1285000000000001</v>
      </c>
      <c r="H34" s="537">
        <f t="shared" si="1"/>
        <v>112.85000000000001</v>
      </c>
      <c r="I34" s="487" t="s">
        <v>114</v>
      </c>
      <c r="J34" s="80">
        <f t="shared" si="2"/>
        <v>12.897142857142859</v>
      </c>
      <c r="K34" s="517">
        <f t="shared" si="3"/>
        <v>1.2</v>
      </c>
      <c r="L34" s="483" t="str">
        <f t="shared" si="4"/>
        <v>Sobresaliente</v>
      </c>
    </row>
    <row r="35" spans="1:15" x14ac:dyDescent="0.25">
      <c r="A35" s="482" t="s">
        <v>358</v>
      </c>
      <c r="B35" s="476">
        <v>44561</v>
      </c>
      <c r="C35" s="285" t="s">
        <v>367</v>
      </c>
      <c r="D35" s="285" t="s">
        <v>110</v>
      </c>
      <c r="E35" s="494">
        <v>1</v>
      </c>
      <c r="F35" s="534">
        <f t="shared" si="0"/>
        <v>100</v>
      </c>
      <c r="G35" s="494">
        <v>1.7778</v>
      </c>
      <c r="H35" s="537">
        <f t="shared" si="1"/>
        <v>177.78</v>
      </c>
      <c r="I35" s="487" t="s">
        <v>116</v>
      </c>
      <c r="J35" s="80">
        <f t="shared" si="2"/>
        <v>0.22219999999999995</v>
      </c>
      <c r="K35" s="517">
        <f t="shared" si="3"/>
        <v>0.22219999999999995</v>
      </c>
      <c r="L35" s="483" t="str">
        <f t="shared" si="4"/>
        <v>Incumple</v>
      </c>
      <c r="M35" s="255"/>
      <c r="N35" s="291"/>
      <c r="O35" s="291"/>
    </row>
    <row r="36" spans="1:15" x14ac:dyDescent="0.25">
      <c r="A36" s="482" t="s">
        <v>359</v>
      </c>
      <c r="B36" s="476">
        <v>44561</v>
      </c>
      <c r="C36" s="285" t="s">
        <v>367</v>
      </c>
      <c r="D36" s="285" t="s">
        <v>110</v>
      </c>
      <c r="E36" s="494">
        <v>0.26090000000000002</v>
      </c>
      <c r="F36" s="534">
        <f t="shared" si="0"/>
        <v>26.090000000000003</v>
      </c>
      <c r="G36" s="494">
        <v>0.1865</v>
      </c>
      <c r="H36" s="537">
        <f t="shared" si="1"/>
        <v>18.649999999999999</v>
      </c>
      <c r="I36" s="487" t="s">
        <v>116</v>
      </c>
      <c r="J36" s="80">
        <f t="shared" si="2"/>
        <v>1.2851667305481027</v>
      </c>
      <c r="K36" s="517">
        <f t="shared" si="3"/>
        <v>1.2</v>
      </c>
      <c r="L36" s="483" t="str">
        <f t="shared" si="4"/>
        <v>Sobresaliente</v>
      </c>
      <c r="M36" s="255"/>
      <c r="N36" s="291"/>
    </row>
    <row r="37" spans="1:15" x14ac:dyDescent="0.25">
      <c r="A37" s="482" t="s">
        <v>360</v>
      </c>
      <c r="B37" s="476">
        <v>44561</v>
      </c>
      <c r="C37" s="285" t="s">
        <v>367</v>
      </c>
      <c r="D37" s="285" t="s">
        <v>110</v>
      </c>
      <c r="E37" s="287">
        <v>4.6500000000000004</v>
      </c>
      <c r="F37" s="535">
        <f>+E37</f>
        <v>4.6500000000000004</v>
      </c>
      <c r="G37" s="287">
        <v>4.37</v>
      </c>
      <c r="H37" s="538">
        <f>+G37</f>
        <v>4.37</v>
      </c>
      <c r="I37" s="487" t="s">
        <v>114</v>
      </c>
      <c r="J37" s="80">
        <f t="shared" si="2"/>
        <v>0.93978494623655906</v>
      </c>
      <c r="K37" s="517">
        <f t="shared" si="3"/>
        <v>0.93978494623655906</v>
      </c>
      <c r="L37" s="483" t="str">
        <f t="shared" si="4"/>
        <v>Tolerable</v>
      </c>
    </row>
    <row r="38" spans="1:15" x14ac:dyDescent="0.25">
      <c r="A38" s="482" t="s">
        <v>361</v>
      </c>
      <c r="B38" s="476">
        <v>44561</v>
      </c>
      <c r="C38" s="285" t="s">
        <v>367</v>
      </c>
      <c r="D38" s="285" t="s">
        <v>110</v>
      </c>
      <c r="E38" s="497">
        <v>0.5</v>
      </c>
      <c r="F38" s="535">
        <f t="shared" si="0"/>
        <v>50</v>
      </c>
      <c r="G38" s="497">
        <v>0.438</v>
      </c>
      <c r="H38" s="538">
        <f t="shared" si="1"/>
        <v>43.8</v>
      </c>
      <c r="I38" s="487" t="s">
        <v>114</v>
      </c>
      <c r="J38" s="80">
        <f t="shared" si="2"/>
        <v>0.876</v>
      </c>
      <c r="K38" s="517">
        <f t="shared" si="3"/>
        <v>0.876</v>
      </c>
      <c r="L38" s="483" t="str">
        <f t="shared" si="4"/>
        <v>Tolerable</v>
      </c>
    </row>
    <row r="39" spans="1:15" x14ac:dyDescent="0.25">
      <c r="A39" s="482" t="s">
        <v>362</v>
      </c>
      <c r="B39" s="476">
        <v>44561</v>
      </c>
      <c r="C39" s="285" t="s">
        <v>367</v>
      </c>
      <c r="D39" s="285" t="s">
        <v>110</v>
      </c>
      <c r="E39" s="494">
        <v>0.1467</v>
      </c>
      <c r="F39" s="534">
        <f t="shared" si="0"/>
        <v>14.67</v>
      </c>
      <c r="G39" s="494">
        <v>1.3137000000000001</v>
      </c>
      <c r="H39" s="537">
        <f t="shared" si="1"/>
        <v>131.37</v>
      </c>
      <c r="I39" s="487" t="s">
        <v>114</v>
      </c>
      <c r="J39" s="80">
        <f t="shared" si="2"/>
        <v>8.9550102249488752</v>
      </c>
      <c r="K39" s="517">
        <f t="shared" si="3"/>
        <v>1.2</v>
      </c>
      <c r="L39" s="483" t="str">
        <f t="shared" si="4"/>
        <v>Sobresaliente</v>
      </c>
    </row>
    <row r="40" spans="1:15" x14ac:dyDescent="0.25">
      <c r="A40" s="482" t="s">
        <v>424</v>
      </c>
      <c r="B40" s="476">
        <v>44561</v>
      </c>
      <c r="C40" s="285" t="s">
        <v>367</v>
      </c>
      <c r="D40" s="285" t="s">
        <v>110</v>
      </c>
      <c r="E40" s="494">
        <v>0.2331</v>
      </c>
      <c r="F40" s="534">
        <f t="shared" si="0"/>
        <v>23.31</v>
      </c>
      <c r="G40" s="494">
        <v>0.12859999999999999</v>
      </c>
      <c r="H40" s="537">
        <f t="shared" si="1"/>
        <v>12.86</v>
      </c>
      <c r="I40" s="487" t="s">
        <v>114</v>
      </c>
      <c r="J40" s="80">
        <f t="shared" si="2"/>
        <v>0.55169455169455162</v>
      </c>
      <c r="K40" s="517">
        <f t="shared" si="3"/>
        <v>0.55169455169455162</v>
      </c>
      <c r="L40" s="483" t="str">
        <f t="shared" si="4"/>
        <v>Incumple</v>
      </c>
    </row>
    <row r="41" spans="1:15" x14ac:dyDescent="0.25">
      <c r="A41" s="482" t="s">
        <v>423</v>
      </c>
      <c r="B41" s="476">
        <v>44561</v>
      </c>
      <c r="C41" s="285" t="s">
        <v>368</v>
      </c>
      <c r="D41" s="285" t="s">
        <v>369</v>
      </c>
      <c r="E41" s="283">
        <v>0.50349999999999995</v>
      </c>
      <c r="F41" s="534">
        <f t="shared" si="0"/>
        <v>50.349999999999994</v>
      </c>
      <c r="G41" s="494">
        <v>0.61560000000000004</v>
      </c>
      <c r="H41" s="537">
        <f t="shared" si="1"/>
        <v>61.56</v>
      </c>
      <c r="I41" s="487" t="s">
        <v>114</v>
      </c>
      <c r="J41" s="80">
        <f t="shared" si="2"/>
        <v>1.2226415094339624</v>
      </c>
      <c r="K41" s="517">
        <f t="shared" si="3"/>
        <v>1.2</v>
      </c>
      <c r="L41" s="483" t="str">
        <f t="shared" si="4"/>
        <v>Sobresaliente</v>
      </c>
    </row>
    <row r="42" spans="1:15" x14ac:dyDescent="0.25">
      <c r="A42" s="482" t="s">
        <v>358</v>
      </c>
      <c r="B42" s="476">
        <v>44561</v>
      </c>
      <c r="C42" s="285" t="s">
        <v>368</v>
      </c>
      <c r="D42" s="285" t="s">
        <v>369</v>
      </c>
      <c r="E42" s="494">
        <v>1</v>
      </c>
      <c r="F42" s="534">
        <f t="shared" si="0"/>
        <v>100</v>
      </c>
      <c r="G42" s="494">
        <v>0.97829999999999995</v>
      </c>
      <c r="H42" s="537">
        <f t="shared" si="1"/>
        <v>97.83</v>
      </c>
      <c r="I42" s="487" t="s">
        <v>116</v>
      </c>
      <c r="J42" s="80">
        <f t="shared" si="2"/>
        <v>1.0217000000000001</v>
      </c>
      <c r="K42" s="517">
        <f t="shared" si="3"/>
        <v>1.0217000000000001</v>
      </c>
      <c r="L42" s="483" t="str">
        <f t="shared" si="4"/>
        <v>Sobresaliente</v>
      </c>
    </row>
    <row r="43" spans="1:15" x14ac:dyDescent="0.25">
      <c r="A43" s="482" t="s">
        <v>359</v>
      </c>
      <c r="B43" s="476">
        <v>44561</v>
      </c>
      <c r="C43" s="285" t="s">
        <v>368</v>
      </c>
      <c r="D43" s="285" t="s">
        <v>369</v>
      </c>
      <c r="E43" s="494">
        <v>5.7000000000000002E-2</v>
      </c>
      <c r="F43" s="534">
        <f t="shared" si="0"/>
        <v>5.7</v>
      </c>
      <c r="G43" s="494">
        <v>-3.5799999999999998E-2</v>
      </c>
      <c r="H43" s="537">
        <f t="shared" si="1"/>
        <v>-3.58</v>
      </c>
      <c r="I43" s="487" t="s">
        <v>116</v>
      </c>
      <c r="J43" s="80">
        <f t="shared" si="2"/>
        <v>2.5921787709497206</v>
      </c>
      <c r="K43" s="517">
        <f t="shared" si="3"/>
        <v>1.2</v>
      </c>
      <c r="L43" s="483" t="str">
        <f t="shared" si="4"/>
        <v>Sobresaliente</v>
      </c>
      <c r="M43" s="255"/>
      <c r="N43" s="498"/>
    </row>
    <row r="44" spans="1:15" x14ac:dyDescent="0.25">
      <c r="A44" s="482" t="s">
        <v>360</v>
      </c>
      <c r="B44" s="476">
        <v>44561</v>
      </c>
      <c r="C44" s="285" t="s">
        <v>368</v>
      </c>
      <c r="D44" s="285" t="s">
        <v>369</v>
      </c>
      <c r="E44" s="287">
        <v>4.6500000000000004</v>
      </c>
      <c r="F44" s="535">
        <f>+E44</f>
        <v>4.6500000000000004</v>
      </c>
      <c r="G44" s="287">
        <v>4.7</v>
      </c>
      <c r="H44" s="538">
        <f>+G44</f>
        <v>4.7</v>
      </c>
      <c r="I44" s="487" t="s">
        <v>114</v>
      </c>
      <c r="J44" s="80">
        <f t="shared" si="2"/>
        <v>1.010752688172043</v>
      </c>
      <c r="K44" s="517">
        <f t="shared" si="3"/>
        <v>1.010752688172043</v>
      </c>
      <c r="L44" s="483" t="str">
        <f t="shared" si="4"/>
        <v>Sobresaliente</v>
      </c>
    </row>
    <row r="45" spans="1:15" x14ac:dyDescent="0.25">
      <c r="A45" s="482" t="s">
        <v>361</v>
      </c>
      <c r="B45" s="476">
        <v>44561</v>
      </c>
      <c r="C45" s="285" t="s">
        <v>368</v>
      </c>
      <c r="D45" s="285" t="s">
        <v>369</v>
      </c>
      <c r="E45" s="494">
        <v>0.5</v>
      </c>
      <c r="F45" s="534">
        <f t="shared" si="0"/>
        <v>50</v>
      </c>
      <c r="G45" s="494">
        <v>0.52429999999999999</v>
      </c>
      <c r="H45" s="537">
        <f t="shared" si="1"/>
        <v>52.43</v>
      </c>
      <c r="I45" s="487" t="s">
        <v>114</v>
      </c>
      <c r="J45" s="80">
        <f t="shared" si="2"/>
        <v>1.0486</v>
      </c>
      <c r="K45" s="517">
        <f t="shared" si="3"/>
        <v>1.0486</v>
      </c>
      <c r="L45" s="483" t="str">
        <f t="shared" si="4"/>
        <v>Sobresaliente</v>
      </c>
    </row>
    <row r="46" spans="1:15" x14ac:dyDescent="0.25">
      <c r="A46" s="482" t="s">
        <v>362</v>
      </c>
      <c r="B46" s="476">
        <v>44561</v>
      </c>
      <c r="C46" s="285" t="s">
        <v>368</v>
      </c>
      <c r="D46" s="285" t="s">
        <v>369</v>
      </c>
      <c r="E46" s="494">
        <v>0.60150000000000003</v>
      </c>
      <c r="F46" s="534">
        <f t="shared" si="0"/>
        <v>60.150000000000006</v>
      </c>
      <c r="G46" s="494">
        <v>0.18629999999999999</v>
      </c>
      <c r="H46" s="537">
        <f t="shared" si="1"/>
        <v>18.63</v>
      </c>
      <c r="I46" s="487" t="s">
        <v>114</v>
      </c>
      <c r="J46" s="80">
        <f t="shared" si="2"/>
        <v>0.30972568578553611</v>
      </c>
      <c r="K46" s="517">
        <f t="shared" si="3"/>
        <v>0.30972568578553611</v>
      </c>
      <c r="L46" s="483" t="str">
        <f t="shared" si="4"/>
        <v>Incumple</v>
      </c>
    </row>
    <row r="47" spans="1:15" x14ac:dyDescent="0.25">
      <c r="A47" s="482" t="s">
        <v>424</v>
      </c>
      <c r="B47" s="476">
        <v>44561</v>
      </c>
      <c r="C47" s="285" t="s">
        <v>368</v>
      </c>
      <c r="D47" s="285" t="s">
        <v>369</v>
      </c>
      <c r="E47" s="494">
        <v>0.25840000000000002</v>
      </c>
      <c r="F47" s="534">
        <f t="shared" si="0"/>
        <v>25.840000000000003</v>
      </c>
      <c r="G47" s="494">
        <v>0.25819999999999999</v>
      </c>
      <c r="H47" s="537">
        <f t="shared" si="1"/>
        <v>25.82</v>
      </c>
      <c r="I47" s="487" t="s">
        <v>114</v>
      </c>
      <c r="J47" s="80">
        <f t="shared" si="2"/>
        <v>0.99922600619195034</v>
      </c>
      <c r="K47" s="517">
        <f t="shared" si="3"/>
        <v>0.99922600619195034</v>
      </c>
      <c r="L47" s="483" t="str">
        <f t="shared" si="4"/>
        <v>Satisfactorio</v>
      </c>
    </row>
    <row r="48" spans="1:15" x14ac:dyDescent="0.25">
      <c r="A48" s="482" t="s">
        <v>423</v>
      </c>
      <c r="B48" s="476">
        <v>44561</v>
      </c>
      <c r="C48" s="285" t="s">
        <v>370</v>
      </c>
      <c r="D48" s="285" t="s">
        <v>369</v>
      </c>
      <c r="E48" s="283">
        <v>0.13819999999999999</v>
      </c>
      <c r="F48" s="534">
        <f t="shared" si="0"/>
        <v>13.819999999999999</v>
      </c>
      <c r="G48" s="494">
        <v>-0.24640000000000001</v>
      </c>
      <c r="H48" s="537">
        <f t="shared" si="1"/>
        <v>-24.64</v>
      </c>
      <c r="I48" s="487" t="s">
        <v>114</v>
      </c>
      <c r="J48" s="80">
        <f t="shared" si="2"/>
        <v>-1.7829232995658468</v>
      </c>
      <c r="K48" s="517">
        <f t="shared" si="3"/>
        <v>0</v>
      </c>
      <c r="L48" s="483" t="str">
        <f t="shared" si="4"/>
        <v>Incumple</v>
      </c>
      <c r="M48" s="255"/>
    </row>
    <row r="49" spans="1:16" x14ac:dyDescent="0.25">
      <c r="A49" s="482" t="s">
        <v>358</v>
      </c>
      <c r="B49" s="476">
        <v>44561</v>
      </c>
      <c r="C49" s="285" t="s">
        <v>370</v>
      </c>
      <c r="D49" s="285" t="s">
        <v>369</v>
      </c>
      <c r="E49" s="494">
        <v>1</v>
      </c>
      <c r="F49" s="534">
        <f t="shared" si="0"/>
        <v>100</v>
      </c>
      <c r="G49" s="494">
        <v>1.0633999999999999</v>
      </c>
      <c r="H49" s="537">
        <f t="shared" si="1"/>
        <v>106.33999999999999</v>
      </c>
      <c r="I49" s="487" t="s">
        <v>116</v>
      </c>
      <c r="J49" s="80">
        <f t="shared" si="2"/>
        <v>0.9366000000000001</v>
      </c>
      <c r="K49" s="517">
        <f t="shared" si="3"/>
        <v>0.9366000000000001</v>
      </c>
      <c r="L49" s="483" t="str">
        <f t="shared" si="4"/>
        <v>Tolerable</v>
      </c>
      <c r="M49" s="495" t="s">
        <v>371</v>
      </c>
      <c r="P49" s="291">
        <f>1++E49-G49/E49</f>
        <v>0.9366000000000001</v>
      </c>
    </row>
    <row r="50" spans="1:16" x14ac:dyDescent="0.25">
      <c r="A50" s="482" t="s">
        <v>359</v>
      </c>
      <c r="B50" s="476">
        <v>44561</v>
      </c>
      <c r="C50" s="285" t="s">
        <v>370</v>
      </c>
      <c r="D50" s="285" t="s">
        <v>369</v>
      </c>
      <c r="E50" s="494">
        <v>0.19259999999999999</v>
      </c>
      <c r="F50" s="534">
        <f t="shared" si="0"/>
        <v>19.259999999999998</v>
      </c>
      <c r="G50" s="494">
        <v>0.49740000000000001</v>
      </c>
      <c r="H50" s="537">
        <f t="shared" si="1"/>
        <v>49.74</v>
      </c>
      <c r="I50" s="487" t="s">
        <v>116</v>
      </c>
      <c r="J50" s="80">
        <f t="shared" si="2"/>
        <v>-0.58255451713395656</v>
      </c>
      <c r="K50" s="517">
        <f t="shared" si="3"/>
        <v>0</v>
      </c>
      <c r="L50" s="483" t="str">
        <f t="shared" si="4"/>
        <v>Incumple</v>
      </c>
      <c r="M50" s="255"/>
      <c r="O50" s="291">
        <f>1-(G50-E50)/G50</f>
        <v>0.38721351025331718</v>
      </c>
      <c r="P50" s="291">
        <f>1+E50-G50/E50</f>
        <v>-1.3899545171339565</v>
      </c>
    </row>
    <row r="51" spans="1:16" x14ac:dyDescent="0.25">
      <c r="A51" s="482" t="s">
        <v>360</v>
      </c>
      <c r="B51" s="476">
        <v>44561</v>
      </c>
      <c r="C51" s="285" t="s">
        <v>370</v>
      </c>
      <c r="D51" s="285" t="s">
        <v>369</v>
      </c>
      <c r="E51" s="287">
        <v>4.6500000000000004</v>
      </c>
      <c r="F51" s="535">
        <f>+E51</f>
        <v>4.6500000000000004</v>
      </c>
      <c r="G51" s="287">
        <v>4.72</v>
      </c>
      <c r="H51" s="538">
        <f>+G51</f>
        <v>4.72</v>
      </c>
      <c r="I51" s="487" t="s">
        <v>114</v>
      </c>
      <c r="J51" s="80">
        <f t="shared" si="2"/>
        <v>1.0150537634408601</v>
      </c>
      <c r="K51" s="517">
        <f t="shared" si="3"/>
        <v>1.0150537634408601</v>
      </c>
      <c r="L51" s="483" t="str">
        <f t="shared" si="4"/>
        <v>Sobresaliente</v>
      </c>
    </row>
    <row r="52" spans="1:16" x14ac:dyDescent="0.25">
      <c r="A52" s="482" t="s">
        <v>361</v>
      </c>
      <c r="B52" s="476">
        <v>44561</v>
      </c>
      <c r="C52" s="285" t="s">
        <v>370</v>
      </c>
      <c r="D52" s="285" t="s">
        <v>369</v>
      </c>
      <c r="E52" s="494">
        <v>0.5</v>
      </c>
      <c r="F52" s="534">
        <f t="shared" si="0"/>
        <v>50</v>
      </c>
      <c r="G52" s="494">
        <v>0.55489999999999995</v>
      </c>
      <c r="H52" s="537">
        <f t="shared" si="1"/>
        <v>55.489999999999995</v>
      </c>
      <c r="I52" s="487" t="s">
        <v>114</v>
      </c>
      <c r="J52" s="80">
        <f t="shared" si="2"/>
        <v>1.1097999999999999</v>
      </c>
      <c r="K52" s="517">
        <f t="shared" si="3"/>
        <v>1.1097999999999999</v>
      </c>
      <c r="L52" s="483" t="str">
        <f t="shared" si="4"/>
        <v>Sobresaliente</v>
      </c>
    </row>
    <row r="53" spans="1:16" x14ac:dyDescent="0.25">
      <c r="A53" s="482" t="s">
        <v>362</v>
      </c>
      <c r="B53" s="476">
        <v>44561</v>
      </c>
      <c r="C53" s="285" t="s">
        <v>370</v>
      </c>
      <c r="D53" s="285" t="s">
        <v>369</v>
      </c>
      <c r="E53" s="494">
        <v>-0.1585</v>
      </c>
      <c r="F53" s="534">
        <f t="shared" si="0"/>
        <v>-15.85</v>
      </c>
      <c r="G53" s="494">
        <v>-8.9700000000000002E-2</v>
      </c>
      <c r="H53" s="537">
        <f t="shared" si="1"/>
        <v>-8.9700000000000006</v>
      </c>
      <c r="I53" s="487" t="s">
        <v>114</v>
      </c>
      <c r="J53" s="80">
        <f t="shared" si="2"/>
        <v>1.4340694006309147</v>
      </c>
      <c r="K53" s="517">
        <f t="shared" si="3"/>
        <v>1.2</v>
      </c>
      <c r="L53" s="483" t="str">
        <f t="shared" si="4"/>
        <v>Sobresaliente</v>
      </c>
    </row>
    <row r="54" spans="1:16" x14ac:dyDescent="0.25">
      <c r="A54" s="482" t="s">
        <v>424</v>
      </c>
      <c r="B54" s="476">
        <v>44561</v>
      </c>
      <c r="C54" s="285" t="s">
        <v>370</v>
      </c>
      <c r="D54" s="285" t="s">
        <v>369</v>
      </c>
      <c r="E54" s="494">
        <v>0.25840000000000002</v>
      </c>
      <c r="F54" s="534">
        <f t="shared" si="0"/>
        <v>25.840000000000003</v>
      </c>
      <c r="G54" s="494">
        <v>1.4800000000000001E-2</v>
      </c>
      <c r="H54" s="537">
        <f t="shared" si="1"/>
        <v>1.48</v>
      </c>
      <c r="I54" s="487" t="s">
        <v>114</v>
      </c>
      <c r="J54" s="80">
        <f t="shared" si="2"/>
        <v>5.727554179566563E-2</v>
      </c>
      <c r="K54" s="517">
        <f t="shared" si="3"/>
        <v>5.727554179566563E-2</v>
      </c>
      <c r="L54" s="483" t="str">
        <f t="shared" si="4"/>
        <v>Incumple</v>
      </c>
      <c r="M54" s="255"/>
    </row>
    <row r="55" spans="1:16" x14ac:dyDescent="0.25">
      <c r="A55" s="482" t="s">
        <v>423</v>
      </c>
      <c r="B55" s="476">
        <v>44561</v>
      </c>
      <c r="C55" s="285" t="s">
        <v>22</v>
      </c>
      <c r="D55" s="285" t="s">
        <v>369</v>
      </c>
      <c r="E55" s="283">
        <v>0.69830000000000003</v>
      </c>
      <c r="F55" s="534">
        <f t="shared" si="0"/>
        <v>69.83</v>
      </c>
      <c r="G55" s="494">
        <v>0.66679999999999995</v>
      </c>
      <c r="H55" s="537">
        <f t="shared" si="1"/>
        <v>66.679999999999993</v>
      </c>
      <c r="I55" s="487" t="s">
        <v>114</v>
      </c>
      <c r="J55" s="80">
        <f t="shared" si="2"/>
        <v>0.954890448231419</v>
      </c>
      <c r="K55" s="517">
        <f t="shared" si="3"/>
        <v>0.954890448231419</v>
      </c>
      <c r="L55" s="483" t="str">
        <f t="shared" si="4"/>
        <v>Satisfactorio</v>
      </c>
    </row>
    <row r="56" spans="1:16" x14ac:dyDescent="0.25">
      <c r="A56" s="482" t="s">
        <v>358</v>
      </c>
      <c r="B56" s="476">
        <v>44561</v>
      </c>
      <c r="C56" s="285" t="s">
        <v>22</v>
      </c>
      <c r="D56" s="285" t="s">
        <v>369</v>
      </c>
      <c r="E56" s="494">
        <v>1</v>
      </c>
      <c r="F56" s="534">
        <f t="shared" si="0"/>
        <v>100</v>
      </c>
      <c r="G56" s="494">
        <v>0.92269999999999996</v>
      </c>
      <c r="H56" s="537">
        <f t="shared" si="1"/>
        <v>92.27</v>
      </c>
      <c r="I56" s="487" t="s">
        <v>116</v>
      </c>
      <c r="J56" s="80">
        <f t="shared" si="2"/>
        <v>1.0773000000000001</v>
      </c>
      <c r="K56" s="517">
        <f t="shared" si="3"/>
        <v>1.0773000000000001</v>
      </c>
      <c r="L56" s="483" t="str">
        <f t="shared" si="4"/>
        <v>Sobresaliente</v>
      </c>
    </row>
    <row r="57" spans="1:16" x14ac:dyDescent="0.25">
      <c r="A57" s="482" t="s">
        <v>359</v>
      </c>
      <c r="B57" s="476">
        <v>44561</v>
      </c>
      <c r="C57" s="285" t="s">
        <v>22</v>
      </c>
      <c r="D57" s="285" t="s">
        <v>369</v>
      </c>
      <c r="E57" s="494">
        <v>0.1066</v>
      </c>
      <c r="F57" s="534">
        <f t="shared" si="0"/>
        <v>10.66</v>
      </c>
      <c r="G57" s="494">
        <v>4.9700000000000001E-2</v>
      </c>
      <c r="H57" s="537">
        <f t="shared" si="1"/>
        <v>4.97</v>
      </c>
      <c r="I57" s="487" t="s">
        <v>116</v>
      </c>
      <c r="J57" s="80">
        <f t="shared" si="2"/>
        <v>1.5337711069418387</v>
      </c>
      <c r="K57" s="517">
        <f t="shared" si="3"/>
        <v>1.2</v>
      </c>
      <c r="L57" s="483" t="str">
        <f t="shared" si="4"/>
        <v>Sobresaliente</v>
      </c>
      <c r="M57" s="255"/>
    </row>
    <row r="58" spans="1:16" x14ac:dyDescent="0.25">
      <c r="A58" s="482" t="s">
        <v>360</v>
      </c>
      <c r="B58" s="476">
        <v>44561</v>
      </c>
      <c r="C58" s="285" t="s">
        <v>22</v>
      </c>
      <c r="D58" s="285" t="s">
        <v>369</v>
      </c>
      <c r="E58" s="287">
        <v>4.6500000000000004</v>
      </c>
      <c r="F58" s="535">
        <f>+E58</f>
        <v>4.6500000000000004</v>
      </c>
      <c r="G58" s="287">
        <v>4.72</v>
      </c>
      <c r="H58" s="538">
        <f>+G58</f>
        <v>4.72</v>
      </c>
      <c r="I58" s="487" t="s">
        <v>114</v>
      </c>
      <c r="J58" s="80">
        <f t="shared" si="2"/>
        <v>1.0150537634408601</v>
      </c>
      <c r="K58" s="517">
        <f t="shared" si="3"/>
        <v>1.0150537634408601</v>
      </c>
      <c r="L58" s="483" t="str">
        <f t="shared" si="4"/>
        <v>Sobresaliente</v>
      </c>
    </row>
    <row r="59" spans="1:16" x14ac:dyDescent="0.25">
      <c r="A59" s="482" t="s">
        <v>361</v>
      </c>
      <c r="B59" s="476">
        <v>44561</v>
      </c>
      <c r="C59" s="285" t="s">
        <v>22</v>
      </c>
      <c r="D59" s="285" t="s">
        <v>369</v>
      </c>
      <c r="E59" s="494">
        <v>0.5</v>
      </c>
      <c r="F59" s="534">
        <f t="shared" si="0"/>
        <v>50</v>
      </c>
      <c r="G59" s="494">
        <v>0.50560000000000005</v>
      </c>
      <c r="H59" s="537">
        <f t="shared" si="1"/>
        <v>50.56</v>
      </c>
      <c r="I59" s="487" t="s">
        <v>114</v>
      </c>
      <c r="J59" s="80">
        <f t="shared" si="2"/>
        <v>1.0112000000000001</v>
      </c>
      <c r="K59" s="517">
        <f t="shared" si="3"/>
        <v>1.0112000000000001</v>
      </c>
      <c r="L59" s="483" t="str">
        <f t="shared" si="4"/>
        <v>Sobresaliente</v>
      </c>
    </row>
    <row r="60" spans="1:16" x14ac:dyDescent="0.25">
      <c r="A60" s="482" t="s">
        <v>362</v>
      </c>
      <c r="B60" s="476">
        <v>44561</v>
      </c>
      <c r="C60" s="285" t="s">
        <v>22</v>
      </c>
      <c r="D60" s="285" t="s">
        <v>369</v>
      </c>
      <c r="E60" s="494">
        <v>0.51090000000000002</v>
      </c>
      <c r="F60" s="534">
        <f t="shared" si="0"/>
        <v>51.09</v>
      </c>
      <c r="G60" s="494">
        <v>0.1178</v>
      </c>
      <c r="H60" s="537">
        <f t="shared" si="1"/>
        <v>11.78</v>
      </c>
      <c r="I60" s="487" t="s">
        <v>114</v>
      </c>
      <c r="J60" s="80">
        <f t="shared" si="2"/>
        <v>0.23057349774907027</v>
      </c>
      <c r="K60" s="517">
        <f t="shared" si="3"/>
        <v>0.23057349774907027</v>
      </c>
      <c r="L60" s="483" t="str">
        <f t="shared" si="4"/>
        <v>Incumple</v>
      </c>
    </row>
    <row r="61" spans="1:16" x14ac:dyDescent="0.25">
      <c r="A61" s="482" t="s">
        <v>424</v>
      </c>
      <c r="B61" s="476">
        <v>44561</v>
      </c>
      <c r="C61" s="285" t="s">
        <v>22</v>
      </c>
      <c r="D61" s="285" t="s">
        <v>369</v>
      </c>
      <c r="E61" s="494">
        <v>0.31969999999999998</v>
      </c>
      <c r="F61" s="534">
        <f t="shared" si="0"/>
        <v>31.97</v>
      </c>
      <c r="G61" s="494">
        <v>0.32369999999999999</v>
      </c>
      <c r="H61" s="537">
        <f t="shared" si="1"/>
        <v>32.369999999999997</v>
      </c>
      <c r="I61" s="487" t="s">
        <v>114</v>
      </c>
      <c r="J61" s="80">
        <f t="shared" si="2"/>
        <v>1.0125117297466375</v>
      </c>
      <c r="K61" s="517">
        <f t="shared" si="3"/>
        <v>1.0125117297466375</v>
      </c>
      <c r="L61" s="483" t="str">
        <f t="shared" si="4"/>
        <v>Sobresaliente</v>
      </c>
    </row>
    <row r="62" spans="1:16" x14ac:dyDescent="0.25">
      <c r="A62" s="482" t="s">
        <v>423</v>
      </c>
      <c r="B62" s="476">
        <v>44561</v>
      </c>
      <c r="C62" s="285" t="s">
        <v>372</v>
      </c>
      <c r="D62" s="285" t="s">
        <v>369</v>
      </c>
      <c r="E62" s="283">
        <v>0.15890000000000001</v>
      </c>
      <c r="F62" s="534">
        <f t="shared" si="0"/>
        <v>15.89</v>
      </c>
      <c r="G62" s="494">
        <v>0.64470000000000005</v>
      </c>
      <c r="H62" s="537">
        <f t="shared" si="1"/>
        <v>64.47</v>
      </c>
      <c r="I62" s="487" t="s">
        <v>114</v>
      </c>
      <c r="J62" s="80">
        <f t="shared" si="2"/>
        <v>4.0572687224669606</v>
      </c>
      <c r="K62" s="517">
        <f t="shared" si="3"/>
        <v>1.2</v>
      </c>
      <c r="L62" s="483" t="str">
        <f t="shared" si="4"/>
        <v>Sobresaliente</v>
      </c>
      <c r="M62" s="255"/>
    </row>
    <row r="63" spans="1:16" x14ac:dyDescent="0.25">
      <c r="A63" s="482" t="s">
        <v>357</v>
      </c>
      <c r="B63" s="476">
        <v>44561</v>
      </c>
      <c r="C63" s="285" t="s">
        <v>372</v>
      </c>
      <c r="D63" s="285" t="s">
        <v>369</v>
      </c>
      <c r="E63" s="494">
        <v>0.14460000000000001</v>
      </c>
      <c r="F63" s="534">
        <f t="shared" si="0"/>
        <v>14.46</v>
      </c>
      <c r="G63" s="494">
        <v>0.28910000000000002</v>
      </c>
      <c r="H63" s="537">
        <f t="shared" si="1"/>
        <v>28.910000000000004</v>
      </c>
      <c r="I63" s="487" t="s">
        <v>114</v>
      </c>
      <c r="J63" s="80">
        <f t="shared" si="2"/>
        <v>1.9993084370677732</v>
      </c>
      <c r="K63" s="517">
        <f t="shared" si="3"/>
        <v>1.2</v>
      </c>
      <c r="L63" s="483" t="str">
        <f t="shared" si="4"/>
        <v>Sobresaliente</v>
      </c>
      <c r="M63" s="255"/>
    </row>
    <row r="64" spans="1:16" x14ac:dyDescent="0.25">
      <c r="A64" s="482" t="s">
        <v>358</v>
      </c>
      <c r="B64" s="476">
        <v>44561</v>
      </c>
      <c r="C64" s="285" t="s">
        <v>372</v>
      </c>
      <c r="D64" s="285" t="s">
        <v>369</v>
      </c>
      <c r="E64" s="494">
        <v>1</v>
      </c>
      <c r="F64" s="534">
        <f t="shared" si="0"/>
        <v>100</v>
      </c>
      <c r="G64" s="494">
        <v>1.1794</v>
      </c>
      <c r="H64" s="537">
        <f t="shared" si="1"/>
        <v>117.94</v>
      </c>
      <c r="I64" s="487" t="s">
        <v>116</v>
      </c>
      <c r="J64" s="80">
        <f t="shared" si="2"/>
        <v>0.8206</v>
      </c>
      <c r="K64" s="517">
        <f t="shared" si="3"/>
        <v>0.8206</v>
      </c>
      <c r="L64" s="483" t="str">
        <f t="shared" si="4"/>
        <v>Tolerable</v>
      </c>
    </row>
    <row r="65" spans="1:14" x14ac:dyDescent="0.25">
      <c r="A65" s="482" t="s">
        <v>360</v>
      </c>
      <c r="B65" s="476">
        <v>44561</v>
      </c>
      <c r="C65" s="285" t="s">
        <v>372</v>
      </c>
      <c r="D65" s="285" t="s">
        <v>369</v>
      </c>
      <c r="E65" s="496">
        <v>4.6500000000000004</v>
      </c>
      <c r="F65" s="535">
        <f>+E65</f>
        <v>4.6500000000000004</v>
      </c>
      <c r="G65" s="496">
        <v>4.67</v>
      </c>
      <c r="H65" s="538">
        <f>+G65</f>
        <v>4.67</v>
      </c>
      <c r="I65" s="487" t="s">
        <v>114</v>
      </c>
      <c r="J65" s="80">
        <f t="shared" si="2"/>
        <v>1.0043010752688171</v>
      </c>
      <c r="K65" s="517">
        <f t="shared" si="3"/>
        <v>1.0043010752688171</v>
      </c>
      <c r="L65" s="483" t="str">
        <f t="shared" si="4"/>
        <v>Sobresaliente</v>
      </c>
    </row>
    <row r="66" spans="1:14" x14ac:dyDescent="0.25">
      <c r="A66" s="482" t="s">
        <v>361</v>
      </c>
      <c r="B66" s="476">
        <v>44561</v>
      </c>
      <c r="C66" s="285" t="s">
        <v>372</v>
      </c>
      <c r="D66" s="285" t="s">
        <v>369</v>
      </c>
      <c r="E66" s="494">
        <v>0.5</v>
      </c>
      <c r="F66" s="534">
        <f t="shared" ref="F66:F347" si="5">+E66*100</f>
        <v>50</v>
      </c>
      <c r="G66" s="494">
        <v>0.501</v>
      </c>
      <c r="H66" s="537">
        <f t="shared" ref="H66:H347" si="6">+G66*100</f>
        <v>50.1</v>
      </c>
      <c r="I66" s="487" t="s">
        <v>114</v>
      </c>
      <c r="J66" s="80">
        <f t="shared" ref="J66:J347" si="7">+IFERROR(IF(I66="Creciente",IF(AND(G66&lt;0,E66&lt;0),1-(G66-E66)/E66,IF(G66&lt;0,G66/E66,IF(E66&lt;0,1+((G66-E66)/G66),G66/E66))),IF(AND(G66&lt;0,E66&lt;0),(E66*-1)/(G66*-1),IF(G66&lt;0,(G66-E66)/G66,IF(E66&lt;0,-1+(G66-E66)/E66,IF(I66="Decreciente",1+(E66-G66)/E66,G66/E66))))),"N/A")</f>
        <v>1.002</v>
      </c>
      <c r="K66" s="517">
        <f t="shared" ref="K66:K347" si="8">+IF(J66&lt;0,0%,IF(J66&gt;120%,120%,J66))</f>
        <v>1.002</v>
      </c>
      <c r="L66" s="483" t="str">
        <f t="shared" si="4"/>
        <v>Sobresaliente</v>
      </c>
    </row>
    <row r="67" spans="1:14" x14ac:dyDescent="0.25">
      <c r="A67" s="482" t="s">
        <v>362</v>
      </c>
      <c r="B67" s="476">
        <v>44561</v>
      </c>
      <c r="C67" s="285" t="s">
        <v>372</v>
      </c>
      <c r="D67" s="285" t="s">
        <v>369</v>
      </c>
      <c r="E67" s="494">
        <v>0.94</v>
      </c>
      <c r="F67" s="534">
        <f t="shared" si="5"/>
        <v>94</v>
      </c>
      <c r="G67" s="494">
        <v>0.41299999999999998</v>
      </c>
      <c r="H67" s="537">
        <f t="shared" si="6"/>
        <v>41.3</v>
      </c>
      <c r="I67" s="487" t="s">
        <v>114</v>
      </c>
      <c r="J67" s="80">
        <f t="shared" si="7"/>
        <v>0.43936170212765957</v>
      </c>
      <c r="K67" s="517">
        <f t="shared" si="8"/>
        <v>0.43936170212765957</v>
      </c>
      <c r="L67" s="483" t="str">
        <f t="shared" ref="L67:L107" si="9">+IF(J67&lt;79.99999%,"Incumple",IF(AND(J67&gt;=80%,J67&lt;94.999999%),"Tolerable",IF(AND(J67&gt;=95%,J67&lt;100%),"Satisfactorio","Sobresaliente")))</f>
        <v>Incumple</v>
      </c>
    </row>
    <row r="68" spans="1:14" x14ac:dyDescent="0.25">
      <c r="A68" s="482" t="s">
        <v>424</v>
      </c>
      <c r="B68" s="476">
        <v>44561</v>
      </c>
      <c r="C68" s="285" t="s">
        <v>372</v>
      </c>
      <c r="D68" s="285" t="s">
        <v>369</v>
      </c>
      <c r="E68" s="494">
        <v>0.11899999999999999</v>
      </c>
      <c r="F68" s="534">
        <f t="shared" si="5"/>
        <v>11.899999999999999</v>
      </c>
      <c r="G68" s="494">
        <v>0.1244</v>
      </c>
      <c r="H68" s="537">
        <f t="shared" si="6"/>
        <v>12.44</v>
      </c>
      <c r="I68" s="487" t="s">
        <v>114</v>
      </c>
      <c r="J68" s="80">
        <f t="shared" si="7"/>
        <v>1.0453781512605043</v>
      </c>
      <c r="K68" s="517">
        <f t="shared" si="8"/>
        <v>1.0453781512605043</v>
      </c>
      <c r="L68" s="483" t="str">
        <f t="shared" si="9"/>
        <v>Sobresaliente</v>
      </c>
    </row>
    <row r="69" spans="1:14" x14ac:dyDescent="0.25">
      <c r="A69" s="482" t="s">
        <v>423</v>
      </c>
      <c r="B69" s="476">
        <v>44561</v>
      </c>
      <c r="C69" s="285" t="s">
        <v>373</v>
      </c>
      <c r="D69" s="285" t="s">
        <v>369</v>
      </c>
      <c r="E69" s="283">
        <v>-0.65759999999999996</v>
      </c>
      <c r="F69" s="534">
        <f t="shared" si="5"/>
        <v>-65.759999999999991</v>
      </c>
      <c r="G69" s="494">
        <v>-0.5161</v>
      </c>
      <c r="H69" s="537">
        <f t="shared" si="6"/>
        <v>-51.61</v>
      </c>
      <c r="I69" s="487" t="s">
        <v>114</v>
      </c>
      <c r="J69" s="80">
        <f t="shared" si="7"/>
        <v>1.2151763990267639</v>
      </c>
      <c r="K69" s="517">
        <f t="shared" si="8"/>
        <v>1.2</v>
      </c>
      <c r="L69" s="483" t="str">
        <f t="shared" si="9"/>
        <v>Sobresaliente</v>
      </c>
      <c r="N69" s="247"/>
    </row>
    <row r="70" spans="1:14" x14ac:dyDescent="0.25">
      <c r="A70" s="482" t="s">
        <v>358</v>
      </c>
      <c r="B70" s="476">
        <v>44561</v>
      </c>
      <c r="C70" s="285" t="s">
        <v>373</v>
      </c>
      <c r="D70" s="285" t="s">
        <v>369</v>
      </c>
      <c r="E70" s="494">
        <v>1</v>
      </c>
      <c r="F70" s="534">
        <f t="shared" si="5"/>
        <v>100</v>
      </c>
      <c r="G70" s="494">
        <v>1.1077999999999999</v>
      </c>
      <c r="H70" s="537">
        <f t="shared" si="6"/>
        <v>110.77999999999999</v>
      </c>
      <c r="I70" s="487" t="s">
        <v>116</v>
      </c>
      <c r="J70" s="80">
        <f t="shared" si="7"/>
        <v>0.8922000000000001</v>
      </c>
      <c r="K70" s="517">
        <f t="shared" si="8"/>
        <v>0.8922000000000001</v>
      </c>
      <c r="L70" s="483" t="str">
        <f t="shared" si="9"/>
        <v>Tolerable</v>
      </c>
      <c r="M70" s="291"/>
    </row>
    <row r="71" spans="1:14" x14ac:dyDescent="0.25">
      <c r="A71" s="482" t="s">
        <v>359</v>
      </c>
      <c r="B71" s="476">
        <v>44561</v>
      </c>
      <c r="C71" s="285" t="s">
        <v>373</v>
      </c>
      <c r="D71" s="285" t="s">
        <v>369</v>
      </c>
      <c r="E71" s="494">
        <v>0.70599999999999996</v>
      </c>
      <c r="F71" s="534">
        <f t="shared" si="5"/>
        <v>70.599999999999994</v>
      </c>
      <c r="G71" s="494">
        <v>0.62490000000000001</v>
      </c>
      <c r="H71" s="537">
        <f t="shared" si="6"/>
        <v>62.49</v>
      </c>
      <c r="I71" s="487" t="s">
        <v>116</v>
      </c>
      <c r="J71" s="80">
        <f t="shared" si="7"/>
        <v>1.114872521246459</v>
      </c>
      <c r="K71" s="517">
        <f t="shared" si="8"/>
        <v>1.114872521246459</v>
      </c>
      <c r="L71" s="483" t="str">
        <f t="shared" si="9"/>
        <v>Sobresaliente</v>
      </c>
    </row>
    <row r="72" spans="1:14" x14ac:dyDescent="0.25">
      <c r="A72" s="482" t="s">
        <v>360</v>
      </c>
      <c r="B72" s="476">
        <v>44561</v>
      </c>
      <c r="C72" s="285" t="s">
        <v>373</v>
      </c>
      <c r="D72" s="285" t="s">
        <v>369</v>
      </c>
      <c r="E72" s="287">
        <v>4.6500000000000004</v>
      </c>
      <c r="F72" s="535">
        <f>+E72</f>
        <v>4.6500000000000004</v>
      </c>
      <c r="G72" s="287">
        <v>4.74</v>
      </c>
      <c r="H72" s="538">
        <f>+G72</f>
        <v>4.74</v>
      </c>
      <c r="I72" s="487" t="s">
        <v>114</v>
      </c>
      <c r="J72" s="80">
        <f t="shared" si="7"/>
        <v>1.0193548387096774</v>
      </c>
      <c r="K72" s="517">
        <f t="shared" si="8"/>
        <v>1.0193548387096774</v>
      </c>
      <c r="L72" s="483" t="str">
        <f t="shared" si="9"/>
        <v>Sobresaliente</v>
      </c>
    </row>
    <row r="73" spans="1:14" x14ac:dyDescent="0.25">
      <c r="A73" s="482" t="s">
        <v>361</v>
      </c>
      <c r="B73" s="476">
        <v>44561</v>
      </c>
      <c r="C73" s="285" t="s">
        <v>373</v>
      </c>
      <c r="D73" s="285" t="s">
        <v>369</v>
      </c>
      <c r="E73" s="494">
        <v>0.5</v>
      </c>
      <c r="F73" s="534">
        <f t="shared" si="5"/>
        <v>50</v>
      </c>
      <c r="G73" s="494">
        <v>0.55889999999999995</v>
      </c>
      <c r="H73" s="537">
        <f t="shared" si="6"/>
        <v>55.889999999999993</v>
      </c>
      <c r="I73" s="487" t="s">
        <v>114</v>
      </c>
      <c r="J73" s="80">
        <f t="shared" si="7"/>
        <v>1.1177999999999999</v>
      </c>
      <c r="K73" s="517">
        <f t="shared" si="8"/>
        <v>1.1177999999999999</v>
      </c>
      <c r="L73" s="483" t="str">
        <f t="shared" si="9"/>
        <v>Sobresaliente</v>
      </c>
    </row>
    <row r="74" spans="1:14" x14ac:dyDescent="0.25">
      <c r="A74" s="482" t="s">
        <v>362</v>
      </c>
      <c r="B74" s="476">
        <v>44561</v>
      </c>
      <c r="C74" s="285" t="s">
        <v>373</v>
      </c>
      <c r="D74" s="285" t="s">
        <v>369</v>
      </c>
      <c r="E74" s="494">
        <v>0.74029999999999996</v>
      </c>
      <c r="F74" s="534">
        <f t="shared" si="5"/>
        <v>74.03</v>
      </c>
      <c r="G74" s="494">
        <v>0.85109999999999997</v>
      </c>
      <c r="H74" s="537">
        <f t="shared" si="6"/>
        <v>85.11</v>
      </c>
      <c r="I74" s="487" t="s">
        <v>114</v>
      </c>
      <c r="J74" s="80">
        <f t="shared" si="7"/>
        <v>1.1496690530865865</v>
      </c>
      <c r="K74" s="517">
        <f t="shared" si="8"/>
        <v>1.1496690530865865</v>
      </c>
      <c r="L74" s="483" t="str">
        <f t="shared" si="9"/>
        <v>Sobresaliente</v>
      </c>
    </row>
    <row r="75" spans="1:14" x14ac:dyDescent="0.25">
      <c r="A75" s="482" t="s">
        <v>424</v>
      </c>
      <c r="B75" s="476">
        <v>44561</v>
      </c>
      <c r="C75" s="285" t="s">
        <v>373</v>
      </c>
      <c r="D75" s="285" t="s">
        <v>369</v>
      </c>
      <c r="E75" s="494">
        <v>4.1999999999999997E-3</v>
      </c>
      <c r="F75" s="534">
        <f t="shared" si="5"/>
        <v>0.42</v>
      </c>
      <c r="G75" s="494">
        <v>4.3E-3</v>
      </c>
      <c r="H75" s="537">
        <f t="shared" si="6"/>
        <v>0.43</v>
      </c>
      <c r="I75" s="487" t="s">
        <v>114</v>
      </c>
      <c r="J75" s="80">
        <f t="shared" si="7"/>
        <v>1.0238095238095239</v>
      </c>
      <c r="K75" s="517">
        <f t="shared" si="8"/>
        <v>1.0238095238095239</v>
      </c>
      <c r="L75" s="483" t="str">
        <f t="shared" si="9"/>
        <v>Sobresaliente</v>
      </c>
    </row>
    <row r="76" spans="1:14" x14ac:dyDescent="0.25">
      <c r="A76" s="482" t="s">
        <v>423</v>
      </c>
      <c r="B76" s="476">
        <v>44561</v>
      </c>
      <c r="C76" s="285" t="s">
        <v>374</v>
      </c>
      <c r="D76" s="285" t="s">
        <v>369</v>
      </c>
      <c r="E76" s="283">
        <v>-9.5899999999999999E-2</v>
      </c>
      <c r="F76" s="534">
        <f t="shared" si="5"/>
        <v>-9.59</v>
      </c>
      <c r="G76" s="494">
        <v>1.5245</v>
      </c>
      <c r="H76" s="537">
        <f t="shared" si="6"/>
        <v>152.44999999999999</v>
      </c>
      <c r="I76" s="487" t="s">
        <v>114</v>
      </c>
      <c r="J76" s="80">
        <f t="shared" si="7"/>
        <v>2.0629058707773043</v>
      </c>
      <c r="K76" s="517">
        <f t="shared" si="8"/>
        <v>1.2</v>
      </c>
      <c r="L76" s="483" t="str">
        <f t="shared" si="9"/>
        <v>Sobresaliente</v>
      </c>
      <c r="M76" s="255"/>
    </row>
    <row r="77" spans="1:14" x14ac:dyDescent="0.25">
      <c r="A77" s="482" t="s">
        <v>358</v>
      </c>
      <c r="B77" s="476">
        <v>44561</v>
      </c>
      <c r="C77" s="285" t="s">
        <v>374</v>
      </c>
      <c r="D77" s="285" t="s">
        <v>369</v>
      </c>
      <c r="E77" s="494">
        <v>1</v>
      </c>
      <c r="F77" s="534">
        <f t="shared" si="5"/>
        <v>100</v>
      </c>
      <c r="G77" s="494">
        <v>0.96199999999999997</v>
      </c>
      <c r="H77" s="537">
        <f t="shared" si="6"/>
        <v>96.2</v>
      </c>
      <c r="I77" s="487" t="s">
        <v>116</v>
      </c>
      <c r="J77" s="80">
        <f t="shared" si="7"/>
        <v>1.038</v>
      </c>
      <c r="K77" s="517">
        <f t="shared" si="8"/>
        <v>1.038</v>
      </c>
      <c r="L77" s="483" t="str">
        <f t="shared" si="9"/>
        <v>Sobresaliente</v>
      </c>
      <c r="N77" s="291"/>
    </row>
    <row r="78" spans="1:14" x14ac:dyDescent="0.25">
      <c r="A78" s="482" t="s">
        <v>359</v>
      </c>
      <c r="B78" s="476">
        <v>44561</v>
      </c>
      <c r="C78" s="285" t="s">
        <v>374</v>
      </c>
      <c r="D78" s="285" t="s">
        <v>369</v>
      </c>
      <c r="E78" s="494">
        <v>0.96189999999999998</v>
      </c>
      <c r="F78" s="534">
        <f t="shared" si="5"/>
        <v>96.19</v>
      </c>
      <c r="G78" s="494">
        <v>0.88939999999999997</v>
      </c>
      <c r="H78" s="537">
        <f t="shared" si="6"/>
        <v>88.94</v>
      </c>
      <c r="I78" s="487" t="s">
        <v>116</v>
      </c>
      <c r="J78" s="80">
        <f t="shared" si="7"/>
        <v>1.0753716602557439</v>
      </c>
      <c r="K78" s="517">
        <f t="shared" si="8"/>
        <v>1.0753716602557439</v>
      </c>
      <c r="L78" s="483" t="str">
        <f t="shared" si="9"/>
        <v>Sobresaliente</v>
      </c>
      <c r="N78" s="247"/>
    </row>
    <row r="79" spans="1:14" x14ac:dyDescent="0.25">
      <c r="A79" s="482" t="s">
        <v>360</v>
      </c>
      <c r="B79" s="476">
        <v>44561</v>
      </c>
      <c r="C79" s="285" t="s">
        <v>374</v>
      </c>
      <c r="D79" s="285" t="s">
        <v>369</v>
      </c>
      <c r="E79" s="287">
        <v>4.6500000000000004</v>
      </c>
      <c r="F79" s="535">
        <f>+E79</f>
        <v>4.6500000000000004</v>
      </c>
      <c r="G79" s="287">
        <v>4.8099999999999996</v>
      </c>
      <c r="H79" s="538">
        <f>+G79</f>
        <v>4.8099999999999996</v>
      </c>
      <c r="I79" s="487" t="s">
        <v>114</v>
      </c>
      <c r="J79" s="80">
        <f t="shared" si="7"/>
        <v>1.0344086021505374</v>
      </c>
      <c r="K79" s="517">
        <f t="shared" si="8"/>
        <v>1.0344086021505374</v>
      </c>
      <c r="L79" s="483" t="str">
        <f t="shared" si="9"/>
        <v>Sobresaliente</v>
      </c>
    </row>
    <row r="80" spans="1:14" x14ac:dyDescent="0.25">
      <c r="A80" s="482" t="s">
        <v>361</v>
      </c>
      <c r="B80" s="476">
        <v>44561</v>
      </c>
      <c r="C80" s="285" t="s">
        <v>374</v>
      </c>
      <c r="D80" s="285" t="s">
        <v>369</v>
      </c>
      <c r="E80" s="494">
        <v>0.5</v>
      </c>
      <c r="F80" s="534">
        <f t="shared" si="5"/>
        <v>50</v>
      </c>
      <c r="G80" s="494">
        <v>0.59650000000000003</v>
      </c>
      <c r="H80" s="537">
        <f t="shared" si="6"/>
        <v>59.650000000000006</v>
      </c>
      <c r="I80" s="487" t="s">
        <v>114</v>
      </c>
      <c r="J80" s="80">
        <f t="shared" si="7"/>
        <v>1.1930000000000001</v>
      </c>
      <c r="K80" s="517">
        <f t="shared" si="8"/>
        <v>1.1930000000000001</v>
      </c>
      <c r="L80" s="483" t="str">
        <f t="shared" si="9"/>
        <v>Sobresaliente</v>
      </c>
    </row>
    <row r="81" spans="1:17" x14ac:dyDescent="0.25">
      <c r="A81" s="482" t="s">
        <v>362</v>
      </c>
      <c r="B81" s="476">
        <v>44561</v>
      </c>
      <c r="C81" s="285" t="s">
        <v>374</v>
      </c>
      <c r="D81" s="285" t="s">
        <v>369</v>
      </c>
      <c r="E81" s="494">
        <v>0.40179999999999999</v>
      </c>
      <c r="F81" s="534">
        <f t="shared" si="5"/>
        <v>40.18</v>
      </c>
      <c r="G81" s="494">
        <v>-3.2099999999999997E-2</v>
      </c>
      <c r="H81" s="537">
        <f t="shared" si="6"/>
        <v>-3.2099999999999995</v>
      </c>
      <c r="I81" s="487" t="s">
        <v>114</v>
      </c>
      <c r="J81" s="80">
        <f t="shared" si="7"/>
        <v>-7.9890492782478839E-2</v>
      </c>
      <c r="K81" s="517">
        <f t="shared" si="8"/>
        <v>0</v>
      </c>
      <c r="L81" s="483" t="str">
        <f t="shared" si="9"/>
        <v>Incumple</v>
      </c>
      <c r="M81" s="255"/>
      <c r="Q81" t="s">
        <v>375</v>
      </c>
    </row>
    <row r="82" spans="1:17" x14ac:dyDescent="0.25">
      <c r="A82" s="482" t="s">
        <v>424</v>
      </c>
      <c r="B82" s="476">
        <v>44561</v>
      </c>
      <c r="C82" s="285" t="s">
        <v>374</v>
      </c>
      <c r="D82" s="285" t="s">
        <v>369</v>
      </c>
      <c r="E82" s="494">
        <v>2.8E-3</v>
      </c>
      <c r="F82" s="534">
        <f t="shared" si="5"/>
        <v>0.27999999999999997</v>
      </c>
      <c r="G82" s="494">
        <v>3.5999999999999999E-3</v>
      </c>
      <c r="H82" s="537">
        <f t="shared" si="6"/>
        <v>0.36</v>
      </c>
      <c r="I82" s="487" t="s">
        <v>114</v>
      </c>
      <c r="J82" s="80">
        <f t="shared" si="7"/>
        <v>1.2857142857142856</v>
      </c>
      <c r="K82" s="517">
        <f t="shared" si="8"/>
        <v>1.2</v>
      </c>
      <c r="L82" s="483" t="str">
        <f t="shared" si="9"/>
        <v>Sobresaliente</v>
      </c>
      <c r="Q82" t="s">
        <v>376</v>
      </c>
    </row>
    <row r="83" spans="1:17" x14ac:dyDescent="0.25">
      <c r="A83" s="482" t="s">
        <v>423</v>
      </c>
      <c r="B83" s="476">
        <v>44561</v>
      </c>
      <c r="C83" s="285" t="s">
        <v>377</v>
      </c>
      <c r="D83" s="285" t="s">
        <v>369</v>
      </c>
      <c r="E83" s="283">
        <v>0.50270000000000004</v>
      </c>
      <c r="F83" s="534">
        <f t="shared" si="5"/>
        <v>50.27</v>
      </c>
      <c r="G83" s="494">
        <v>0.35470000000000002</v>
      </c>
      <c r="H83" s="537">
        <f t="shared" si="6"/>
        <v>35.47</v>
      </c>
      <c r="I83" s="487" t="s">
        <v>114</v>
      </c>
      <c r="J83" s="80">
        <f t="shared" si="7"/>
        <v>0.7055898149990053</v>
      </c>
      <c r="K83" s="517">
        <f t="shared" si="8"/>
        <v>0.7055898149990053</v>
      </c>
      <c r="L83" s="483" t="str">
        <f t="shared" si="9"/>
        <v>Incumple</v>
      </c>
    </row>
    <row r="84" spans="1:17" x14ac:dyDescent="0.25">
      <c r="A84" s="482" t="s">
        <v>358</v>
      </c>
      <c r="B84" s="476">
        <v>44561</v>
      </c>
      <c r="C84" s="285" t="s">
        <v>377</v>
      </c>
      <c r="D84" s="285" t="s">
        <v>369</v>
      </c>
      <c r="E84" s="494">
        <v>1</v>
      </c>
      <c r="F84" s="534">
        <f t="shared" si="5"/>
        <v>100</v>
      </c>
      <c r="G84" s="494">
        <v>1.1355</v>
      </c>
      <c r="H84" s="537">
        <f t="shared" si="6"/>
        <v>113.55</v>
      </c>
      <c r="I84" s="487" t="s">
        <v>116</v>
      </c>
      <c r="J84" s="80">
        <f t="shared" si="7"/>
        <v>0.86450000000000005</v>
      </c>
      <c r="K84" s="517">
        <f t="shared" si="8"/>
        <v>0.86450000000000005</v>
      </c>
      <c r="L84" s="483" t="str">
        <f t="shared" si="9"/>
        <v>Tolerable</v>
      </c>
    </row>
    <row r="85" spans="1:17" x14ac:dyDescent="0.25">
      <c r="A85" s="482" t="s">
        <v>359</v>
      </c>
      <c r="B85" s="476">
        <v>44561</v>
      </c>
      <c r="C85" s="285" t="s">
        <v>377</v>
      </c>
      <c r="D85" s="285" t="s">
        <v>369</v>
      </c>
      <c r="E85" s="494">
        <v>-9.7999999999999997E-3</v>
      </c>
      <c r="F85" s="534">
        <f t="shared" si="5"/>
        <v>-0.98</v>
      </c>
      <c r="G85" s="494">
        <v>0.19819999999999999</v>
      </c>
      <c r="H85" s="537">
        <f t="shared" si="6"/>
        <v>19.82</v>
      </c>
      <c r="I85" s="487" t="s">
        <v>116</v>
      </c>
      <c r="J85" s="80">
        <f t="shared" si="7"/>
        <v>-22.224489795918366</v>
      </c>
      <c r="K85" s="517">
        <f t="shared" si="8"/>
        <v>0</v>
      </c>
      <c r="L85" s="483" t="str">
        <f t="shared" si="9"/>
        <v>Incumple</v>
      </c>
    </row>
    <row r="86" spans="1:17" x14ac:dyDescent="0.25">
      <c r="A86" s="482" t="s">
        <v>360</v>
      </c>
      <c r="B86" s="476">
        <v>44561</v>
      </c>
      <c r="C86" s="285" t="s">
        <v>377</v>
      </c>
      <c r="D86" s="285" t="s">
        <v>369</v>
      </c>
      <c r="E86" s="287">
        <v>4.6500000000000004</v>
      </c>
      <c r="F86" s="535">
        <f>+E86</f>
        <v>4.6500000000000004</v>
      </c>
      <c r="G86" s="287">
        <v>4.75</v>
      </c>
      <c r="H86" s="538">
        <f>+G86</f>
        <v>4.75</v>
      </c>
      <c r="I86" s="487" t="s">
        <v>114</v>
      </c>
      <c r="J86" s="80">
        <f t="shared" si="7"/>
        <v>1.021505376344086</v>
      </c>
      <c r="K86" s="517">
        <f t="shared" si="8"/>
        <v>1.021505376344086</v>
      </c>
      <c r="L86" s="483" t="str">
        <f t="shared" si="9"/>
        <v>Sobresaliente</v>
      </c>
    </row>
    <row r="87" spans="1:17" x14ac:dyDescent="0.25">
      <c r="A87" s="482" t="s">
        <v>361</v>
      </c>
      <c r="B87" s="476">
        <v>44561</v>
      </c>
      <c r="C87" s="285" t="s">
        <v>377</v>
      </c>
      <c r="D87" s="285" t="s">
        <v>369</v>
      </c>
      <c r="E87" s="494">
        <v>0.5</v>
      </c>
      <c r="F87" s="534">
        <f t="shared" si="5"/>
        <v>50</v>
      </c>
      <c r="G87" s="494">
        <v>0.67359999999999998</v>
      </c>
      <c r="H87" s="537">
        <f t="shared" si="6"/>
        <v>67.36</v>
      </c>
      <c r="I87" s="487" t="s">
        <v>114</v>
      </c>
      <c r="J87" s="80">
        <f t="shared" si="7"/>
        <v>1.3472</v>
      </c>
      <c r="K87" s="517">
        <f t="shared" si="8"/>
        <v>1.2</v>
      </c>
      <c r="L87" s="483" t="str">
        <f t="shared" si="9"/>
        <v>Sobresaliente</v>
      </c>
    </row>
    <row r="88" spans="1:17" x14ac:dyDescent="0.25">
      <c r="A88" s="482" t="s">
        <v>362</v>
      </c>
      <c r="B88" s="476">
        <v>44561</v>
      </c>
      <c r="C88" s="285" t="s">
        <v>377</v>
      </c>
      <c r="D88" s="285" t="s">
        <v>369</v>
      </c>
      <c r="E88" s="494">
        <v>0.4506</v>
      </c>
      <c r="F88" s="534">
        <f t="shared" si="5"/>
        <v>45.06</v>
      </c>
      <c r="G88" s="494">
        <v>-8.2799999999999999E-2</v>
      </c>
      <c r="H88" s="537">
        <f t="shared" si="6"/>
        <v>-8.2799999999999994</v>
      </c>
      <c r="I88" s="487" t="s">
        <v>114</v>
      </c>
      <c r="J88" s="80">
        <f t="shared" si="7"/>
        <v>-0.18375499334221038</v>
      </c>
      <c r="K88" s="517">
        <f t="shared" si="8"/>
        <v>0</v>
      </c>
      <c r="L88" s="483" t="str">
        <f t="shared" si="9"/>
        <v>Incumple</v>
      </c>
    </row>
    <row r="89" spans="1:17" x14ac:dyDescent="0.25">
      <c r="A89" s="482" t="s">
        <v>424</v>
      </c>
      <c r="B89" s="476">
        <v>44561</v>
      </c>
      <c r="C89" s="285" t="s">
        <v>377</v>
      </c>
      <c r="D89" s="285" t="s">
        <v>369</v>
      </c>
      <c r="E89" s="494">
        <v>0.1565</v>
      </c>
      <c r="F89" s="534">
        <f t="shared" si="5"/>
        <v>15.65</v>
      </c>
      <c r="G89" s="494">
        <v>0.24510000000000001</v>
      </c>
      <c r="H89" s="537">
        <f t="shared" si="6"/>
        <v>24.51</v>
      </c>
      <c r="I89" s="487" t="s">
        <v>114</v>
      </c>
      <c r="J89" s="80">
        <f t="shared" si="7"/>
        <v>1.5661341853035144</v>
      </c>
      <c r="K89" s="517">
        <f t="shared" si="8"/>
        <v>1.2</v>
      </c>
      <c r="L89" s="483" t="str">
        <f t="shared" si="9"/>
        <v>Sobresaliente</v>
      </c>
    </row>
    <row r="90" spans="1:17" x14ac:dyDescent="0.25">
      <c r="A90" s="482" t="s">
        <v>360</v>
      </c>
      <c r="B90" s="476">
        <v>44561</v>
      </c>
      <c r="C90" s="492" t="s">
        <v>115</v>
      </c>
      <c r="D90" s="285" t="s">
        <v>369</v>
      </c>
      <c r="E90" s="287">
        <v>4.6500000000000004</v>
      </c>
      <c r="F90" s="535">
        <f>+E90</f>
        <v>4.6500000000000004</v>
      </c>
      <c r="G90" s="287">
        <v>4.29</v>
      </c>
      <c r="H90" s="538">
        <f>+G90</f>
        <v>4.29</v>
      </c>
      <c r="I90" s="487" t="s">
        <v>114</v>
      </c>
      <c r="J90" s="80">
        <f t="shared" si="7"/>
        <v>0.92258064516129024</v>
      </c>
      <c r="K90" s="517">
        <f t="shared" si="8"/>
        <v>0.92258064516129024</v>
      </c>
      <c r="L90" s="483" t="str">
        <f t="shared" si="9"/>
        <v>Tolerable</v>
      </c>
    </row>
    <row r="91" spans="1:17" x14ac:dyDescent="0.25">
      <c r="A91" s="482" t="s">
        <v>362</v>
      </c>
      <c r="B91" s="476">
        <v>44561</v>
      </c>
      <c r="C91" s="493" t="s">
        <v>115</v>
      </c>
      <c r="D91" s="285" t="s">
        <v>369</v>
      </c>
      <c r="E91" s="494">
        <v>-7.2800000000000004E-2</v>
      </c>
      <c r="F91" s="534">
        <f t="shared" si="5"/>
        <v>-7.28</v>
      </c>
      <c r="G91" s="494">
        <v>-2.7699999999999999E-2</v>
      </c>
      <c r="H91" s="537">
        <f t="shared" si="6"/>
        <v>-2.77</v>
      </c>
      <c r="I91" s="487" t="s">
        <v>114</v>
      </c>
      <c r="J91" s="80">
        <f t="shared" si="7"/>
        <v>1.6195054945054945</v>
      </c>
      <c r="K91" s="517">
        <f t="shared" si="8"/>
        <v>1.2</v>
      </c>
      <c r="L91" s="483" t="str">
        <f t="shared" si="9"/>
        <v>Sobresaliente</v>
      </c>
    </row>
    <row r="92" spans="1:17" x14ac:dyDescent="0.25">
      <c r="A92" s="482" t="s">
        <v>379</v>
      </c>
      <c r="B92" s="476">
        <v>44561</v>
      </c>
      <c r="C92" s="493" t="s">
        <v>115</v>
      </c>
      <c r="D92" s="285" t="s">
        <v>369</v>
      </c>
      <c r="E92" s="283">
        <v>0.62</v>
      </c>
      <c r="F92" s="534">
        <f t="shared" si="5"/>
        <v>62</v>
      </c>
      <c r="G92" s="283">
        <v>0.50870000000000004</v>
      </c>
      <c r="H92" s="537">
        <f t="shared" si="6"/>
        <v>50.870000000000005</v>
      </c>
      <c r="I92" s="487" t="s">
        <v>114</v>
      </c>
      <c r="J92" s="80">
        <f t="shared" si="7"/>
        <v>0.820483870967742</v>
      </c>
      <c r="K92" s="517">
        <f t="shared" si="8"/>
        <v>0.820483870967742</v>
      </c>
      <c r="L92" s="483" t="str">
        <f t="shared" si="9"/>
        <v>Tolerable</v>
      </c>
    </row>
    <row r="93" spans="1:17" x14ac:dyDescent="0.25">
      <c r="A93" s="482" t="s">
        <v>378</v>
      </c>
      <c r="B93" s="476">
        <v>44561</v>
      </c>
      <c r="C93" s="493" t="s">
        <v>115</v>
      </c>
      <c r="D93" s="285" t="s">
        <v>369</v>
      </c>
      <c r="E93" s="283">
        <v>0.71</v>
      </c>
      <c r="F93" s="534">
        <f t="shared" si="5"/>
        <v>71</v>
      </c>
      <c r="G93" s="283">
        <v>0.65939999999999999</v>
      </c>
      <c r="H93" s="537">
        <f t="shared" si="6"/>
        <v>65.94</v>
      </c>
      <c r="I93" s="487" t="s">
        <v>114</v>
      </c>
      <c r="J93" s="80">
        <f t="shared" si="7"/>
        <v>0.92873239436619726</v>
      </c>
      <c r="K93" s="517">
        <f t="shared" si="8"/>
        <v>0.92873239436619726</v>
      </c>
      <c r="L93" s="483" t="str">
        <f t="shared" si="9"/>
        <v>Tolerable</v>
      </c>
    </row>
    <row r="94" spans="1:17" x14ac:dyDescent="0.25">
      <c r="A94" s="482" t="s">
        <v>423</v>
      </c>
      <c r="B94" s="476">
        <v>44561</v>
      </c>
      <c r="C94" s="285" t="s">
        <v>380</v>
      </c>
      <c r="D94" s="285" t="s">
        <v>381</v>
      </c>
      <c r="E94" s="286">
        <v>0.11169999999999999</v>
      </c>
      <c r="F94" s="534">
        <f t="shared" si="5"/>
        <v>11.17</v>
      </c>
      <c r="G94" s="286">
        <v>0.24079999999999999</v>
      </c>
      <c r="H94" s="537">
        <f t="shared" si="6"/>
        <v>24.08</v>
      </c>
      <c r="I94" s="487" t="s">
        <v>114</v>
      </c>
      <c r="J94" s="80">
        <f t="shared" si="7"/>
        <v>2.1557743957027751</v>
      </c>
      <c r="K94" s="517">
        <f t="shared" si="8"/>
        <v>1.2</v>
      </c>
      <c r="L94" s="483" t="str">
        <f t="shared" si="9"/>
        <v>Sobresaliente</v>
      </c>
    </row>
    <row r="95" spans="1:17" x14ac:dyDescent="0.25">
      <c r="A95" s="482" t="s">
        <v>357</v>
      </c>
      <c r="B95" s="476">
        <v>44561</v>
      </c>
      <c r="C95" s="285" t="s">
        <v>380</v>
      </c>
      <c r="D95" s="285" t="s">
        <v>381</v>
      </c>
      <c r="E95" s="494">
        <v>7.2099999999999997E-2</v>
      </c>
      <c r="F95" s="534">
        <f t="shared" si="5"/>
        <v>7.21</v>
      </c>
      <c r="G95" s="286">
        <v>-2.07E-2</v>
      </c>
      <c r="H95" s="537">
        <f t="shared" si="6"/>
        <v>-2.0699999999999998</v>
      </c>
      <c r="I95" s="487" t="s">
        <v>114</v>
      </c>
      <c r="J95" s="80">
        <f t="shared" si="7"/>
        <v>-0.28710124826629679</v>
      </c>
      <c r="K95" s="517">
        <f t="shared" si="8"/>
        <v>0</v>
      </c>
      <c r="L95" s="483" t="str">
        <f t="shared" si="9"/>
        <v>Incumple</v>
      </c>
    </row>
    <row r="96" spans="1:17" x14ac:dyDescent="0.25">
      <c r="A96" s="482" t="s">
        <v>358</v>
      </c>
      <c r="B96" s="476">
        <v>44561</v>
      </c>
      <c r="C96" s="285" t="s">
        <v>380</v>
      </c>
      <c r="D96" s="285" t="s">
        <v>381</v>
      </c>
      <c r="E96" s="286">
        <v>1</v>
      </c>
      <c r="F96" s="534">
        <f t="shared" si="5"/>
        <v>100</v>
      </c>
      <c r="G96" s="286">
        <v>1.2278</v>
      </c>
      <c r="H96" s="537">
        <f t="shared" si="6"/>
        <v>122.78</v>
      </c>
      <c r="I96" s="487" t="s">
        <v>116</v>
      </c>
      <c r="J96" s="80">
        <f t="shared" si="7"/>
        <v>0.7722</v>
      </c>
      <c r="K96" s="517">
        <f t="shared" si="8"/>
        <v>0.7722</v>
      </c>
      <c r="L96" s="483" t="str">
        <f t="shared" si="9"/>
        <v>Incumple</v>
      </c>
    </row>
    <row r="97" spans="1:16" x14ac:dyDescent="0.25">
      <c r="A97" s="482" t="s">
        <v>360</v>
      </c>
      <c r="B97" s="476">
        <v>44561</v>
      </c>
      <c r="C97" s="285" t="s">
        <v>380</v>
      </c>
      <c r="D97" s="285" t="s">
        <v>381</v>
      </c>
      <c r="E97" s="496">
        <v>4.6500000000000004</v>
      </c>
      <c r="F97" s="535">
        <f>+E97</f>
        <v>4.6500000000000004</v>
      </c>
      <c r="G97" s="496">
        <v>4.25</v>
      </c>
      <c r="H97" s="538">
        <f>+G97</f>
        <v>4.25</v>
      </c>
      <c r="I97" s="487" t="s">
        <v>114</v>
      </c>
      <c r="J97" s="80">
        <f t="shared" si="7"/>
        <v>0.91397849462365588</v>
      </c>
      <c r="K97" s="517">
        <f t="shared" si="8"/>
        <v>0.91397849462365588</v>
      </c>
      <c r="L97" s="483" t="str">
        <f t="shared" si="9"/>
        <v>Tolerable</v>
      </c>
    </row>
    <row r="98" spans="1:16" x14ac:dyDescent="0.25">
      <c r="A98" s="482" t="s">
        <v>361</v>
      </c>
      <c r="B98" s="476">
        <v>44561</v>
      </c>
      <c r="C98" s="285" t="s">
        <v>380</v>
      </c>
      <c r="D98" s="285" t="s">
        <v>381</v>
      </c>
      <c r="E98" s="494">
        <v>0.5</v>
      </c>
      <c r="F98" s="534">
        <f t="shared" si="5"/>
        <v>50</v>
      </c>
      <c r="G98" s="494">
        <v>0.52649999999999997</v>
      </c>
      <c r="H98" s="537">
        <f t="shared" si="6"/>
        <v>52.65</v>
      </c>
      <c r="I98" s="487" t="s">
        <v>114</v>
      </c>
      <c r="J98" s="80">
        <f t="shared" si="7"/>
        <v>1.0529999999999999</v>
      </c>
      <c r="K98" s="517">
        <f t="shared" si="8"/>
        <v>1.0529999999999999</v>
      </c>
      <c r="L98" s="483" t="str">
        <f t="shared" si="9"/>
        <v>Sobresaliente</v>
      </c>
      <c r="P98" s="294"/>
    </row>
    <row r="99" spans="1:16" x14ac:dyDescent="0.25">
      <c r="A99" s="482" t="s">
        <v>362</v>
      </c>
      <c r="B99" s="476">
        <v>44561</v>
      </c>
      <c r="C99" s="285" t="s">
        <v>380</v>
      </c>
      <c r="D99" s="285" t="s">
        <v>381</v>
      </c>
      <c r="E99" s="494">
        <v>0.47460000000000002</v>
      </c>
      <c r="F99" s="534">
        <f t="shared" si="5"/>
        <v>47.46</v>
      </c>
      <c r="G99" s="494">
        <v>0.61080000000000001</v>
      </c>
      <c r="H99" s="537">
        <f t="shared" si="6"/>
        <v>61.08</v>
      </c>
      <c r="I99" s="487" t="s">
        <v>114</v>
      </c>
      <c r="J99" s="80">
        <f t="shared" si="7"/>
        <v>1.2869785082174463</v>
      </c>
      <c r="K99" s="517">
        <f t="shared" si="8"/>
        <v>1.2</v>
      </c>
      <c r="L99" s="483" t="str">
        <f t="shared" si="9"/>
        <v>Sobresaliente</v>
      </c>
    </row>
    <row r="100" spans="1:16" x14ac:dyDescent="0.25">
      <c r="A100" s="482" t="s">
        <v>424</v>
      </c>
      <c r="B100" s="476">
        <v>44561</v>
      </c>
      <c r="C100" s="285" t="s">
        <v>380</v>
      </c>
      <c r="D100" s="285" t="s">
        <v>381</v>
      </c>
      <c r="E100" s="494">
        <v>0.90959999999999996</v>
      </c>
      <c r="F100" s="534">
        <f t="shared" si="5"/>
        <v>90.96</v>
      </c>
      <c r="G100" s="494">
        <v>0.53349999999999997</v>
      </c>
      <c r="H100" s="537">
        <f t="shared" si="6"/>
        <v>53.349999999999994</v>
      </c>
      <c r="I100" s="487" t="s">
        <v>114</v>
      </c>
      <c r="J100" s="80">
        <f t="shared" si="7"/>
        <v>0.58652154793315747</v>
      </c>
      <c r="K100" s="517">
        <f t="shared" si="8"/>
        <v>0.58652154793315747</v>
      </c>
      <c r="L100" s="483" t="str">
        <f t="shared" si="9"/>
        <v>Incumple</v>
      </c>
    </row>
    <row r="101" spans="1:16" x14ac:dyDescent="0.25">
      <c r="A101" s="482" t="s">
        <v>423</v>
      </c>
      <c r="B101" s="476">
        <v>44561</v>
      </c>
      <c r="C101" s="285" t="s">
        <v>382</v>
      </c>
      <c r="D101" s="285" t="s">
        <v>381</v>
      </c>
      <c r="E101" s="494">
        <v>8.43E-2</v>
      </c>
      <c r="F101" s="534">
        <f t="shared" si="5"/>
        <v>8.43</v>
      </c>
      <c r="G101" s="494">
        <v>0.14499999999999999</v>
      </c>
      <c r="H101" s="537">
        <f t="shared" si="6"/>
        <v>14.499999999999998</v>
      </c>
      <c r="I101" s="487" t="s">
        <v>114</v>
      </c>
      <c r="J101" s="80">
        <f t="shared" si="7"/>
        <v>1.7200474495848159</v>
      </c>
      <c r="K101" s="517">
        <f t="shared" si="8"/>
        <v>1.2</v>
      </c>
      <c r="L101" s="483" t="str">
        <f t="shared" si="9"/>
        <v>Sobresaliente</v>
      </c>
    </row>
    <row r="102" spans="1:16" x14ac:dyDescent="0.25">
      <c r="A102" s="482" t="s">
        <v>357</v>
      </c>
      <c r="B102" s="476">
        <v>44561</v>
      </c>
      <c r="C102" s="285" t="s">
        <v>382</v>
      </c>
      <c r="D102" s="285" t="s">
        <v>381</v>
      </c>
      <c r="E102" s="494">
        <v>0.36720000000000003</v>
      </c>
      <c r="F102" s="534">
        <f t="shared" si="5"/>
        <v>36.720000000000006</v>
      </c>
      <c r="G102" s="494">
        <v>0.4718</v>
      </c>
      <c r="H102" s="537">
        <f t="shared" si="6"/>
        <v>47.18</v>
      </c>
      <c r="I102" s="487" t="s">
        <v>114</v>
      </c>
      <c r="J102" s="80">
        <f t="shared" si="7"/>
        <v>1.2848583877995641</v>
      </c>
      <c r="K102" s="517">
        <f t="shared" si="8"/>
        <v>1.2</v>
      </c>
      <c r="L102" s="483" t="str">
        <f t="shared" si="9"/>
        <v>Sobresaliente</v>
      </c>
    </row>
    <row r="103" spans="1:16" x14ac:dyDescent="0.25">
      <c r="A103" s="482" t="s">
        <v>358</v>
      </c>
      <c r="B103" s="476">
        <v>44561</v>
      </c>
      <c r="C103" s="285" t="s">
        <v>382</v>
      </c>
      <c r="D103" s="285" t="s">
        <v>381</v>
      </c>
      <c r="E103" s="286">
        <v>1</v>
      </c>
      <c r="F103" s="534">
        <f t="shared" si="5"/>
        <v>100</v>
      </c>
      <c r="G103" s="494">
        <v>0.88149999999999995</v>
      </c>
      <c r="H103" s="537">
        <f t="shared" si="6"/>
        <v>88.149999999999991</v>
      </c>
      <c r="I103" s="487" t="s">
        <v>116</v>
      </c>
      <c r="J103" s="80">
        <f t="shared" si="7"/>
        <v>1.1185</v>
      </c>
      <c r="K103" s="517">
        <f t="shared" si="8"/>
        <v>1.1185</v>
      </c>
      <c r="L103" s="483" t="str">
        <f t="shared" si="9"/>
        <v>Sobresaliente</v>
      </c>
    </row>
    <row r="104" spans="1:16" x14ac:dyDescent="0.25">
      <c r="A104" s="482" t="s">
        <v>360</v>
      </c>
      <c r="B104" s="476">
        <v>44561</v>
      </c>
      <c r="C104" s="285" t="s">
        <v>382</v>
      </c>
      <c r="D104" s="285" t="s">
        <v>381</v>
      </c>
      <c r="E104" s="496">
        <v>4.6500000000000004</v>
      </c>
      <c r="F104" s="535">
        <f>+E104</f>
        <v>4.6500000000000004</v>
      </c>
      <c r="G104" s="496">
        <v>4.59</v>
      </c>
      <c r="H104" s="538">
        <f>+G104</f>
        <v>4.59</v>
      </c>
      <c r="I104" s="487" t="s">
        <v>114</v>
      </c>
      <c r="J104" s="80">
        <f t="shared" si="7"/>
        <v>0.98709677419354824</v>
      </c>
      <c r="K104" s="517">
        <f t="shared" si="8"/>
        <v>0.98709677419354824</v>
      </c>
      <c r="L104" s="483" t="str">
        <f t="shared" si="9"/>
        <v>Satisfactorio</v>
      </c>
    </row>
    <row r="105" spans="1:16" x14ac:dyDescent="0.25">
      <c r="A105" s="482" t="s">
        <v>361</v>
      </c>
      <c r="B105" s="476">
        <v>44561</v>
      </c>
      <c r="C105" s="285" t="s">
        <v>382</v>
      </c>
      <c r="D105" s="285" t="s">
        <v>381</v>
      </c>
      <c r="E105" s="494">
        <v>0.5</v>
      </c>
      <c r="F105" s="534">
        <f t="shared" si="5"/>
        <v>50</v>
      </c>
      <c r="G105" s="494">
        <v>0.59650000000000003</v>
      </c>
      <c r="H105" s="537">
        <f t="shared" si="6"/>
        <v>59.650000000000006</v>
      </c>
      <c r="I105" s="487" t="s">
        <v>114</v>
      </c>
      <c r="J105" s="80">
        <f t="shared" si="7"/>
        <v>1.1930000000000001</v>
      </c>
      <c r="K105" s="517">
        <f t="shared" si="8"/>
        <v>1.1930000000000001</v>
      </c>
      <c r="L105" s="483" t="str">
        <f t="shared" si="9"/>
        <v>Sobresaliente</v>
      </c>
    </row>
    <row r="106" spans="1:16" x14ac:dyDescent="0.25">
      <c r="A106" s="482" t="s">
        <v>362</v>
      </c>
      <c r="B106" s="476">
        <v>44561</v>
      </c>
      <c r="C106" s="285" t="s">
        <v>382</v>
      </c>
      <c r="D106" s="285" t="s">
        <v>381</v>
      </c>
      <c r="E106" s="494">
        <v>0.19889999999999999</v>
      </c>
      <c r="F106" s="534">
        <f t="shared" si="5"/>
        <v>19.89</v>
      </c>
      <c r="G106" s="494">
        <v>0.85450000000000004</v>
      </c>
      <c r="H106" s="537">
        <f t="shared" si="6"/>
        <v>85.45</v>
      </c>
      <c r="I106" s="487" t="s">
        <v>114</v>
      </c>
      <c r="J106" s="80">
        <f t="shared" si="7"/>
        <v>4.2961287078934145</v>
      </c>
      <c r="K106" s="517">
        <f t="shared" si="8"/>
        <v>1.2</v>
      </c>
      <c r="L106" s="483" t="str">
        <f t="shared" si="9"/>
        <v>Sobresaliente</v>
      </c>
    </row>
    <row r="107" spans="1:16" x14ac:dyDescent="0.25">
      <c r="A107" s="482" t="s">
        <v>424</v>
      </c>
      <c r="B107" s="476">
        <v>44561</v>
      </c>
      <c r="C107" s="285" t="s">
        <v>382</v>
      </c>
      <c r="D107" s="285" t="s">
        <v>381</v>
      </c>
      <c r="E107" s="494">
        <v>0.99080000000000001</v>
      </c>
      <c r="F107" s="534">
        <f t="shared" si="5"/>
        <v>99.08</v>
      </c>
      <c r="G107" s="494">
        <v>0.99260000000000004</v>
      </c>
      <c r="H107" s="537">
        <f t="shared" si="6"/>
        <v>99.26</v>
      </c>
      <c r="I107" s="487" t="s">
        <v>114</v>
      </c>
      <c r="J107" s="80">
        <f t="shared" si="7"/>
        <v>1.0018167137666532</v>
      </c>
      <c r="K107" s="517">
        <f t="shared" si="8"/>
        <v>1.0018167137666532</v>
      </c>
      <c r="L107" s="483" t="str">
        <f t="shared" si="9"/>
        <v>Sobresaliente</v>
      </c>
    </row>
    <row r="108" spans="1:16" x14ac:dyDescent="0.25">
      <c r="A108" s="482" t="s">
        <v>423</v>
      </c>
      <c r="B108" s="476">
        <v>44592</v>
      </c>
      <c r="C108" s="285" t="s">
        <v>109</v>
      </c>
      <c r="D108" s="285" t="s">
        <v>110</v>
      </c>
      <c r="E108" s="283">
        <v>0.16600000000000001</v>
      </c>
      <c r="F108" s="534">
        <f t="shared" si="5"/>
        <v>16.600000000000001</v>
      </c>
      <c r="G108" s="494">
        <v>0.2059</v>
      </c>
      <c r="H108" s="537">
        <f t="shared" si="6"/>
        <v>20.59</v>
      </c>
      <c r="I108" s="487" t="s">
        <v>114</v>
      </c>
      <c r="J108" s="80">
        <f t="shared" si="7"/>
        <v>1.2403614457831325</v>
      </c>
      <c r="K108" s="517">
        <f t="shared" si="8"/>
        <v>1.2</v>
      </c>
      <c r="L108" s="483" t="str">
        <f>+IF(J108&lt;79.99999%,"Incumple",IF(AND(J108&gt;=80%,J108&lt;94.999999%),"Tolerable",IF(AND(J108&gt;=95%,J108&lt;100%),"Satisfactorio","Sobresaliente")))</f>
        <v>Sobresaliente</v>
      </c>
    </row>
    <row r="109" spans="1:16" x14ac:dyDescent="0.25">
      <c r="A109" s="482" t="s">
        <v>357</v>
      </c>
      <c r="B109" s="476">
        <v>44592</v>
      </c>
      <c r="C109" s="285" t="s">
        <v>109</v>
      </c>
      <c r="D109" s="285" t="s">
        <v>110</v>
      </c>
      <c r="E109" s="494">
        <v>-0.67010000000000003</v>
      </c>
      <c r="F109" s="534">
        <f t="shared" si="5"/>
        <v>-67.010000000000005</v>
      </c>
      <c r="G109" s="494">
        <v>-0.58030000000000004</v>
      </c>
      <c r="H109" s="537">
        <f t="shared" si="6"/>
        <v>-58.03</v>
      </c>
      <c r="I109" s="487" t="s">
        <v>114</v>
      </c>
      <c r="J109" s="80">
        <f t="shared" si="7"/>
        <v>1.1340098492762274</v>
      </c>
      <c r="K109" s="517">
        <f t="shared" si="8"/>
        <v>1.1340098492762274</v>
      </c>
      <c r="L109" s="483" t="str">
        <f t="shared" ref="L109:L172" si="10">+IF(J109&lt;79.99999%,"Incumple",IF(AND(J109&gt;=80%,J109&lt;94.999999%),"Tolerable",IF(AND(J109&gt;=95%,J109&lt;100%),"Satisfactorio","Sobresaliente")))</f>
        <v>Sobresaliente</v>
      </c>
    </row>
    <row r="110" spans="1:16" x14ac:dyDescent="0.25">
      <c r="A110" s="482" t="s">
        <v>415</v>
      </c>
      <c r="B110" s="476">
        <v>44592</v>
      </c>
      <c r="C110" s="285" t="s">
        <v>109</v>
      </c>
      <c r="D110" s="285" t="s">
        <v>110</v>
      </c>
      <c r="E110" s="494">
        <v>1</v>
      </c>
      <c r="F110" s="534">
        <f t="shared" si="5"/>
        <v>100</v>
      </c>
      <c r="G110" s="494">
        <v>0.97140000000000004</v>
      </c>
      <c r="H110" s="537">
        <f t="shared" si="6"/>
        <v>97.14</v>
      </c>
      <c r="I110" s="487" t="s">
        <v>116</v>
      </c>
      <c r="J110" s="80">
        <f t="shared" si="7"/>
        <v>1.0286</v>
      </c>
      <c r="K110" s="517">
        <f t="shared" si="8"/>
        <v>1.0286</v>
      </c>
      <c r="L110" s="483" t="str">
        <f t="shared" si="10"/>
        <v>Sobresaliente</v>
      </c>
    </row>
    <row r="111" spans="1:16" x14ac:dyDescent="0.25">
      <c r="A111" s="482" t="s">
        <v>359</v>
      </c>
      <c r="B111" s="476">
        <v>44592</v>
      </c>
      <c r="C111" s="285" t="s">
        <v>109</v>
      </c>
      <c r="D111" s="285" t="s">
        <v>110</v>
      </c>
      <c r="E111" s="494">
        <v>0.4012</v>
      </c>
      <c r="F111" s="534">
        <f t="shared" si="5"/>
        <v>40.119999999999997</v>
      </c>
      <c r="G111" s="494">
        <v>0.36720000000000003</v>
      </c>
      <c r="H111" s="537">
        <f t="shared" si="6"/>
        <v>36.720000000000006</v>
      </c>
      <c r="I111" s="487" t="s">
        <v>116</v>
      </c>
      <c r="J111" s="80">
        <f t="shared" si="7"/>
        <v>1.0847457627118644</v>
      </c>
      <c r="K111" s="517">
        <f t="shared" si="8"/>
        <v>1.0847457627118644</v>
      </c>
      <c r="L111" s="483" t="str">
        <f t="shared" si="10"/>
        <v>Sobresaliente</v>
      </c>
    </row>
    <row r="112" spans="1:16" x14ac:dyDescent="0.25">
      <c r="A112" s="482" t="s">
        <v>360</v>
      </c>
      <c r="B112" s="476">
        <v>44592</v>
      </c>
      <c r="C112" s="285" t="s">
        <v>109</v>
      </c>
      <c r="D112" s="285" t="s">
        <v>110</v>
      </c>
      <c r="E112" s="496">
        <v>4.6500000000000004</v>
      </c>
      <c r="F112" s="535">
        <f>+E112</f>
        <v>4.6500000000000004</v>
      </c>
      <c r="G112" s="496">
        <v>4.49</v>
      </c>
      <c r="H112" s="538">
        <f>+G112</f>
        <v>4.49</v>
      </c>
      <c r="I112" s="487" t="s">
        <v>114</v>
      </c>
      <c r="J112" s="80">
        <f t="shared" si="7"/>
        <v>0.96559139784946235</v>
      </c>
      <c r="K112" s="517">
        <f t="shared" si="8"/>
        <v>0.96559139784946235</v>
      </c>
      <c r="L112" s="483" t="str">
        <f t="shared" si="10"/>
        <v>Satisfactorio</v>
      </c>
    </row>
    <row r="113" spans="1:12" x14ac:dyDescent="0.25">
      <c r="A113" s="482" t="s">
        <v>361</v>
      </c>
      <c r="B113" s="476">
        <v>44592</v>
      </c>
      <c r="C113" s="285" t="s">
        <v>109</v>
      </c>
      <c r="D113" s="285" t="s">
        <v>110</v>
      </c>
      <c r="E113" s="494">
        <v>0.54</v>
      </c>
      <c r="F113" s="534">
        <f t="shared" ref="F113:F118" si="11">+E113*100</f>
        <v>54</v>
      </c>
      <c r="G113" s="494">
        <v>0.6482</v>
      </c>
      <c r="H113" s="537">
        <f t="shared" ref="H113:H118" si="12">+G113*100</f>
        <v>64.819999999999993</v>
      </c>
      <c r="I113" s="487" t="s">
        <v>114</v>
      </c>
      <c r="J113" s="80">
        <f t="shared" si="7"/>
        <v>1.2003703703703703</v>
      </c>
      <c r="K113" s="517">
        <f t="shared" si="8"/>
        <v>1.2</v>
      </c>
      <c r="L113" s="483" t="str">
        <f t="shared" si="10"/>
        <v>Sobresaliente</v>
      </c>
    </row>
    <row r="114" spans="1:12" x14ac:dyDescent="0.25">
      <c r="A114" s="482" t="s">
        <v>362</v>
      </c>
      <c r="B114" s="476">
        <v>44592</v>
      </c>
      <c r="C114" s="285" t="s">
        <v>109</v>
      </c>
      <c r="D114" s="285" t="s">
        <v>110</v>
      </c>
      <c r="E114" s="494">
        <v>3.4799999999999998E-2</v>
      </c>
      <c r="F114" s="534">
        <f t="shared" si="11"/>
        <v>3.4799999999999995</v>
      </c>
      <c r="G114" s="494">
        <v>5.4899999999999997E-2</v>
      </c>
      <c r="H114" s="537">
        <f t="shared" si="12"/>
        <v>5.4899999999999993</v>
      </c>
      <c r="I114" s="487" t="s">
        <v>114</v>
      </c>
      <c r="J114" s="80">
        <f t="shared" si="7"/>
        <v>1.5775862068965518</v>
      </c>
      <c r="K114" s="517">
        <f t="shared" si="8"/>
        <v>1.2</v>
      </c>
      <c r="L114" s="483" t="str">
        <f t="shared" si="10"/>
        <v>Sobresaliente</v>
      </c>
    </row>
    <row r="115" spans="1:12" x14ac:dyDescent="0.25">
      <c r="A115" s="482" t="s">
        <v>424</v>
      </c>
      <c r="B115" s="476">
        <v>44592</v>
      </c>
      <c r="C115" s="285" t="s">
        <v>109</v>
      </c>
      <c r="D115" s="285" t="s">
        <v>110</v>
      </c>
      <c r="E115" s="494">
        <v>0.4446</v>
      </c>
      <c r="F115" s="534">
        <f t="shared" si="11"/>
        <v>44.46</v>
      </c>
      <c r="G115" s="494">
        <v>0.371</v>
      </c>
      <c r="H115" s="537">
        <f t="shared" si="12"/>
        <v>37.1</v>
      </c>
      <c r="I115" s="487" t="s">
        <v>114</v>
      </c>
      <c r="J115" s="80">
        <f t="shared" si="7"/>
        <v>0.83445793972109761</v>
      </c>
      <c r="K115" s="517">
        <f t="shared" si="8"/>
        <v>0.83445793972109761</v>
      </c>
      <c r="L115" s="483" t="str">
        <f t="shared" si="10"/>
        <v>Tolerable</v>
      </c>
    </row>
    <row r="116" spans="1:12" x14ac:dyDescent="0.25">
      <c r="A116" s="482" t="s">
        <v>423</v>
      </c>
      <c r="B116" s="476">
        <v>44592</v>
      </c>
      <c r="C116" s="285" t="s">
        <v>363</v>
      </c>
      <c r="D116" s="285" t="s">
        <v>110</v>
      </c>
      <c r="E116" s="283">
        <v>5.7799999999999997E-2</v>
      </c>
      <c r="F116" s="534">
        <f t="shared" si="11"/>
        <v>5.7799999999999994</v>
      </c>
      <c r="G116" s="494">
        <v>0.16289999999999999</v>
      </c>
      <c r="H116" s="537">
        <f t="shared" si="12"/>
        <v>16.29</v>
      </c>
      <c r="I116" s="487" t="s">
        <v>114</v>
      </c>
      <c r="J116" s="80">
        <f t="shared" si="7"/>
        <v>2.8183391003460208</v>
      </c>
      <c r="K116" s="517">
        <f t="shared" si="8"/>
        <v>1.2</v>
      </c>
      <c r="L116" s="483" t="str">
        <f t="shared" si="10"/>
        <v>Sobresaliente</v>
      </c>
    </row>
    <row r="117" spans="1:12" x14ac:dyDescent="0.25">
      <c r="A117" s="482" t="s">
        <v>415</v>
      </c>
      <c r="B117" s="476">
        <v>44592</v>
      </c>
      <c r="C117" s="285" t="s">
        <v>363</v>
      </c>
      <c r="D117" s="285" t="s">
        <v>110</v>
      </c>
      <c r="E117" s="494">
        <v>1</v>
      </c>
      <c r="F117" s="534">
        <f t="shared" si="11"/>
        <v>100</v>
      </c>
      <c r="G117" s="494">
        <v>0.97809999999999997</v>
      </c>
      <c r="H117" s="537">
        <f t="shared" si="12"/>
        <v>97.81</v>
      </c>
      <c r="I117" s="487" t="s">
        <v>116</v>
      </c>
      <c r="J117" s="80">
        <f t="shared" si="7"/>
        <v>1.0219</v>
      </c>
      <c r="K117" s="517">
        <f t="shared" si="8"/>
        <v>1.0219</v>
      </c>
      <c r="L117" s="483" t="str">
        <f t="shared" si="10"/>
        <v>Sobresaliente</v>
      </c>
    </row>
    <row r="118" spans="1:12" x14ac:dyDescent="0.25">
      <c r="A118" s="482" t="s">
        <v>359</v>
      </c>
      <c r="B118" s="476">
        <v>44592</v>
      </c>
      <c r="C118" s="285" t="s">
        <v>363</v>
      </c>
      <c r="D118" s="285" t="s">
        <v>110</v>
      </c>
      <c r="E118" s="494">
        <v>0.35970000000000002</v>
      </c>
      <c r="F118" s="534">
        <f t="shared" si="11"/>
        <v>35.97</v>
      </c>
      <c r="G118" s="494">
        <v>0.3664</v>
      </c>
      <c r="H118" s="537">
        <f t="shared" si="12"/>
        <v>36.64</v>
      </c>
      <c r="I118" s="487" t="s">
        <v>116</v>
      </c>
      <c r="J118" s="80">
        <f t="shared" si="7"/>
        <v>0.98137336669446762</v>
      </c>
      <c r="K118" s="517">
        <f t="shared" si="8"/>
        <v>0.98137336669446762</v>
      </c>
      <c r="L118" s="483" t="str">
        <f t="shared" si="10"/>
        <v>Satisfactorio</v>
      </c>
    </row>
    <row r="119" spans="1:12" x14ac:dyDescent="0.25">
      <c r="A119" s="482" t="s">
        <v>360</v>
      </c>
      <c r="B119" s="476">
        <v>44592</v>
      </c>
      <c r="C119" s="285" t="s">
        <v>363</v>
      </c>
      <c r="D119" s="285" t="s">
        <v>110</v>
      </c>
      <c r="E119" s="287">
        <v>4.6500000000000004</v>
      </c>
      <c r="F119" s="535">
        <f>+E119</f>
        <v>4.6500000000000004</v>
      </c>
      <c r="G119" s="287">
        <v>4.46</v>
      </c>
      <c r="H119" s="538">
        <f>+G119</f>
        <v>4.46</v>
      </c>
      <c r="I119" s="487" t="s">
        <v>114</v>
      </c>
      <c r="J119" s="80">
        <f t="shared" si="7"/>
        <v>0.95913978494623653</v>
      </c>
      <c r="K119" s="517">
        <f t="shared" si="8"/>
        <v>0.95913978494623653</v>
      </c>
      <c r="L119" s="483" t="str">
        <f t="shared" si="10"/>
        <v>Satisfactorio</v>
      </c>
    </row>
    <row r="120" spans="1:12" x14ac:dyDescent="0.25">
      <c r="A120" s="482" t="s">
        <v>361</v>
      </c>
      <c r="B120" s="476">
        <v>44592</v>
      </c>
      <c r="C120" s="285" t="s">
        <v>363</v>
      </c>
      <c r="D120" s="285" t="s">
        <v>110</v>
      </c>
      <c r="E120" s="494">
        <v>0.54</v>
      </c>
      <c r="F120" s="534">
        <f t="shared" ref="F120:F125" si="13">+E120*100</f>
        <v>54</v>
      </c>
      <c r="G120" s="494">
        <v>0.61629999999999996</v>
      </c>
      <c r="H120" s="537">
        <f t="shared" ref="H120:H125" si="14">+G120*100</f>
        <v>61.629999999999995</v>
      </c>
      <c r="I120" s="487" t="s">
        <v>114</v>
      </c>
      <c r="J120" s="80">
        <f t="shared" si="7"/>
        <v>1.1412962962962963</v>
      </c>
      <c r="K120" s="517">
        <f t="shared" si="8"/>
        <v>1.1412962962962963</v>
      </c>
      <c r="L120" s="483" t="str">
        <f t="shared" si="10"/>
        <v>Sobresaliente</v>
      </c>
    </row>
    <row r="121" spans="1:12" x14ac:dyDescent="0.25">
      <c r="A121" s="482" t="s">
        <v>362</v>
      </c>
      <c r="B121" s="476">
        <v>44592</v>
      </c>
      <c r="C121" s="285" t="s">
        <v>363</v>
      </c>
      <c r="D121" s="285" t="s">
        <v>110</v>
      </c>
      <c r="E121" s="494">
        <v>5.9900000000000002E-2</v>
      </c>
      <c r="F121" s="534">
        <f t="shared" si="13"/>
        <v>5.99</v>
      </c>
      <c r="G121" s="494">
        <v>-2.9999999999999997E-4</v>
      </c>
      <c r="H121" s="537">
        <f t="shared" si="14"/>
        <v>-0.03</v>
      </c>
      <c r="I121" s="487" t="s">
        <v>114</v>
      </c>
      <c r="J121" s="80">
        <f t="shared" si="7"/>
        <v>-5.0083472454090141E-3</v>
      </c>
      <c r="K121" s="517">
        <f t="shared" si="8"/>
        <v>0</v>
      </c>
      <c r="L121" s="483" t="str">
        <f t="shared" si="10"/>
        <v>Incumple</v>
      </c>
    </row>
    <row r="122" spans="1:12" x14ac:dyDescent="0.25">
      <c r="A122" s="482" t="s">
        <v>424</v>
      </c>
      <c r="B122" s="476">
        <v>44592</v>
      </c>
      <c r="C122" s="285" t="s">
        <v>363</v>
      </c>
      <c r="D122" s="285" t="s">
        <v>110</v>
      </c>
      <c r="E122" s="494">
        <v>0.44969999999999999</v>
      </c>
      <c r="F122" s="534">
        <f t="shared" si="13"/>
        <v>44.97</v>
      </c>
      <c r="G122" s="494">
        <v>0.38700000000000001</v>
      </c>
      <c r="H122" s="537">
        <f t="shared" si="14"/>
        <v>38.700000000000003</v>
      </c>
      <c r="I122" s="487" t="s">
        <v>114</v>
      </c>
      <c r="J122" s="80">
        <f t="shared" si="7"/>
        <v>0.86057371581054043</v>
      </c>
      <c r="K122" s="517">
        <f t="shared" si="8"/>
        <v>0.86057371581054043</v>
      </c>
      <c r="L122" s="483" t="str">
        <f t="shared" si="10"/>
        <v>Tolerable</v>
      </c>
    </row>
    <row r="123" spans="1:12" x14ac:dyDescent="0.25">
      <c r="A123" s="482" t="s">
        <v>423</v>
      </c>
      <c r="B123" s="476">
        <v>44592</v>
      </c>
      <c r="C123" s="285" t="s">
        <v>364</v>
      </c>
      <c r="D123" s="285" t="s">
        <v>110</v>
      </c>
      <c r="E123" s="283">
        <v>2.7151999999999998</v>
      </c>
      <c r="F123" s="534">
        <f t="shared" si="13"/>
        <v>271.52</v>
      </c>
      <c r="G123" s="494">
        <v>2.012</v>
      </c>
      <c r="H123" s="537">
        <f t="shared" si="14"/>
        <v>201.2</v>
      </c>
      <c r="I123" s="487" t="s">
        <v>114</v>
      </c>
      <c r="J123" s="80">
        <f t="shared" si="7"/>
        <v>0.74101355332940488</v>
      </c>
      <c r="K123" s="517">
        <f t="shared" si="8"/>
        <v>0.74101355332940488</v>
      </c>
      <c r="L123" s="483" t="str">
        <f t="shared" si="10"/>
        <v>Incumple</v>
      </c>
    </row>
    <row r="124" spans="1:12" x14ac:dyDescent="0.25">
      <c r="A124" s="482" t="s">
        <v>357</v>
      </c>
      <c r="B124" s="476">
        <v>44592</v>
      </c>
      <c r="C124" s="285" t="s">
        <v>364</v>
      </c>
      <c r="D124" s="285" t="s">
        <v>110</v>
      </c>
      <c r="E124" s="283">
        <v>-0.38140000000000002</v>
      </c>
      <c r="F124" s="534">
        <f t="shared" si="13"/>
        <v>-38.14</v>
      </c>
      <c r="G124" s="494">
        <v>-0.61280000000000001</v>
      </c>
      <c r="H124" s="534">
        <f t="shared" si="14"/>
        <v>-61.28</v>
      </c>
      <c r="I124" s="285" t="s">
        <v>114</v>
      </c>
      <c r="J124" s="80">
        <f t="shared" si="7"/>
        <v>0.39328788673308868</v>
      </c>
      <c r="K124" s="517">
        <f t="shared" si="8"/>
        <v>0.39328788673308868</v>
      </c>
      <c r="L124" s="483" t="str">
        <f t="shared" si="10"/>
        <v>Incumple</v>
      </c>
    </row>
    <row r="125" spans="1:12" x14ac:dyDescent="0.25">
      <c r="A125" s="482" t="s">
        <v>415</v>
      </c>
      <c r="B125" s="476">
        <v>44592</v>
      </c>
      <c r="C125" s="285" t="s">
        <v>364</v>
      </c>
      <c r="D125" s="285" t="s">
        <v>110</v>
      </c>
      <c r="E125" s="494">
        <v>1</v>
      </c>
      <c r="F125" s="534">
        <f t="shared" si="13"/>
        <v>100</v>
      </c>
      <c r="G125" s="494">
        <v>0.89139999999999997</v>
      </c>
      <c r="H125" s="537">
        <f t="shared" si="14"/>
        <v>89.14</v>
      </c>
      <c r="I125" s="487" t="s">
        <v>116</v>
      </c>
      <c r="J125" s="80">
        <f t="shared" si="7"/>
        <v>1.1086</v>
      </c>
      <c r="K125" s="517">
        <f t="shared" si="8"/>
        <v>1.1086</v>
      </c>
      <c r="L125" s="483" t="str">
        <f t="shared" si="10"/>
        <v>Sobresaliente</v>
      </c>
    </row>
    <row r="126" spans="1:12" x14ac:dyDescent="0.25">
      <c r="A126" s="482" t="s">
        <v>360</v>
      </c>
      <c r="B126" s="476">
        <v>44592</v>
      </c>
      <c r="C126" s="285" t="s">
        <v>364</v>
      </c>
      <c r="D126" s="285" t="s">
        <v>110</v>
      </c>
      <c r="E126" s="496">
        <v>4.6500000000000004</v>
      </c>
      <c r="F126" s="535">
        <f>+E126</f>
        <v>4.6500000000000004</v>
      </c>
      <c r="G126" s="496">
        <v>4.7</v>
      </c>
      <c r="H126" s="538">
        <f>+G126</f>
        <v>4.7</v>
      </c>
      <c r="I126" s="487" t="s">
        <v>114</v>
      </c>
      <c r="J126" s="80">
        <f t="shared" si="7"/>
        <v>1.010752688172043</v>
      </c>
      <c r="K126" s="517">
        <f t="shared" si="8"/>
        <v>1.010752688172043</v>
      </c>
      <c r="L126" s="483" t="str">
        <f t="shared" si="10"/>
        <v>Sobresaliente</v>
      </c>
    </row>
    <row r="127" spans="1:12" x14ac:dyDescent="0.25">
      <c r="A127" s="482" t="s">
        <v>361</v>
      </c>
      <c r="B127" s="476">
        <v>44592</v>
      </c>
      <c r="C127" s="285" t="s">
        <v>364</v>
      </c>
      <c r="D127" s="285" t="s">
        <v>110</v>
      </c>
      <c r="E127" s="494">
        <v>0.54</v>
      </c>
      <c r="F127" s="534">
        <f t="shared" ref="F127:F132" si="15">+E127*100</f>
        <v>54</v>
      </c>
      <c r="G127" s="494">
        <v>0.85189999999999999</v>
      </c>
      <c r="H127" s="537">
        <f t="shared" ref="H127:H132" si="16">+G127*100</f>
        <v>85.19</v>
      </c>
      <c r="I127" s="487" t="s">
        <v>114</v>
      </c>
      <c r="J127" s="80">
        <f t="shared" si="7"/>
        <v>1.5775925925925924</v>
      </c>
      <c r="K127" s="517">
        <f t="shared" si="8"/>
        <v>1.2</v>
      </c>
      <c r="L127" s="483" t="str">
        <f t="shared" si="10"/>
        <v>Sobresaliente</v>
      </c>
    </row>
    <row r="128" spans="1:12" x14ac:dyDescent="0.25">
      <c r="A128" s="482" t="s">
        <v>362</v>
      </c>
      <c r="B128" s="476">
        <v>44592</v>
      </c>
      <c r="C128" s="285" t="s">
        <v>364</v>
      </c>
      <c r="D128" s="285" t="s">
        <v>110</v>
      </c>
      <c r="E128" s="494">
        <v>-0.39489999999999997</v>
      </c>
      <c r="F128" s="534">
        <f t="shared" si="15"/>
        <v>-39.489999999999995</v>
      </c>
      <c r="G128" s="494">
        <v>1.0015000000000001</v>
      </c>
      <c r="H128" s="537">
        <f t="shared" si="16"/>
        <v>100.15</v>
      </c>
      <c r="I128" s="487" t="s">
        <v>114</v>
      </c>
      <c r="J128" s="80">
        <f t="shared" si="7"/>
        <v>2.3943085371942088</v>
      </c>
      <c r="K128" s="517">
        <f t="shared" si="8"/>
        <v>1.2</v>
      </c>
      <c r="L128" s="483" t="str">
        <f t="shared" si="10"/>
        <v>Sobresaliente</v>
      </c>
    </row>
    <row r="129" spans="1:12" x14ac:dyDescent="0.25">
      <c r="A129" s="482" t="s">
        <v>424</v>
      </c>
      <c r="B129" s="476">
        <v>44592</v>
      </c>
      <c r="C129" s="285" t="s">
        <v>364</v>
      </c>
      <c r="D129" s="285" t="s">
        <v>110</v>
      </c>
      <c r="E129" s="494">
        <v>0.29060000000000002</v>
      </c>
      <c r="F129" s="534">
        <f t="shared" si="15"/>
        <v>29.060000000000002</v>
      </c>
      <c r="G129" s="494">
        <v>0.23449999999999999</v>
      </c>
      <c r="H129" s="537">
        <f t="shared" si="16"/>
        <v>23.45</v>
      </c>
      <c r="I129" s="487" t="s">
        <v>114</v>
      </c>
      <c r="J129" s="80">
        <f t="shared" si="7"/>
        <v>0.80695113558155529</v>
      </c>
      <c r="K129" s="517">
        <f t="shared" si="8"/>
        <v>0.80695113558155529</v>
      </c>
      <c r="L129" s="483" t="str">
        <f t="shared" si="10"/>
        <v>Tolerable</v>
      </c>
    </row>
    <row r="130" spans="1:12" x14ac:dyDescent="0.25">
      <c r="A130" s="482" t="s">
        <v>423</v>
      </c>
      <c r="B130" s="476">
        <v>44592</v>
      </c>
      <c r="C130" s="285" t="s">
        <v>366</v>
      </c>
      <c r="D130" s="285" t="s">
        <v>110</v>
      </c>
      <c r="E130" s="283">
        <v>0.27</v>
      </c>
      <c r="F130" s="534">
        <f t="shared" si="15"/>
        <v>27</v>
      </c>
      <c r="G130" s="494">
        <v>0.56040000000000001</v>
      </c>
      <c r="H130" s="537">
        <f t="shared" si="16"/>
        <v>56.04</v>
      </c>
      <c r="I130" s="487" t="s">
        <v>114</v>
      </c>
      <c r="J130" s="80">
        <f t="shared" si="7"/>
        <v>2.0755555555555554</v>
      </c>
      <c r="K130" s="517">
        <f t="shared" si="8"/>
        <v>1.2</v>
      </c>
      <c r="L130" s="483" t="str">
        <f t="shared" si="10"/>
        <v>Sobresaliente</v>
      </c>
    </row>
    <row r="131" spans="1:12" x14ac:dyDescent="0.25">
      <c r="A131" s="482" t="s">
        <v>415</v>
      </c>
      <c r="B131" s="476">
        <v>44592</v>
      </c>
      <c r="C131" s="285" t="s">
        <v>366</v>
      </c>
      <c r="D131" s="285" t="s">
        <v>110</v>
      </c>
      <c r="E131" s="494">
        <v>1</v>
      </c>
      <c r="F131" s="534">
        <f t="shared" si="15"/>
        <v>100</v>
      </c>
      <c r="G131" s="494">
        <v>0.79669999999999996</v>
      </c>
      <c r="H131" s="537">
        <f t="shared" si="16"/>
        <v>79.67</v>
      </c>
      <c r="I131" s="487" t="s">
        <v>116</v>
      </c>
      <c r="J131" s="80">
        <f t="shared" si="7"/>
        <v>1.2033</v>
      </c>
      <c r="K131" s="517">
        <f t="shared" si="8"/>
        <v>1.2</v>
      </c>
      <c r="L131" s="483" t="str">
        <f t="shared" si="10"/>
        <v>Sobresaliente</v>
      </c>
    </row>
    <row r="132" spans="1:12" x14ac:dyDescent="0.25">
      <c r="A132" s="482" t="s">
        <v>359</v>
      </c>
      <c r="B132" s="476">
        <v>44592</v>
      </c>
      <c r="C132" s="285" t="s">
        <v>366</v>
      </c>
      <c r="D132" s="285" t="s">
        <v>110</v>
      </c>
      <c r="E132" s="494">
        <v>0.67359999999999998</v>
      </c>
      <c r="F132" s="534">
        <f t="shared" si="15"/>
        <v>67.36</v>
      </c>
      <c r="G132" s="494">
        <v>0.57889999999999997</v>
      </c>
      <c r="H132" s="537">
        <f t="shared" si="16"/>
        <v>57.89</v>
      </c>
      <c r="I132" s="487" t="s">
        <v>116</v>
      </c>
      <c r="J132" s="80">
        <f t="shared" si="7"/>
        <v>1.1405878859857483</v>
      </c>
      <c r="K132" s="517">
        <f t="shared" si="8"/>
        <v>1.1405878859857483</v>
      </c>
      <c r="L132" s="483" t="str">
        <f t="shared" si="10"/>
        <v>Sobresaliente</v>
      </c>
    </row>
    <row r="133" spans="1:12" x14ac:dyDescent="0.25">
      <c r="A133" s="482" t="s">
        <v>360</v>
      </c>
      <c r="B133" s="476">
        <v>44592</v>
      </c>
      <c r="C133" s="285" t="s">
        <v>366</v>
      </c>
      <c r="D133" s="285" t="s">
        <v>110</v>
      </c>
      <c r="E133" s="287">
        <v>4.6500000000000004</v>
      </c>
      <c r="F133" s="535">
        <f>+E133</f>
        <v>4.6500000000000004</v>
      </c>
      <c r="G133" s="287">
        <v>4.4800000000000004</v>
      </c>
      <c r="H133" s="538">
        <f>+G133</f>
        <v>4.4800000000000004</v>
      </c>
      <c r="I133" s="487" t="s">
        <v>114</v>
      </c>
      <c r="J133" s="80">
        <f t="shared" si="7"/>
        <v>0.96344086021505382</v>
      </c>
      <c r="K133" s="517">
        <f t="shared" si="8"/>
        <v>0.96344086021505382</v>
      </c>
      <c r="L133" s="483" t="str">
        <f t="shared" si="10"/>
        <v>Satisfactorio</v>
      </c>
    </row>
    <row r="134" spans="1:12" x14ac:dyDescent="0.25">
      <c r="A134" s="482" t="s">
        <v>361</v>
      </c>
      <c r="B134" s="476">
        <v>44592</v>
      </c>
      <c r="C134" s="285" t="s">
        <v>366</v>
      </c>
      <c r="D134" s="285" t="s">
        <v>110</v>
      </c>
      <c r="E134" s="494">
        <v>0.54</v>
      </c>
      <c r="F134" s="534">
        <f t="shared" ref="F134:F142" si="17">+E134*100</f>
        <v>54</v>
      </c>
      <c r="G134" s="497">
        <v>0.5978</v>
      </c>
      <c r="H134" s="538">
        <f t="shared" ref="H134:H142" si="18">+G134*100</f>
        <v>59.78</v>
      </c>
      <c r="I134" s="487" t="s">
        <v>114</v>
      </c>
      <c r="J134" s="80">
        <f t="shared" si="7"/>
        <v>1.107037037037037</v>
      </c>
      <c r="K134" s="517">
        <f t="shared" si="8"/>
        <v>1.107037037037037</v>
      </c>
      <c r="L134" s="483" t="str">
        <f t="shared" si="10"/>
        <v>Sobresaliente</v>
      </c>
    </row>
    <row r="135" spans="1:12" x14ac:dyDescent="0.25">
      <c r="A135" s="482" t="s">
        <v>362</v>
      </c>
      <c r="B135" s="476">
        <v>44592</v>
      </c>
      <c r="C135" s="285" t="s">
        <v>366</v>
      </c>
      <c r="D135" s="285" t="s">
        <v>110</v>
      </c>
      <c r="E135" s="494">
        <v>0.97689999999999999</v>
      </c>
      <c r="F135" s="534">
        <f t="shared" si="17"/>
        <v>97.69</v>
      </c>
      <c r="G135" s="494">
        <v>1.7496</v>
      </c>
      <c r="H135" s="537">
        <f t="shared" si="18"/>
        <v>174.96</v>
      </c>
      <c r="I135" s="487" t="s">
        <v>114</v>
      </c>
      <c r="J135" s="80">
        <f t="shared" si="7"/>
        <v>1.7909714402702426</v>
      </c>
      <c r="K135" s="517">
        <f t="shared" si="8"/>
        <v>1.2</v>
      </c>
      <c r="L135" s="483" t="str">
        <f t="shared" si="10"/>
        <v>Sobresaliente</v>
      </c>
    </row>
    <row r="136" spans="1:12" x14ac:dyDescent="0.25">
      <c r="A136" s="482" t="s">
        <v>424</v>
      </c>
      <c r="B136" s="476">
        <v>44592</v>
      </c>
      <c r="C136" s="285" t="s">
        <v>366</v>
      </c>
      <c r="D136" s="285" t="s">
        <v>110</v>
      </c>
      <c r="E136" s="494">
        <v>0.32840000000000003</v>
      </c>
      <c r="F136" s="534">
        <f t="shared" si="17"/>
        <v>32.840000000000003</v>
      </c>
      <c r="G136" s="494">
        <v>0.21970000000000001</v>
      </c>
      <c r="H136" s="537">
        <f t="shared" si="18"/>
        <v>21.97</v>
      </c>
      <c r="I136" s="487" t="s">
        <v>114</v>
      </c>
      <c r="J136" s="80">
        <f t="shared" si="7"/>
        <v>0.66900121802679657</v>
      </c>
      <c r="K136" s="517">
        <f t="shared" si="8"/>
        <v>0.66900121802679657</v>
      </c>
      <c r="L136" s="483" t="str">
        <f t="shared" si="10"/>
        <v>Incumple</v>
      </c>
    </row>
    <row r="137" spans="1:12" x14ac:dyDescent="0.25">
      <c r="A137" s="482" t="s">
        <v>423</v>
      </c>
      <c r="B137" s="476">
        <v>44592</v>
      </c>
      <c r="C137" s="285" t="s">
        <v>111</v>
      </c>
      <c r="D137" s="285" t="s">
        <v>110</v>
      </c>
      <c r="E137" s="494">
        <v>0.39879999999999999</v>
      </c>
      <c r="F137" s="534">
        <f t="shared" si="17"/>
        <v>39.879999999999995</v>
      </c>
      <c r="G137" s="494">
        <v>0.42130000000000001</v>
      </c>
      <c r="H137" s="537">
        <f t="shared" si="18"/>
        <v>42.13</v>
      </c>
      <c r="I137" s="487" t="s">
        <v>114</v>
      </c>
      <c r="J137" s="80">
        <f t="shared" si="7"/>
        <v>1.05641925777332</v>
      </c>
      <c r="K137" s="517">
        <f t="shared" si="8"/>
        <v>1.05641925777332</v>
      </c>
      <c r="L137" s="483" t="str">
        <f t="shared" si="10"/>
        <v>Sobresaliente</v>
      </c>
    </row>
    <row r="138" spans="1:12" x14ac:dyDescent="0.25">
      <c r="A138" s="482" t="s">
        <v>357</v>
      </c>
      <c r="B138" s="476">
        <v>44592</v>
      </c>
      <c r="C138" s="285" t="s">
        <v>111</v>
      </c>
      <c r="D138" s="285" t="s">
        <v>110</v>
      </c>
      <c r="E138" s="494">
        <v>2.8899999999999999E-2</v>
      </c>
      <c r="F138" s="534">
        <f t="shared" si="17"/>
        <v>2.8899999999999997</v>
      </c>
      <c r="G138" s="494">
        <v>-2.3199999999999998E-2</v>
      </c>
      <c r="H138" s="537">
        <f t="shared" si="18"/>
        <v>-2.3199999999999998</v>
      </c>
      <c r="I138" s="487" t="s">
        <v>114</v>
      </c>
      <c r="J138" s="80">
        <f t="shared" si="7"/>
        <v>-0.80276816608996537</v>
      </c>
      <c r="K138" s="517">
        <f t="shared" si="8"/>
        <v>0</v>
      </c>
      <c r="L138" s="483" t="str">
        <f t="shared" si="10"/>
        <v>Incumple</v>
      </c>
    </row>
    <row r="139" spans="1:12" x14ac:dyDescent="0.25">
      <c r="A139" s="482" t="s">
        <v>415</v>
      </c>
      <c r="B139" s="476">
        <v>44592</v>
      </c>
      <c r="C139" s="285" t="s">
        <v>111</v>
      </c>
      <c r="D139" s="285" t="s">
        <v>110</v>
      </c>
      <c r="E139" s="494">
        <v>1</v>
      </c>
      <c r="F139" s="534">
        <f t="shared" si="17"/>
        <v>100</v>
      </c>
      <c r="G139" s="494">
        <v>0.78390000000000004</v>
      </c>
      <c r="H139" s="537">
        <f t="shared" si="18"/>
        <v>78.39</v>
      </c>
      <c r="I139" s="487" t="s">
        <v>116</v>
      </c>
      <c r="J139" s="80">
        <f t="shared" si="7"/>
        <v>1.2161</v>
      </c>
      <c r="K139" s="517">
        <f t="shared" si="8"/>
        <v>1.2</v>
      </c>
      <c r="L139" s="483" t="str">
        <f t="shared" si="10"/>
        <v>Sobresaliente</v>
      </c>
    </row>
    <row r="140" spans="1:12" x14ac:dyDescent="0.25">
      <c r="A140" s="482" t="s">
        <v>423</v>
      </c>
      <c r="B140" s="476">
        <v>44592</v>
      </c>
      <c r="C140" s="285" t="s">
        <v>367</v>
      </c>
      <c r="D140" s="285" t="s">
        <v>110</v>
      </c>
      <c r="E140" s="283">
        <v>0.79169999999999996</v>
      </c>
      <c r="F140" s="534">
        <f t="shared" si="17"/>
        <v>79.17</v>
      </c>
      <c r="G140" s="494">
        <v>0.48010000000000003</v>
      </c>
      <c r="H140" s="537">
        <f t="shared" si="18"/>
        <v>48.010000000000005</v>
      </c>
      <c r="I140" s="487" t="s">
        <v>114</v>
      </c>
      <c r="J140" s="80">
        <f t="shared" si="7"/>
        <v>0.60641657193381338</v>
      </c>
      <c r="K140" s="517">
        <f t="shared" si="8"/>
        <v>0.60641657193381338</v>
      </c>
      <c r="L140" s="483" t="str">
        <f t="shared" si="10"/>
        <v>Incumple</v>
      </c>
    </row>
    <row r="141" spans="1:12" x14ac:dyDescent="0.25">
      <c r="A141" s="482" t="s">
        <v>415</v>
      </c>
      <c r="B141" s="476">
        <v>44592</v>
      </c>
      <c r="C141" s="285" t="s">
        <v>367</v>
      </c>
      <c r="D141" s="285" t="s">
        <v>110</v>
      </c>
      <c r="E141" s="494">
        <v>1</v>
      </c>
      <c r="F141" s="534">
        <f t="shared" si="17"/>
        <v>100</v>
      </c>
      <c r="G141" s="494">
        <v>0.57509999999999994</v>
      </c>
      <c r="H141" s="537">
        <f t="shared" si="18"/>
        <v>57.509999999999991</v>
      </c>
      <c r="I141" s="487" t="s">
        <v>116</v>
      </c>
      <c r="J141" s="80">
        <f t="shared" si="7"/>
        <v>1.4249000000000001</v>
      </c>
      <c r="K141" s="517">
        <f t="shared" si="8"/>
        <v>1.2</v>
      </c>
      <c r="L141" s="483" t="str">
        <f t="shared" si="10"/>
        <v>Sobresaliente</v>
      </c>
    </row>
    <row r="142" spans="1:12" x14ac:dyDescent="0.25">
      <c r="A142" s="482" t="s">
        <v>359</v>
      </c>
      <c r="B142" s="476">
        <v>44592</v>
      </c>
      <c r="C142" s="285" t="s">
        <v>367</v>
      </c>
      <c r="D142" s="285" t="s">
        <v>110</v>
      </c>
      <c r="E142" s="494">
        <v>0.28589999999999999</v>
      </c>
      <c r="F142" s="534">
        <f t="shared" si="17"/>
        <v>28.59</v>
      </c>
      <c r="G142" s="494">
        <v>0.41410000000000002</v>
      </c>
      <c r="H142" s="537">
        <f t="shared" si="18"/>
        <v>41.410000000000004</v>
      </c>
      <c r="I142" s="487" t="s">
        <v>116</v>
      </c>
      <c r="J142" s="80">
        <f t="shared" si="7"/>
        <v>0.55159146554739402</v>
      </c>
      <c r="K142" s="517">
        <f t="shared" si="8"/>
        <v>0.55159146554739402</v>
      </c>
      <c r="L142" s="483" t="str">
        <f t="shared" si="10"/>
        <v>Incumple</v>
      </c>
    </row>
    <row r="143" spans="1:12" x14ac:dyDescent="0.25">
      <c r="A143" s="482" t="s">
        <v>360</v>
      </c>
      <c r="B143" s="476">
        <v>44592</v>
      </c>
      <c r="C143" s="285" t="s">
        <v>367</v>
      </c>
      <c r="D143" s="285" t="s">
        <v>110</v>
      </c>
      <c r="E143" s="287">
        <v>4.6500000000000004</v>
      </c>
      <c r="F143" s="535">
        <f>+E143</f>
        <v>4.6500000000000004</v>
      </c>
      <c r="G143" s="287">
        <v>4.71</v>
      </c>
      <c r="H143" s="538">
        <f>+G143</f>
        <v>4.71</v>
      </c>
      <c r="I143" s="487" t="s">
        <v>114</v>
      </c>
      <c r="J143" s="80">
        <f t="shared" si="7"/>
        <v>1.0129032258064514</v>
      </c>
      <c r="K143" s="517">
        <f t="shared" si="8"/>
        <v>1.0129032258064514</v>
      </c>
      <c r="L143" s="483" t="str">
        <f t="shared" si="10"/>
        <v>Sobresaliente</v>
      </c>
    </row>
    <row r="144" spans="1:12" x14ac:dyDescent="0.25">
      <c r="A144" s="482" t="s">
        <v>361</v>
      </c>
      <c r="B144" s="476">
        <v>44592</v>
      </c>
      <c r="C144" s="285" t="s">
        <v>367</v>
      </c>
      <c r="D144" s="285" t="s">
        <v>110</v>
      </c>
      <c r="E144" s="497">
        <v>0.54</v>
      </c>
      <c r="F144" s="535">
        <f t="shared" ref="F144:F149" si="19">+E144*100</f>
        <v>54</v>
      </c>
      <c r="G144" s="497">
        <v>0.71189999999999998</v>
      </c>
      <c r="H144" s="538">
        <f t="shared" ref="H144:H149" si="20">+G144*100</f>
        <v>71.19</v>
      </c>
      <c r="I144" s="487" t="s">
        <v>114</v>
      </c>
      <c r="J144" s="80">
        <f t="shared" si="7"/>
        <v>1.3183333333333331</v>
      </c>
      <c r="K144" s="517">
        <f t="shared" si="8"/>
        <v>1.2</v>
      </c>
      <c r="L144" s="483" t="str">
        <f t="shared" si="10"/>
        <v>Sobresaliente</v>
      </c>
    </row>
    <row r="145" spans="1:14" x14ac:dyDescent="0.25">
      <c r="A145" s="482" t="s">
        <v>362</v>
      </c>
      <c r="B145" s="476">
        <v>44592</v>
      </c>
      <c r="C145" s="285" t="s">
        <v>367</v>
      </c>
      <c r="D145" s="285" t="s">
        <v>110</v>
      </c>
      <c r="E145" s="494">
        <v>0.13719999999999999</v>
      </c>
      <c r="F145" s="534">
        <f t="shared" si="19"/>
        <v>13.719999999999999</v>
      </c>
      <c r="G145" s="494">
        <v>0.78120000000000001</v>
      </c>
      <c r="H145" s="537">
        <f t="shared" si="20"/>
        <v>78.12</v>
      </c>
      <c r="I145" s="487" t="s">
        <v>114</v>
      </c>
      <c r="J145" s="80">
        <f t="shared" si="7"/>
        <v>5.6938775510204085</v>
      </c>
      <c r="K145" s="517">
        <f t="shared" si="8"/>
        <v>1.2</v>
      </c>
      <c r="L145" s="483" t="str">
        <f t="shared" si="10"/>
        <v>Sobresaliente</v>
      </c>
    </row>
    <row r="146" spans="1:14" x14ac:dyDescent="0.25">
      <c r="A146" s="482" t="s">
        <v>424</v>
      </c>
      <c r="B146" s="476">
        <v>44592</v>
      </c>
      <c r="C146" s="285" t="s">
        <v>367</v>
      </c>
      <c r="D146" s="285" t="s">
        <v>110</v>
      </c>
      <c r="E146" s="494">
        <v>3.6200000000000003E-2</v>
      </c>
      <c r="F146" s="534">
        <f t="shared" si="19"/>
        <v>3.62</v>
      </c>
      <c r="G146" s="494">
        <v>6.4399999999999999E-2</v>
      </c>
      <c r="H146" s="537">
        <f t="shared" si="20"/>
        <v>6.4399999999999995</v>
      </c>
      <c r="I146" s="487" t="s">
        <v>114</v>
      </c>
      <c r="J146" s="80">
        <f t="shared" si="7"/>
        <v>1.7790055248618784</v>
      </c>
      <c r="K146" s="517">
        <f t="shared" si="8"/>
        <v>1.2</v>
      </c>
      <c r="L146" s="483" t="str">
        <f t="shared" si="10"/>
        <v>Sobresaliente</v>
      </c>
    </row>
    <row r="147" spans="1:14" x14ac:dyDescent="0.25">
      <c r="A147" s="482" t="s">
        <v>423</v>
      </c>
      <c r="B147" s="476">
        <v>44592</v>
      </c>
      <c r="C147" s="285" t="s">
        <v>368</v>
      </c>
      <c r="D147" s="285" t="s">
        <v>369</v>
      </c>
      <c r="E147" s="283">
        <v>0.21729999999999999</v>
      </c>
      <c r="F147" s="534">
        <f t="shared" si="19"/>
        <v>21.73</v>
      </c>
      <c r="G147" s="494">
        <v>1.2830999999999999</v>
      </c>
      <c r="H147" s="537">
        <f t="shared" si="20"/>
        <v>128.31</v>
      </c>
      <c r="I147" s="487" t="s">
        <v>114</v>
      </c>
      <c r="J147" s="80">
        <f t="shared" si="7"/>
        <v>5.9047399907961342</v>
      </c>
      <c r="K147" s="517">
        <f t="shared" si="8"/>
        <v>1.2</v>
      </c>
      <c r="L147" s="483" t="str">
        <f t="shared" si="10"/>
        <v>Sobresaliente</v>
      </c>
    </row>
    <row r="148" spans="1:14" x14ac:dyDescent="0.25">
      <c r="A148" s="482" t="s">
        <v>415</v>
      </c>
      <c r="B148" s="476">
        <v>44592</v>
      </c>
      <c r="C148" s="285" t="s">
        <v>368</v>
      </c>
      <c r="D148" s="285" t="s">
        <v>369</v>
      </c>
      <c r="E148" s="494">
        <v>1</v>
      </c>
      <c r="F148" s="534">
        <f t="shared" si="19"/>
        <v>100</v>
      </c>
      <c r="G148" s="494">
        <v>0.83379999999999999</v>
      </c>
      <c r="H148" s="537">
        <f t="shared" si="20"/>
        <v>83.38</v>
      </c>
      <c r="I148" s="487" t="s">
        <v>116</v>
      </c>
      <c r="J148" s="80">
        <f t="shared" si="7"/>
        <v>1.1661999999999999</v>
      </c>
      <c r="K148" s="517">
        <f t="shared" si="8"/>
        <v>1.1661999999999999</v>
      </c>
      <c r="L148" s="483" t="str">
        <f t="shared" si="10"/>
        <v>Sobresaliente</v>
      </c>
    </row>
    <row r="149" spans="1:14" x14ac:dyDescent="0.25">
      <c r="A149" s="482" t="s">
        <v>359</v>
      </c>
      <c r="B149" s="476">
        <v>44592</v>
      </c>
      <c r="C149" s="285" t="s">
        <v>368</v>
      </c>
      <c r="D149" s="285" t="s">
        <v>369</v>
      </c>
      <c r="E149" s="494">
        <v>0.62070000000000003</v>
      </c>
      <c r="F149" s="534">
        <f t="shared" si="19"/>
        <v>62.07</v>
      </c>
      <c r="G149" s="494">
        <v>6.8699999999999997E-2</v>
      </c>
      <c r="H149" s="537">
        <f t="shared" si="20"/>
        <v>6.87</v>
      </c>
      <c r="I149" s="487" t="s">
        <v>116</v>
      </c>
      <c r="J149" s="80">
        <f t="shared" si="7"/>
        <v>1.8893185113581441</v>
      </c>
      <c r="K149" s="517">
        <f t="shared" si="8"/>
        <v>1.2</v>
      </c>
      <c r="L149" s="483" t="str">
        <f t="shared" si="10"/>
        <v>Sobresaliente</v>
      </c>
    </row>
    <row r="150" spans="1:14" x14ac:dyDescent="0.25">
      <c r="A150" s="482" t="s">
        <v>360</v>
      </c>
      <c r="B150" s="476">
        <v>44592</v>
      </c>
      <c r="C150" s="285" t="s">
        <v>368</v>
      </c>
      <c r="D150" s="285" t="s">
        <v>369</v>
      </c>
      <c r="E150" s="287">
        <v>4.6500000000000004</v>
      </c>
      <c r="F150" s="535">
        <f>+E150</f>
        <v>4.6500000000000004</v>
      </c>
      <c r="G150" s="287">
        <v>4.68</v>
      </c>
      <c r="H150" s="538">
        <f>+G150</f>
        <v>4.68</v>
      </c>
      <c r="I150" s="487" t="s">
        <v>114</v>
      </c>
      <c r="J150" s="80">
        <f t="shared" si="7"/>
        <v>1.0064516129032257</v>
      </c>
      <c r="K150" s="517">
        <f t="shared" si="8"/>
        <v>1.0064516129032257</v>
      </c>
      <c r="L150" s="483" t="str">
        <f t="shared" si="10"/>
        <v>Sobresaliente</v>
      </c>
    </row>
    <row r="151" spans="1:14" x14ac:dyDescent="0.25">
      <c r="A151" s="482" t="s">
        <v>361</v>
      </c>
      <c r="B151" s="476">
        <v>44592</v>
      </c>
      <c r="C151" s="285" t="s">
        <v>368</v>
      </c>
      <c r="D151" s="285" t="s">
        <v>369</v>
      </c>
      <c r="E151" s="494">
        <v>0.54</v>
      </c>
      <c r="F151" s="534">
        <f t="shared" ref="F151:F156" si="21">+E151*100</f>
        <v>54</v>
      </c>
      <c r="G151" s="494">
        <v>0.74419999999999997</v>
      </c>
      <c r="H151" s="537">
        <f t="shared" ref="H151:H156" si="22">+G151*100</f>
        <v>74.42</v>
      </c>
      <c r="I151" s="487" t="s">
        <v>114</v>
      </c>
      <c r="J151" s="80">
        <f t="shared" si="7"/>
        <v>1.3781481481481479</v>
      </c>
      <c r="K151" s="517">
        <f t="shared" si="8"/>
        <v>1.2</v>
      </c>
      <c r="L151" s="483" t="str">
        <f t="shared" si="10"/>
        <v>Sobresaliente</v>
      </c>
    </row>
    <row r="152" spans="1:14" x14ac:dyDescent="0.25">
      <c r="A152" s="482" t="s">
        <v>362</v>
      </c>
      <c r="B152" s="476">
        <v>44592</v>
      </c>
      <c r="C152" s="285" t="s">
        <v>368</v>
      </c>
      <c r="D152" s="285" t="s">
        <v>369</v>
      </c>
      <c r="E152" s="494">
        <v>1.3355999999999999</v>
      </c>
      <c r="F152" s="534">
        <f t="shared" si="21"/>
        <v>133.56</v>
      </c>
      <c r="G152" s="494">
        <v>1.0792999999999999</v>
      </c>
      <c r="H152" s="537">
        <f t="shared" si="22"/>
        <v>107.92999999999999</v>
      </c>
      <c r="I152" s="487" t="s">
        <v>114</v>
      </c>
      <c r="J152" s="80">
        <f t="shared" si="7"/>
        <v>0.80810122791254868</v>
      </c>
      <c r="K152" s="517">
        <f t="shared" si="8"/>
        <v>0.80810122791254868</v>
      </c>
      <c r="L152" s="483" t="str">
        <f t="shared" si="10"/>
        <v>Tolerable</v>
      </c>
    </row>
    <row r="153" spans="1:14" x14ac:dyDescent="0.25">
      <c r="A153" s="482" t="s">
        <v>424</v>
      </c>
      <c r="B153" s="476">
        <v>44592</v>
      </c>
      <c r="C153" s="285" t="s">
        <v>368</v>
      </c>
      <c r="D153" s="285" t="s">
        <v>369</v>
      </c>
      <c r="E153" s="494">
        <v>0.28620000000000001</v>
      </c>
      <c r="F153" s="534">
        <f t="shared" si="21"/>
        <v>28.62</v>
      </c>
      <c r="G153" s="494">
        <v>0.37409999999999999</v>
      </c>
      <c r="H153" s="537">
        <f t="shared" si="22"/>
        <v>37.409999999999997</v>
      </c>
      <c r="I153" s="487" t="s">
        <v>114</v>
      </c>
      <c r="J153" s="80">
        <f t="shared" si="7"/>
        <v>1.3071278825995807</v>
      </c>
      <c r="K153" s="517">
        <f t="shared" si="8"/>
        <v>1.2</v>
      </c>
      <c r="L153" s="483" t="str">
        <f t="shared" si="10"/>
        <v>Sobresaliente</v>
      </c>
    </row>
    <row r="154" spans="1:14" x14ac:dyDescent="0.25">
      <c r="A154" s="482" t="s">
        <v>423</v>
      </c>
      <c r="B154" s="476">
        <v>44592</v>
      </c>
      <c r="C154" s="285" t="s">
        <v>370</v>
      </c>
      <c r="D154" s="285" t="s">
        <v>369</v>
      </c>
      <c r="E154" s="292">
        <v>0</v>
      </c>
      <c r="F154" s="534">
        <f t="shared" si="21"/>
        <v>0</v>
      </c>
      <c r="G154" s="501">
        <v>0</v>
      </c>
      <c r="H154" s="537">
        <f t="shared" si="22"/>
        <v>0</v>
      </c>
      <c r="I154" s="487" t="s">
        <v>114</v>
      </c>
      <c r="J154" s="80" t="str">
        <f t="shared" si="7"/>
        <v>N/A</v>
      </c>
      <c r="K154" s="517">
        <f t="shared" si="8"/>
        <v>1.2</v>
      </c>
      <c r="L154" s="483" t="str">
        <f t="shared" si="10"/>
        <v>Sobresaliente</v>
      </c>
      <c r="M154" s="495" t="s">
        <v>383</v>
      </c>
      <c r="N154" s="711" t="s">
        <v>403</v>
      </c>
    </row>
    <row r="155" spans="1:14" x14ac:dyDescent="0.25">
      <c r="A155" s="482" t="s">
        <v>358</v>
      </c>
      <c r="B155" s="476">
        <v>44592</v>
      </c>
      <c r="C155" s="285" t="s">
        <v>370</v>
      </c>
      <c r="D155" s="285" t="s">
        <v>369</v>
      </c>
      <c r="E155" s="501">
        <v>0</v>
      </c>
      <c r="F155" s="534">
        <f t="shared" si="21"/>
        <v>0</v>
      </c>
      <c r="G155" s="501">
        <v>0</v>
      </c>
      <c r="H155" s="537">
        <f t="shared" si="22"/>
        <v>0</v>
      </c>
      <c r="I155" s="487" t="s">
        <v>116</v>
      </c>
      <c r="J155" s="80" t="str">
        <f t="shared" si="7"/>
        <v>N/A</v>
      </c>
      <c r="K155" s="517">
        <f t="shared" si="8"/>
        <v>1.2</v>
      </c>
      <c r="L155" s="483" t="str">
        <f t="shared" si="10"/>
        <v>Sobresaliente</v>
      </c>
      <c r="M155" s="495" t="s">
        <v>384</v>
      </c>
      <c r="N155" s="711"/>
    </row>
    <row r="156" spans="1:14" x14ac:dyDescent="0.25">
      <c r="A156" s="482" t="s">
        <v>359</v>
      </c>
      <c r="B156" s="476">
        <v>44592</v>
      </c>
      <c r="C156" s="285" t="s">
        <v>370</v>
      </c>
      <c r="D156" s="285" t="s">
        <v>369</v>
      </c>
      <c r="E156" s="501">
        <v>0</v>
      </c>
      <c r="F156" s="534">
        <f t="shared" si="21"/>
        <v>0</v>
      </c>
      <c r="G156" s="501">
        <v>0</v>
      </c>
      <c r="H156" s="537">
        <f t="shared" si="22"/>
        <v>0</v>
      </c>
      <c r="I156" s="487" t="s">
        <v>116</v>
      </c>
      <c r="J156" s="80" t="str">
        <f t="shared" si="7"/>
        <v>N/A</v>
      </c>
      <c r="K156" s="517">
        <f t="shared" si="8"/>
        <v>1.2</v>
      </c>
      <c r="L156" s="483" t="str">
        <f t="shared" si="10"/>
        <v>Sobresaliente</v>
      </c>
      <c r="M156" s="495" t="s">
        <v>383</v>
      </c>
      <c r="N156" s="711"/>
    </row>
    <row r="157" spans="1:14" x14ac:dyDescent="0.25">
      <c r="A157" s="482" t="s">
        <v>360</v>
      </c>
      <c r="B157" s="476">
        <v>44592</v>
      </c>
      <c r="C157" s="285" t="s">
        <v>370</v>
      </c>
      <c r="D157" s="285" t="s">
        <v>369</v>
      </c>
      <c r="E157" s="558">
        <v>4.6500000000000004</v>
      </c>
      <c r="F157" s="535">
        <f>+E157</f>
        <v>4.6500000000000004</v>
      </c>
      <c r="G157" s="287">
        <v>0</v>
      </c>
      <c r="H157" s="538">
        <f>+G157</f>
        <v>0</v>
      </c>
      <c r="I157" s="487" t="s">
        <v>114</v>
      </c>
      <c r="J157" s="80">
        <f t="shared" si="7"/>
        <v>0</v>
      </c>
      <c r="K157" s="517">
        <f t="shared" si="8"/>
        <v>0</v>
      </c>
      <c r="L157" s="483" t="str">
        <f t="shared" si="10"/>
        <v>Incumple</v>
      </c>
      <c r="M157" s="495" t="s">
        <v>402</v>
      </c>
      <c r="N157" s="711"/>
    </row>
    <row r="158" spans="1:14" x14ac:dyDescent="0.25">
      <c r="A158" s="482" t="s">
        <v>361</v>
      </c>
      <c r="B158" s="476">
        <v>44592</v>
      </c>
      <c r="C158" s="285" t="s">
        <v>370</v>
      </c>
      <c r="D158" s="285" t="s">
        <v>369</v>
      </c>
      <c r="E158" s="494">
        <v>0.5</v>
      </c>
      <c r="F158" s="534">
        <f t="shared" ref="F158:F163" si="23">+E158*100</f>
        <v>50</v>
      </c>
      <c r="G158" s="494">
        <v>0</v>
      </c>
      <c r="H158" s="537">
        <f t="shared" ref="H158:H163" si="24">+G158*100</f>
        <v>0</v>
      </c>
      <c r="I158" s="487" t="s">
        <v>114</v>
      </c>
      <c r="J158" s="80">
        <f t="shared" si="7"/>
        <v>0</v>
      </c>
      <c r="K158" s="517">
        <f t="shared" si="8"/>
        <v>0</v>
      </c>
      <c r="L158" s="483" t="str">
        <f t="shared" si="10"/>
        <v>Incumple</v>
      </c>
      <c r="M158" s="495" t="s">
        <v>401</v>
      </c>
      <c r="N158" s="711"/>
    </row>
    <row r="159" spans="1:14" x14ac:dyDescent="0.25">
      <c r="A159" s="482" t="s">
        <v>362</v>
      </c>
      <c r="B159" s="476">
        <v>44592</v>
      </c>
      <c r="C159" s="285" t="s">
        <v>370</v>
      </c>
      <c r="D159" s="285" t="s">
        <v>369</v>
      </c>
      <c r="E159" s="494">
        <v>-0.74319999999999997</v>
      </c>
      <c r="F159" s="534">
        <f t="shared" si="23"/>
        <v>-74.319999999999993</v>
      </c>
      <c r="G159" s="494">
        <v>-0.73970000000000002</v>
      </c>
      <c r="H159" s="537">
        <f t="shared" si="24"/>
        <v>-73.97</v>
      </c>
      <c r="I159" s="487" t="s">
        <v>114</v>
      </c>
      <c r="J159" s="80">
        <f t="shared" si="7"/>
        <v>1.0047093649085037</v>
      </c>
      <c r="K159" s="517">
        <f t="shared" si="8"/>
        <v>1.0047093649085037</v>
      </c>
      <c r="L159" s="483" t="str">
        <f t="shared" si="10"/>
        <v>Sobresaliente</v>
      </c>
      <c r="N159" s="711"/>
    </row>
    <row r="160" spans="1:14" x14ac:dyDescent="0.25">
      <c r="A160" s="482" t="s">
        <v>424</v>
      </c>
      <c r="B160" s="476">
        <v>44592</v>
      </c>
      <c r="C160" s="285" t="s">
        <v>370</v>
      </c>
      <c r="D160" s="285" t="s">
        <v>369</v>
      </c>
      <c r="E160" s="494">
        <v>0</v>
      </c>
      <c r="F160" s="534">
        <f t="shared" si="23"/>
        <v>0</v>
      </c>
      <c r="G160" s="494">
        <v>0</v>
      </c>
      <c r="H160" s="537">
        <f t="shared" si="24"/>
        <v>0</v>
      </c>
      <c r="I160" s="487" t="s">
        <v>114</v>
      </c>
      <c r="J160" s="80" t="str">
        <f t="shared" si="7"/>
        <v>N/A</v>
      </c>
      <c r="K160" s="517">
        <f t="shared" si="8"/>
        <v>1.2</v>
      </c>
      <c r="L160" s="483" t="str">
        <f t="shared" si="10"/>
        <v>Sobresaliente</v>
      </c>
      <c r="M160" s="495" t="s">
        <v>383</v>
      </c>
      <c r="N160" s="711"/>
    </row>
    <row r="161" spans="1:13" x14ac:dyDescent="0.25">
      <c r="A161" s="482" t="s">
        <v>423</v>
      </c>
      <c r="B161" s="476">
        <v>44592</v>
      </c>
      <c r="C161" s="285" t="s">
        <v>22</v>
      </c>
      <c r="D161" s="285" t="s">
        <v>369</v>
      </c>
      <c r="E161" s="283">
        <v>0.62219999999999998</v>
      </c>
      <c r="F161" s="534">
        <f t="shared" si="23"/>
        <v>62.22</v>
      </c>
      <c r="G161" s="494">
        <v>2.3418999999999999</v>
      </c>
      <c r="H161" s="537">
        <f t="shared" si="24"/>
        <v>234.19</v>
      </c>
      <c r="I161" s="487" t="s">
        <v>114</v>
      </c>
      <c r="J161" s="80">
        <f t="shared" si="7"/>
        <v>3.7639022822243651</v>
      </c>
      <c r="K161" s="517">
        <f t="shared" si="8"/>
        <v>1.2</v>
      </c>
      <c r="L161" s="483" t="str">
        <f t="shared" si="10"/>
        <v>Sobresaliente</v>
      </c>
    </row>
    <row r="162" spans="1:13" x14ac:dyDescent="0.25">
      <c r="A162" s="482" t="s">
        <v>415</v>
      </c>
      <c r="B162" s="476">
        <v>44592</v>
      </c>
      <c r="C162" s="285" t="s">
        <v>22</v>
      </c>
      <c r="D162" s="285" t="s">
        <v>369</v>
      </c>
      <c r="E162" s="494">
        <v>1</v>
      </c>
      <c r="F162" s="534">
        <f t="shared" si="23"/>
        <v>100</v>
      </c>
      <c r="G162" s="494">
        <v>0.8145</v>
      </c>
      <c r="H162" s="537">
        <f t="shared" si="24"/>
        <v>81.45</v>
      </c>
      <c r="I162" s="487" t="s">
        <v>116</v>
      </c>
      <c r="J162" s="80">
        <f t="shared" si="7"/>
        <v>1.1855</v>
      </c>
      <c r="K162" s="517">
        <f t="shared" si="8"/>
        <v>1.1855</v>
      </c>
      <c r="L162" s="483" t="str">
        <f t="shared" si="10"/>
        <v>Sobresaliente</v>
      </c>
    </row>
    <row r="163" spans="1:13" x14ac:dyDescent="0.25">
      <c r="A163" s="482" t="s">
        <v>359</v>
      </c>
      <c r="B163" s="476">
        <v>44592</v>
      </c>
      <c r="C163" s="285" t="s">
        <v>22</v>
      </c>
      <c r="D163" s="285" t="s">
        <v>369</v>
      </c>
      <c r="E163" s="494">
        <v>0.59919999999999995</v>
      </c>
      <c r="F163" s="534">
        <f t="shared" si="23"/>
        <v>59.919999999999995</v>
      </c>
      <c r="G163" s="494">
        <v>-4.07E-2</v>
      </c>
      <c r="H163" s="537">
        <f t="shared" si="24"/>
        <v>-4.07</v>
      </c>
      <c r="I163" s="487" t="s">
        <v>116</v>
      </c>
      <c r="J163" s="80">
        <f t="shared" si="7"/>
        <v>15.72235872235872</v>
      </c>
      <c r="K163" s="517">
        <f t="shared" si="8"/>
        <v>1.2</v>
      </c>
      <c r="L163" s="483" t="str">
        <f t="shared" si="10"/>
        <v>Sobresaliente</v>
      </c>
    </row>
    <row r="164" spans="1:13" x14ac:dyDescent="0.25">
      <c r="A164" s="482" t="s">
        <v>360</v>
      </c>
      <c r="B164" s="476">
        <v>44592</v>
      </c>
      <c r="C164" s="285" t="s">
        <v>22</v>
      </c>
      <c r="D164" s="285" t="s">
        <v>369</v>
      </c>
      <c r="E164" s="287">
        <v>4.6500000000000004</v>
      </c>
      <c r="F164" s="535">
        <f>+E164</f>
        <v>4.6500000000000004</v>
      </c>
      <c r="G164" s="287">
        <v>4.5599999999999996</v>
      </c>
      <c r="H164" s="538">
        <f>+G164</f>
        <v>4.5599999999999996</v>
      </c>
      <c r="I164" s="487" t="s">
        <v>114</v>
      </c>
      <c r="J164" s="80">
        <f t="shared" si="7"/>
        <v>0.98064516129032242</v>
      </c>
      <c r="K164" s="517">
        <f t="shared" si="8"/>
        <v>0.98064516129032242</v>
      </c>
      <c r="L164" s="483" t="str">
        <f t="shared" si="10"/>
        <v>Satisfactorio</v>
      </c>
    </row>
    <row r="165" spans="1:13" x14ac:dyDescent="0.25">
      <c r="A165" s="482" t="s">
        <v>361</v>
      </c>
      <c r="B165" s="476">
        <v>44592</v>
      </c>
      <c r="C165" s="285" t="s">
        <v>22</v>
      </c>
      <c r="D165" s="285" t="s">
        <v>369</v>
      </c>
      <c r="E165" s="494">
        <v>0.54</v>
      </c>
      <c r="F165" s="534">
        <f t="shared" ref="F165:F170" si="25">+E165*100</f>
        <v>54</v>
      </c>
      <c r="G165" s="494">
        <v>0.73209999999999997</v>
      </c>
      <c r="H165" s="537">
        <f t="shared" ref="H165:H170" si="26">+G165*100</f>
        <v>73.209999999999994</v>
      </c>
      <c r="I165" s="487" t="s">
        <v>114</v>
      </c>
      <c r="J165" s="80">
        <f t="shared" si="7"/>
        <v>1.3557407407407407</v>
      </c>
      <c r="K165" s="517">
        <f t="shared" si="8"/>
        <v>1.2</v>
      </c>
      <c r="L165" s="483" t="str">
        <f t="shared" si="10"/>
        <v>Sobresaliente</v>
      </c>
    </row>
    <row r="166" spans="1:13" x14ac:dyDescent="0.25">
      <c r="A166" s="482" t="s">
        <v>362</v>
      </c>
      <c r="B166" s="476">
        <v>44592</v>
      </c>
      <c r="C166" s="285" t="s">
        <v>22</v>
      </c>
      <c r="D166" s="285" t="s">
        <v>369</v>
      </c>
      <c r="E166" s="494">
        <v>0.11840000000000001</v>
      </c>
      <c r="F166" s="534">
        <f t="shared" si="25"/>
        <v>11.84</v>
      </c>
      <c r="G166" s="494">
        <v>0.86839999999999995</v>
      </c>
      <c r="H166" s="537">
        <f t="shared" si="26"/>
        <v>86.839999999999989</v>
      </c>
      <c r="I166" s="487" t="s">
        <v>114</v>
      </c>
      <c r="J166" s="80">
        <f t="shared" si="7"/>
        <v>7.3344594594594588</v>
      </c>
      <c r="K166" s="517">
        <f t="shared" si="8"/>
        <v>1.2</v>
      </c>
      <c r="L166" s="483" t="str">
        <f t="shared" si="10"/>
        <v>Sobresaliente</v>
      </c>
    </row>
    <row r="167" spans="1:13" x14ac:dyDescent="0.25">
      <c r="A167" s="482" t="s">
        <v>424</v>
      </c>
      <c r="B167" s="476">
        <v>44592</v>
      </c>
      <c r="C167" s="285" t="s">
        <v>22</v>
      </c>
      <c r="D167" s="285" t="s">
        <v>369</v>
      </c>
      <c r="E167" s="494">
        <v>0.48220000000000002</v>
      </c>
      <c r="F167" s="534">
        <f t="shared" si="25"/>
        <v>48.22</v>
      </c>
      <c r="G167" s="494">
        <v>0.37959999999999999</v>
      </c>
      <c r="H167" s="537">
        <f t="shared" si="26"/>
        <v>37.96</v>
      </c>
      <c r="I167" s="487" t="s">
        <v>114</v>
      </c>
      <c r="J167" s="80">
        <f t="shared" si="7"/>
        <v>0.78722521775197007</v>
      </c>
      <c r="K167" s="517">
        <f t="shared" si="8"/>
        <v>0.78722521775197007</v>
      </c>
      <c r="L167" s="483" t="str">
        <f t="shared" si="10"/>
        <v>Incumple</v>
      </c>
    </row>
    <row r="168" spans="1:13" x14ac:dyDescent="0.25">
      <c r="A168" s="482" t="s">
        <v>423</v>
      </c>
      <c r="B168" s="476">
        <v>44592</v>
      </c>
      <c r="C168" s="285" t="s">
        <v>372</v>
      </c>
      <c r="D168" s="285" t="s">
        <v>369</v>
      </c>
      <c r="E168" s="283">
        <v>-0.3342</v>
      </c>
      <c r="F168" s="534">
        <f t="shared" si="25"/>
        <v>-33.42</v>
      </c>
      <c r="G168" s="494">
        <v>0.1593</v>
      </c>
      <c r="H168" s="537">
        <f t="shared" si="26"/>
        <v>15.93</v>
      </c>
      <c r="I168" s="487" t="s">
        <v>114</v>
      </c>
      <c r="J168" s="80">
        <f t="shared" si="7"/>
        <v>4.0979284369114879</v>
      </c>
      <c r="K168" s="517">
        <f t="shared" si="8"/>
        <v>1.2</v>
      </c>
      <c r="L168" s="483" t="str">
        <f t="shared" si="10"/>
        <v>Sobresaliente</v>
      </c>
    </row>
    <row r="169" spans="1:13" x14ac:dyDescent="0.25">
      <c r="A169" s="482" t="s">
        <v>357</v>
      </c>
      <c r="B169" s="476">
        <v>44592</v>
      </c>
      <c r="C169" s="285" t="s">
        <v>372</v>
      </c>
      <c r="D169" s="285" t="s">
        <v>369</v>
      </c>
      <c r="E169" s="494">
        <v>-2.1063999999999998</v>
      </c>
      <c r="F169" s="534">
        <f t="shared" si="25"/>
        <v>-210.64</v>
      </c>
      <c r="G169" s="494">
        <v>-0.51129999999999998</v>
      </c>
      <c r="H169" s="537">
        <f t="shared" si="26"/>
        <v>-51.129999999999995</v>
      </c>
      <c r="I169" s="487" t="s">
        <v>114</v>
      </c>
      <c r="J169" s="80">
        <f t="shared" si="7"/>
        <v>1.7572635776680592</v>
      </c>
      <c r="K169" s="517">
        <f t="shared" si="8"/>
        <v>1.2</v>
      </c>
      <c r="L169" s="483" t="str">
        <f t="shared" si="10"/>
        <v>Sobresaliente</v>
      </c>
      <c r="M169" s="499"/>
    </row>
    <row r="170" spans="1:13" x14ac:dyDescent="0.25">
      <c r="A170" s="482" t="s">
        <v>415</v>
      </c>
      <c r="B170" s="476">
        <v>44592</v>
      </c>
      <c r="C170" s="285" t="s">
        <v>372</v>
      </c>
      <c r="D170" s="285" t="s">
        <v>369</v>
      </c>
      <c r="E170" s="494">
        <v>1</v>
      </c>
      <c r="F170" s="534">
        <f t="shared" si="25"/>
        <v>100</v>
      </c>
      <c r="G170" s="494">
        <v>0.78269999999999995</v>
      </c>
      <c r="H170" s="537">
        <f t="shared" si="26"/>
        <v>78.27</v>
      </c>
      <c r="I170" s="487" t="s">
        <v>116</v>
      </c>
      <c r="J170" s="80">
        <f t="shared" si="7"/>
        <v>1.2173</v>
      </c>
      <c r="K170" s="517">
        <f t="shared" si="8"/>
        <v>1.2</v>
      </c>
      <c r="L170" s="483" t="str">
        <f t="shared" si="10"/>
        <v>Sobresaliente</v>
      </c>
    </row>
    <row r="171" spans="1:13" x14ac:dyDescent="0.25">
      <c r="A171" s="482" t="s">
        <v>360</v>
      </c>
      <c r="B171" s="476">
        <v>44592</v>
      </c>
      <c r="C171" s="285" t="s">
        <v>372</v>
      </c>
      <c r="D171" s="285" t="s">
        <v>369</v>
      </c>
      <c r="E171" s="496">
        <v>4.6500000000000004</v>
      </c>
      <c r="F171" s="535">
        <f>+E171</f>
        <v>4.6500000000000004</v>
      </c>
      <c r="G171" s="496">
        <v>4.8099999999999996</v>
      </c>
      <c r="H171" s="538">
        <f>+G171</f>
        <v>4.8099999999999996</v>
      </c>
      <c r="I171" s="487" t="s">
        <v>114</v>
      </c>
      <c r="J171" s="80">
        <f t="shared" si="7"/>
        <v>1.0344086021505374</v>
      </c>
      <c r="K171" s="517">
        <f t="shared" si="8"/>
        <v>1.0344086021505374</v>
      </c>
      <c r="L171" s="483" t="str">
        <f t="shared" si="10"/>
        <v>Sobresaliente</v>
      </c>
    </row>
    <row r="172" spans="1:13" x14ac:dyDescent="0.25">
      <c r="A172" s="482" t="s">
        <v>361</v>
      </c>
      <c r="B172" s="476">
        <v>44592</v>
      </c>
      <c r="C172" s="285" t="s">
        <v>372</v>
      </c>
      <c r="D172" s="285" t="s">
        <v>369</v>
      </c>
      <c r="E172" s="494">
        <v>0.54</v>
      </c>
      <c r="F172" s="534">
        <f t="shared" ref="F172:F177" si="27">+E172*100</f>
        <v>54</v>
      </c>
      <c r="G172" s="494">
        <v>0.75729999999999997</v>
      </c>
      <c r="H172" s="537">
        <f t="shared" ref="H172:H177" si="28">+G172*100</f>
        <v>75.73</v>
      </c>
      <c r="I172" s="487" t="s">
        <v>114</v>
      </c>
      <c r="J172" s="80">
        <f t="shared" ref="J172:J235" si="29">+IFERROR(IF(I172="Creciente",IF(AND(G172&lt;0,E172&lt;0),1-(G172-E172)/E172,IF(G172&lt;0,G172/E172,IF(E172&lt;0,1+((G172-E172)/G172),G172/E172))),IF(AND(G172&lt;0,E172&lt;0),(E172*-1)/(G172*-1),IF(G172&lt;0,(G172-E172)/G172,IF(E172&lt;0,-1+(G172-E172)/E172,IF(I172="Decreciente",1+(E172-G172)/E172,G172/E172))))),"N/A")</f>
        <v>1.4024074074074073</v>
      </c>
      <c r="K172" s="517">
        <f t="shared" ref="K172:K235" si="30">+IF(J172&lt;0,0%,IF(J172&gt;120%,120%,J172))</f>
        <v>1.2</v>
      </c>
      <c r="L172" s="483" t="str">
        <f t="shared" si="10"/>
        <v>Sobresaliente</v>
      </c>
    </row>
    <row r="173" spans="1:13" x14ac:dyDescent="0.25">
      <c r="A173" s="482" t="s">
        <v>362</v>
      </c>
      <c r="B173" s="476">
        <v>44592</v>
      </c>
      <c r="C173" s="285" t="s">
        <v>372</v>
      </c>
      <c r="D173" s="285" t="s">
        <v>369</v>
      </c>
      <c r="E173" s="494">
        <v>6.4047999999999998</v>
      </c>
      <c r="F173" s="534">
        <f t="shared" si="27"/>
        <v>640.48</v>
      </c>
      <c r="G173" s="494">
        <v>6</v>
      </c>
      <c r="H173" s="537">
        <f t="shared" si="28"/>
        <v>600</v>
      </c>
      <c r="I173" s="487" t="s">
        <v>114</v>
      </c>
      <c r="J173" s="80">
        <f t="shared" si="29"/>
        <v>0.93679740194853867</v>
      </c>
      <c r="K173" s="517">
        <f t="shared" si="30"/>
        <v>0.93679740194853867</v>
      </c>
      <c r="L173" s="483" t="str">
        <f t="shared" ref="L173:L216" si="31">+IF(J173&lt;79.99999%,"Incumple",IF(AND(J173&gt;=80%,J173&lt;94.999999%),"Tolerable",IF(AND(J173&gt;=95%,J173&lt;100%),"Satisfactorio","Sobresaliente")))</f>
        <v>Tolerable</v>
      </c>
    </row>
    <row r="174" spans="1:13" x14ac:dyDescent="0.25">
      <c r="A174" s="482" t="s">
        <v>424</v>
      </c>
      <c r="B174" s="476">
        <v>44592</v>
      </c>
      <c r="C174" s="285" t="s">
        <v>372</v>
      </c>
      <c r="D174" s="285" t="s">
        <v>369</v>
      </c>
      <c r="E174" s="494">
        <v>0.28620000000000001</v>
      </c>
      <c r="F174" s="534">
        <f t="shared" si="27"/>
        <v>28.62</v>
      </c>
      <c r="G174" s="494">
        <v>0.34010000000000001</v>
      </c>
      <c r="H174" s="537">
        <f t="shared" si="28"/>
        <v>34.01</v>
      </c>
      <c r="I174" s="487" t="s">
        <v>114</v>
      </c>
      <c r="J174" s="80">
        <f t="shared" si="29"/>
        <v>1.1883298392732355</v>
      </c>
      <c r="K174" s="517">
        <f t="shared" si="30"/>
        <v>1.1883298392732355</v>
      </c>
      <c r="L174" s="483" t="str">
        <f t="shared" si="31"/>
        <v>Sobresaliente</v>
      </c>
    </row>
    <row r="175" spans="1:13" x14ac:dyDescent="0.25">
      <c r="A175" s="482" t="s">
        <v>423</v>
      </c>
      <c r="B175" s="476">
        <v>44592</v>
      </c>
      <c r="C175" s="285" t="s">
        <v>373</v>
      </c>
      <c r="D175" s="285" t="s">
        <v>369</v>
      </c>
      <c r="E175" s="283">
        <v>-0.56840000000000002</v>
      </c>
      <c r="F175" s="534">
        <f t="shared" si="27"/>
        <v>-56.84</v>
      </c>
      <c r="G175" s="494">
        <v>2.8702000000000001</v>
      </c>
      <c r="H175" s="537">
        <f t="shared" si="28"/>
        <v>287.02</v>
      </c>
      <c r="I175" s="487" t="s">
        <v>114</v>
      </c>
      <c r="J175" s="80">
        <f t="shared" si="29"/>
        <v>2.1980349801407568</v>
      </c>
      <c r="K175" s="517">
        <f t="shared" si="30"/>
        <v>1.2</v>
      </c>
      <c r="L175" s="483" t="str">
        <f t="shared" si="31"/>
        <v>Sobresaliente</v>
      </c>
    </row>
    <row r="176" spans="1:13" x14ac:dyDescent="0.25">
      <c r="A176" s="482" t="s">
        <v>415</v>
      </c>
      <c r="B176" s="476">
        <v>44592</v>
      </c>
      <c r="C176" s="285" t="s">
        <v>373</v>
      </c>
      <c r="D176" s="285" t="s">
        <v>369</v>
      </c>
      <c r="E176" s="494">
        <v>1</v>
      </c>
      <c r="F176" s="534">
        <f t="shared" si="27"/>
        <v>100</v>
      </c>
      <c r="G176" s="494">
        <v>0.91420000000000001</v>
      </c>
      <c r="H176" s="537">
        <f t="shared" si="28"/>
        <v>91.42</v>
      </c>
      <c r="I176" s="487" t="s">
        <v>116</v>
      </c>
      <c r="J176" s="80">
        <f t="shared" si="29"/>
        <v>1.0857999999999999</v>
      </c>
      <c r="K176" s="517">
        <f t="shared" si="30"/>
        <v>1.0857999999999999</v>
      </c>
      <c r="L176" s="483" t="str">
        <f t="shared" si="31"/>
        <v>Sobresaliente</v>
      </c>
    </row>
    <row r="177" spans="1:12" x14ac:dyDescent="0.25">
      <c r="A177" s="482" t="s">
        <v>359</v>
      </c>
      <c r="B177" s="476">
        <v>44592</v>
      </c>
      <c r="C177" s="285" t="s">
        <v>373</v>
      </c>
      <c r="D177" s="285" t="s">
        <v>369</v>
      </c>
      <c r="E177" s="494">
        <v>0.99219999999999997</v>
      </c>
      <c r="F177" s="534">
        <f t="shared" si="27"/>
        <v>99.22</v>
      </c>
      <c r="G177" s="494">
        <v>0.91900000000000004</v>
      </c>
      <c r="H177" s="537">
        <f t="shared" si="28"/>
        <v>91.9</v>
      </c>
      <c r="I177" s="487" t="s">
        <v>116</v>
      </c>
      <c r="J177" s="80">
        <f t="shared" si="29"/>
        <v>1.0737754484982867</v>
      </c>
      <c r="K177" s="517">
        <f t="shared" si="30"/>
        <v>1.0737754484982867</v>
      </c>
      <c r="L177" s="483" t="str">
        <f t="shared" si="31"/>
        <v>Sobresaliente</v>
      </c>
    </row>
    <row r="178" spans="1:12" x14ac:dyDescent="0.25">
      <c r="A178" s="482" t="s">
        <v>360</v>
      </c>
      <c r="B178" s="476">
        <v>44592</v>
      </c>
      <c r="C178" s="285" t="s">
        <v>373</v>
      </c>
      <c r="D178" s="285" t="s">
        <v>369</v>
      </c>
      <c r="E178" s="287">
        <v>4.6500000000000004</v>
      </c>
      <c r="F178" s="535">
        <f>+E178</f>
        <v>4.6500000000000004</v>
      </c>
      <c r="G178" s="287">
        <v>4.7699999999999996</v>
      </c>
      <c r="H178" s="538">
        <f>+G178</f>
        <v>4.7699999999999996</v>
      </c>
      <c r="I178" s="487" t="s">
        <v>114</v>
      </c>
      <c r="J178" s="80">
        <f t="shared" si="29"/>
        <v>1.0258064516129031</v>
      </c>
      <c r="K178" s="517">
        <f t="shared" si="30"/>
        <v>1.0258064516129031</v>
      </c>
      <c r="L178" s="483" t="str">
        <f t="shared" si="31"/>
        <v>Sobresaliente</v>
      </c>
    </row>
    <row r="179" spans="1:12" x14ac:dyDescent="0.25">
      <c r="A179" s="482" t="s">
        <v>361</v>
      </c>
      <c r="B179" s="476">
        <v>44592</v>
      </c>
      <c r="C179" s="285" t="s">
        <v>373</v>
      </c>
      <c r="D179" s="285" t="s">
        <v>369</v>
      </c>
      <c r="E179" s="494">
        <v>0.54</v>
      </c>
      <c r="F179" s="534">
        <f t="shared" ref="F179:F184" si="32">+E179*100</f>
        <v>54</v>
      </c>
      <c r="G179" s="494">
        <v>0.78459999999999996</v>
      </c>
      <c r="H179" s="537">
        <f t="shared" ref="H179:H184" si="33">+G179*100</f>
        <v>78.459999999999994</v>
      </c>
      <c r="I179" s="487" t="s">
        <v>114</v>
      </c>
      <c r="J179" s="80">
        <f t="shared" si="29"/>
        <v>1.4529629629629628</v>
      </c>
      <c r="K179" s="517">
        <f t="shared" si="30"/>
        <v>1.2</v>
      </c>
      <c r="L179" s="483" t="str">
        <f t="shared" si="31"/>
        <v>Sobresaliente</v>
      </c>
    </row>
    <row r="180" spans="1:12" x14ac:dyDescent="0.25">
      <c r="A180" s="482" t="s">
        <v>362</v>
      </c>
      <c r="B180" s="476">
        <v>44592</v>
      </c>
      <c r="C180" s="285" t="s">
        <v>373</v>
      </c>
      <c r="D180" s="285" t="s">
        <v>369</v>
      </c>
      <c r="E180" s="494">
        <v>0.27379999999999999</v>
      </c>
      <c r="F180" s="534">
        <f t="shared" si="32"/>
        <v>27.38</v>
      </c>
      <c r="G180" s="494">
        <v>0.41620000000000001</v>
      </c>
      <c r="H180" s="537">
        <f t="shared" si="33"/>
        <v>41.620000000000005</v>
      </c>
      <c r="I180" s="487" t="s">
        <v>114</v>
      </c>
      <c r="J180" s="80">
        <f t="shared" si="29"/>
        <v>1.5200876552227904</v>
      </c>
      <c r="K180" s="517">
        <f t="shared" si="30"/>
        <v>1.2</v>
      </c>
      <c r="L180" s="483" t="str">
        <f t="shared" si="31"/>
        <v>Sobresaliente</v>
      </c>
    </row>
    <row r="181" spans="1:12" x14ac:dyDescent="0.25">
      <c r="A181" s="482" t="s">
        <v>424</v>
      </c>
      <c r="B181" s="476">
        <v>44592</v>
      </c>
      <c r="C181" s="285" t="s">
        <v>373</v>
      </c>
      <c r="D181" s="285" t="s">
        <v>369</v>
      </c>
      <c r="E181" s="494">
        <v>1E-3</v>
      </c>
      <c r="F181" s="534">
        <f t="shared" si="32"/>
        <v>0.1</v>
      </c>
      <c r="G181" s="494">
        <v>3.0000000000000001E-3</v>
      </c>
      <c r="H181" s="537">
        <f t="shared" si="33"/>
        <v>0.3</v>
      </c>
      <c r="I181" s="487" t="s">
        <v>114</v>
      </c>
      <c r="J181" s="80">
        <f t="shared" si="29"/>
        <v>3</v>
      </c>
      <c r="K181" s="517">
        <f t="shared" si="30"/>
        <v>1.2</v>
      </c>
      <c r="L181" s="483" t="str">
        <f t="shared" si="31"/>
        <v>Sobresaliente</v>
      </c>
    </row>
    <row r="182" spans="1:12" x14ac:dyDescent="0.25">
      <c r="A182" s="482" t="s">
        <v>423</v>
      </c>
      <c r="B182" s="476">
        <v>44592</v>
      </c>
      <c r="C182" s="285" t="s">
        <v>374</v>
      </c>
      <c r="D182" s="285" t="s">
        <v>369</v>
      </c>
      <c r="E182" s="283">
        <v>-1</v>
      </c>
      <c r="F182" s="534">
        <f t="shared" si="32"/>
        <v>-100</v>
      </c>
      <c r="G182" s="494">
        <v>21.9224</v>
      </c>
      <c r="H182" s="537">
        <f t="shared" si="33"/>
        <v>2192.2399999999998</v>
      </c>
      <c r="I182" s="487" t="s">
        <v>114</v>
      </c>
      <c r="J182" s="80">
        <f t="shared" si="29"/>
        <v>2.0456154435645733</v>
      </c>
      <c r="K182" s="517">
        <f t="shared" si="30"/>
        <v>1.2</v>
      </c>
      <c r="L182" s="483" t="str">
        <f t="shared" si="31"/>
        <v>Sobresaliente</v>
      </c>
    </row>
    <row r="183" spans="1:12" x14ac:dyDescent="0.25">
      <c r="A183" s="482" t="s">
        <v>415</v>
      </c>
      <c r="B183" s="476">
        <v>44592</v>
      </c>
      <c r="C183" s="285" t="s">
        <v>374</v>
      </c>
      <c r="D183" s="285" t="s">
        <v>369</v>
      </c>
      <c r="E183" s="494">
        <v>1</v>
      </c>
      <c r="F183" s="534">
        <f t="shared" si="32"/>
        <v>100</v>
      </c>
      <c r="G183" s="494">
        <v>0.84899999999999998</v>
      </c>
      <c r="H183" s="537">
        <f t="shared" si="33"/>
        <v>84.899999999999991</v>
      </c>
      <c r="I183" s="487" t="s">
        <v>116</v>
      </c>
      <c r="J183" s="80">
        <f t="shared" si="29"/>
        <v>1.151</v>
      </c>
      <c r="K183" s="517">
        <f t="shared" si="30"/>
        <v>1.151</v>
      </c>
      <c r="L183" s="483" t="str">
        <f t="shared" si="31"/>
        <v>Sobresaliente</v>
      </c>
    </row>
    <row r="184" spans="1:12" x14ac:dyDescent="0.25">
      <c r="A184" s="482" t="s">
        <v>359</v>
      </c>
      <c r="B184" s="476">
        <v>44592</v>
      </c>
      <c r="C184" s="285" t="s">
        <v>374</v>
      </c>
      <c r="D184" s="285" t="s">
        <v>369</v>
      </c>
      <c r="E184" s="494">
        <v>1</v>
      </c>
      <c r="F184" s="534">
        <f t="shared" si="32"/>
        <v>100</v>
      </c>
      <c r="G184" s="494">
        <v>0.96609999999999996</v>
      </c>
      <c r="H184" s="537">
        <f t="shared" si="33"/>
        <v>96.61</v>
      </c>
      <c r="I184" s="487" t="s">
        <v>116</v>
      </c>
      <c r="J184" s="80">
        <f t="shared" si="29"/>
        <v>1.0339</v>
      </c>
      <c r="K184" s="517">
        <f t="shared" si="30"/>
        <v>1.0339</v>
      </c>
      <c r="L184" s="483" t="str">
        <f t="shared" si="31"/>
        <v>Sobresaliente</v>
      </c>
    </row>
    <row r="185" spans="1:12" x14ac:dyDescent="0.25">
      <c r="A185" s="482" t="s">
        <v>360</v>
      </c>
      <c r="B185" s="476">
        <v>44592</v>
      </c>
      <c r="C185" s="285" t="s">
        <v>374</v>
      </c>
      <c r="D185" s="285" t="s">
        <v>369</v>
      </c>
      <c r="E185" s="287">
        <v>4.6500000000000004</v>
      </c>
      <c r="F185" s="535">
        <f>+E185</f>
        <v>4.6500000000000004</v>
      </c>
      <c r="G185" s="287">
        <v>4.8600000000000003</v>
      </c>
      <c r="H185" s="538">
        <f>+G185</f>
        <v>4.8600000000000003</v>
      </c>
      <c r="I185" s="487" t="s">
        <v>114</v>
      </c>
      <c r="J185" s="80">
        <f t="shared" si="29"/>
        <v>1.0451612903225806</v>
      </c>
      <c r="K185" s="517">
        <f t="shared" si="30"/>
        <v>1.0451612903225806</v>
      </c>
      <c r="L185" s="483" t="str">
        <f t="shared" si="31"/>
        <v>Sobresaliente</v>
      </c>
    </row>
    <row r="186" spans="1:12" x14ac:dyDescent="0.25">
      <c r="A186" s="482" t="s">
        <v>361</v>
      </c>
      <c r="B186" s="476">
        <v>44592</v>
      </c>
      <c r="C186" s="285" t="s">
        <v>374</v>
      </c>
      <c r="D186" s="285" t="s">
        <v>369</v>
      </c>
      <c r="E186" s="494">
        <v>0.54</v>
      </c>
      <c r="F186" s="534">
        <f t="shared" ref="F186:F191" si="34">+E186*100</f>
        <v>54</v>
      </c>
      <c r="G186" s="494">
        <v>0.75860000000000005</v>
      </c>
      <c r="H186" s="537">
        <f t="shared" ref="H186:H191" si="35">+G186*100</f>
        <v>75.86</v>
      </c>
      <c r="I186" s="487" t="s">
        <v>114</v>
      </c>
      <c r="J186" s="80">
        <f t="shared" si="29"/>
        <v>1.4048148148148147</v>
      </c>
      <c r="K186" s="517">
        <f t="shared" si="30"/>
        <v>1.2</v>
      </c>
      <c r="L186" s="483" t="str">
        <f t="shared" si="31"/>
        <v>Sobresaliente</v>
      </c>
    </row>
    <row r="187" spans="1:12" x14ac:dyDescent="0.25">
      <c r="A187" s="482" t="s">
        <v>362</v>
      </c>
      <c r="B187" s="476">
        <v>44592</v>
      </c>
      <c r="C187" s="285" t="s">
        <v>374</v>
      </c>
      <c r="D187" s="285" t="s">
        <v>369</v>
      </c>
      <c r="E187" s="494">
        <v>9.1200000000000003E-2</v>
      </c>
      <c r="F187" s="534">
        <f t="shared" si="34"/>
        <v>9.120000000000001</v>
      </c>
      <c r="G187" s="494">
        <v>5.1000000000000004E-3</v>
      </c>
      <c r="H187" s="537">
        <f t="shared" si="35"/>
        <v>0.51</v>
      </c>
      <c r="I187" s="487" t="s">
        <v>114</v>
      </c>
      <c r="J187" s="80">
        <f t="shared" si="29"/>
        <v>5.5921052631578948E-2</v>
      </c>
      <c r="K187" s="517">
        <f t="shared" si="30"/>
        <v>5.5921052631578948E-2</v>
      </c>
      <c r="L187" s="483" t="str">
        <f t="shared" si="31"/>
        <v>Incumple</v>
      </c>
    </row>
    <row r="188" spans="1:12" x14ac:dyDescent="0.25">
      <c r="A188" s="482" t="s">
        <v>424</v>
      </c>
      <c r="B188" s="476">
        <v>44592</v>
      </c>
      <c r="C188" s="285" t="s">
        <v>374</v>
      </c>
      <c r="D188" s="285" t="s">
        <v>369</v>
      </c>
      <c r="E188" s="494">
        <v>1.4E-3</v>
      </c>
      <c r="F188" s="534">
        <f t="shared" si="34"/>
        <v>0.13999999999999999</v>
      </c>
      <c r="G188" s="494">
        <v>2.0999999999999999E-3</v>
      </c>
      <c r="H188" s="537">
        <f t="shared" si="35"/>
        <v>0.21</v>
      </c>
      <c r="I188" s="487" t="s">
        <v>114</v>
      </c>
      <c r="J188" s="80">
        <f t="shared" si="29"/>
        <v>1.5</v>
      </c>
      <c r="K188" s="517">
        <f t="shared" si="30"/>
        <v>1.2</v>
      </c>
      <c r="L188" s="483" t="str">
        <f t="shared" si="31"/>
        <v>Sobresaliente</v>
      </c>
    </row>
    <row r="189" spans="1:12" x14ac:dyDescent="0.25">
      <c r="A189" s="482" t="s">
        <v>423</v>
      </c>
      <c r="B189" s="476">
        <v>44592</v>
      </c>
      <c r="C189" s="285" t="s">
        <v>377</v>
      </c>
      <c r="D189" s="285" t="s">
        <v>369</v>
      </c>
      <c r="E189" s="283">
        <v>0.4073</v>
      </c>
      <c r="F189" s="534">
        <f t="shared" si="34"/>
        <v>40.729999999999997</v>
      </c>
      <c r="G189" s="494">
        <v>-0.15409999999999999</v>
      </c>
      <c r="H189" s="537">
        <f t="shared" si="35"/>
        <v>-15.409999999999998</v>
      </c>
      <c r="I189" s="487" t="s">
        <v>114</v>
      </c>
      <c r="J189" s="80">
        <f t="shared" si="29"/>
        <v>-0.37834520009820766</v>
      </c>
      <c r="K189" s="517">
        <f t="shared" si="30"/>
        <v>0</v>
      </c>
      <c r="L189" s="483" t="str">
        <f t="shared" si="31"/>
        <v>Incumple</v>
      </c>
    </row>
    <row r="190" spans="1:12" x14ac:dyDescent="0.25">
      <c r="A190" s="482" t="s">
        <v>415</v>
      </c>
      <c r="B190" s="476">
        <v>44592</v>
      </c>
      <c r="C190" s="285" t="s">
        <v>377</v>
      </c>
      <c r="D190" s="285" t="s">
        <v>369</v>
      </c>
      <c r="E190" s="494">
        <v>1</v>
      </c>
      <c r="F190" s="534">
        <f t="shared" si="34"/>
        <v>100</v>
      </c>
      <c r="G190" s="494">
        <v>1.02</v>
      </c>
      <c r="H190" s="537">
        <f t="shared" si="35"/>
        <v>102</v>
      </c>
      <c r="I190" s="487" t="s">
        <v>116</v>
      </c>
      <c r="J190" s="80">
        <f t="shared" si="29"/>
        <v>0.98</v>
      </c>
      <c r="K190" s="517">
        <f t="shared" si="30"/>
        <v>0.98</v>
      </c>
      <c r="L190" s="483" t="str">
        <f t="shared" si="31"/>
        <v>Satisfactorio</v>
      </c>
    </row>
    <row r="191" spans="1:12" x14ac:dyDescent="0.25">
      <c r="A191" s="482" t="s">
        <v>359</v>
      </c>
      <c r="B191" s="476">
        <v>44592</v>
      </c>
      <c r="C191" s="285" t="s">
        <v>377</v>
      </c>
      <c r="D191" s="285" t="s">
        <v>369</v>
      </c>
      <c r="E191" s="494">
        <v>0.58050000000000002</v>
      </c>
      <c r="F191" s="534">
        <f t="shared" si="34"/>
        <v>58.050000000000004</v>
      </c>
      <c r="G191" s="494">
        <v>0.77210000000000001</v>
      </c>
      <c r="H191" s="537">
        <f t="shared" si="35"/>
        <v>77.210000000000008</v>
      </c>
      <c r="I191" s="487" t="s">
        <v>116</v>
      </c>
      <c r="J191" s="80">
        <f t="shared" si="29"/>
        <v>0.66993970714900952</v>
      </c>
      <c r="K191" s="517">
        <f t="shared" si="30"/>
        <v>0.66993970714900952</v>
      </c>
      <c r="L191" s="483" t="str">
        <f t="shared" si="31"/>
        <v>Incumple</v>
      </c>
    </row>
    <row r="192" spans="1:12" x14ac:dyDescent="0.25">
      <c r="A192" s="482" t="s">
        <v>360</v>
      </c>
      <c r="B192" s="476">
        <v>44592</v>
      </c>
      <c r="C192" s="285" t="s">
        <v>377</v>
      </c>
      <c r="D192" s="285" t="s">
        <v>369</v>
      </c>
      <c r="E192" s="287">
        <v>4.6500000000000004</v>
      </c>
      <c r="F192" s="535">
        <f>+E192</f>
        <v>4.6500000000000004</v>
      </c>
      <c r="G192" s="287">
        <v>4.83</v>
      </c>
      <c r="H192" s="538">
        <f>+G192</f>
        <v>4.83</v>
      </c>
      <c r="I192" s="487" t="s">
        <v>114</v>
      </c>
      <c r="J192" s="80">
        <f t="shared" si="29"/>
        <v>1.0387096774193547</v>
      </c>
      <c r="K192" s="517">
        <f t="shared" si="30"/>
        <v>1.0387096774193547</v>
      </c>
      <c r="L192" s="483" t="str">
        <f t="shared" si="31"/>
        <v>Sobresaliente</v>
      </c>
    </row>
    <row r="193" spans="1:15" x14ac:dyDescent="0.25">
      <c r="A193" s="482" t="s">
        <v>361</v>
      </c>
      <c r="B193" s="476">
        <v>44592</v>
      </c>
      <c r="C193" s="285" t="s">
        <v>377</v>
      </c>
      <c r="D193" s="285" t="s">
        <v>369</v>
      </c>
      <c r="E193" s="494">
        <v>0.54</v>
      </c>
      <c r="F193" s="534">
        <f t="shared" ref="F193:F195" si="36">+E193*100</f>
        <v>54</v>
      </c>
      <c r="G193" s="494">
        <v>0.75219999999999998</v>
      </c>
      <c r="H193" s="537">
        <f t="shared" ref="H193:H195" si="37">+G193*100</f>
        <v>75.22</v>
      </c>
      <c r="I193" s="487" t="s">
        <v>114</v>
      </c>
      <c r="J193" s="80">
        <f t="shared" si="29"/>
        <v>1.3929629629629627</v>
      </c>
      <c r="K193" s="517">
        <f t="shared" si="30"/>
        <v>1.2</v>
      </c>
      <c r="L193" s="483" t="str">
        <f t="shared" si="31"/>
        <v>Sobresaliente</v>
      </c>
    </row>
    <row r="194" spans="1:15" x14ac:dyDescent="0.25">
      <c r="A194" s="482" t="s">
        <v>362</v>
      </c>
      <c r="B194" s="476">
        <v>44592</v>
      </c>
      <c r="C194" s="285" t="s">
        <v>377</v>
      </c>
      <c r="D194" s="285" t="s">
        <v>369</v>
      </c>
      <c r="E194" s="494">
        <v>25.16</v>
      </c>
      <c r="F194" s="534">
        <f t="shared" si="36"/>
        <v>2516</v>
      </c>
      <c r="G194" s="494">
        <v>17.48</v>
      </c>
      <c r="H194" s="537">
        <f t="shared" si="37"/>
        <v>1748</v>
      </c>
      <c r="I194" s="487" t="s">
        <v>114</v>
      </c>
      <c r="J194" s="80">
        <f t="shared" si="29"/>
        <v>0.69475357710651831</v>
      </c>
      <c r="K194" s="517">
        <f t="shared" si="30"/>
        <v>0.69475357710651831</v>
      </c>
      <c r="L194" s="483" t="str">
        <f t="shared" si="31"/>
        <v>Incumple</v>
      </c>
    </row>
    <row r="195" spans="1:15" x14ac:dyDescent="0.25">
      <c r="A195" s="482" t="s">
        <v>424</v>
      </c>
      <c r="B195" s="476">
        <v>44592</v>
      </c>
      <c r="C195" s="285" t="s">
        <v>377</v>
      </c>
      <c r="D195" s="285" t="s">
        <v>369</v>
      </c>
      <c r="E195" s="494">
        <v>0.52290000000000003</v>
      </c>
      <c r="F195" s="534">
        <f t="shared" si="36"/>
        <v>52.290000000000006</v>
      </c>
      <c r="G195" s="494">
        <v>0.1623</v>
      </c>
      <c r="H195" s="537">
        <f t="shared" si="37"/>
        <v>16.23</v>
      </c>
      <c r="I195" s="487" t="s">
        <v>114</v>
      </c>
      <c r="J195" s="80">
        <f t="shared" si="29"/>
        <v>0.31038439472174412</v>
      </c>
      <c r="K195" s="517">
        <f t="shared" si="30"/>
        <v>0.31038439472174412</v>
      </c>
      <c r="L195" s="483" t="str">
        <f t="shared" si="31"/>
        <v>Incumple</v>
      </c>
    </row>
    <row r="196" spans="1:15" x14ac:dyDescent="0.25">
      <c r="A196" s="482" t="s">
        <v>361</v>
      </c>
      <c r="B196" s="476">
        <v>44592</v>
      </c>
      <c r="C196" s="557" t="s">
        <v>115</v>
      </c>
      <c r="D196" s="285" t="s">
        <v>369</v>
      </c>
      <c r="E196" s="494">
        <v>0.54</v>
      </c>
      <c r="F196" s="535">
        <f>+E196*100</f>
        <v>54</v>
      </c>
      <c r="G196" s="494">
        <v>0.70709999999999995</v>
      </c>
      <c r="H196" s="538">
        <f>+G196*100</f>
        <v>70.709999999999994</v>
      </c>
      <c r="I196" s="487" t="s">
        <v>114</v>
      </c>
      <c r="J196" s="80">
        <f>+IFERROR(IF(I196="Creciente",IF(AND(G196&lt;0,E196&lt;0),1-(G196-E196)/E196,IF(G196&lt;0,G196/E196,IF(E196&lt;0,1+((G196-E196)/G196),G196/E196))),IF(AND(G196&lt;0,E196&lt;0),(E196*-1)/(G196*-1),IF(G196&lt;0,(G196-E196)/G196,IF(E196&lt;0,-1+(G196-E196)/E196,IF(I196="Decreciente",1+(E196-G196)/E196,G196/E196))))),"N/A")</f>
        <v>1.3094444444444442</v>
      </c>
      <c r="K196" s="517">
        <f>+IF(J196&lt;0,0%,IF(J196&gt;120%,120%,J196))</f>
        <v>1.2</v>
      </c>
      <c r="L196" s="483" t="str">
        <f>+IF(J196&lt;79.99999%,"Incumple",IF(AND(J196&gt;=80%,J196&lt;94.999999%),"Tolerable",IF(AND(J196&gt;=95%,J196&lt;100%),"Satisfactorio","Sobresaliente")))</f>
        <v>Sobresaliente</v>
      </c>
    </row>
    <row r="197" spans="1:15" x14ac:dyDescent="0.25">
      <c r="A197" s="482" t="s">
        <v>360</v>
      </c>
      <c r="B197" s="476">
        <v>44592</v>
      </c>
      <c r="C197" s="557" t="s">
        <v>115</v>
      </c>
      <c r="D197" s="285" t="s">
        <v>369</v>
      </c>
      <c r="E197" s="287">
        <v>4.6500000000000004</v>
      </c>
      <c r="F197" s="535">
        <f>+E197</f>
        <v>4.6500000000000004</v>
      </c>
      <c r="G197" s="287">
        <v>4.63</v>
      </c>
      <c r="H197" s="538">
        <f>+G197</f>
        <v>4.63</v>
      </c>
      <c r="I197" s="487" t="s">
        <v>114</v>
      </c>
      <c r="J197" s="80">
        <f t="shared" si="29"/>
        <v>0.99569892473118271</v>
      </c>
      <c r="K197" s="517">
        <f t="shared" si="30"/>
        <v>0.99569892473118271</v>
      </c>
      <c r="L197" s="483" t="str">
        <f t="shared" si="31"/>
        <v>Satisfactorio</v>
      </c>
    </row>
    <row r="198" spans="1:15" x14ac:dyDescent="0.25">
      <c r="A198" s="482" t="s">
        <v>379</v>
      </c>
      <c r="B198" s="476">
        <v>44592</v>
      </c>
      <c r="C198" s="557" t="s">
        <v>115</v>
      </c>
      <c r="D198" s="285" t="s">
        <v>369</v>
      </c>
      <c r="E198" s="283">
        <v>0.52</v>
      </c>
      <c r="F198" s="534">
        <f>+E198*100</f>
        <v>52</v>
      </c>
      <c r="G198" s="283">
        <v>0.46899999999999997</v>
      </c>
      <c r="H198" s="537">
        <f>+G198*100</f>
        <v>46.9</v>
      </c>
      <c r="I198" s="487" t="s">
        <v>114</v>
      </c>
      <c r="J198" s="80">
        <f>+IFERROR(IF(I198="Creciente",IF(AND(G198&lt;0,E198&lt;0),1-(G198-E198)/E198,IF(G198&lt;0,G198/E198,IF(E198&lt;0,1+((G198-E198)/G198),G198/E198))),IF(AND(G198&lt;0,E198&lt;0),(E198*-1)/(G198*-1),IF(G198&lt;0,(G198-E198)/G198,IF(E198&lt;0,-1+(G198-E198)/E198,IF(I198="Decreciente",1+(E198-G198)/E198,G198/E198))))),"N/A")</f>
        <v>0.90192307692307683</v>
      </c>
      <c r="K198" s="517">
        <f>+IF(J198&lt;0,0%,IF(J198&gt;120%,120%,J198))</f>
        <v>0.90192307692307683</v>
      </c>
      <c r="L198" s="483" t="str">
        <f>+IF(J198&lt;79.99999%,"Incumple",IF(AND(J198&gt;=80%,J198&lt;94.999999%),"Tolerable",IF(AND(J198&gt;=95%,J198&lt;100%),"Satisfactorio","Sobresaliente")))</f>
        <v>Tolerable</v>
      </c>
      <c r="M198" s="255"/>
    </row>
    <row r="199" spans="1:15" x14ac:dyDescent="0.25">
      <c r="A199" s="482" t="s">
        <v>362</v>
      </c>
      <c r="B199" s="476">
        <v>44592</v>
      </c>
      <c r="C199" s="557" t="s">
        <v>115</v>
      </c>
      <c r="D199" s="285" t="s">
        <v>369</v>
      </c>
      <c r="E199" s="494">
        <v>-0.1454</v>
      </c>
      <c r="F199" s="534">
        <f t="shared" ref="F199:F205" si="38">+E199*100</f>
        <v>-14.540000000000001</v>
      </c>
      <c r="G199" s="494">
        <v>-0.2356</v>
      </c>
      <c r="H199" s="537">
        <f t="shared" ref="H199:H205" si="39">+G199*100</f>
        <v>-23.56</v>
      </c>
      <c r="I199" s="487" t="s">
        <v>114</v>
      </c>
      <c r="J199" s="80">
        <f t="shared" si="29"/>
        <v>0.37964236588720768</v>
      </c>
      <c r="K199" s="517">
        <f t="shared" si="30"/>
        <v>0.37964236588720768</v>
      </c>
      <c r="L199" s="483" t="str">
        <f t="shared" si="31"/>
        <v>Incumple</v>
      </c>
    </row>
    <row r="200" spans="1:15" x14ac:dyDescent="0.25">
      <c r="A200" s="482" t="s">
        <v>432</v>
      </c>
      <c r="B200" s="476">
        <v>44592</v>
      </c>
      <c r="C200" s="557" t="s">
        <v>115</v>
      </c>
      <c r="D200" s="285" t="s">
        <v>369</v>
      </c>
      <c r="E200" s="494">
        <v>20.77</v>
      </c>
      <c r="F200" s="534">
        <f>+E200*100</f>
        <v>2077</v>
      </c>
      <c r="G200" s="494">
        <v>0.62690000000000001</v>
      </c>
      <c r="H200" s="537">
        <f>+G200*100</f>
        <v>62.69</v>
      </c>
      <c r="I200" s="487" t="s">
        <v>114</v>
      </c>
      <c r="J200" s="80">
        <f>+IFERROR(IF(I200="Creciente",IF(AND(G200&lt;0,E200&lt;0),1-(G200-E200)/E200,IF(G200&lt;0,G200/E200,IF(E200&lt;0,1+((G200-E200)/G200),G200/E200))),IF(AND(G200&lt;0,E200&lt;0),(E200*-1)/(G200*-1),IF(G200&lt;0,(G200-E200)/G200,IF(E200&lt;0,-1+(G200-E200)/E200,IF(I200="Decreciente",1+(E200-G200)/E200,G200/E200))))),"N/A")</f>
        <v>3.0182956186807896E-2</v>
      </c>
      <c r="K200" s="517">
        <f>+IF(J200&lt;0,0%,IF(J200&gt;120%,120%,J200))</f>
        <v>3.0182956186807896E-2</v>
      </c>
      <c r="L200" s="483" t="str">
        <f>+IF(J200&lt;79.99999%,"Incumple",IF(AND(J200&gt;=80%,J200&lt;94.999999%),"Tolerable",IF(AND(J200&gt;=95%,J200&lt;100%),"Satisfactorio","Sobresaliente")))</f>
        <v>Incumple</v>
      </c>
      <c r="M200" s="255"/>
    </row>
    <row r="201" spans="1:15" x14ac:dyDescent="0.25">
      <c r="A201" s="482" t="s">
        <v>433</v>
      </c>
      <c r="B201" s="476">
        <v>44592</v>
      </c>
      <c r="C201" s="557" t="s">
        <v>115</v>
      </c>
      <c r="D201" s="285" t="s">
        <v>369</v>
      </c>
      <c r="E201" s="494">
        <v>0.75</v>
      </c>
      <c r="F201" s="534">
        <f>+E201*100</f>
        <v>75</v>
      </c>
      <c r="G201" s="494">
        <v>0.49</v>
      </c>
      <c r="H201" s="537">
        <f>+G201*100</f>
        <v>49</v>
      </c>
      <c r="I201" s="487" t="s">
        <v>114</v>
      </c>
      <c r="J201" s="80">
        <f>+IFERROR(IF(I201="Creciente",IF(AND(G201&lt;0,E201&lt;0),1-(G201-E201)/E201,IF(G201&lt;0,G201/E201,IF(E201&lt;0,1+((G201-E201)/G201),G201/E201))),IF(AND(G201&lt;0,E201&lt;0),(E201*-1)/(G201*-1),IF(G201&lt;0,(G201-E201)/G201,IF(E201&lt;0,-1+(G201-E201)/E201,IF(I201="Decreciente",1+(E201-G201)/E201,G201/E201))))),"N/A")</f>
        <v>0.65333333333333332</v>
      </c>
      <c r="K201" s="517">
        <f>+IF(J201&lt;0,0%,IF(J201&gt;120%,120%,J201))</f>
        <v>0.65333333333333332</v>
      </c>
      <c r="L201" s="483" t="str">
        <f>+IF(J201&lt;79.99999%,"Incumple",IF(AND(J201&gt;=80%,J201&lt;94.999999%),"Tolerable",IF(AND(J201&gt;=95%,J201&lt;100%),"Satisfactorio","Sobresaliente")))</f>
        <v>Incumple</v>
      </c>
      <c r="M201" s="255"/>
      <c r="N201" s="291"/>
      <c r="O201" s="291"/>
    </row>
    <row r="202" spans="1:15" x14ac:dyDescent="0.25">
      <c r="A202" s="482" t="s">
        <v>378</v>
      </c>
      <c r="B202" s="476">
        <v>44592</v>
      </c>
      <c r="C202" s="557" t="s">
        <v>115</v>
      </c>
      <c r="D202" s="285" t="s">
        <v>369</v>
      </c>
      <c r="E202" s="283">
        <v>0</v>
      </c>
      <c r="F202" s="534">
        <f t="shared" si="38"/>
        <v>0</v>
      </c>
      <c r="G202" s="283">
        <v>0</v>
      </c>
      <c r="H202" s="537">
        <f t="shared" si="39"/>
        <v>0</v>
      </c>
      <c r="I202" s="487" t="s">
        <v>114</v>
      </c>
      <c r="J202" s="80" t="str">
        <f t="shared" si="29"/>
        <v>N/A</v>
      </c>
      <c r="K202" s="517">
        <f t="shared" si="30"/>
        <v>1.2</v>
      </c>
      <c r="L202" s="483" t="str">
        <f t="shared" si="31"/>
        <v>Sobresaliente</v>
      </c>
      <c r="M202" s="523"/>
      <c r="N202" s="291"/>
    </row>
    <row r="203" spans="1:15" x14ac:dyDescent="0.25">
      <c r="A203" s="482" t="s">
        <v>423</v>
      </c>
      <c r="B203" s="476">
        <v>44592</v>
      </c>
      <c r="C203" s="285" t="s">
        <v>380</v>
      </c>
      <c r="D203" s="285" t="s">
        <v>381</v>
      </c>
      <c r="E203" s="286">
        <v>-0.1754</v>
      </c>
      <c r="F203" s="534">
        <f t="shared" si="38"/>
        <v>-17.54</v>
      </c>
      <c r="G203" s="286">
        <v>3.5266000000000002</v>
      </c>
      <c r="H203" s="537">
        <f t="shared" si="39"/>
        <v>352.66</v>
      </c>
      <c r="I203" s="487" t="s">
        <v>114</v>
      </c>
      <c r="J203" s="80">
        <f t="shared" si="29"/>
        <v>2.0497362899109621</v>
      </c>
      <c r="K203" s="517">
        <f t="shared" si="30"/>
        <v>1.2</v>
      </c>
      <c r="L203" s="483" t="str">
        <f t="shared" si="31"/>
        <v>Sobresaliente</v>
      </c>
    </row>
    <row r="204" spans="1:15" x14ac:dyDescent="0.25">
      <c r="A204" s="482" t="s">
        <v>357</v>
      </c>
      <c r="B204" s="476">
        <v>44592</v>
      </c>
      <c r="C204" s="285" t="s">
        <v>380</v>
      </c>
      <c r="D204" s="285" t="s">
        <v>381</v>
      </c>
      <c r="E204" s="494">
        <v>-1.7270000000000001</v>
      </c>
      <c r="F204" s="534">
        <f t="shared" si="38"/>
        <v>-172.70000000000002</v>
      </c>
      <c r="G204" s="494">
        <v>5.6599999999999998E-2</v>
      </c>
      <c r="H204" s="537">
        <f t="shared" si="39"/>
        <v>5.66</v>
      </c>
      <c r="I204" s="487" t="s">
        <v>114</v>
      </c>
      <c r="J204" s="80">
        <f t="shared" si="29"/>
        <v>32.512367491166081</v>
      </c>
      <c r="K204" s="517">
        <f t="shared" si="30"/>
        <v>1.2</v>
      </c>
      <c r="L204" s="483" t="str">
        <f t="shared" si="31"/>
        <v>Sobresaliente</v>
      </c>
    </row>
    <row r="205" spans="1:15" x14ac:dyDescent="0.25">
      <c r="A205" s="482" t="s">
        <v>415</v>
      </c>
      <c r="B205" s="476">
        <v>44592</v>
      </c>
      <c r="C205" s="285" t="s">
        <v>380</v>
      </c>
      <c r="D205" s="285" t="s">
        <v>381</v>
      </c>
      <c r="E205" s="286">
        <v>1</v>
      </c>
      <c r="F205" s="534">
        <f t="shared" si="38"/>
        <v>100</v>
      </c>
      <c r="G205" s="286">
        <v>0.83509999999999995</v>
      </c>
      <c r="H205" s="537">
        <f t="shared" si="39"/>
        <v>83.509999999999991</v>
      </c>
      <c r="I205" s="487" t="s">
        <v>116</v>
      </c>
      <c r="J205" s="80">
        <f t="shared" si="29"/>
        <v>1.1649</v>
      </c>
      <c r="K205" s="517">
        <f t="shared" si="30"/>
        <v>1.1649</v>
      </c>
      <c r="L205" s="483" t="str">
        <f t="shared" si="31"/>
        <v>Sobresaliente</v>
      </c>
    </row>
    <row r="206" spans="1:15" x14ac:dyDescent="0.25">
      <c r="A206" s="482" t="s">
        <v>360</v>
      </c>
      <c r="B206" s="476">
        <v>44592</v>
      </c>
      <c r="C206" s="285" t="s">
        <v>380</v>
      </c>
      <c r="D206" s="285" t="s">
        <v>381</v>
      </c>
      <c r="E206" s="496">
        <v>4.6500000000000004</v>
      </c>
      <c r="F206" s="535">
        <f>+E206</f>
        <v>4.6500000000000004</v>
      </c>
      <c r="G206" s="496">
        <v>4.58</v>
      </c>
      <c r="H206" s="538">
        <f>+G206</f>
        <v>4.58</v>
      </c>
      <c r="I206" s="487" t="s">
        <v>114</v>
      </c>
      <c r="J206" s="80">
        <f t="shared" si="29"/>
        <v>0.98494623655913971</v>
      </c>
      <c r="K206" s="517">
        <f t="shared" si="30"/>
        <v>0.98494623655913971</v>
      </c>
      <c r="L206" s="483" t="str">
        <f t="shared" si="31"/>
        <v>Satisfactorio</v>
      </c>
    </row>
    <row r="207" spans="1:15" x14ac:dyDescent="0.25">
      <c r="A207" s="482" t="s">
        <v>361</v>
      </c>
      <c r="B207" s="476">
        <v>44592</v>
      </c>
      <c r="C207" s="285" t="s">
        <v>380</v>
      </c>
      <c r="D207" s="285" t="s">
        <v>381</v>
      </c>
      <c r="E207" s="494">
        <v>0.54</v>
      </c>
      <c r="F207" s="534">
        <f t="shared" ref="F207:F212" si="40">+E207*100</f>
        <v>54</v>
      </c>
      <c r="G207" s="494">
        <v>0.72550000000000003</v>
      </c>
      <c r="H207" s="537">
        <f t="shared" ref="H207:H212" si="41">+G207*100</f>
        <v>72.55</v>
      </c>
      <c r="I207" s="487" t="s">
        <v>114</v>
      </c>
      <c r="J207" s="80">
        <f t="shared" si="29"/>
        <v>1.3435185185185186</v>
      </c>
      <c r="K207" s="517">
        <f t="shared" si="30"/>
        <v>1.2</v>
      </c>
      <c r="L207" s="483" t="str">
        <f t="shared" si="31"/>
        <v>Sobresaliente</v>
      </c>
    </row>
    <row r="208" spans="1:15" x14ac:dyDescent="0.25">
      <c r="A208" s="482" t="s">
        <v>362</v>
      </c>
      <c r="B208" s="476">
        <v>44592</v>
      </c>
      <c r="C208" s="285" t="s">
        <v>380</v>
      </c>
      <c r="D208" s="285" t="s">
        <v>381</v>
      </c>
      <c r="E208" s="494">
        <v>-0.1111</v>
      </c>
      <c r="F208" s="534">
        <f t="shared" si="40"/>
        <v>-11.110000000000001</v>
      </c>
      <c r="G208" s="494">
        <v>0.85189999999999999</v>
      </c>
      <c r="H208" s="537">
        <f t="shared" si="41"/>
        <v>85.19</v>
      </c>
      <c r="I208" s="487" t="s">
        <v>114</v>
      </c>
      <c r="J208" s="80">
        <f t="shared" si="29"/>
        <v>2.1304143678835543</v>
      </c>
      <c r="K208" s="517">
        <f t="shared" si="30"/>
        <v>1.2</v>
      </c>
      <c r="L208" s="483" t="str">
        <f t="shared" si="31"/>
        <v>Sobresaliente</v>
      </c>
    </row>
    <row r="209" spans="1:12" x14ac:dyDescent="0.25">
      <c r="A209" s="482" t="s">
        <v>424</v>
      </c>
      <c r="B209" s="476">
        <v>44592</v>
      </c>
      <c r="C209" s="285" t="s">
        <v>380</v>
      </c>
      <c r="D209" s="285" t="s">
        <v>381</v>
      </c>
      <c r="E209" s="494">
        <v>0.75</v>
      </c>
      <c r="F209" s="534">
        <f t="shared" si="40"/>
        <v>75</v>
      </c>
      <c r="G209" s="494">
        <v>0.74</v>
      </c>
      <c r="H209" s="537">
        <f t="shared" si="41"/>
        <v>74</v>
      </c>
      <c r="I209" s="487" t="s">
        <v>114</v>
      </c>
      <c r="J209" s="80">
        <f t="shared" si="29"/>
        <v>0.98666666666666669</v>
      </c>
      <c r="K209" s="517">
        <f t="shared" si="30"/>
        <v>0.98666666666666669</v>
      </c>
      <c r="L209" s="483" t="str">
        <f t="shared" si="31"/>
        <v>Satisfactorio</v>
      </c>
    </row>
    <row r="210" spans="1:12" x14ac:dyDescent="0.25">
      <c r="A210" s="482" t="s">
        <v>423</v>
      </c>
      <c r="B210" s="476">
        <v>44592</v>
      </c>
      <c r="C210" s="285" t="s">
        <v>382</v>
      </c>
      <c r="D210" s="285" t="s">
        <v>381</v>
      </c>
      <c r="E210" s="494">
        <v>0.26910000000000001</v>
      </c>
      <c r="F210" s="534">
        <f t="shared" si="40"/>
        <v>26.91</v>
      </c>
      <c r="G210" s="494">
        <v>0.1966</v>
      </c>
      <c r="H210" s="537">
        <f t="shared" si="41"/>
        <v>19.66</v>
      </c>
      <c r="I210" s="487" t="s">
        <v>114</v>
      </c>
      <c r="J210" s="80">
        <f t="shared" si="29"/>
        <v>0.73058342623560013</v>
      </c>
      <c r="K210" s="517">
        <f t="shared" si="30"/>
        <v>0.73058342623560013</v>
      </c>
      <c r="L210" s="483" t="str">
        <f t="shared" si="31"/>
        <v>Incumple</v>
      </c>
    </row>
    <row r="211" spans="1:12" x14ac:dyDescent="0.25">
      <c r="A211" s="482" t="s">
        <v>357</v>
      </c>
      <c r="B211" s="476">
        <v>44592</v>
      </c>
      <c r="C211" s="285" t="s">
        <v>382</v>
      </c>
      <c r="D211" s="285" t="s">
        <v>381</v>
      </c>
      <c r="E211" s="494">
        <v>0.16189999999999999</v>
      </c>
      <c r="F211" s="534">
        <f t="shared" si="40"/>
        <v>16.189999999999998</v>
      </c>
      <c r="G211" s="494">
        <v>0.46960000000000002</v>
      </c>
      <c r="H211" s="537">
        <f t="shared" si="41"/>
        <v>46.96</v>
      </c>
      <c r="I211" s="487" t="s">
        <v>114</v>
      </c>
      <c r="J211" s="80">
        <f t="shared" si="29"/>
        <v>2.9005558987029034</v>
      </c>
      <c r="K211" s="517">
        <f t="shared" si="30"/>
        <v>1.2</v>
      </c>
      <c r="L211" s="483" t="str">
        <f t="shared" si="31"/>
        <v>Sobresaliente</v>
      </c>
    </row>
    <row r="212" spans="1:12" x14ac:dyDescent="0.25">
      <c r="A212" s="482" t="s">
        <v>415</v>
      </c>
      <c r="B212" s="476">
        <v>44592</v>
      </c>
      <c r="C212" s="285" t="s">
        <v>382</v>
      </c>
      <c r="D212" s="285" t="s">
        <v>381</v>
      </c>
      <c r="E212" s="286">
        <v>1</v>
      </c>
      <c r="F212" s="534">
        <f t="shared" si="40"/>
        <v>100</v>
      </c>
      <c r="G212" s="494">
        <v>0.53759999999999997</v>
      </c>
      <c r="H212" s="537">
        <f t="shared" si="41"/>
        <v>53.76</v>
      </c>
      <c r="I212" s="487" t="s">
        <v>116</v>
      </c>
      <c r="J212" s="80">
        <f t="shared" si="29"/>
        <v>1.4624000000000001</v>
      </c>
      <c r="K212" s="517">
        <f t="shared" si="30"/>
        <v>1.2</v>
      </c>
      <c r="L212" s="483" t="str">
        <f t="shared" si="31"/>
        <v>Sobresaliente</v>
      </c>
    </row>
    <row r="213" spans="1:12" x14ac:dyDescent="0.25">
      <c r="A213" s="482" t="s">
        <v>360</v>
      </c>
      <c r="B213" s="476">
        <v>44592</v>
      </c>
      <c r="C213" s="285" t="s">
        <v>382</v>
      </c>
      <c r="D213" s="285" t="s">
        <v>381</v>
      </c>
      <c r="E213" s="496">
        <v>4.6500000000000004</v>
      </c>
      <c r="F213" s="535">
        <f>+E213</f>
        <v>4.6500000000000004</v>
      </c>
      <c r="G213" s="496">
        <v>4.5999999999999996</v>
      </c>
      <c r="H213" s="538">
        <f>+G213</f>
        <v>4.5999999999999996</v>
      </c>
      <c r="I213" s="487" t="s">
        <v>114</v>
      </c>
      <c r="J213" s="80">
        <f t="shared" si="29"/>
        <v>0.98924731182795689</v>
      </c>
      <c r="K213" s="517">
        <f t="shared" si="30"/>
        <v>0.98924731182795689</v>
      </c>
      <c r="L213" s="483" t="str">
        <f t="shared" si="31"/>
        <v>Satisfactorio</v>
      </c>
    </row>
    <row r="214" spans="1:12" x14ac:dyDescent="0.25">
      <c r="A214" s="482" t="s">
        <v>361</v>
      </c>
      <c r="B214" s="476">
        <v>44592</v>
      </c>
      <c r="C214" s="285" t="s">
        <v>382</v>
      </c>
      <c r="D214" s="285" t="s">
        <v>381</v>
      </c>
      <c r="E214" s="494">
        <v>0.54</v>
      </c>
      <c r="F214" s="534">
        <f t="shared" ref="F214:F220" si="42">+E214*100</f>
        <v>54</v>
      </c>
      <c r="G214" s="494">
        <v>0.57450000000000001</v>
      </c>
      <c r="H214" s="537">
        <f t="shared" ref="H214:H220" si="43">+G214*100</f>
        <v>57.45</v>
      </c>
      <c r="I214" s="487" t="s">
        <v>114</v>
      </c>
      <c r="J214" s="80">
        <f t="shared" si="29"/>
        <v>1.0638888888888889</v>
      </c>
      <c r="K214" s="517">
        <f t="shared" si="30"/>
        <v>1.0638888888888889</v>
      </c>
      <c r="L214" s="483" t="str">
        <f t="shared" si="31"/>
        <v>Sobresaliente</v>
      </c>
    </row>
    <row r="215" spans="1:12" x14ac:dyDescent="0.25">
      <c r="A215" s="482" t="s">
        <v>362</v>
      </c>
      <c r="B215" s="476">
        <v>44592</v>
      </c>
      <c r="C215" s="285" t="s">
        <v>382</v>
      </c>
      <c r="D215" s="285" t="s">
        <v>381</v>
      </c>
      <c r="E215" s="494">
        <v>0.16789999999999999</v>
      </c>
      <c r="F215" s="534">
        <f t="shared" si="42"/>
        <v>16.79</v>
      </c>
      <c r="G215" s="494">
        <v>0.65139999999999998</v>
      </c>
      <c r="H215" s="537">
        <f t="shared" si="43"/>
        <v>65.14</v>
      </c>
      <c r="I215" s="487" t="s">
        <v>114</v>
      </c>
      <c r="J215" s="80">
        <f t="shared" si="29"/>
        <v>3.8796902918403813</v>
      </c>
      <c r="K215" s="517">
        <f t="shared" si="30"/>
        <v>1.2</v>
      </c>
      <c r="L215" s="483" t="str">
        <f t="shared" si="31"/>
        <v>Sobresaliente</v>
      </c>
    </row>
    <row r="216" spans="1:12" x14ac:dyDescent="0.25">
      <c r="A216" s="482" t="s">
        <v>424</v>
      </c>
      <c r="B216" s="476">
        <v>44592</v>
      </c>
      <c r="C216" s="285" t="s">
        <v>382</v>
      </c>
      <c r="D216" s="285" t="s">
        <v>381</v>
      </c>
      <c r="E216" s="494">
        <v>0.99229999999999996</v>
      </c>
      <c r="F216" s="534">
        <f t="shared" si="42"/>
        <v>99.22999999999999</v>
      </c>
      <c r="G216" s="494">
        <v>0.99360000000000004</v>
      </c>
      <c r="H216" s="537">
        <f t="shared" si="43"/>
        <v>99.36</v>
      </c>
      <c r="I216" s="487" t="s">
        <v>114</v>
      </c>
      <c r="J216" s="80">
        <f t="shared" si="29"/>
        <v>1.0013100876750984</v>
      </c>
      <c r="K216" s="517">
        <f t="shared" si="30"/>
        <v>1.0013100876750984</v>
      </c>
      <c r="L216" s="483" t="str">
        <f t="shared" si="31"/>
        <v>Sobresaliente</v>
      </c>
    </row>
    <row r="217" spans="1:12" x14ac:dyDescent="0.25">
      <c r="A217" s="482" t="s">
        <v>423</v>
      </c>
      <c r="B217" s="476">
        <v>44620</v>
      </c>
      <c r="C217" s="285" t="s">
        <v>109</v>
      </c>
      <c r="D217" s="285" t="s">
        <v>110</v>
      </c>
      <c r="E217" s="283">
        <v>6.9099999999999995E-2</v>
      </c>
      <c r="F217" s="534">
        <f t="shared" si="42"/>
        <v>6.9099999999999993</v>
      </c>
      <c r="G217" s="494">
        <v>0.24379999999999999</v>
      </c>
      <c r="H217" s="537">
        <f t="shared" si="43"/>
        <v>24.38</v>
      </c>
      <c r="I217" s="487" t="s">
        <v>114</v>
      </c>
      <c r="J217" s="80">
        <f t="shared" si="29"/>
        <v>3.5282199710564401</v>
      </c>
      <c r="K217" s="517">
        <f t="shared" si="30"/>
        <v>1.2</v>
      </c>
      <c r="L217" s="483" t="str">
        <f>+IF(J217&lt;79.99999%,"Incumple",IF(AND(J217&gt;=80%,J217&lt;94.999999%),"Tolerable",IF(AND(J217&gt;=95%,J217&lt;100%),"Satisfactorio","Sobresaliente")))</f>
        <v>Sobresaliente</v>
      </c>
    </row>
    <row r="218" spans="1:12" x14ac:dyDescent="0.25">
      <c r="A218" s="482" t="s">
        <v>357</v>
      </c>
      <c r="B218" s="476">
        <v>44620</v>
      </c>
      <c r="C218" s="285" t="s">
        <v>109</v>
      </c>
      <c r="D218" s="285" t="s">
        <v>110</v>
      </c>
      <c r="E218" s="494">
        <v>-1.2363999999999999</v>
      </c>
      <c r="F218" s="534">
        <f t="shared" si="42"/>
        <v>-123.64</v>
      </c>
      <c r="G218" s="494">
        <v>-0.7631</v>
      </c>
      <c r="H218" s="537">
        <f t="shared" si="43"/>
        <v>-76.31</v>
      </c>
      <c r="I218" s="487" t="s">
        <v>114</v>
      </c>
      <c r="J218" s="80">
        <f t="shared" si="29"/>
        <v>1.3828049175024264</v>
      </c>
      <c r="K218" s="517">
        <f t="shared" si="30"/>
        <v>1.2</v>
      </c>
      <c r="L218" s="483" t="str">
        <f t="shared" ref="L218:L281" si="44">+IF(J218&lt;79.99999%,"Incumple",IF(AND(J218&gt;=80%,J218&lt;94.999999%),"Tolerable",IF(AND(J218&gt;=95%,J218&lt;100%),"Satisfactorio","Sobresaliente")))</f>
        <v>Sobresaliente</v>
      </c>
    </row>
    <row r="219" spans="1:12" x14ac:dyDescent="0.25">
      <c r="A219" s="482" t="s">
        <v>415</v>
      </c>
      <c r="B219" s="476">
        <v>44620</v>
      </c>
      <c r="C219" s="285" t="s">
        <v>109</v>
      </c>
      <c r="D219" s="285" t="s">
        <v>110</v>
      </c>
      <c r="E219" s="494">
        <v>1</v>
      </c>
      <c r="F219" s="534">
        <f t="shared" si="42"/>
        <v>100</v>
      </c>
      <c r="G219" s="494">
        <v>0.81920000000000004</v>
      </c>
      <c r="H219" s="537">
        <f t="shared" si="43"/>
        <v>81.92</v>
      </c>
      <c r="I219" s="487" t="s">
        <v>116</v>
      </c>
      <c r="J219" s="80">
        <f t="shared" si="29"/>
        <v>1.1808000000000001</v>
      </c>
      <c r="K219" s="517">
        <f t="shared" si="30"/>
        <v>1.1808000000000001</v>
      </c>
      <c r="L219" s="483" t="str">
        <f t="shared" si="44"/>
        <v>Sobresaliente</v>
      </c>
    </row>
    <row r="220" spans="1:12" x14ac:dyDescent="0.25">
      <c r="A220" s="482" t="s">
        <v>359</v>
      </c>
      <c r="B220" s="476">
        <v>44620</v>
      </c>
      <c r="C220" s="285" t="s">
        <v>109</v>
      </c>
      <c r="D220" s="285" t="s">
        <v>110</v>
      </c>
      <c r="E220" s="494">
        <v>0.55279999999999996</v>
      </c>
      <c r="F220" s="534">
        <f t="shared" si="42"/>
        <v>55.279999999999994</v>
      </c>
      <c r="G220" s="494">
        <v>0.43280000000000002</v>
      </c>
      <c r="H220" s="537">
        <f t="shared" si="43"/>
        <v>43.28</v>
      </c>
      <c r="I220" s="487" t="s">
        <v>116</v>
      </c>
      <c r="J220" s="80">
        <f t="shared" si="29"/>
        <v>1.2170767004341534</v>
      </c>
      <c r="K220" s="517">
        <f t="shared" si="30"/>
        <v>1.2</v>
      </c>
      <c r="L220" s="483" t="str">
        <f t="shared" si="44"/>
        <v>Sobresaliente</v>
      </c>
    </row>
    <row r="221" spans="1:12" x14ac:dyDescent="0.25">
      <c r="A221" s="482" t="s">
        <v>360</v>
      </c>
      <c r="B221" s="476">
        <v>44620</v>
      </c>
      <c r="C221" s="285" t="s">
        <v>109</v>
      </c>
      <c r="D221" s="285" t="s">
        <v>110</v>
      </c>
      <c r="E221" s="496">
        <v>4.6500000000000004</v>
      </c>
      <c r="F221" s="535">
        <f>+E221</f>
        <v>4.6500000000000004</v>
      </c>
      <c r="G221" s="496">
        <v>4.54</v>
      </c>
      <c r="H221" s="538">
        <f>+G221</f>
        <v>4.54</v>
      </c>
      <c r="I221" s="487" t="s">
        <v>114</v>
      </c>
      <c r="J221" s="80">
        <f t="shared" si="29"/>
        <v>0.97634408602150535</v>
      </c>
      <c r="K221" s="517">
        <f t="shared" si="30"/>
        <v>0.97634408602150535</v>
      </c>
      <c r="L221" s="483" t="str">
        <f t="shared" si="44"/>
        <v>Satisfactorio</v>
      </c>
    </row>
    <row r="222" spans="1:12" x14ac:dyDescent="0.25">
      <c r="A222" s="482" t="s">
        <v>361</v>
      </c>
      <c r="B222" s="476">
        <v>44620</v>
      </c>
      <c r="C222" s="285" t="s">
        <v>109</v>
      </c>
      <c r="D222" s="285" t="s">
        <v>110</v>
      </c>
      <c r="E222" s="494">
        <v>0.54</v>
      </c>
      <c r="F222" s="534">
        <f t="shared" ref="F222:F227" si="45">+E222*100</f>
        <v>54</v>
      </c>
      <c r="G222" s="494">
        <v>0.63500000000000001</v>
      </c>
      <c r="H222" s="537">
        <f t="shared" ref="H222:H227" si="46">+G222*100</f>
        <v>63.5</v>
      </c>
      <c r="I222" s="487" t="s">
        <v>114</v>
      </c>
      <c r="J222" s="80">
        <f t="shared" si="29"/>
        <v>1.1759259259259258</v>
      </c>
      <c r="K222" s="517">
        <f t="shared" si="30"/>
        <v>1.1759259259259258</v>
      </c>
      <c r="L222" s="483" t="str">
        <f t="shared" si="44"/>
        <v>Sobresaliente</v>
      </c>
    </row>
    <row r="223" spans="1:12" x14ac:dyDescent="0.25">
      <c r="A223" s="482" t="s">
        <v>362</v>
      </c>
      <c r="B223" s="476">
        <v>44620</v>
      </c>
      <c r="C223" s="285" t="s">
        <v>109</v>
      </c>
      <c r="D223" s="285" t="s">
        <v>110</v>
      </c>
      <c r="E223" s="494">
        <v>3.6400000000000002E-2</v>
      </c>
      <c r="F223" s="534">
        <f t="shared" si="45"/>
        <v>3.64</v>
      </c>
      <c r="G223" s="494">
        <v>5.8999999999999997E-2</v>
      </c>
      <c r="H223" s="537">
        <f t="shared" si="46"/>
        <v>5.8999999999999995</v>
      </c>
      <c r="I223" s="487" t="s">
        <v>114</v>
      </c>
      <c r="J223" s="80">
        <f t="shared" si="29"/>
        <v>1.6208791208791207</v>
      </c>
      <c r="K223" s="517">
        <f t="shared" si="30"/>
        <v>1.2</v>
      </c>
      <c r="L223" s="483" t="str">
        <f t="shared" si="44"/>
        <v>Sobresaliente</v>
      </c>
    </row>
    <row r="224" spans="1:12" x14ac:dyDescent="0.25">
      <c r="A224" s="482" t="s">
        <v>424</v>
      </c>
      <c r="B224" s="476">
        <v>44620</v>
      </c>
      <c r="C224" s="285" t="s">
        <v>109</v>
      </c>
      <c r="D224" s="285" t="s">
        <v>110</v>
      </c>
      <c r="E224" s="494">
        <v>0.42949999999999999</v>
      </c>
      <c r="F224" s="534">
        <f t="shared" si="45"/>
        <v>42.95</v>
      </c>
      <c r="G224" s="494">
        <v>0.34179999999999999</v>
      </c>
      <c r="H224" s="537">
        <f t="shared" si="46"/>
        <v>34.18</v>
      </c>
      <c r="I224" s="487" t="s">
        <v>114</v>
      </c>
      <c r="J224" s="80">
        <f t="shared" si="29"/>
        <v>0.79580908032596043</v>
      </c>
      <c r="K224" s="517">
        <f t="shared" si="30"/>
        <v>0.79580908032596043</v>
      </c>
      <c r="L224" s="483" t="str">
        <f t="shared" si="44"/>
        <v>Incumple</v>
      </c>
    </row>
    <row r="225" spans="1:12" x14ac:dyDescent="0.25">
      <c r="A225" s="482" t="s">
        <v>423</v>
      </c>
      <c r="B225" s="476">
        <v>44620</v>
      </c>
      <c r="C225" s="285" t="s">
        <v>363</v>
      </c>
      <c r="D225" s="285" t="s">
        <v>110</v>
      </c>
      <c r="E225" s="283">
        <v>-5.91E-2</v>
      </c>
      <c r="F225" s="534">
        <f t="shared" si="45"/>
        <v>-5.91</v>
      </c>
      <c r="G225" s="494">
        <v>0.18110000000000001</v>
      </c>
      <c r="H225" s="537">
        <f t="shared" si="46"/>
        <v>18.11</v>
      </c>
      <c r="I225" s="487" t="s">
        <v>114</v>
      </c>
      <c r="J225" s="80">
        <f t="shared" si="29"/>
        <v>2.3263390392048593</v>
      </c>
      <c r="K225" s="517">
        <f t="shared" si="30"/>
        <v>1.2</v>
      </c>
      <c r="L225" s="483" t="str">
        <f t="shared" si="44"/>
        <v>Sobresaliente</v>
      </c>
    </row>
    <row r="226" spans="1:12" x14ac:dyDescent="0.25">
      <c r="A226" s="482" t="s">
        <v>415</v>
      </c>
      <c r="B226" s="476">
        <v>44620</v>
      </c>
      <c r="C226" s="285" t="s">
        <v>363</v>
      </c>
      <c r="D226" s="285" t="s">
        <v>110</v>
      </c>
      <c r="E226" s="494">
        <v>1</v>
      </c>
      <c r="F226" s="534">
        <f t="shared" si="45"/>
        <v>100</v>
      </c>
      <c r="G226" s="494">
        <v>0.82189999999999996</v>
      </c>
      <c r="H226" s="537">
        <f t="shared" si="46"/>
        <v>82.19</v>
      </c>
      <c r="I226" s="487" t="s">
        <v>116</v>
      </c>
      <c r="J226" s="80">
        <f t="shared" si="29"/>
        <v>1.1781000000000001</v>
      </c>
      <c r="K226" s="517">
        <f t="shared" si="30"/>
        <v>1.1781000000000001</v>
      </c>
      <c r="L226" s="483" t="str">
        <f t="shared" si="44"/>
        <v>Sobresaliente</v>
      </c>
    </row>
    <row r="227" spans="1:12" x14ac:dyDescent="0.25">
      <c r="A227" s="482" t="s">
        <v>359</v>
      </c>
      <c r="B227" s="476">
        <v>44620</v>
      </c>
      <c r="C227" s="285" t="s">
        <v>363</v>
      </c>
      <c r="D227" s="285" t="s">
        <v>110</v>
      </c>
      <c r="E227" s="494">
        <v>0.51459999999999995</v>
      </c>
      <c r="F227" s="534">
        <f t="shared" si="45"/>
        <v>51.459999999999994</v>
      </c>
      <c r="G227" s="494">
        <v>0.44190000000000002</v>
      </c>
      <c r="H227" s="537">
        <f t="shared" si="46"/>
        <v>44.190000000000005</v>
      </c>
      <c r="I227" s="487" t="s">
        <v>116</v>
      </c>
      <c r="J227" s="80">
        <f t="shared" si="29"/>
        <v>1.1412747765254565</v>
      </c>
      <c r="K227" s="517">
        <f t="shared" si="30"/>
        <v>1.1412747765254565</v>
      </c>
      <c r="L227" s="483" t="str">
        <f t="shared" si="44"/>
        <v>Sobresaliente</v>
      </c>
    </row>
    <row r="228" spans="1:12" x14ac:dyDescent="0.25">
      <c r="A228" s="482" t="s">
        <v>360</v>
      </c>
      <c r="B228" s="476">
        <v>44620</v>
      </c>
      <c r="C228" s="285" t="s">
        <v>363</v>
      </c>
      <c r="D228" s="285" t="s">
        <v>110</v>
      </c>
      <c r="E228" s="287">
        <v>4.6500000000000004</v>
      </c>
      <c r="F228" s="535">
        <f>+E228</f>
        <v>4.6500000000000004</v>
      </c>
      <c r="G228" s="287">
        <v>4.5</v>
      </c>
      <c r="H228" s="538">
        <f>+G228</f>
        <v>4.5</v>
      </c>
      <c r="I228" s="487" t="s">
        <v>114</v>
      </c>
      <c r="J228" s="80">
        <f t="shared" si="29"/>
        <v>0.96774193548387089</v>
      </c>
      <c r="K228" s="517">
        <f t="shared" si="30"/>
        <v>0.96774193548387089</v>
      </c>
      <c r="L228" s="483" t="str">
        <f t="shared" si="44"/>
        <v>Satisfactorio</v>
      </c>
    </row>
    <row r="229" spans="1:12" x14ac:dyDescent="0.25">
      <c r="A229" s="482" t="s">
        <v>361</v>
      </c>
      <c r="B229" s="476">
        <v>44620</v>
      </c>
      <c r="C229" s="285" t="s">
        <v>363</v>
      </c>
      <c r="D229" s="285" t="s">
        <v>110</v>
      </c>
      <c r="E229" s="494">
        <v>0.54</v>
      </c>
      <c r="F229" s="534">
        <f t="shared" ref="F229:F234" si="47">+E229*100</f>
        <v>54</v>
      </c>
      <c r="G229" s="494">
        <v>0.62250000000000005</v>
      </c>
      <c r="H229" s="537">
        <f t="shared" ref="H229:H234" si="48">+G229*100</f>
        <v>62.250000000000007</v>
      </c>
      <c r="I229" s="487" t="s">
        <v>114</v>
      </c>
      <c r="J229" s="80">
        <f t="shared" si="29"/>
        <v>1.1527777777777779</v>
      </c>
      <c r="K229" s="517">
        <f t="shared" si="30"/>
        <v>1.1527777777777779</v>
      </c>
      <c r="L229" s="483" t="str">
        <f t="shared" si="44"/>
        <v>Sobresaliente</v>
      </c>
    </row>
    <row r="230" spans="1:12" x14ac:dyDescent="0.25">
      <c r="A230" s="482" t="s">
        <v>362</v>
      </c>
      <c r="B230" s="476">
        <v>44620</v>
      </c>
      <c r="C230" s="285" t="s">
        <v>363</v>
      </c>
      <c r="D230" s="285" t="s">
        <v>110</v>
      </c>
      <c r="E230" s="494">
        <v>2.8000000000000001E-2</v>
      </c>
      <c r="F230" s="534">
        <f t="shared" si="47"/>
        <v>2.8000000000000003</v>
      </c>
      <c r="G230" s="494">
        <v>-1.9900000000000001E-2</v>
      </c>
      <c r="H230" s="537">
        <f t="shared" si="48"/>
        <v>-1.9900000000000002</v>
      </c>
      <c r="I230" s="487" t="s">
        <v>114</v>
      </c>
      <c r="J230" s="80">
        <f t="shared" si="29"/>
        <v>-0.71071428571428574</v>
      </c>
      <c r="K230" s="517">
        <f t="shared" si="30"/>
        <v>0</v>
      </c>
      <c r="L230" s="483" t="str">
        <f t="shared" si="44"/>
        <v>Incumple</v>
      </c>
    </row>
    <row r="231" spans="1:12" x14ac:dyDescent="0.25">
      <c r="A231" s="482" t="s">
        <v>424</v>
      </c>
      <c r="B231" s="476">
        <v>44620</v>
      </c>
      <c r="C231" s="285" t="s">
        <v>363</v>
      </c>
      <c r="D231" s="285" t="s">
        <v>110</v>
      </c>
      <c r="E231" s="494">
        <v>0.44090000000000001</v>
      </c>
      <c r="F231" s="534">
        <f t="shared" si="47"/>
        <v>44.09</v>
      </c>
      <c r="G231" s="494">
        <v>0.35770000000000002</v>
      </c>
      <c r="H231" s="537">
        <f t="shared" si="48"/>
        <v>35.770000000000003</v>
      </c>
      <c r="I231" s="487" t="s">
        <v>114</v>
      </c>
      <c r="J231" s="80">
        <f t="shared" si="29"/>
        <v>0.81129507824903613</v>
      </c>
      <c r="K231" s="517">
        <f t="shared" si="30"/>
        <v>0.81129507824903613</v>
      </c>
      <c r="L231" s="483" t="str">
        <f t="shared" si="44"/>
        <v>Tolerable</v>
      </c>
    </row>
    <row r="232" spans="1:12" x14ac:dyDescent="0.25">
      <c r="A232" s="482" t="s">
        <v>423</v>
      </c>
      <c r="B232" s="476">
        <v>44620</v>
      </c>
      <c r="C232" s="285" t="s">
        <v>364</v>
      </c>
      <c r="D232" s="285" t="s">
        <v>110</v>
      </c>
      <c r="E232" s="283">
        <v>2.6551999999999998</v>
      </c>
      <c r="F232" s="534">
        <f t="shared" si="47"/>
        <v>265.52</v>
      </c>
      <c r="G232" s="494">
        <v>2.3730000000000002</v>
      </c>
      <c r="H232" s="537">
        <f t="shared" si="48"/>
        <v>237.3</v>
      </c>
      <c r="I232" s="487" t="s">
        <v>114</v>
      </c>
      <c r="J232" s="80">
        <f t="shared" si="29"/>
        <v>0.89371798734558616</v>
      </c>
      <c r="K232" s="517">
        <f t="shared" si="30"/>
        <v>0.89371798734558616</v>
      </c>
      <c r="L232" s="483" t="str">
        <f t="shared" si="44"/>
        <v>Tolerable</v>
      </c>
    </row>
    <row r="233" spans="1:12" x14ac:dyDescent="0.25">
      <c r="A233" s="482" t="s">
        <v>357</v>
      </c>
      <c r="B233" s="476">
        <v>44620</v>
      </c>
      <c r="C233" s="285" t="s">
        <v>364</v>
      </c>
      <c r="D233" s="285" t="s">
        <v>110</v>
      </c>
      <c r="E233" s="283">
        <v>-0.48849999999999999</v>
      </c>
      <c r="F233" s="534">
        <f t="shared" si="47"/>
        <v>-48.85</v>
      </c>
      <c r="G233" s="494">
        <v>-0.42080000000000001</v>
      </c>
      <c r="H233" s="534">
        <f t="shared" si="48"/>
        <v>-42.08</v>
      </c>
      <c r="I233" s="285" t="s">
        <v>114</v>
      </c>
      <c r="J233" s="80">
        <f t="shared" si="29"/>
        <v>1.1385875127942682</v>
      </c>
      <c r="K233" s="517">
        <f t="shared" si="30"/>
        <v>1.1385875127942682</v>
      </c>
      <c r="L233" s="483" t="str">
        <f t="shared" si="44"/>
        <v>Sobresaliente</v>
      </c>
    </row>
    <row r="234" spans="1:12" x14ac:dyDescent="0.25">
      <c r="A234" s="482" t="s">
        <v>415</v>
      </c>
      <c r="B234" s="476">
        <v>44620</v>
      </c>
      <c r="C234" s="285" t="s">
        <v>364</v>
      </c>
      <c r="D234" s="285" t="s">
        <v>110</v>
      </c>
      <c r="E234" s="494">
        <v>1</v>
      </c>
      <c r="F234" s="534">
        <f t="shared" si="47"/>
        <v>100</v>
      </c>
      <c r="G234" s="494">
        <v>0.78669999999999995</v>
      </c>
      <c r="H234" s="537">
        <f t="shared" si="48"/>
        <v>78.67</v>
      </c>
      <c r="I234" s="487" t="s">
        <v>116</v>
      </c>
      <c r="J234" s="80">
        <f t="shared" si="29"/>
        <v>1.2133</v>
      </c>
      <c r="K234" s="517">
        <f t="shared" si="30"/>
        <v>1.2</v>
      </c>
      <c r="L234" s="483" t="str">
        <f t="shared" si="44"/>
        <v>Sobresaliente</v>
      </c>
    </row>
    <row r="235" spans="1:12" x14ac:dyDescent="0.25">
      <c r="A235" s="482" t="s">
        <v>360</v>
      </c>
      <c r="B235" s="476">
        <v>44620</v>
      </c>
      <c r="C235" s="285" t="s">
        <v>364</v>
      </c>
      <c r="D235" s="285" t="s">
        <v>110</v>
      </c>
      <c r="E235" s="496">
        <v>4.6500000000000004</v>
      </c>
      <c r="F235" s="535">
        <f>+E235</f>
        <v>4.6500000000000004</v>
      </c>
      <c r="G235" s="496">
        <v>4.7699999999999996</v>
      </c>
      <c r="H235" s="538">
        <f>+G235</f>
        <v>4.7699999999999996</v>
      </c>
      <c r="I235" s="487" t="s">
        <v>114</v>
      </c>
      <c r="J235" s="80">
        <f t="shared" si="29"/>
        <v>1.0258064516129031</v>
      </c>
      <c r="K235" s="517">
        <f t="shared" si="30"/>
        <v>1.0258064516129031</v>
      </c>
      <c r="L235" s="483" t="str">
        <f t="shared" si="44"/>
        <v>Sobresaliente</v>
      </c>
    </row>
    <row r="236" spans="1:12" x14ac:dyDescent="0.25">
      <c r="A236" s="482" t="s">
        <v>361</v>
      </c>
      <c r="B236" s="476">
        <v>44620</v>
      </c>
      <c r="C236" s="285" t="s">
        <v>364</v>
      </c>
      <c r="D236" s="285" t="s">
        <v>110</v>
      </c>
      <c r="E236" s="494">
        <v>0.54</v>
      </c>
      <c r="F236" s="534">
        <f t="shared" ref="F236:F241" si="49">+E236*100</f>
        <v>54</v>
      </c>
      <c r="G236" s="494">
        <v>0.71430000000000005</v>
      </c>
      <c r="H236" s="537">
        <f t="shared" ref="H236:H241" si="50">+G236*100</f>
        <v>71.430000000000007</v>
      </c>
      <c r="I236" s="487" t="s">
        <v>114</v>
      </c>
      <c r="J236" s="80">
        <f t="shared" ref="J236:J304" si="51">+IFERROR(IF(I236="Creciente",IF(AND(G236&lt;0,E236&lt;0),1-(G236-E236)/E236,IF(G236&lt;0,G236/E236,IF(E236&lt;0,1+((G236-E236)/G236),G236/E236))),IF(AND(G236&lt;0,E236&lt;0),(E236*-1)/(G236*-1),IF(G236&lt;0,(G236-E236)/G236,IF(E236&lt;0,-1+(G236-E236)/E236,IF(I236="Decreciente",1+(E236-G236)/E236,G236/E236))))),"N/A")</f>
        <v>1.3227777777777778</v>
      </c>
      <c r="K236" s="517">
        <f t="shared" ref="K236:K304" si="52">+IF(J236&lt;0,0%,IF(J236&gt;120%,120%,J236))</f>
        <v>1.2</v>
      </c>
      <c r="L236" s="483" t="str">
        <f t="shared" si="44"/>
        <v>Sobresaliente</v>
      </c>
    </row>
    <row r="237" spans="1:12" x14ac:dyDescent="0.25">
      <c r="A237" s="482" t="s">
        <v>362</v>
      </c>
      <c r="B237" s="476">
        <v>44620</v>
      </c>
      <c r="C237" s="285" t="s">
        <v>364</v>
      </c>
      <c r="D237" s="285" t="s">
        <v>110</v>
      </c>
      <c r="E237" s="494">
        <v>0.20910000000000001</v>
      </c>
      <c r="F237" s="534">
        <f t="shared" si="49"/>
        <v>20.91</v>
      </c>
      <c r="G237" s="494">
        <v>1.677</v>
      </c>
      <c r="H237" s="537">
        <f t="shared" si="50"/>
        <v>167.70000000000002</v>
      </c>
      <c r="I237" s="487" t="s">
        <v>114</v>
      </c>
      <c r="J237" s="80">
        <f t="shared" si="51"/>
        <v>8.0200860832137728</v>
      </c>
      <c r="K237" s="517">
        <f t="shared" si="52"/>
        <v>1.2</v>
      </c>
      <c r="L237" s="483" t="str">
        <f t="shared" si="44"/>
        <v>Sobresaliente</v>
      </c>
    </row>
    <row r="238" spans="1:12" x14ac:dyDescent="0.25">
      <c r="A238" s="482" t="s">
        <v>424</v>
      </c>
      <c r="B238" s="476">
        <v>44620</v>
      </c>
      <c r="C238" s="285" t="s">
        <v>364</v>
      </c>
      <c r="D238" s="285" t="s">
        <v>110</v>
      </c>
      <c r="E238" s="494">
        <v>0.2303</v>
      </c>
      <c r="F238" s="534">
        <f t="shared" si="49"/>
        <v>23.03</v>
      </c>
      <c r="G238" s="494">
        <v>0.222</v>
      </c>
      <c r="H238" s="537">
        <f t="shared" si="50"/>
        <v>22.2</v>
      </c>
      <c r="I238" s="487" t="s">
        <v>114</v>
      </c>
      <c r="J238" s="80">
        <f t="shared" si="51"/>
        <v>0.96396005210594871</v>
      </c>
      <c r="K238" s="517">
        <f t="shared" si="52"/>
        <v>0.96396005210594871</v>
      </c>
      <c r="L238" s="483" t="str">
        <f t="shared" si="44"/>
        <v>Satisfactorio</v>
      </c>
    </row>
    <row r="239" spans="1:12" x14ac:dyDescent="0.25">
      <c r="A239" s="482" t="s">
        <v>423</v>
      </c>
      <c r="B239" s="476">
        <v>44620</v>
      </c>
      <c r="C239" s="285" t="s">
        <v>366</v>
      </c>
      <c r="D239" s="285" t="s">
        <v>110</v>
      </c>
      <c r="E239" s="283">
        <v>0.7883</v>
      </c>
      <c r="F239" s="534">
        <f t="shared" si="49"/>
        <v>78.83</v>
      </c>
      <c r="G239" s="494">
        <v>1.7205999999999999</v>
      </c>
      <c r="H239" s="537">
        <f t="shared" si="50"/>
        <v>172.06</v>
      </c>
      <c r="I239" s="487" t="s">
        <v>114</v>
      </c>
      <c r="J239" s="80">
        <f t="shared" si="51"/>
        <v>2.1826715717366483</v>
      </c>
      <c r="K239" s="517">
        <f t="shared" si="52"/>
        <v>1.2</v>
      </c>
      <c r="L239" s="483" t="str">
        <f t="shared" si="44"/>
        <v>Sobresaliente</v>
      </c>
    </row>
    <row r="240" spans="1:12" x14ac:dyDescent="0.25">
      <c r="A240" s="482" t="s">
        <v>415</v>
      </c>
      <c r="B240" s="476">
        <v>44620</v>
      </c>
      <c r="C240" s="285" t="s">
        <v>366</v>
      </c>
      <c r="D240" s="285" t="s">
        <v>110</v>
      </c>
      <c r="E240" s="494">
        <v>1</v>
      </c>
      <c r="F240" s="534">
        <f t="shared" si="49"/>
        <v>100</v>
      </c>
      <c r="G240" s="494">
        <v>0.82630000000000003</v>
      </c>
      <c r="H240" s="537">
        <f t="shared" si="50"/>
        <v>82.63000000000001</v>
      </c>
      <c r="I240" s="487" t="s">
        <v>116</v>
      </c>
      <c r="J240" s="80">
        <f t="shared" si="51"/>
        <v>1.1737</v>
      </c>
      <c r="K240" s="517">
        <f t="shared" si="52"/>
        <v>1.1737</v>
      </c>
      <c r="L240" s="483" t="str">
        <f t="shared" si="44"/>
        <v>Sobresaliente</v>
      </c>
    </row>
    <row r="241" spans="1:12" x14ac:dyDescent="0.25">
      <c r="A241" s="482" t="s">
        <v>359</v>
      </c>
      <c r="B241" s="476">
        <v>44620</v>
      </c>
      <c r="C241" s="285" t="s">
        <v>366</v>
      </c>
      <c r="D241" s="285" t="s">
        <v>110</v>
      </c>
      <c r="E241" s="494">
        <v>0.70169999999999999</v>
      </c>
      <c r="F241" s="534">
        <f t="shared" si="49"/>
        <v>70.17</v>
      </c>
      <c r="G241" s="494">
        <v>0.51729999999999998</v>
      </c>
      <c r="H241" s="537">
        <f t="shared" si="50"/>
        <v>51.73</v>
      </c>
      <c r="I241" s="487" t="s">
        <v>116</v>
      </c>
      <c r="J241" s="80">
        <f t="shared" si="51"/>
        <v>1.2627903662533846</v>
      </c>
      <c r="K241" s="517">
        <f t="shared" si="52"/>
        <v>1.2</v>
      </c>
      <c r="L241" s="483" t="str">
        <f t="shared" si="44"/>
        <v>Sobresaliente</v>
      </c>
    </row>
    <row r="242" spans="1:12" x14ac:dyDescent="0.25">
      <c r="A242" s="482" t="s">
        <v>360</v>
      </c>
      <c r="B242" s="476">
        <v>44620</v>
      </c>
      <c r="C242" s="285" t="s">
        <v>366</v>
      </c>
      <c r="D242" s="285" t="s">
        <v>110</v>
      </c>
      <c r="E242" s="287">
        <v>4.6500000000000004</v>
      </c>
      <c r="F242" s="535">
        <f>+E242</f>
        <v>4.6500000000000004</v>
      </c>
      <c r="G242" s="287">
        <v>4.55</v>
      </c>
      <c r="H242" s="538">
        <f>+G242</f>
        <v>4.55</v>
      </c>
      <c r="I242" s="487" t="s">
        <v>114</v>
      </c>
      <c r="J242" s="80">
        <f t="shared" si="51"/>
        <v>0.97849462365591389</v>
      </c>
      <c r="K242" s="517">
        <f t="shared" si="52"/>
        <v>0.97849462365591389</v>
      </c>
      <c r="L242" s="483" t="str">
        <f t="shared" si="44"/>
        <v>Satisfactorio</v>
      </c>
    </row>
    <row r="243" spans="1:12" x14ac:dyDescent="0.25">
      <c r="A243" s="482" t="s">
        <v>361</v>
      </c>
      <c r="B243" s="476">
        <v>44620</v>
      </c>
      <c r="C243" s="285" t="s">
        <v>366</v>
      </c>
      <c r="D243" s="285" t="s">
        <v>110</v>
      </c>
      <c r="E243" s="494">
        <v>0.54</v>
      </c>
      <c r="F243" s="534">
        <f t="shared" ref="F243:F251" si="53">+E243*100</f>
        <v>54</v>
      </c>
      <c r="G243" s="497">
        <v>0.63539999999999996</v>
      </c>
      <c r="H243" s="538">
        <f t="shared" ref="H243:H251" si="54">+G243*100</f>
        <v>63.54</v>
      </c>
      <c r="I243" s="487" t="s">
        <v>114</v>
      </c>
      <c r="J243" s="80">
        <f t="shared" si="51"/>
        <v>1.1766666666666665</v>
      </c>
      <c r="K243" s="517">
        <f t="shared" si="52"/>
        <v>1.1766666666666665</v>
      </c>
      <c r="L243" s="483" t="str">
        <f t="shared" si="44"/>
        <v>Sobresaliente</v>
      </c>
    </row>
    <row r="244" spans="1:12" x14ac:dyDescent="0.25">
      <c r="A244" s="482" t="s">
        <v>362</v>
      </c>
      <c r="B244" s="476">
        <v>44620</v>
      </c>
      <c r="C244" s="285" t="s">
        <v>366</v>
      </c>
      <c r="D244" s="285" t="s">
        <v>110</v>
      </c>
      <c r="E244" s="494">
        <v>0.43940000000000001</v>
      </c>
      <c r="F244" s="534">
        <f t="shared" si="53"/>
        <v>43.94</v>
      </c>
      <c r="G244" s="494">
        <v>1.1487000000000001</v>
      </c>
      <c r="H244" s="537">
        <f t="shared" si="54"/>
        <v>114.87</v>
      </c>
      <c r="I244" s="487" t="s">
        <v>114</v>
      </c>
      <c r="J244" s="80">
        <f t="shared" si="51"/>
        <v>2.6142467000455167</v>
      </c>
      <c r="K244" s="517">
        <f t="shared" si="52"/>
        <v>1.2</v>
      </c>
      <c r="L244" s="483" t="str">
        <f t="shared" si="44"/>
        <v>Sobresaliente</v>
      </c>
    </row>
    <row r="245" spans="1:12" x14ac:dyDescent="0.25">
      <c r="A245" s="482" t="s">
        <v>424</v>
      </c>
      <c r="B245" s="476">
        <v>44620</v>
      </c>
      <c r="C245" s="285" t="s">
        <v>366</v>
      </c>
      <c r="D245" s="285" t="s">
        <v>110</v>
      </c>
      <c r="E245" s="494">
        <v>0.30599999999999999</v>
      </c>
      <c r="F245" s="534">
        <f t="shared" si="53"/>
        <v>30.599999999999998</v>
      </c>
      <c r="G245" s="494">
        <v>0.2291</v>
      </c>
      <c r="H245" s="537">
        <f t="shared" si="54"/>
        <v>22.91</v>
      </c>
      <c r="I245" s="487" t="s">
        <v>114</v>
      </c>
      <c r="J245" s="80">
        <f t="shared" si="51"/>
        <v>0.74869281045751634</v>
      </c>
      <c r="K245" s="517">
        <f t="shared" si="52"/>
        <v>0.74869281045751634</v>
      </c>
      <c r="L245" s="483" t="str">
        <f t="shared" si="44"/>
        <v>Incumple</v>
      </c>
    </row>
    <row r="246" spans="1:12" x14ac:dyDescent="0.25">
      <c r="A246" s="482" t="s">
        <v>423</v>
      </c>
      <c r="B246" s="476">
        <v>44620</v>
      </c>
      <c r="C246" s="285" t="s">
        <v>111</v>
      </c>
      <c r="D246" s="285" t="s">
        <v>110</v>
      </c>
      <c r="E246" s="494">
        <v>0.24440000000000001</v>
      </c>
      <c r="F246" s="534">
        <f t="shared" si="53"/>
        <v>24.44</v>
      </c>
      <c r="G246" s="494">
        <v>0.46970000000000001</v>
      </c>
      <c r="H246" s="537">
        <f t="shared" si="54"/>
        <v>46.97</v>
      </c>
      <c r="I246" s="487" t="s">
        <v>114</v>
      </c>
      <c r="J246" s="80">
        <f t="shared" si="51"/>
        <v>1.921849427168576</v>
      </c>
      <c r="K246" s="517">
        <f t="shared" si="52"/>
        <v>1.2</v>
      </c>
      <c r="L246" s="483" t="str">
        <f t="shared" si="44"/>
        <v>Sobresaliente</v>
      </c>
    </row>
    <row r="247" spans="1:12" x14ac:dyDescent="0.25">
      <c r="A247" s="482" t="s">
        <v>357</v>
      </c>
      <c r="B247" s="476">
        <v>44620</v>
      </c>
      <c r="C247" s="285" t="s">
        <v>111</v>
      </c>
      <c r="D247" s="285" t="s">
        <v>110</v>
      </c>
      <c r="E247" s="494">
        <v>-5.7200000000000001E-2</v>
      </c>
      <c r="F247" s="534">
        <f t="shared" si="53"/>
        <v>-5.72</v>
      </c>
      <c r="G247" s="494">
        <v>7.4200000000000002E-2</v>
      </c>
      <c r="H247" s="537">
        <f t="shared" si="54"/>
        <v>7.42</v>
      </c>
      <c r="I247" s="487" t="s">
        <v>114</v>
      </c>
      <c r="J247" s="80">
        <f t="shared" si="51"/>
        <v>2.7708894878706198</v>
      </c>
      <c r="K247" s="517">
        <f t="shared" si="52"/>
        <v>1.2</v>
      </c>
      <c r="L247" s="483" t="str">
        <f t="shared" si="44"/>
        <v>Sobresaliente</v>
      </c>
    </row>
    <row r="248" spans="1:12" x14ac:dyDescent="0.25">
      <c r="A248" s="482" t="s">
        <v>415</v>
      </c>
      <c r="B248" s="476">
        <v>44620</v>
      </c>
      <c r="C248" s="285" t="s">
        <v>111</v>
      </c>
      <c r="D248" s="285" t="s">
        <v>110</v>
      </c>
      <c r="E248" s="494">
        <v>1</v>
      </c>
      <c r="F248" s="534">
        <f t="shared" si="53"/>
        <v>100</v>
      </c>
      <c r="G248" s="494">
        <v>0.75449999999999995</v>
      </c>
      <c r="H248" s="537">
        <f t="shared" si="54"/>
        <v>75.449999999999989</v>
      </c>
      <c r="I248" s="487" t="s">
        <v>116</v>
      </c>
      <c r="J248" s="80">
        <f t="shared" si="51"/>
        <v>1.2455000000000001</v>
      </c>
      <c r="K248" s="517">
        <f t="shared" si="52"/>
        <v>1.2</v>
      </c>
      <c r="L248" s="483" t="str">
        <f t="shared" si="44"/>
        <v>Sobresaliente</v>
      </c>
    </row>
    <row r="249" spans="1:12" x14ac:dyDescent="0.25">
      <c r="A249" s="482" t="s">
        <v>423</v>
      </c>
      <c r="B249" s="476">
        <v>44620</v>
      </c>
      <c r="C249" s="285" t="s">
        <v>367</v>
      </c>
      <c r="D249" s="285" t="s">
        <v>110</v>
      </c>
      <c r="E249" s="283">
        <v>0.51670000000000005</v>
      </c>
      <c r="F249" s="534">
        <f t="shared" si="53"/>
        <v>51.67</v>
      </c>
      <c r="G249" s="494">
        <v>0.73680000000000001</v>
      </c>
      <c r="H249" s="537">
        <f t="shared" si="54"/>
        <v>73.680000000000007</v>
      </c>
      <c r="I249" s="487" t="s">
        <v>114</v>
      </c>
      <c r="J249" s="80">
        <f t="shared" si="51"/>
        <v>1.4259725179020708</v>
      </c>
      <c r="K249" s="517">
        <f t="shared" si="52"/>
        <v>1.2</v>
      </c>
      <c r="L249" s="483" t="str">
        <f t="shared" si="44"/>
        <v>Sobresaliente</v>
      </c>
    </row>
    <row r="250" spans="1:12" x14ac:dyDescent="0.25">
      <c r="A250" s="482" t="s">
        <v>415</v>
      </c>
      <c r="B250" s="476">
        <v>44620</v>
      </c>
      <c r="C250" s="285" t="s">
        <v>367</v>
      </c>
      <c r="D250" s="285" t="s">
        <v>110</v>
      </c>
      <c r="E250" s="494">
        <v>1</v>
      </c>
      <c r="F250" s="534">
        <f t="shared" si="53"/>
        <v>100</v>
      </c>
      <c r="G250" s="494">
        <v>0.58350000000000002</v>
      </c>
      <c r="H250" s="537">
        <f t="shared" si="54"/>
        <v>58.35</v>
      </c>
      <c r="I250" s="487" t="s">
        <v>116</v>
      </c>
      <c r="J250" s="80">
        <f t="shared" si="51"/>
        <v>1.4165000000000001</v>
      </c>
      <c r="K250" s="517">
        <f t="shared" si="52"/>
        <v>1.2</v>
      </c>
      <c r="L250" s="483" t="str">
        <f t="shared" si="44"/>
        <v>Sobresaliente</v>
      </c>
    </row>
    <row r="251" spans="1:12" x14ac:dyDescent="0.25">
      <c r="A251" s="482" t="s">
        <v>359</v>
      </c>
      <c r="B251" s="476">
        <v>44620</v>
      </c>
      <c r="C251" s="285" t="s">
        <v>367</v>
      </c>
      <c r="D251" s="285" t="s">
        <v>110</v>
      </c>
      <c r="E251" s="494">
        <v>0.2883</v>
      </c>
      <c r="F251" s="534">
        <f t="shared" si="53"/>
        <v>28.83</v>
      </c>
      <c r="G251" s="494">
        <v>0.12180000000000001</v>
      </c>
      <c r="H251" s="537">
        <f t="shared" si="54"/>
        <v>12.18</v>
      </c>
      <c r="I251" s="487" t="s">
        <v>116</v>
      </c>
      <c r="J251" s="80">
        <f t="shared" si="51"/>
        <v>1.5775234131113423</v>
      </c>
      <c r="K251" s="517">
        <f t="shared" si="52"/>
        <v>1.2</v>
      </c>
      <c r="L251" s="483" t="str">
        <f t="shared" si="44"/>
        <v>Sobresaliente</v>
      </c>
    </row>
    <row r="252" spans="1:12" x14ac:dyDescent="0.25">
      <c r="A252" s="482" t="s">
        <v>360</v>
      </c>
      <c r="B252" s="476">
        <v>44620</v>
      </c>
      <c r="C252" s="285" t="s">
        <v>367</v>
      </c>
      <c r="D252" s="285" t="s">
        <v>110</v>
      </c>
      <c r="E252" s="287">
        <v>4.6500000000000004</v>
      </c>
      <c r="F252" s="535">
        <f>+E252</f>
        <v>4.6500000000000004</v>
      </c>
      <c r="G252" s="287">
        <v>4.68</v>
      </c>
      <c r="H252" s="538">
        <f>+G252</f>
        <v>4.68</v>
      </c>
      <c r="I252" s="487" t="s">
        <v>114</v>
      </c>
      <c r="J252" s="80">
        <f t="shared" si="51"/>
        <v>1.0064516129032257</v>
      </c>
      <c r="K252" s="517">
        <f t="shared" si="52"/>
        <v>1.0064516129032257</v>
      </c>
      <c r="L252" s="483" t="str">
        <f t="shared" si="44"/>
        <v>Sobresaliente</v>
      </c>
    </row>
    <row r="253" spans="1:12" x14ac:dyDescent="0.25">
      <c r="A253" s="482" t="s">
        <v>361</v>
      </c>
      <c r="B253" s="476">
        <v>44620</v>
      </c>
      <c r="C253" s="285" t="s">
        <v>367</v>
      </c>
      <c r="D253" s="285" t="s">
        <v>110</v>
      </c>
      <c r="E253" s="497">
        <v>0.54</v>
      </c>
      <c r="F253" s="535">
        <f t="shared" ref="F253:F258" si="55">+E253*100</f>
        <v>54</v>
      </c>
      <c r="G253" s="497">
        <v>0.68600000000000005</v>
      </c>
      <c r="H253" s="538">
        <f t="shared" ref="H253:H258" si="56">+G253*100</f>
        <v>68.600000000000009</v>
      </c>
      <c r="I253" s="487" t="s">
        <v>114</v>
      </c>
      <c r="J253" s="80">
        <f t="shared" si="51"/>
        <v>1.2703703703703704</v>
      </c>
      <c r="K253" s="517">
        <f t="shared" si="52"/>
        <v>1.2</v>
      </c>
      <c r="L253" s="483" t="str">
        <f t="shared" si="44"/>
        <v>Sobresaliente</v>
      </c>
    </row>
    <row r="254" spans="1:12" x14ac:dyDescent="0.25">
      <c r="A254" s="482" t="s">
        <v>362</v>
      </c>
      <c r="B254" s="476">
        <v>44620</v>
      </c>
      <c r="C254" s="285" t="s">
        <v>367</v>
      </c>
      <c r="D254" s="285" t="s">
        <v>110</v>
      </c>
      <c r="E254" s="494">
        <v>0.189</v>
      </c>
      <c r="F254" s="534">
        <f t="shared" si="55"/>
        <v>18.899999999999999</v>
      </c>
      <c r="G254" s="494">
        <v>0.7278</v>
      </c>
      <c r="H254" s="537">
        <f t="shared" si="56"/>
        <v>72.78</v>
      </c>
      <c r="I254" s="487" t="s">
        <v>114</v>
      </c>
      <c r="J254" s="80">
        <f t="shared" si="51"/>
        <v>3.8507936507936509</v>
      </c>
      <c r="K254" s="517">
        <f t="shared" si="52"/>
        <v>1.2</v>
      </c>
      <c r="L254" s="483" t="str">
        <f t="shared" si="44"/>
        <v>Sobresaliente</v>
      </c>
    </row>
    <row r="255" spans="1:12" x14ac:dyDescent="0.25">
      <c r="A255" s="482" t="s">
        <v>424</v>
      </c>
      <c r="B255" s="476">
        <v>44620</v>
      </c>
      <c r="C255" s="285" t="s">
        <v>367</v>
      </c>
      <c r="D255" s="285" t="s">
        <v>110</v>
      </c>
      <c r="E255" s="494">
        <v>9.5899999999999999E-2</v>
      </c>
      <c r="F255" s="534">
        <f t="shared" si="55"/>
        <v>9.59</v>
      </c>
      <c r="G255" s="494">
        <v>0.1143</v>
      </c>
      <c r="H255" s="537">
        <f t="shared" si="56"/>
        <v>11.43</v>
      </c>
      <c r="I255" s="487" t="s">
        <v>114</v>
      </c>
      <c r="J255" s="80">
        <f t="shared" si="51"/>
        <v>1.191866527632951</v>
      </c>
      <c r="K255" s="517">
        <f t="shared" si="52"/>
        <v>1.191866527632951</v>
      </c>
      <c r="L255" s="483" t="str">
        <f t="shared" si="44"/>
        <v>Sobresaliente</v>
      </c>
    </row>
    <row r="256" spans="1:12" x14ac:dyDescent="0.25">
      <c r="A256" s="482" t="s">
        <v>423</v>
      </c>
      <c r="B256" s="476">
        <v>44620</v>
      </c>
      <c r="C256" s="285" t="s">
        <v>368</v>
      </c>
      <c r="D256" s="285" t="s">
        <v>369</v>
      </c>
      <c r="E256" s="283">
        <v>1.6725000000000001</v>
      </c>
      <c r="F256" s="534">
        <f t="shared" si="55"/>
        <v>167.25</v>
      </c>
      <c r="G256" s="494">
        <v>3.9464000000000001</v>
      </c>
      <c r="H256" s="537">
        <f t="shared" si="56"/>
        <v>394.64</v>
      </c>
      <c r="I256" s="487" t="s">
        <v>114</v>
      </c>
      <c r="J256" s="80">
        <f t="shared" si="51"/>
        <v>2.3595814648729445</v>
      </c>
      <c r="K256" s="517">
        <f t="shared" si="52"/>
        <v>1.2</v>
      </c>
      <c r="L256" s="483" t="str">
        <f t="shared" si="44"/>
        <v>Sobresaliente</v>
      </c>
    </row>
    <row r="257" spans="1:12" x14ac:dyDescent="0.25">
      <c r="A257" s="482" t="s">
        <v>415</v>
      </c>
      <c r="B257" s="476">
        <v>44620</v>
      </c>
      <c r="C257" s="285" t="s">
        <v>368</v>
      </c>
      <c r="D257" s="285" t="s">
        <v>369</v>
      </c>
      <c r="E257" s="494">
        <v>1</v>
      </c>
      <c r="F257" s="534">
        <f t="shared" si="55"/>
        <v>100</v>
      </c>
      <c r="G257" s="494">
        <v>0.88080000000000003</v>
      </c>
      <c r="H257" s="537">
        <f t="shared" si="56"/>
        <v>88.08</v>
      </c>
      <c r="I257" s="487" t="s">
        <v>116</v>
      </c>
      <c r="J257" s="80">
        <f t="shared" si="51"/>
        <v>1.1192</v>
      </c>
      <c r="K257" s="517">
        <f t="shared" si="52"/>
        <v>1.1192</v>
      </c>
      <c r="L257" s="483" t="str">
        <f t="shared" si="44"/>
        <v>Sobresaliente</v>
      </c>
    </row>
    <row r="258" spans="1:12" x14ac:dyDescent="0.25">
      <c r="A258" s="482" t="s">
        <v>359</v>
      </c>
      <c r="B258" s="476">
        <v>44620</v>
      </c>
      <c r="C258" s="285" t="s">
        <v>368</v>
      </c>
      <c r="D258" s="285" t="s">
        <v>369</v>
      </c>
      <c r="E258" s="494">
        <v>0.3851</v>
      </c>
      <c r="F258" s="534">
        <f t="shared" si="55"/>
        <v>38.51</v>
      </c>
      <c r="G258" s="494">
        <v>-0.41520000000000001</v>
      </c>
      <c r="H258" s="537">
        <f t="shared" si="56"/>
        <v>-41.52</v>
      </c>
      <c r="I258" s="487" t="s">
        <v>116</v>
      </c>
      <c r="J258" s="80">
        <f t="shared" si="51"/>
        <v>1.9275048169556839</v>
      </c>
      <c r="K258" s="517">
        <f t="shared" si="52"/>
        <v>1.2</v>
      </c>
      <c r="L258" s="483" t="str">
        <f t="shared" si="44"/>
        <v>Sobresaliente</v>
      </c>
    </row>
    <row r="259" spans="1:12" x14ac:dyDescent="0.25">
      <c r="A259" s="482" t="s">
        <v>360</v>
      </c>
      <c r="B259" s="476">
        <v>44620</v>
      </c>
      <c r="C259" s="285" t="s">
        <v>368</v>
      </c>
      <c r="D259" s="285" t="s">
        <v>369</v>
      </c>
      <c r="E259" s="287">
        <v>4.6500000000000004</v>
      </c>
      <c r="F259" s="535">
        <f>+E259</f>
        <v>4.6500000000000004</v>
      </c>
      <c r="G259" s="287">
        <v>4.7699999999999996</v>
      </c>
      <c r="H259" s="538">
        <f>+G259</f>
        <v>4.7699999999999996</v>
      </c>
      <c r="I259" s="487" t="s">
        <v>114</v>
      </c>
      <c r="J259" s="80">
        <f t="shared" si="51"/>
        <v>1.0258064516129031</v>
      </c>
      <c r="K259" s="517">
        <f t="shared" si="52"/>
        <v>1.0258064516129031</v>
      </c>
      <c r="L259" s="483" t="str">
        <f t="shared" si="44"/>
        <v>Sobresaliente</v>
      </c>
    </row>
    <row r="260" spans="1:12" x14ac:dyDescent="0.25">
      <c r="A260" s="482" t="s">
        <v>361</v>
      </c>
      <c r="B260" s="476">
        <v>44620</v>
      </c>
      <c r="C260" s="285" t="s">
        <v>368</v>
      </c>
      <c r="D260" s="285" t="s">
        <v>369</v>
      </c>
      <c r="E260" s="494">
        <v>0.54</v>
      </c>
      <c r="F260" s="534">
        <f t="shared" ref="F260:F265" si="57">+E260*100</f>
        <v>54</v>
      </c>
      <c r="G260" s="494">
        <v>0.74480000000000002</v>
      </c>
      <c r="H260" s="537">
        <f t="shared" ref="H260:H265" si="58">+G260*100</f>
        <v>74.48</v>
      </c>
      <c r="I260" s="487" t="s">
        <v>114</v>
      </c>
      <c r="J260" s="80">
        <f t="shared" si="51"/>
        <v>1.3792592592592592</v>
      </c>
      <c r="K260" s="517">
        <f t="shared" si="52"/>
        <v>1.2</v>
      </c>
      <c r="L260" s="483" t="str">
        <f t="shared" si="44"/>
        <v>Sobresaliente</v>
      </c>
    </row>
    <row r="261" spans="1:12" x14ac:dyDescent="0.25">
      <c r="A261" s="482" t="s">
        <v>362</v>
      </c>
      <c r="B261" s="476">
        <v>44620</v>
      </c>
      <c r="C261" s="285" t="s">
        <v>368</v>
      </c>
      <c r="D261" s="285" t="s">
        <v>369</v>
      </c>
      <c r="E261" s="494">
        <v>1.0324</v>
      </c>
      <c r="F261" s="534">
        <f t="shared" si="57"/>
        <v>103.24</v>
      </c>
      <c r="G261" s="494">
        <v>1.1483000000000001</v>
      </c>
      <c r="H261" s="537">
        <f t="shared" si="58"/>
        <v>114.83000000000001</v>
      </c>
      <c r="I261" s="487" t="s">
        <v>114</v>
      </c>
      <c r="J261" s="80">
        <f t="shared" si="51"/>
        <v>1.1122626888802791</v>
      </c>
      <c r="K261" s="517">
        <f t="shared" si="52"/>
        <v>1.1122626888802791</v>
      </c>
      <c r="L261" s="483" t="str">
        <f t="shared" si="44"/>
        <v>Sobresaliente</v>
      </c>
    </row>
    <row r="262" spans="1:12" x14ac:dyDescent="0.25">
      <c r="A262" s="482" t="s">
        <v>424</v>
      </c>
      <c r="B262" s="476">
        <v>44620</v>
      </c>
      <c r="C262" s="285" t="s">
        <v>368</v>
      </c>
      <c r="D262" s="285" t="s">
        <v>369</v>
      </c>
      <c r="E262" s="494">
        <v>0.2422</v>
      </c>
      <c r="F262" s="534">
        <f t="shared" si="57"/>
        <v>24.22</v>
      </c>
      <c r="G262" s="494">
        <v>0.4158</v>
      </c>
      <c r="H262" s="537">
        <f t="shared" si="58"/>
        <v>41.58</v>
      </c>
      <c r="I262" s="487" t="s">
        <v>114</v>
      </c>
      <c r="J262" s="80">
        <f t="shared" si="51"/>
        <v>1.7167630057803469</v>
      </c>
      <c r="K262" s="517">
        <f t="shared" si="52"/>
        <v>1.2</v>
      </c>
      <c r="L262" s="483" t="str">
        <f t="shared" si="44"/>
        <v>Sobresaliente</v>
      </c>
    </row>
    <row r="263" spans="1:12" x14ac:dyDescent="0.25">
      <c r="A263" s="482" t="s">
        <v>423</v>
      </c>
      <c r="B263" s="476">
        <v>44620</v>
      </c>
      <c r="C263" s="285" t="s">
        <v>370</v>
      </c>
      <c r="D263" s="285" t="s">
        <v>369</v>
      </c>
      <c r="E263" s="292">
        <v>0</v>
      </c>
      <c r="F263" s="534">
        <f t="shared" si="57"/>
        <v>0</v>
      </c>
      <c r="G263" s="501">
        <v>0</v>
      </c>
      <c r="H263" s="537">
        <f t="shared" si="58"/>
        <v>0</v>
      </c>
      <c r="I263" s="487" t="s">
        <v>114</v>
      </c>
      <c r="J263" s="80" t="str">
        <f t="shared" si="51"/>
        <v>N/A</v>
      </c>
      <c r="K263" s="517">
        <f t="shared" si="52"/>
        <v>1.2</v>
      </c>
      <c r="L263" s="483" t="str">
        <f t="shared" si="44"/>
        <v>Sobresaliente</v>
      </c>
    </row>
    <row r="264" spans="1:12" x14ac:dyDescent="0.25">
      <c r="A264" s="482" t="s">
        <v>358</v>
      </c>
      <c r="B264" s="476">
        <v>44620</v>
      </c>
      <c r="C264" s="285" t="s">
        <v>370</v>
      </c>
      <c r="D264" s="285" t="s">
        <v>369</v>
      </c>
      <c r="E264" s="501">
        <v>0</v>
      </c>
      <c r="F264" s="534">
        <f t="shared" si="57"/>
        <v>0</v>
      </c>
      <c r="G264" s="501">
        <v>0</v>
      </c>
      <c r="H264" s="537">
        <f t="shared" si="58"/>
        <v>0</v>
      </c>
      <c r="I264" s="487" t="s">
        <v>116</v>
      </c>
      <c r="J264" s="80" t="str">
        <f t="shared" si="51"/>
        <v>N/A</v>
      </c>
      <c r="K264" s="517">
        <f t="shared" si="52"/>
        <v>1.2</v>
      </c>
      <c r="L264" s="483" t="str">
        <f t="shared" si="44"/>
        <v>Sobresaliente</v>
      </c>
    </row>
    <row r="265" spans="1:12" x14ac:dyDescent="0.25">
      <c r="A265" s="482" t="s">
        <v>359</v>
      </c>
      <c r="B265" s="476">
        <v>44620</v>
      </c>
      <c r="C265" s="285" t="s">
        <v>370</v>
      </c>
      <c r="D265" s="285" t="s">
        <v>369</v>
      </c>
      <c r="E265" s="501">
        <v>0</v>
      </c>
      <c r="F265" s="534">
        <f t="shared" si="57"/>
        <v>0</v>
      </c>
      <c r="G265" s="501">
        <v>0</v>
      </c>
      <c r="H265" s="537">
        <f t="shared" si="58"/>
        <v>0</v>
      </c>
      <c r="I265" s="487" t="s">
        <v>116</v>
      </c>
      <c r="J265" s="80" t="str">
        <f t="shared" si="51"/>
        <v>N/A</v>
      </c>
      <c r="K265" s="517">
        <f t="shared" si="52"/>
        <v>1.2</v>
      </c>
      <c r="L265" s="483" t="str">
        <f t="shared" si="44"/>
        <v>Sobresaliente</v>
      </c>
    </row>
    <row r="266" spans="1:12" x14ac:dyDescent="0.25">
      <c r="A266" s="482" t="s">
        <v>360</v>
      </c>
      <c r="B266" s="476">
        <v>44620</v>
      </c>
      <c r="C266" s="285" t="s">
        <v>370</v>
      </c>
      <c r="D266" s="285" t="s">
        <v>369</v>
      </c>
      <c r="E266" s="558">
        <v>4.6500000000000004</v>
      </c>
      <c r="F266" s="535">
        <f>+E266</f>
        <v>4.6500000000000004</v>
      </c>
      <c r="G266" s="287">
        <v>0</v>
      </c>
      <c r="H266" s="538">
        <f>+G266</f>
        <v>0</v>
      </c>
      <c r="I266" s="487" t="s">
        <v>114</v>
      </c>
      <c r="J266" s="80">
        <f t="shared" si="51"/>
        <v>0</v>
      </c>
      <c r="K266" s="517">
        <f t="shared" si="52"/>
        <v>0</v>
      </c>
      <c r="L266" s="483" t="str">
        <f t="shared" si="44"/>
        <v>Incumple</v>
      </c>
    </row>
    <row r="267" spans="1:12" x14ac:dyDescent="0.25">
      <c r="A267" s="482" t="s">
        <v>361</v>
      </c>
      <c r="B267" s="476">
        <v>44620</v>
      </c>
      <c r="C267" s="285" t="s">
        <v>370</v>
      </c>
      <c r="D267" s="285" t="s">
        <v>369</v>
      </c>
      <c r="E267" s="494">
        <v>0.5</v>
      </c>
      <c r="F267" s="534">
        <f t="shared" ref="F267:F272" si="59">+E267*100</f>
        <v>50</v>
      </c>
      <c r="G267" s="494">
        <v>0</v>
      </c>
      <c r="H267" s="537">
        <f t="shared" ref="H267:H272" si="60">+G267*100</f>
        <v>0</v>
      </c>
      <c r="I267" s="487" t="s">
        <v>114</v>
      </c>
      <c r="J267" s="80">
        <f t="shared" si="51"/>
        <v>0</v>
      </c>
      <c r="K267" s="517">
        <f t="shared" si="52"/>
        <v>0</v>
      </c>
      <c r="L267" s="483" t="str">
        <f t="shared" si="44"/>
        <v>Incumple</v>
      </c>
    </row>
    <row r="268" spans="1:12" x14ac:dyDescent="0.25">
      <c r="A268" s="482" t="s">
        <v>362</v>
      </c>
      <c r="B268" s="476">
        <v>44620</v>
      </c>
      <c r="C268" s="285" t="s">
        <v>370</v>
      </c>
      <c r="D268" s="285" t="s">
        <v>369</v>
      </c>
      <c r="E268" s="494">
        <v>-0.1976</v>
      </c>
      <c r="F268" s="534">
        <f t="shared" si="59"/>
        <v>-19.759999999999998</v>
      </c>
      <c r="G268" s="494">
        <v>0.87160000000000004</v>
      </c>
      <c r="H268" s="537">
        <f t="shared" si="60"/>
        <v>87.160000000000011</v>
      </c>
      <c r="I268" s="487" t="s">
        <v>114</v>
      </c>
      <c r="J268" s="80">
        <f t="shared" si="51"/>
        <v>2.2267094997705366</v>
      </c>
      <c r="K268" s="517">
        <f t="shared" si="52"/>
        <v>1.2</v>
      </c>
      <c r="L268" s="483" t="str">
        <f t="shared" si="44"/>
        <v>Sobresaliente</v>
      </c>
    </row>
    <row r="269" spans="1:12" x14ac:dyDescent="0.25">
      <c r="A269" s="482" t="s">
        <v>424</v>
      </c>
      <c r="B269" s="476">
        <v>44620</v>
      </c>
      <c r="C269" s="285" t="s">
        <v>370</v>
      </c>
      <c r="D269" s="285" t="s">
        <v>369</v>
      </c>
      <c r="E269" s="494">
        <v>0</v>
      </c>
      <c r="F269" s="534">
        <f t="shared" si="59"/>
        <v>0</v>
      </c>
      <c r="G269" s="494">
        <v>0</v>
      </c>
      <c r="H269" s="537">
        <f t="shared" si="60"/>
        <v>0</v>
      </c>
      <c r="I269" s="487" t="s">
        <v>114</v>
      </c>
      <c r="J269" s="80" t="str">
        <f t="shared" si="51"/>
        <v>N/A</v>
      </c>
      <c r="K269" s="517">
        <f t="shared" si="52"/>
        <v>1.2</v>
      </c>
      <c r="L269" s="483" t="str">
        <f t="shared" si="44"/>
        <v>Sobresaliente</v>
      </c>
    </row>
    <row r="270" spans="1:12" x14ac:dyDescent="0.25">
      <c r="A270" s="482" t="s">
        <v>423</v>
      </c>
      <c r="B270" s="476">
        <v>44620</v>
      </c>
      <c r="C270" s="285" t="s">
        <v>22</v>
      </c>
      <c r="D270" s="285" t="s">
        <v>369</v>
      </c>
      <c r="E270" s="283">
        <v>2.0693999999999999</v>
      </c>
      <c r="F270" s="534">
        <f t="shared" si="59"/>
        <v>206.94</v>
      </c>
      <c r="G270" s="494">
        <v>5.7694000000000001</v>
      </c>
      <c r="H270" s="537">
        <f t="shared" si="60"/>
        <v>576.94000000000005</v>
      </c>
      <c r="I270" s="487" t="s">
        <v>114</v>
      </c>
      <c r="J270" s="80">
        <f t="shared" si="51"/>
        <v>2.7879578621822754</v>
      </c>
      <c r="K270" s="517">
        <f t="shared" si="52"/>
        <v>1.2</v>
      </c>
      <c r="L270" s="483" t="str">
        <f t="shared" si="44"/>
        <v>Sobresaliente</v>
      </c>
    </row>
    <row r="271" spans="1:12" x14ac:dyDescent="0.25">
      <c r="A271" s="482" t="s">
        <v>415</v>
      </c>
      <c r="B271" s="476">
        <v>44620</v>
      </c>
      <c r="C271" s="285" t="s">
        <v>22</v>
      </c>
      <c r="D271" s="285" t="s">
        <v>369</v>
      </c>
      <c r="E271" s="494">
        <v>1</v>
      </c>
      <c r="F271" s="534">
        <f t="shared" si="59"/>
        <v>100</v>
      </c>
      <c r="G271" s="494">
        <v>0.87329999999999997</v>
      </c>
      <c r="H271" s="537">
        <f t="shared" si="60"/>
        <v>87.33</v>
      </c>
      <c r="I271" s="487" t="s">
        <v>116</v>
      </c>
      <c r="J271" s="80">
        <f t="shared" si="51"/>
        <v>1.1267</v>
      </c>
      <c r="K271" s="517">
        <f t="shared" si="52"/>
        <v>1.1267</v>
      </c>
      <c r="L271" s="483" t="str">
        <f t="shared" si="44"/>
        <v>Sobresaliente</v>
      </c>
    </row>
    <row r="272" spans="1:12" x14ac:dyDescent="0.25">
      <c r="A272" s="482" t="s">
        <v>359</v>
      </c>
      <c r="B272" s="476">
        <v>44620</v>
      </c>
      <c r="C272" s="285" t="s">
        <v>22</v>
      </c>
      <c r="D272" s="285" t="s">
        <v>369</v>
      </c>
      <c r="E272" s="494">
        <v>0.40029999999999999</v>
      </c>
      <c r="F272" s="534">
        <f t="shared" si="59"/>
        <v>40.03</v>
      </c>
      <c r="G272" s="494">
        <v>-0.6139</v>
      </c>
      <c r="H272" s="537">
        <f t="shared" si="60"/>
        <v>-61.39</v>
      </c>
      <c r="I272" s="487" t="s">
        <v>116</v>
      </c>
      <c r="J272" s="80">
        <f t="shared" si="51"/>
        <v>1.6520605961883044</v>
      </c>
      <c r="K272" s="517">
        <f t="shared" si="52"/>
        <v>1.2</v>
      </c>
      <c r="L272" s="483" t="str">
        <f t="shared" si="44"/>
        <v>Sobresaliente</v>
      </c>
    </row>
    <row r="273" spans="1:12" x14ac:dyDescent="0.25">
      <c r="A273" s="482" t="s">
        <v>360</v>
      </c>
      <c r="B273" s="476">
        <v>44620</v>
      </c>
      <c r="C273" s="285" t="s">
        <v>22</v>
      </c>
      <c r="D273" s="285" t="s">
        <v>369</v>
      </c>
      <c r="E273" s="287">
        <v>4.6500000000000004</v>
      </c>
      <c r="F273" s="535">
        <f>+E273</f>
        <v>4.6500000000000004</v>
      </c>
      <c r="G273" s="287">
        <v>4.7699999999999996</v>
      </c>
      <c r="H273" s="538">
        <f>+G273</f>
        <v>4.7699999999999996</v>
      </c>
      <c r="I273" s="487" t="s">
        <v>114</v>
      </c>
      <c r="J273" s="80">
        <f t="shared" si="51"/>
        <v>1.0258064516129031</v>
      </c>
      <c r="K273" s="517">
        <f t="shared" si="52"/>
        <v>1.0258064516129031</v>
      </c>
      <c r="L273" s="483" t="str">
        <f t="shared" si="44"/>
        <v>Sobresaliente</v>
      </c>
    </row>
    <row r="274" spans="1:12" x14ac:dyDescent="0.25">
      <c r="A274" s="482" t="s">
        <v>361</v>
      </c>
      <c r="B274" s="476">
        <v>44620</v>
      </c>
      <c r="C274" s="285" t="s">
        <v>22</v>
      </c>
      <c r="D274" s="285" t="s">
        <v>369</v>
      </c>
      <c r="E274" s="494">
        <v>0.54</v>
      </c>
      <c r="F274" s="534">
        <f t="shared" ref="F274:F279" si="61">+E274*100</f>
        <v>54</v>
      </c>
      <c r="G274" s="494">
        <v>0.79679999999999995</v>
      </c>
      <c r="H274" s="537">
        <f t="shared" ref="H274:H279" si="62">+G274*100</f>
        <v>79.679999999999993</v>
      </c>
      <c r="I274" s="487" t="s">
        <v>114</v>
      </c>
      <c r="J274" s="80">
        <f t="shared" si="51"/>
        <v>1.4755555555555553</v>
      </c>
      <c r="K274" s="517">
        <f t="shared" si="52"/>
        <v>1.2</v>
      </c>
      <c r="L274" s="483" t="str">
        <f t="shared" si="44"/>
        <v>Sobresaliente</v>
      </c>
    </row>
    <row r="275" spans="1:12" x14ac:dyDescent="0.25">
      <c r="A275" s="482" t="s">
        <v>362</v>
      </c>
      <c r="B275" s="476">
        <v>44620</v>
      </c>
      <c r="C275" s="285" t="s">
        <v>22</v>
      </c>
      <c r="D275" s="285" t="s">
        <v>369</v>
      </c>
      <c r="E275" s="494">
        <v>1.2084999999999999</v>
      </c>
      <c r="F275" s="534">
        <f t="shared" si="61"/>
        <v>120.85</v>
      </c>
      <c r="G275" s="494">
        <v>1.2053</v>
      </c>
      <c r="H275" s="537">
        <f t="shared" si="62"/>
        <v>120.53</v>
      </c>
      <c r="I275" s="487" t="s">
        <v>114</v>
      </c>
      <c r="J275" s="80">
        <f t="shared" si="51"/>
        <v>0.99735208936698394</v>
      </c>
      <c r="K275" s="517">
        <f t="shared" si="52"/>
        <v>0.99735208936698394</v>
      </c>
      <c r="L275" s="483" t="str">
        <f t="shared" si="44"/>
        <v>Satisfactorio</v>
      </c>
    </row>
    <row r="276" spans="1:12" x14ac:dyDescent="0.25">
      <c r="A276" s="482" t="s">
        <v>424</v>
      </c>
      <c r="B276" s="476">
        <v>44620</v>
      </c>
      <c r="C276" s="285" t="s">
        <v>22</v>
      </c>
      <c r="D276" s="285" t="s">
        <v>369</v>
      </c>
      <c r="E276" s="494">
        <v>0.3881</v>
      </c>
      <c r="F276" s="534">
        <f t="shared" si="61"/>
        <v>38.81</v>
      </c>
      <c r="G276" s="494">
        <v>0.46410000000000001</v>
      </c>
      <c r="H276" s="537">
        <f t="shared" si="62"/>
        <v>46.410000000000004</v>
      </c>
      <c r="I276" s="487" t="s">
        <v>114</v>
      </c>
      <c r="J276" s="80">
        <f t="shared" si="51"/>
        <v>1.1958258180881216</v>
      </c>
      <c r="K276" s="517">
        <f t="shared" si="52"/>
        <v>1.1958258180881216</v>
      </c>
      <c r="L276" s="483" t="str">
        <f t="shared" si="44"/>
        <v>Sobresaliente</v>
      </c>
    </row>
    <row r="277" spans="1:12" x14ac:dyDescent="0.25">
      <c r="A277" s="482" t="s">
        <v>423</v>
      </c>
      <c r="B277" s="476">
        <v>44620</v>
      </c>
      <c r="C277" s="285" t="s">
        <v>372</v>
      </c>
      <c r="D277" s="285" t="s">
        <v>369</v>
      </c>
      <c r="E277" s="283">
        <v>0.98329999999999995</v>
      </c>
      <c r="F277" s="534">
        <f t="shared" si="61"/>
        <v>98.33</v>
      </c>
      <c r="G277" s="494">
        <v>0.77880000000000005</v>
      </c>
      <c r="H277" s="537">
        <f t="shared" si="62"/>
        <v>77.88000000000001</v>
      </c>
      <c r="I277" s="487" t="s">
        <v>114</v>
      </c>
      <c r="J277" s="80">
        <f t="shared" si="51"/>
        <v>0.7920268483677414</v>
      </c>
      <c r="K277" s="517">
        <f t="shared" si="52"/>
        <v>0.7920268483677414</v>
      </c>
      <c r="L277" s="483" t="str">
        <f t="shared" si="44"/>
        <v>Incumple</v>
      </c>
    </row>
    <row r="278" spans="1:12" x14ac:dyDescent="0.25">
      <c r="A278" s="482" t="s">
        <v>357</v>
      </c>
      <c r="B278" s="476">
        <v>44620</v>
      </c>
      <c r="C278" s="285" t="s">
        <v>372</v>
      </c>
      <c r="D278" s="285" t="s">
        <v>369</v>
      </c>
      <c r="E278" s="494">
        <v>-0.51490000000000002</v>
      </c>
      <c r="F278" s="534">
        <f t="shared" si="61"/>
        <v>-51.49</v>
      </c>
      <c r="G278" s="494">
        <v>-0.1968</v>
      </c>
      <c r="H278" s="537">
        <f t="shared" si="62"/>
        <v>-19.68</v>
      </c>
      <c r="I278" s="487" t="s">
        <v>114</v>
      </c>
      <c r="J278" s="80">
        <f t="shared" si="51"/>
        <v>1.6177898621091473</v>
      </c>
      <c r="K278" s="517">
        <f t="shared" si="52"/>
        <v>1.2</v>
      </c>
      <c r="L278" s="483" t="str">
        <f t="shared" si="44"/>
        <v>Sobresaliente</v>
      </c>
    </row>
    <row r="279" spans="1:12" x14ac:dyDescent="0.25">
      <c r="A279" s="482" t="s">
        <v>415</v>
      </c>
      <c r="B279" s="476">
        <v>44620</v>
      </c>
      <c r="C279" s="285" t="s">
        <v>372</v>
      </c>
      <c r="D279" s="285" t="s">
        <v>369</v>
      </c>
      <c r="E279" s="494">
        <v>1</v>
      </c>
      <c r="F279" s="534">
        <f t="shared" si="61"/>
        <v>100</v>
      </c>
      <c r="G279" s="494"/>
      <c r="H279" s="537">
        <f t="shared" si="62"/>
        <v>0</v>
      </c>
      <c r="I279" s="487" t="s">
        <v>116</v>
      </c>
      <c r="J279" s="80">
        <f t="shared" si="51"/>
        <v>2</v>
      </c>
      <c r="K279" s="517">
        <f t="shared" si="52"/>
        <v>1.2</v>
      </c>
      <c r="L279" s="483" t="str">
        <f t="shared" si="44"/>
        <v>Sobresaliente</v>
      </c>
    </row>
    <row r="280" spans="1:12" x14ac:dyDescent="0.25">
      <c r="A280" s="482" t="s">
        <v>360</v>
      </c>
      <c r="B280" s="476">
        <v>44620</v>
      </c>
      <c r="C280" s="285" t="s">
        <v>372</v>
      </c>
      <c r="D280" s="285" t="s">
        <v>369</v>
      </c>
      <c r="E280" s="496">
        <v>4.6500000000000004</v>
      </c>
      <c r="F280" s="535">
        <f>+E280</f>
        <v>4.6500000000000004</v>
      </c>
      <c r="G280" s="496">
        <v>4.7699999999999996</v>
      </c>
      <c r="H280" s="538">
        <f>+G280</f>
        <v>4.7699999999999996</v>
      </c>
      <c r="I280" s="487" t="s">
        <v>114</v>
      </c>
      <c r="J280" s="80">
        <f t="shared" si="51"/>
        <v>1.0258064516129031</v>
      </c>
      <c r="K280" s="517">
        <f t="shared" si="52"/>
        <v>1.0258064516129031</v>
      </c>
      <c r="L280" s="483" t="str">
        <f t="shared" si="44"/>
        <v>Sobresaliente</v>
      </c>
    </row>
    <row r="281" spans="1:12" x14ac:dyDescent="0.25">
      <c r="A281" s="482" t="s">
        <v>361</v>
      </c>
      <c r="B281" s="476">
        <v>44620</v>
      </c>
      <c r="C281" s="285" t="s">
        <v>372</v>
      </c>
      <c r="D281" s="285" t="s">
        <v>369</v>
      </c>
      <c r="E281" s="494">
        <v>0.54</v>
      </c>
      <c r="F281" s="534">
        <f t="shared" ref="F281:F286" si="63">+E281*100</f>
        <v>54</v>
      </c>
      <c r="G281" s="494">
        <v>0.68759999999999999</v>
      </c>
      <c r="H281" s="537">
        <f t="shared" ref="H281:H286" si="64">+G281*100</f>
        <v>68.760000000000005</v>
      </c>
      <c r="I281" s="487" t="s">
        <v>114</v>
      </c>
      <c r="J281" s="80">
        <f t="shared" si="51"/>
        <v>1.2733333333333332</v>
      </c>
      <c r="K281" s="517">
        <f t="shared" si="52"/>
        <v>1.2</v>
      </c>
      <c r="L281" s="483" t="str">
        <f t="shared" si="44"/>
        <v>Sobresaliente</v>
      </c>
    </row>
    <row r="282" spans="1:12" x14ac:dyDescent="0.25">
      <c r="A282" s="482" t="s">
        <v>362</v>
      </c>
      <c r="B282" s="476">
        <v>44620</v>
      </c>
      <c r="C282" s="285" t="s">
        <v>372</v>
      </c>
      <c r="D282" s="285" t="s">
        <v>369</v>
      </c>
      <c r="E282" s="494">
        <v>9.641</v>
      </c>
      <c r="F282" s="534">
        <f t="shared" si="63"/>
        <v>964.1</v>
      </c>
      <c r="G282" s="494">
        <v>14.461499999999999</v>
      </c>
      <c r="H282" s="537">
        <f t="shared" si="64"/>
        <v>1446.1499999999999</v>
      </c>
      <c r="I282" s="487" t="s">
        <v>114</v>
      </c>
      <c r="J282" s="80">
        <f t="shared" si="51"/>
        <v>1.5</v>
      </c>
      <c r="K282" s="517">
        <f t="shared" si="52"/>
        <v>1.2</v>
      </c>
      <c r="L282" s="483" t="str">
        <f t="shared" ref="L282:L304" si="65">+IF(J282&lt;79.99999%,"Incumple",IF(AND(J282&gt;=80%,J282&lt;94.999999%),"Tolerable",IF(AND(J282&gt;=95%,J282&lt;100%),"Satisfactorio","Sobresaliente")))</f>
        <v>Sobresaliente</v>
      </c>
    </row>
    <row r="283" spans="1:12" x14ac:dyDescent="0.25">
      <c r="A283" s="482" t="s">
        <v>424</v>
      </c>
      <c r="B283" s="476">
        <v>44620</v>
      </c>
      <c r="C283" s="285" t="s">
        <v>372</v>
      </c>
      <c r="D283" s="285" t="s">
        <v>369</v>
      </c>
      <c r="E283" s="494">
        <v>0.2422</v>
      </c>
      <c r="F283" s="534">
        <f t="shared" si="63"/>
        <v>24.22</v>
      </c>
      <c r="G283" s="494">
        <v>0.19070000000000001</v>
      </c>
      <c r="H283" s="537">
        <f t="shared" si="64"/>
        <v>19.07</v>
      </c>
      <c r="I283" s="487" t="s">
        <v>114</v>
      </c>
      <c r="J283" s="80">
        <f t="shared" si="51"/>
        <v>0.7873658133773741</v>
      </c>
      <c r="K283" s="517">
        <f t="shared" si="52"/>
        <v>0.7873658133773741</v>
      </c>
      <c r="L283" s="483" t="str">
        <f t="shared" si="65"/>
        <v>Incumple</v>
      </c>
    </row>
    <row r="284" spans="1:12" x14ac:dyDescent="0.25">
      <c r="A284" s="482" t="s">
        <v>423</v>
      </c>
      <c r="B284" s="476">
        <v>44620</v>
      </c>
      <c r="C284" s="285" t="s">
        <v>373</v>
      </c>
      <c r="D284" s="285" t="s">
        <v>369</v>
      </c>
      <c r="E284" s="283">
        <v>2.64E-2</v>
      </c>
      <c r="F284" s="534">
        <f t="shared" si="63"/>
        <v>2.64</v>
      </c>
      <c r="G284" s="494">
        <v>3.4024000000000001</v>
      </c>
      <c r="H284" s="537">
        <f t="shared" si="64"/>
        <v>340.24</v>
      </c>
      <c r="I284" s="487" t="s">
        <v>114</v>
      </c>
      <c r="J284" s="80">
        <f t="shared" si="51"/>
        <v>128.87878787878788</v>
      </c>
      <c r="K284" s="517">
        <f t="shared" si="52"/>
        <v>1.2</v>
      </c>
      <c r="L284" s="483" t="str">
        <f t="shared" si="65"/>
        <v>Sobresaliente</v>
      </c>
    </row>
    <row r="285" spans="1:12" x14ac:dyDescent="0.25">
      <c r="A285" s="482" t="s">
        <v>415</v>
      </c>
      <c r="B285" s="476">
        <v>44620</v>
      </c>
      <c r="C285" s="285" t="s">
        <v>373</v>
      </c>
      <c r="D285" s="285" t="s">
        <v>369</v>
      </c>
      <c r="E285" s="494">
        <v>1</v>
      </c>
      <c r="F285" s="534">
        <f t="shared" si="63"/>
        <v>100</v>
      </c>
      <c r="G285" s="494">
        <v>0.93940000000000001</v>
      </c>
      <c r="H285" s="537">
        <f t="shared" si="64"/>
        <v>93.94</v>
      </c>
      <c r="I285" s="487" t="s">
        <v>116</v>
      </c>
      <c r="J285" s="80">
        <f t="shared" si="51"/>
        <v>1.0606</v>
      </c>
      <c r="K285" s="517">
        <f t="shared" si="52"/>
        <v>1.0606</v>
      </c>
      <c r="L285" s="483" t="str">
        <f t="shared" si="65"/>
        <v>Sobresaliente</v>
      </c>
    </row>
    <row r="286" spans="1:12" x14ac:dyDescent="0.25">
      <c r="A286" s="482" t="s">
        <v>359</v>
      </c>
      <c r="B286" s="476">
        <v>44620</v>
      </c>
      <c r="C286" s="285" t="s">
        <v>373</v>
      </c>
      <c r="D286" s="285" t="s">
        <v>369</v>
      </c>
      <c r="E286" s="494">
        <v>0.97040000000000004</v>
      </c>
      <c r="F286" s="534">
        <f t="shared" si="63"/>
        <v>97.04</v>
      </c>
      <c r="G286" s="494">
        <v>0.85429999999999995</v>
      </c>
      <c r="H286" s="537">
        <f t="shared" si="64"/>
        <v>85.429999999999993</v>
      </c>
      <c r="I286" s="487" t="s">
        <v>116</v>
      </c>
      <c r="J286" s="80">
        <f t="shared" si="51"/>
        <v>1.1196413849958782</v>
      </c>
      <c r="K286" s="517">
        <f t="shared" si="52"/>
        <v>1.1196413849958782</v>
      </c>
      <c r="L286" s="483" t="str">
        <f t="shared" si="65"/>
        <v>Sobresaliente</v>
      </c>
    </row>
    <row r="287" spans="1:12" x14ac:dyDescent="0.25">
      <c r="A287" s="482" t="s">
        <v>360</v>
      </c>
      <c r="B287" s="476">
        <v>44620</v>
      </c>
      <c r="C287" s="285" t="s">
        <v>373</v>
      </c>
      <c r="D287" s="285" t="s">
        <v>369</v>
      </c>
      <c r="E287" s="287">
        <v>4.6500000000000004</v>
      </c>
      <c r="F287" s="535">
        <f>+E287</f>
        <v>4.6500000000000004</v>
      </c>
      <c r="G287" s="287">
        <v>4.7</v>
      </c>
      <c r="H287" s="538">
        <f>+G287</f>
        <v>4.7</v>
      </c>
      <c r="I287" s="487" t="s">
        <v>114</v>
      </c>
      <c r="J287" s="80">
        <f t="shared" si="51"/>
        <v>1.010752688172043</v>
      </c>
      <c r="K287" s="517">
        <f t="shared" si="52"/>
        <v>1.010752688172043</v>
      </c>
      <c r="L287" s="483" t="str">
        <f t="shared" si="65"/>
        <v>Sobresaliente</v>
      </c>
    </row>
    <row r="288" spans="1:12" x14ac:dyDescent="0.25">
      <c r="A288" s="482" t="s">
        <v>361</v>
      </c>
      <c r="B288" s="476">
        <v>44620</v>
      </c>
      <c r="C288" s="285" t="s">
        <v>373</v>
      </c>
      <c r="D288" s="285" t="s">
        <v>369</v>
      </c>
      <c r="E288" s="494">
        <v>0.54</v>
      </c>
      <c r="F288" s="534">
        <f t="shared" ref="F288:F293" si="66">+E288*100</f>
        <v>54</v>
      </c>
      <c r="G288" s="494">
        <v>0.71789999999999998</v>
      </c>
      <c r="H288" s="537">
        <f t="shared" ref="H288:H293" si="67">+G288*100</f>
        <v>71.789999999999992</v>
      </c>
      <c r="I288" s="487" t="s">
        <v>114</v>
      </c>
      <c r="J288" s="80">
        <f t="shared" si="51"/>
        <v>1.3294444444444444</v>
      </c>
      <c r="K288" s="517">
        <f t="shared" si="52"/>
        <v>1.2</v>
      </c>
      <c r="L288" s="483" t="str">
        <f t="shared" si="65"/>
        <v>Sobresaliente</v>
      </c>
    </row>
    <row r="289" spans="1:12" x14ac:dyDescent="0.25">
      <c r="A289" s="482" t="s">
        <v>362</v>
      </c>
      <c r="B289" s="476">
        <v>44620</v>
      </c>
      <c r="C289" s="285" t="s">
        <v>373</v>
      </c>
      <c r="D289" s="285" t="s">
        <v>369</v>
      </c>
      <c r="E289" s="494">
        <v>-0.25380000000000003</v>
      </c>
      <c r="F289" s="534">
        <f t="shared" si="66"/>
        <v>-25.380000000000003</v>
      </c>
      <c r="G289" s="494">
        <v>-0.2666</v>
      </c>
      <c r="H289" s="537">
        <f t="shared" si="67"/>
        <v>-26.66</v>
      </c>
      <c r="I289" s="487" t="s">
        <v>114</v>
      </c>
      <c r="J289" s="80">
        <f t="shared" si="51"/>
        <v>0.94956658786446035</v>
      </c>
      <c r="K289" s="517">
        <f t="shared" si="52"/>
        <v>0.94956658786446035</v>
      </c>
      <c r="L289" s="483" t="str">
        <f t="shared" si="65"/>
        <v>Tolerable</v>
      </c>
    </row>
    <row r="290" spans="1:12" x14ac:dyDescent="0.25">
      <c r="A290" s="482" t="s">
        <v>424</v>
      </c>
      <c r="B290" s="476">
        <v>44620</v>
      </c>
      <c r="C290" s="285" t="s">
        <v>373</v>
      </c>
      <c r="D290" s="285" t="s">
        <v>369</v>
      </c>
      <c r="E290" s="494">
        <v>1.6000000000000001E-3</v>
      </c>
      <c r="F290" s="534">
        <f t="shared" si="66"/>
        <v>0.16</v>
      </c>
      <c r="G290" s="494">
        <v>4.1000000000000003E-3</v>
      </c>
      <c r="H290" s="537">
        <f t="shared" si="67"/>
        <v>0.41000000000000003</v>
      </c>
      <c r="I290" s="487" t="s">
        <v>114</v>
      </c>
      <c r="J290" s="80">
        <f t="shared" si="51"/>
        <v>2.5625</v>
      </c>
      <c r="K290" s="517">
        <f t="shared" si="52"/>
        <v>1.2</v>
      </c>
      <c r="L290" s="483" t="str">
        <f t="shared" si="65"/>
        <v>Sobresaliente</v>
      </c>
    </row>
    <row r="291" spans="1:12" x14ac:dyDescent="0.25">
      <c r="A291" s="482" t="s">
        <v>423</v>
      </c>
      <c r="B291" s="476">
        <v>44620</v>
      </c>
      <c r="C291" s="285" t="s">
        <v>374</v>
      </c>
      <c r="D291" s="285" t="s">
        <v>369</v>
      </c>
      <c r="E291" s="283">
        <v>-0.2135</v>
      </c>
      <c r="F291" s="534">
        <f t="shared" si="66"/>
        <v>-21.349999999999998</v>
      </c>
      <c r="G291" s="494">
        <v>0.8256</v>
      </c>
      <c r="H291" s="537">
        <f t="shared" si="67"/>
        <v>82.56</v>
      </c>
      <c r="I291" s="487" t="s">
        <v>114</v>
      </c>
      <c r="J291" s="80">
        <f t="shared" si="51"/>
        <v>2.2585998062015502</v>
      </c>
      <c r="K291" s="517">
        <f t="shared" si="52"/>
        <v>1.2</v>
      </c>
      <c r="L291" s="483" t="str">
        <f t="shared" si="65"/>
        <v>Sobresaliente</v>
      </c>
    </row>
    <row r="292" spans="1:12" x14ac:dyDescent="0.25">
      <c r="A292" s="482" t="s">
        <v>415</v>
      </c>
      <c r="B292" s="476">
        <v>44620</v>
      </c>
      <c r="C292" s="285" t="s">
        <v>374</v>
      </c>
      <c r="D292" s="285" t="s">
        <v>369</v>
      </c>
      <c r="E292" s="494">
        <v>1</v>
      </c>
      <c r="F292" s="534">
        <f t="shared" si="66"/>
        <v>100</v>
      </c>
      <c r="G292" s="494">
        <v>1.1041000000000001</v>
      </c>
      <c r="H292" s="537">
        <f t="shared" si="67"/>
        <v>110.41000000000001</v>
      </c>
      <c r="I292" s="487" t="s">
        <v>116</v>
      </c>
      <c r="J292" s="80">
        <f t="shared" si="51"/>
        <v>0.89589999999999992</v>
      </c>
      <c r="K292" s="517">
        <f t="shared" si="52"/>
        <v>0.89589999999999992</v>
      </c>
      <c r="L292" s="483" t="str">
        <f t="shared" si="65"/>
        <v>Tolerable</v>
      </c>
    </row>
    <row r="293" spans="1:12" x14ac:dyDescent="0.25">
      <c r="A293" s="482" t="s">
        <v>359</v>
      </c>
      <c r="B293" s="476">
        <v>44620</v>
      </c>
      <c r="C293" s="285" t="s">
        <v>374</v>
      </c>
      <c r="D293" s="285" t="s">
        <v>369</v>
      </c>
      <c r="E293" s="494">
        <v>0.99060000000000004</v>
      </c>
      <c r="F293" s="534">
        <f t="shared" si="66"/>
        <v>99.06</v>
      </c>
      <c r="G293" s="494">
        <v>0.97809999999999997</v>
      </c>
      <c r="H293" s="537">
        <f t="shared" si="67"/>
        <v>97.81</v>
      </c>
      <c r="I293" s="487" t="s">
        <v>116</v>
      </c>
      <c r="J293" s="80">
        <f t="shared" si="51"/>
        <v>1.0126186149808198</v>
      </c>
      <c r="K293" s="517">
        <f t="shared" si="52"/>
        <v>1.0126186149808198</v>
      </c>
      <c r="L293" s="483" t="str">
        <f t="shared" si="65"/>
        <v>Sobresaliente</v>
      </c>
    </row>
    <row r="294" spans="1:12" x14ac:dyDescent="0.25">
      <c r="A294" s="482" t="s">
        <v>360</v>
      </c>
      <c r="B294" s="476">
        <v>44620</v>
      </c>
      <c r="C294" s="285" t="s">
        <v>374</v>
      </c>
      <c r="D294" s="285" t="s">
        <v>369</v>
      </c>
      <c r="E294" s="287">
        <v>4.6500000000000004</v>
      </c>
      <c r="F294" s="535">
        <f>+E294</f>
        <v>4.6500000000000004</v>
      </c>
      <c r="G294" s="287">
        <v>4.8099999999999996</v>
      </c>
      <c r="H294" s="538">
        <f>+G294</f>
        <v>4.8099999999999996</v>
      </c>
      <c r="I294" s="487" t="s">
        <v>114</v>
      </c>
      <c r="J294" s="80">
        <f t="shared" si="51"/>
        <v>1.0344086021505374</v>
      </c>
      <c r="K294" s="517">
        <f t="shared" si="52"/>
        <v>1.0344086021505374</v>
      </c>
      <c r="L294" s="483" t="str">
        <f t="shared" si="65"/>
        <v>Sobresaliente</v>
      </c>
    </row>
    <row r="295" spans="1:12" x14ac:dyDescent="0.25">
      <c r="A295" s="482" t="s">
        <v>361</v>
      </c>
      <c r="B295" s="476">
        <v>44620</v>
      </c>
      <c r="C295" s="285" t="s">
        <v>374</v>
      </c>
      <c r="D295" s="285" t="s">
        <v>369</v>
      </c>
      <c r="E295" s="494">
        <v>0.54</v>
      </c>
      <c r="F295" s="534">
        <f t="shared" ref="F295:F300" si="68">+E295*100</f>
        <v>54</v>
      </c>
      <c r="G295" s="494">
        <v>0.6825</v>
      </c>
      <c r="H295" s="537">
        <f t="shared" ref="H295:H300" si="69">+G295*100</f>
        <v>68.25</v>
      </c>
      <c r="I295" s="487" t="s">
        <v>114</v>
      </c>
      <c r="J295" s="80">
        <f t="shared" si="51"/>
        <v>1.2638888888888888</v>
      </c>
      <c r="K295" s="517">
        <f t="shared" si="52"/>
        <v>1.2</v>
      </c>
      <c r="L295" s="483" t="str">
        <f t="shared" si="65"/>
        <v>Sobresaliente</v>
      </c>
    </row>
    <row r="296" spans="1:12" x14ac:dyDescent="0.25">
      <c r="A296" s="482" t="s">
        <v>362</v>
      </c>
      <c r="B296" s="476">
        <v>44620</v>
      </c>
      <c r="C296" s="285" t="s">
        <v>374</v>
      </c>
      <c r="D296" s="285" t="s">
        <v>369</v>
      </c>
      <c r="E296" s="494">
        <v>9.2299999999999993E-2</v>
      </c>
      <c r="F296" s="534">
        <f t="shared" si="68"/>
        <v>9.2299999999999986</v>
      </c>
      <c r="G296" s="494">
        <v>0.1227</v>
      </c>
      <c r="H296" s="537">
        <f t="shared" si="69"/>
        <v>12.27</v>
      </c>
      <c r="I296" s="487" t="s">
        <v>114</v>
      </c>
      <c r="J296" s="80">
        <f t="shared" si="51"/>
        <v>1.3293607800650056</v>
      </c>
      <c r="K296" s="517">
        <f t="shared" si="52"/>
        <v>1.2</v>
      </c>
      <c r="L296" s="483" t="str">
        <f t="shared" si="65"/>
        <v>Sobresaliente</v>
      </c>
    </row>
    <row r="297" spans="1:12" x14ac:dyDescent="0.25">
      <c r="A297" s="482" t="s">
        <v>424</v>
      </c>
      <c r="B297" s="476">
        <v>44620</v>
      </c>
      <c r="C297" s="285" t="s">
        <v>374</v>
      </c>
      <c r="D297" s="285" t="s">
        <v>369</v>
      </c>
      <c r="E297" s="494">
        <v>1.8E-3</v>
      </c>
      <c r="F297" s="534">
        <f t="shared" si="68"/>
        <v>0.18</v>
      </c>
      <c r="G297" s="494">
        <v>3.3999999999999998E-3</v>
      </c>
      <c r="H297" s="537">
        <f t="shared" si="69"/>
        <v>0.33999999999999997</v>
      </c>
      <c r="I297" s="487" t="s">
        <v>114</v>
      </c>
      <c r="J297" s="80">
        <f t="shared" si="51"/>
        <v>1.8888888888888888</v>
      </c>
      <c r="K297" s="517">
        <f t="shared" si="52"/>
        <v>1.2</v>
      </c>
      <c r="L297" s="483" t="str">
        <f t="shared" si="65"/>
        <v>Sobresaliente</v>
      </c>
    </row>
    <row r="298" spans="1:12" x14ac:dyDescent="0.25">
      <c r="A298" s="482" t="s">
        <v>423</v>
      </c>
      <c r="B298" s="476">
        <v>44620</v>
      </c>
      <c r="C298" s="285" t="s">
        <v>377</v>
      </c>
      <c r="D298" s="285" t="s">
        <v>369</v>
      </c>
      <c r="E298" s="283">
        <v>2.2934999999999999</v>
      </c>
      <c r="F298" s="534">
        <f t="shared" si="68"/>
        <v>229.35</v>
      </c>
      <c r="G298" s="494">
        <v>0.68610000000000004</v>
      </c>
      <c r="H298" s="537">
        <f t="shared" si="69"/>
        <v>68.61</v>
      </c>
      <c r="I298" s="487" t="s">
        <v>114</v>
      </c>
      <c r="J298" s="80">
        <f t="shared" si="51"/>
        <v>0.29914977109221719</v>
      </c>
      <c r="K298" s="517">
        <f t="shared" si="52"/>
        <v>0.29914977109221719</v>
      </c>
      <c r="L298" s="483" t="str">
        <f t="shared" si="65"/>
        <v>Incumple</v>
      </c>
    </row>
    <row r="299" spans="1:12" x14ac:dyDescent="0.25">
      <c r="A299" s="482" t="s">
        <v>415</v>
      </c>
      <c r="B299" s="476">
        <v>44620</v>
      </c>
      <c r="C299" s="285" t="s">
        <v>377</v>
      </c>
      <c r="D299" s="285" t="s">
        <v>369</v>
      </c>
      <c r="E299" s="494">
        <v>1</v>
      </c>
      <c r="F299" s="534">
        <f t="shared" si="68"/>
        <v>100</v>
      </c>
      <c r="G299" s="494">
        <v>0.93789999999999996</v>
      </c>
      <c r="H299" s="537">
        <f t="shared" si="69"/>
        <v>93.789999999999992</v>
      </c>
      <c r="I299" s="487" t="s">
        <v>116</v>
      </c>
      <c r="J299" s="80">
        <f t="shared" si="51"/>
        <v>1.0621</v>
      </c>
      <c r="K299" s="517">
        <f t="shared" si="52"/>
        <v>1.0621</v>
      </c>
      <c r="L299" s="483" t="str">
        <f t="shared" si="65"/>
        <v>Sobresaliente</v>
      </c>
    </row>
    <row r="300" spans="1:12" x14ac:dyDescent="0.25">
      <c r="A300" s="482" t="s">
        <v>359</v>
      </c>
      <c r="B300" s="476">
        <v>44620</v>
      </c>
      <c r="C300" s="285" t="s">
        <v>377</v>
      </c>
      <c r="D300" s="285" t="s">
        <v>369</v>
      </c>
      <c r="E300" s="494">
        <v>0.39660000000000001</v>
      </c>
      <c r="F300" s="534">
        <f t="shared" si="68"/>
        <v>39.660000000000004</v>
      </c>
      <c r="G300" s="494">
        <v>0.66690000000000005</v>
      </c>
      <c r="H300" s="537">
        <f t="shared" si="69"/>
        <v>66.69</v>
      </c>
      <c r="I300" s="487" t="s">
        <v>116</v>
      </c>
      <c r="J300" s="80">
        <f t="shared" si="51"/>
        <v>0.31845688350983348</v>
      </c>
      <c r="K300" s="517">
        <f t="shared" si="52"/>
        <v>0.31845688350983348</v>
      </c>
      <c r="L300" s="483" t="str">
        <f t="shared" si="65"/>
        <v>Incumple</v>
      </c>
    </row>
    <row r="301" spans="1:12" x14ac:dyDescent="0.25">
      <c r="A301" s="482" t="s">
        <v>360</v>
      </c>
      <c r="B301" s="476">
        <v>44620</v>
      </c>
      <c r="C301" s="285" t="s">
        <v>377</v>
      </c>
      <c r="D301" s="285" t="s">
        <v>369</v>
      </c>
      <c r="E301" s="287">
        <v>4.6500000000000004</v>
      </c>
      <c r="F301" s="535">
        <f>+E301</f>
        <v>4.6500000000000004</v>
      </c>
      <c r="G301" s="287">
        <v>4.8</v>
      </c>
      <c r="H301" s="538">
        <f>+G301</f>
        <v>4.8</v>
      </c>
      <c r="I301" s="487" t="s">
        <v>114</v>
      </c>
      <c r="J301" s="80">
        <f t="shared" si="51"/>
        <v>1.032258064516129</v>
      </c>
      <c r="K301" s="517">
        <f t="shared" si="52"/>
        <v>1.032258064516129</v>
      </c>
      <c r="L301" s="483" t="str">
        <f t="shared" si="65"/>
        <v>Sobresaliente</v>
      </c>
    </row>
    <row r="302" spans="1:12" x14ac:dyDescent="0.25">
      <c r="A302" s="482" t="s">
        <v>361</v>
      </c>
      <c r="B302" s="476">
        <v>44620</v>
      </c>
      <c r="C302" s="285" t="s">
        <v>377</v>
      </c>
      <c r="D302" s="285" t="s">
        <v>369</v>
      </c>
      <c r="E302" s="494">
        <v>0.54</v>
      </c>
      <c r="F302" s="534">
        <f t="shared" ref="F302:F304" si="70">+E302*100</f>
        <v>54</v>
      </c>
      <c r="G302" s="494">
        <v>0.74309999999999998</v>
      </c>
      <c r="H302" s="537">
        <f t="shared" ref="H302:H304" si="71">+G302*100</f>
        <v>74.31</v>
      </c>
      <c r="I302" s="487" t="s">
        <v>114</v>
      </c>
      <c r="J302" s="80">
        <f t="shared" si="51"/>
        <v>1.3761111111111111</v>
      </c>
      <c r="K302" s="517">
        <f t="shared" si="52"/>
        <v>1.2</v>
      </c>
      <c r="L302" s="483" t="str">
        <f t="shared" si="65"/>
        <v>Sobresaliente</v>
      </c>
    </row>
    <row r="303" spans="1:12" x14ac:dyDescent="0.25">
      <c r="A303" s="482" t="s">
        <v>362</v>
      </c>
      <c r="B303" s="476">
        <v>44620</v>
      </c>
      <c r="C303" s="285" t="s">
        <v>377</v>
      </c>
      <c r="D303" s="285" t="s">
        <v>369</v>
      </c>
      <c r="E303" s="494">
        <v>24.076899999999998</v>
      </c>
      <c r="F303" s="534">
        <f t="shared" si="70"/>
        <v>2407.69</v>
      </c>
      <c r="G303" s="494">
        <v>15.8462</v>
      </c>
      <c r="H303" s="537">
        <f t="shared" si="71"/>
        <v>1584.62</v>
      </c>
      <c r="I303" s="487" t="s">
        <v>114</v>
      </c>
      <c r="J303" s="80">
        <f t="shared" si="51"/>
        <v>0.65814951260336674</v>
      </c>
      <c r="K303" s="517">
        <f t="shared" si="52"/>
        <v>0.65814951260336674</v>
      </c>
      <c r="L303" s="483" t="str">
        <f t="shared" si="65"/>
        <v>Incumple</v>
      </c>
    </row>
    <row r="304" spans="1:12" x14ac:dyDescent="0.25">
      <c r="A304" s="482" t="s">
        <v>424</v>
      </c>
      <c r="B304" s="476">
        <v>44620</v>
      </c>
      <c r="C304" s="285" t="s">
        <v>377</v>
      </c>
      <c r="D304" s="285" t="s">
        <v>369</v>
      </c>
      <c r="E304" s="494">
        <v>0.41149999999999998</v>
      </c>
      <c r="F304" s="534">
        <f t="shared" si="70"/>
        <v>41.15</v>
      </c>
      <c r="G304" s="494">
        <v>0.2661</v>
      </c>
      <c r="H304" s="537">
        <f t="shared" si="71"/>
        <v>26.61</v>
      </c>
      <c r="I304" s="487" t="s">
        <v>114</v>
      </c>
      <c r="J304" s="80">
        <f t="shared" si="51"/>
        <v>0.64665856622114226</v>
      </c>
      <c r="K304" s="517">
        <f t="shared" si="52"/>
        <v>0.64665856622114226</v>
      </c>
      <c r="L304" s="483" t="str">
        <f t="shared" si="65"/>
        <v>Incumple</v>
      </c>
    </row>
    <row r="305" spans="1:12" x14ac:dyDescent="0.25">
      <c r="A305" s="482" t="s">
        <v>361</v>
      </c>
      <c r="B305" s="476">
        <v>44620</v>
      </c>
      <c r="C305" s="557" t="s">
        <v>115</v>
      </c>
      <c r="D305" s="285" t="s">
        <v>369</v>
      </c>
      <c r="E305" s="494">
        <v>0.54</v>
      </c>
      <c r="F305" s="535">
        <f>+E305*100</f>
        <v>54</v>
      </c>
      <c r="G305" s="494">
        <v>0.69920000000000004</v>
      </c>
      <c r="H305" s="538">
        <f>+G305*100</f>
        <v>69.92</v>
      </c>
      <c r="I305" s="487" t="s">
        <v>114</v>
      </c>
      <c r="J305" s="80">
        <f>+IFERROR(IF(I305="Creciente",IF(AND(G305&lt;0,E305&lt;0),1-(G305-E305)/E305,IF(G305&lt;0,G305/E305,IF(E305&lt;0,1+((G305-E305)/G305),G305/E305))),IF(AND(G305&lt;0,E305&lt;0),(E305*-1)/(G305*-1),IF(G305&lt;0,(G305-E305)/G305,IF(E305&lt;0,-1+(G305-E305)/E305,IF(I305="Decreciente",1+(E305-G305)/E305,G305/E305))))),"N/A")</f>
        <v>1.2948148148148149</v>
      </c>
      <c r="K305" s="517">
        <f>+IF(J305&lt;0,0%,IF(J305&gt;120%,120%,J305))</f>
        <v>1.2</v>
      </c>
      <c r="L305" s="483" t="str">
        <f>+IF(J305&lt;79.99999%,"Incumple",IF(AND(J305&gt;=80%,J305&lt;94.999999%),"Tolerable",IF(AND(J305&gt;=95%,J305&lt;100%),"Satisfactorio","Sobresaliente")))</f>
        <v>Sobresaliente</v>
      </c>
    </row>
    <row r="306" spans="1:12" x14ac:dyDescent="0.25">
      <c r="A306" s="482" t="s">
        <v>360</v>
      </c>
      <c r="B306" s="476">
        <v>44620</v>
      </c>
      <c r="C306" s="557" t="s">
        <v>115</v>
      </c>
      <c r="D306" s="285" t="s">
        <v>369</v>
      </c>
      <c r="E306" s="287">
        <v>4.6500000000000004</v>
      </c>
      <c r="F306" s="535">
        <f>+E306</f>
        <v>4.6500000000000004</v>
      </c>
      <c r="G306" s="287">
        <v>4.57</v>
      </c>
      <c r="H306" s="538">
        <f>+G306</f>
        <v>4.57</v>
      </c>
      <c r="I306" s="487" t="s">
        <v>114</v>
      </c>
      <c r="J306" s="80">
        <f t="shared" ref="J306" si="72">+IFERROR(IF(I306="Creciente",IF(AND(G306&lt;0,E306&lt;0),1-(G306-E306)/E306,IF(G306&lt;0,G306/E306,IF(E306&lt;0,1+((G306-E306)/G306),G306/E306))),IF(AND(G306&lt;0,E306&lt;0),(E306*-1)/(G306*-1),IF(G306&lt;0,(G306-E306)/G306,IF(E306&lt;0,-1+(G306-E306)/E306,IF(I306="Decreciente",1+(E306-G306)/E306,G306/E306))))),"N/A")</f>
        <v>0.98279569892473118</v>
      </c>
      <c r="K306" s="517">
        <f t="shared" ref="K306" si="73">+IF(J306&lt;0,0%,IF(J306&gt;120%,120%,J306))</f>
        <v>0.98279569892473118</v>
      </c>
      <c r="L306" s="483" t="str">
        <f t="shared" ref="L306" si="74">+IF(J306&lt;79.99999%,"Incumple",IF(AND(J306&gt;=80%,J306&lt;94.999999%),"Tolerable",IF(AND(J306&gt;=95%,J306&lt;100%),"Satisfactorio","Sobresaliente")))</f>
        <v>Satisfactorio</v>
      </c>
    </row>
    <row r="307" spans="1:12" x14ac:dyDescent="0.25">
      <c r="A307" s="482" t="s">
        <v>379</v>
      </c>
      <c r="B307" s="476">
        <v>44620</v>
      </c>
      <c r="C307" s="557" t="s">
        <v>115</v>
      </c>
      <c r="D307" s="285" t="s">
        <v>369</v>
      </c>
      <c r="E307" s="283">
        <v>0.52</v>
      </c>
      <c r="F307" s="534">
        <f>+E307*100</f>
        <v>52</v>
      </c>
      <c r="G307" s="283">
        <v>0.4914</v>
      </c>
      <c r="H307" s="537">
        <f>+G307*100</f>
        <v>49.14</v>
      </c>
      <c r="I307" s="487" t="s">
        <v>114</v>
      </c>
      <c r="J307" s="80">
        <f>+IFERROR(IF(I307="Creciente",IF(AND(G307&lt;0,E307&lt;0),1-(G307-E307)/E307,IF(G307&lt;0,G307/E307,IF(E307&lt;0,1+((G307-E307)/G307),G307/E307))),IF(AND(G307&lt;0,E307&lt;0),(E307*-1)/(G307*-1),IF(G307&lt;0,(G307-E307)/G307,IF(E307&lt;0,-1+(G307-E307)/E307,IF(I307="Decreciente",1+(E307-G307)/E307,G307/E307))))),"N/A")</f>
        <v>0.94499999999999995</v>
      </c>
      <c r="K307" s="517">
        <f>+IF(J307&lt;0,0%,IF(J307&gt;120%,120%,J307))</f>
        <v>0.94499999999999995</v>
      </c>
      <c r="L307" s="483" t="str">
        <f>+IF(J307&lt;79.99999%,"Incumple",IF(AND(J307&gt;=80%,J307&lt;94.999999%),"Tolerable",IF(AND(J307&gt;=95%,J307&lt;100%),"Satisfactorio","Sobresaliente")))</f>
        <v>Tolerable</v>
      </c>
    </row>
    <row r="308" spans="1:12" x14ac:dyDescent="0.25">
      <c r="A308" s="482" t="s">
        <v>362</v>
      </c>
      <c r="B308" s="476">
        <v>44620</v>
      </c>
      <c r="C308" s="557" t="s">
        <v>115</v>
      </c>
      <c r="D308" s="285" t="s">
        <v>369</v>
      </c>
      <c r="E308" s="494">
        <v>-0.44950000000000001</v>
      </c>
      <c r="F308" s="534">
        <f t="shared" ref="F308" si="75">+E308*100</f>
        <v>-44.95</v>
      </c>
      <c r="G308" s="494">
        <v>-0.20200000000000001</v>
      </c>
      <c r="H308" s="537">
        <f t="shared" ref="H308" si="76">+G308*100</f>
        <v>-20.200000000000003</v>
      </c>
      <c r="I308" s="487" t="s">
        <v>114</v>
      </c>
      <c r="J308" s="80">
        <f t="shared" ref="J308" si="77">+IFERROR(IF(I308="Creciente",IF(AND(G308&lt;0,E308&lt;0),1-(G308-E308)/E308,IF(G308&lt;0,G308/E308,IF(E308&lt;0,1+((G308-E308)/G308),G308/E308))),IF(AND(G308&lt;0,E308&lt;0),(E308*-1)/(G308*-1),IF(G308&lt;0,(G308-E308)/G308,IF(E308&lt;0,-1+(G308-E308)/E308,IF(I308="Decreciente",1+(E308-G308)/E308,G308/E308))))),"N/A")</f>
        <v>1.550611790878754</v>
      </c>
      <c r="K308" s="517">
        <f t="shared" ref="K308" si="78">+IF(J308&lt;0,0%,IF(J308&gt;120%,120%,J308))</f>
        <v>1.2</v>
      </c>
      <c r="L308" s="483" t="str">
        <f t="shared" ref="L308" si="79">+IF(J308&lt;79.99999%,"Incumple",IF(AND(J308&gt;=80%,J308&lt;94.999999%),"Tolerable",IF(AND(J308&gt;=95%,J308&lt;100%),"Satisfactorio","Sobresaliente")))</f>
        <v>Sobresaliente</v>
      </c>
    </row>
    <row r="309" spans="1:12" x14ac:dyDescent="0.25">
      <c r="A309" s="482" t="s">
        <v>432</v>
      </c>
      <c r="B309" s="476">
        <v>44620</v>
      </c>
      <c r="C309" s="557" t="s">
        <v>115</v>
      </c>
      <c r="D309" s="285" t="s">
        <v>369</v>
      </c>
      <c r="E309" s="494">
        <v>41.53</v>
      </c>
      <c r="F309" s="534">
        <f>+E309*100</f>
        <v>4153</v>
      </c>
      <c r="G309" s="494">
        <v>0.72240000000000004</v>
      </c>
      <c r="H309" s="537">
        <f>+G309*100</f>
        <v>72.240000000000009</v>
      </c>
      <c r="I309" s="487" t="s">
        <v>114</v>
      </c>
      <c r="J309" s="80">
        <f>+IFERROR(IF(I309="Creciente",IF(AND(G309&lt;0,E309&lt;0),1-(G309-E309)/E309,IF(G309&lt;0,G309/E309,IF(E309&lt;0,1+((G309-E309)/G309),G309/E309))),IF(AND(G309&lt;0,E309&lt;0),(E309*-1)/(G309*-1),IF(G309&lt;0,(G309-E309)/G309,IF(E309&lt;0,-1+(G309-E309)/E309,IF(I309="Decreciente",1+(E309-G309)/E309,G309/E309))))),"N/A")</f>
        <v>1.7394654466650613E-2</v>
      </c>
      <c r="K309" s="517">
        <f>+IF(J309&lt;0,0%,IF(J309&gt;120%,120%,J309))</f>
        <v>1.7394654466650613E-2</v>
      </c>
      <c r="L309" s="483" t="str">
        <f>+IF(J309&lt;79.99999%,"Incumple",IF(AND(J309&gt;=80%,J309&lt;94.999999%),"Tolerable",IF(AND(J309&gt;=95%,J309&lt;100%),"Satisfactorio","Sobresaliente")))</f>
        <v>Incumple</v>
      </c>
    </row>
    <row r="310" spans="1:12" x14ac:dyDescent="0.25">
      <c r="A310" s="482" t="s">
        <v>433</v>
      </c>
      <c r="B310" s="476">
        <v>44620</v>
      </c>
      <c r="C310" s="557" t="s">
        <v>115</v>
      </c>
      <c r="D310" s="285" t="s">
        <v>369</v>
      </c>
      <c r="E310" s="494">
        <v>0.75</v>
      </c>
      <c r="F310" s="534">
        <f>+E310*100</f>
        <v>75</v>
      </c>
      <c r="G310" s="494">
        <v>0.56000000000000005</v>
      </c>
      <c r="H310" s="537">
        <f>+G310*100</f>
        <v>56.000000000000007</v>
      </c>
      <c r="I310" s="487" t="s">
        <v>114</v>
      </c>
      <c r="J310" s="80">
        <f>+IFERROR(IF(I310="Creciente",IF(AND(G310&lt;0,E310&lt;0),1-(G310-E310)/E310,IF(G310&lt;0,G310/E310,IF(E310&lt;0,1+((G310-E310)/G310),G310/E310))),IF(AND(G310&lt;0,E310&lt;0),(E310*-1)/(G310*-1),IF(G310&lt;0,(G310-E310)/G310,IF(E310&lt;0,-1+(G310-E310)/E310,IF(I310="Decreciente",1+(E310-G310)/E310,G310/E310))))),"N/A")</f>
        <v>0.7466666666666667</v>
      </c>
      <c r="K310" s="517">
        <f>+IF(J310&lt;0,0%,IF(J310&gt;120%,120%,J310))</f>
        <v>0.7466666666666667</v>
      </c>
      <c r="L310" s="483" t="str">
        <f>+IF(J310&lt;79.99999%,"Incumple",IF(AND(J310&gt;=80%,J310&lt;94.999999%),"Tolerable",IF(AND(J310&gt;=95%,J310&lt;100%),"Satisfactorio","Sobresaliente")))</f>
        <v>Incumple</v>
      </c>
    </row>
    <row r="311" spans="1:12" x14ac:dyDescent="0.25">
      <c r="A311" s="482" t="s">
        <v>378</v>
      </c>
      <c r="B311" s="476">
        <v>44620</v>
      </c>
      <c r="C311" s="557" t="s">
        <v>115</v>
      </c>
      <c r="D311" s="285" t="s">
        <v>369</v>
      </c>
      <c r="E311" s="283">
        <v>0</v>
      </c>
      <c r="F311" s="534">
        <f t="shared" ref="F311:F314" si="80">+E311*100</f>
        <v>0</v>
      </c>
      <c r="G311" s="283">
        <v>0</v>
      </c>
      <c r="H311" s="537">
        <f t="shared" ref="H311:H314" si="81">+G311*100</f>
        <v>0</v>
      </c>
      <c r="I311" s="487" t="s">
        <v>114</v>
      </c>
      <c r="J311" s="80" t="str">
        <f t="shared" ref="J311:J325" si="82">+IFERROR(IF(I311="Creciente",IF(AND(G311&lt;0,E311&lt;0),1-(G311-E311)/E311,IF(G311&lt;0,G311/E311,IF(E311&lt;0,1+((G311-E311)/G311),G311/E311))),IF(AND(G311&lt;0,E311&lt;0),(E311*-1)/(G311*-1),IF(G311&lt;0,(G311-E311)/G311,IF(E311&lt;0,-1+(G311-E311)/E311,IF(I311="Decreciente",1+(E311-G311)/E311,G311/E311))))),"N/A")</f>
        <v>N/A</v>
      </c>
      <c r="K311" s="517">
        <f t="shared" ref="K311:K325" si="83">+IF(J311&lt;0,0%,IF(J311&gt;120%,120%,J311))</f>
        <v>1.2</v>
      </c>
      <c r="L311" s="483" t="str">
        <f t="shared" ref="L311:L325" si="84">+IF(J311&lt;79.99999%,"Incumple",IF(AND(J311&gt;=80%,J311&lt;94.999999%),"Tolerable",IF(AND(J311&gt;=95%,J311&lt;100%),"Satisfactorio","Sobresaliente")))</f>
        <v>Sobresaliente</v>
      </c>
    </row>
    <row r="312" spans="1:12" x14ac:dyDescent="0.25">
      <c r="A312" s="482" t="s">
        <v>423</v>
      </c>
      <c r="B312" s="476">
        <v>44620</v>
      </c>
      <c r="C312" s="285" t="s">
        <v>380</v>
      </c>
      <c r="D312" s="285" t="s">
        <v>381</v>
      </c>
      <c r="E312" s="494">
        <v>9.35E-2</v>
      </c>
      <c r="F312" s="534">
        <f t="shared" si="80"/>
        <v>9.35</v>
      </c>
      <c r="G312" s="494">
        <v>1.8100000000000002E-2</v>
      </c>
      <c r="H312" s="537">
        <f t="shared" si="81"/>
        <v>1.81</v>
      </c>
      <c r="I312" s="487" t="s">
        <v>114</v>
      </c>
      <c r="J312" s="80">
        <f t="shared" si="82"/>
        <v>0.19358288770053478</v>
      </c>
      <c r="K312" s="517">
        <f t="shared" si="83"/>
        <v>0.19358288770053478</v>
      </c>
      <c r="L312" s="483" t="str">
        <f t="shared" si="84"/>
        <v>Incumple</v>
      </c>
    </row>
    <row r="313" spans="1:12" x14ac:dyDescent="0.25">
      <c r="A313" s="482" t="s">
        <v>357</v>
      </c>
      <c r="B313" s="476">
        <v>44620</v>
      </c>
      <c r="C313" s="285" t="s">
        <v>380</v>
      </c>
      <c r="D313" s="285" t="s">
        <v>381</v>
      </c>
      <c r="E313" s="494">
        <v>-0.1158</v>
      </c>
      <c r="F313" s="534">
        <f t="shared" si="80"/>
        <v>-11.58</v>
      </c>
      <c r="G313" s="494">
        <v>3.5000000000000001E-3</v>
      </c>
      <c r="H313" s="537">
        <f t="shared" si="81"/>
        <v>0.35000000000000003</v>
      </c>
      <c r="I313" s="487" t="s">
        <v>114</v>
      </c>
      <c r="J313" s="80">
        <f t="shared" si="82"/>
        <v>35.085714285714289</v>
      </c>
      <c r="K313" s="517">
        <f t="shared" si="83"/>
        <v>1.2</v>
      </c>
      <c r="L313" s="483" t="str">
        <f t="shared" si="84"/>
        <v>Sobresaliente</v>
      </c>
    </row>
    <row r="314" spans="1:12" x14ac:dyDescent="0.25">
      <c r="A314" s="482" t="s">
        <v>415</v>
      </c>
      <c r="B314" s="476">
        <v>44620</v>
      </c>
      <c r="C314" s="285" t="s">
        <v>380</v>
      </c>
      <c r="D314" s="285" t="s">
        <v>381</v>
      </c>
      <c r="E314" s="494">
        <v>1</v>
      </c>
      <c r="F314" s="534">
        <f t="shared" si="80"/>
        <v>100</v>
      </c>
      <c r="G314" s="494">
        <v>0.82809999999999995</v>
      </c>
      <c r="H314" s="537">
        <f t="shared" si="81"/>
        <v>82.809999999999988</v>
      </c>
      <c r="I314" s="487" t="s">
        <v>116</v>
      </c>
      <c r="J314" s="80">
        <f t="shared" si="82"/>
        <v>1.1718999999999999</v>
      </c>
      <c r="K314" s="517">
        <f t="shared" si="83"/>
        <v>1.1718999999999999</v>
      </c>
      <c r="L314" s="483" t="str">
        <f t="shared" si="84"/>
        <v>Sobresaliente</v>
      </c>
    </row>
    <row r="315" spans="1:12" x14ac:dyDescent="0.25">
      <c r="A315" s="482" t="s">
        <v>360</v>
      </c>
      <c r="B315" s="476">
        <v>44620</v>
      </c>
      <c r="C315" s="285" t="s">
        <v>380</v>
      </c>
      <c r="D315" s="285" t="s">
        <v>381</v>
      </c>
      <c r="E315" s="496">
        <v>4.6500000000000004</v>
      </c>
      <c r="F315" s="535">
        <f>+E315</f>
        <v>4.6500000000000004</v>
      </c>
      <c r="G315" s="496">
        <v>4.55</v>
      </c>
      <c r="H315" s="538">
        <f>+G315</f>
        <v>4.55</v>
      </c>
      <c r="I315" s="487" t="s">
        <v>114</v>
      </c>
      <c r="J315" s="80">
        <f t="shared" si="82"/>
        <v>0.97849462365591389</v>
      </c>
      <c r="K315" s="517">
        <f t="shared" si="83"/>
        <v>0.97849462365591389</v>
      </c>
      <c r="L315" s="483" t="str">
        <f t="shared" si="84"/>
        <v>Satisfactorio</v>
      </c>
    </row>
    <row r="316" spans="1:12" x14ac:dyDescent="0.25">
      <c r="A316" s="482" t="s">
        <v>361</v>
      </c>
      <c r="B316" s="476">
        <v>44620</v>
      </c>
      <c r="C316" s="285" t="s">
        <v>380</v>
      </c>
      <c r="D316" s="285" t="s">
        <v>381</v>
      </c>
      <c r="E316" s="494">
        <v>0.54</v>
      </c>
      <c r="F316" s="534">
        <f t="shared" ref="F316:F321" si="85">+E316*100</f>
        <v>54</v>
      </c>
      <c r="G316" s="494">
        <v>0.73280000000000001</v>
      </c>
      <c r="H316" s="537">
        <f t="shared" ref="H316:H321" si="86">+G316*100</f>
        <v>73.28</v>
      </c>
      <c r="I316" s="487" t="s">
        <v>114</v>
      </c>
      <c r="J316" s="80">
        <f t="shared" si="82"/>
        <v>1.357037037037037</v>
      </c>
      <c r="K316" s="517">
        <f t="shared" si="83"/>
        <v>1.2</v>
      </c>
      <c r="L316" s="483" t="str">
        <f t="shared" si="84"/>
        <v>Sobresaliente</v>
      </c>
    </row>
    <row r="317" spans="1:12" x14ac:dyDescent="0.25">
      <c r="A317" s="482" t="s">
        <v>362</v>
      </c>
      <c r="B317" s="476">
        <v>44620</v>
      </c>
      <c r="C317" s="285" t="s">
        <v>380</v>
      </c>
      <c r="D317" s="285" t="s">
        <v>381</v>
      </c>
      <c r="E317" s="494">
        <v>0.4138</v>
      </c>
      <c r="F317" s="534">
        <f t="shared" si="85"/>
        <v>41.38</v>
      </c>
      <c r="G317" s="494">
        <v>-3.4500000000000003E-2</v>
      </c>
      <c r="H317" s="537">
        <f t="shared" si="86"/>
        <v>-3.45</v>
      </c>
      <c r="I317" s="487" t="s">
        <v>114</v>
      </c>
      <c r="J317" s="80">
        <f t="shared" si="82"/>
        <v>-8.337361043982601E-2</v>
      </c>
      <c r="K317" s="517">
        <f t="shared" si="83"/>
        <v>0</v>
      </c>
      <c r="L317" s="483" t="str">
        <f t="shared" si="84"/>
        <v>Incumple</v>
      </c>
    </row>
    <row r="318" spans="1:12" x14ac:dyDescent="0.25">
      <c r="A318" s="482" t="s">
        <v>424</v>
      </c>
      <c r="B318" s="476">
        <v>44620</v>
      </c>
      <c r="C318" s="285" t="s">
        <v>380</v>
      </c>
      <c r="D318" s="285" t="s">
        <v>381</v>
      </c>
      <c r="E318" s="494">
        <v>0.65039999999999998</v>
      </c>
      <c r="F318" s="534">
        <f t="shared" si="85"/>
        <v>65.039999999999992</v>
      </c>
      <c r="G318" s="494">
        <v>0.73809999999999998</v>
      </c>
      <c r="H318" s="537">
        <f t="shared" si="86"/>
        <v>73.81</v>
      </c>
      <c r="I318" s="487" t="s">
        <v>114</v>
      </c>
      <c r="J318" s="80">
        <f t="shared" si="82"/>
        <v>1.1348400984009841</v>
      </c>
      <c r="K318" s="517">
        <f t="shared" si="83"/>
        <v>1.1348400984009841</v>
      </c>
      <c r="L318" s="483" t="str">
        <f t="shared" si="84"/>
        <v>Sobresaliente</v>
      </c>
    </row>
    <row r="319" spans="1:12" x14ac:dyDescent="0.25">
      <c r="A319" s="482" t="s">
        <v>423</v>
      </c>
      <c r="B319" s="476">
        <v>44620</v>
      </c>
      <c r="C319" s="285" t="s">
        <v>382</v>
      </c>
      <c r="D319" s="285" t="s">
        <v>381</v>
      </c>
      <c r="E319" s="494">
        <v>0.22570000000000001</v>
      </c>
      <c r="F319" s="534">
        <f t="shared" si="85"/>
        <v>22.57</v>
      </c>
      <c r="G319" s="494">
        <v>0.2094</v>
      </c>
      <c r="H319" s="537">
        <f t="shared" si="86"/>
        <v>20.94</v>
      </c>
      <c r="I319" s="487" t="s">
        <v>114</v>
      </c>
      <c r="J319" s="80">
        <f t="shared" si="82"/>
        <v>0.92778023925564901</v>
      </c>
      <c r="K319" s="517">
        <f t="shared" si="83"/>
        <v>0.92778023925564901</v>
      </c>
      <c r="L319" s="483" t="str">
        <f t="shared" si="84"/>
        <v>Tolerable</v>
      </c>
    </row>
    <row r="320" spans="1:12" x14ac:dyDescent="0.25">
      <c r="A320" s="482" t="s">
        <v>357</v>
      </c>
      <c r="B320" s="476">
        <v>44620</v>
      </c>
      <c r="C320" s="285" t="s">
        <v>382</v>
      </c>
      <c r="D320" s="285" t="s">
        <v>381</v>
      </c>
      <c r="E320" s="494">
        <v>0.2873</v>
      </c>
      <c r="F320" s="534">
        <f t="shared" si="85"/>
        <v>28.73</v>
      </c>
      <c r="G320" s="494">
        <v>0.50180000000000002</v>
      </c>
      <c r="H320" s="537">
        <f t="shared" si="86"/>
        <v>50.18</v>
      </c>
      <c r="I320" s="487" t="s">
        <v>114</v>
      </c>
      <c r="J320" s="80">
        <f t="shared" si="82"/>
        <v>1.746606334841629</v>
      </c>
      <c r="K320" s="517">
        <f t="shared" si="83"/>
        <v>1.2</v>
      </c>
      <c r="L320" s="483" t="str">
        <f t="shared" si="84"/>
        <v>Sobresaliente</v>
      </c>
    </row>
    <row r="321" spans="1:12" x14ac:dyDescent="0.25">
      <c r="A321" s="482" t="s">
        <v>415</v>
      </c>
      <c r="B321" s="476">
        <v>44620</v>
      </c>
      <c r="C321" s="285" t="s">
        <v>382</v>
      </c>
      <c r="D321" s="285" t="s">
        <v>381</v>
      </c>
      <c r="E321" s="286">
        <v>1</v>
      </c>
      <c r="F321" s="534">
        <f t="shared" si="85"/>
        <v>100</v>
      </c>
      <c r="G321" s="494">
        <v>0.64600000000000002</v>
      </c>
      <c r="H321" s="537">
        <f t="shared" si="86"/>
        <v>64.600000000000009</v>
      </c>
      <c r="I321" s="487" t="s">
        <v>116</v>
      </c>
      <c r="J321" s="80">
        <f t="shared" si="82"/>
        <v>1.3540000000000001</v>
      </c>
      <c r="K321" s="517">
        <f t="shared" si="83"/>
        <v>1.2</v>
      </c>
      <c r="L321" s="483" t="str">
        <f t="shared" si="84"/>
        <v>Sobresaliente</v>
      </c>
    </row>
    <row r="322" spans="1:12" x14ac:dyDescent="0.25">
      <c r="A322" s="482" t="s">
        <v>360</v>
      </c>
      <c r="B322" s="476">
        <v>44620</v>
      </c>
      <c r="C322" s="285" t="s">
        <v>382</v>
      </c>
      <c r="D322" s="285" t="s">
        <v>381</v>
      </c>
      <c r="E322" s="496">
        <v>4.6500000000000004</v>
      </c>
      <c r="F322" s="535">
        <f>+E322</f>
        <v>4.6500000000000004</v>
      </c>
      <c r="G322" s="496">
        <v>4.6500000000000004</v>
      </c>
      <c r="H322" s="538">
        <f>+G322</f>
        <v>4.6500000000000004</v>
      </c>
      <c r="I322" s="487" t="s">
        <v>114</v>
      </c>
      <c r="J322" s="80">
        <f t="shared" si="82"/>
        <v>1</v>
      </c>
      <c r="K322" s="517">
        <f t="shared" si="83"/>
        <v>1</v>
      </c>
      <c r="L322" s="483" t="str">
        <f t="shared" si="84"/>
        <v>Sobresaliente</v>
      </c>
    </row>
    <row r="323" spans="1:12" x14ac:dyDescent="0.25">
      <c r="A323" s="482" t="s">
        <v>361</v>
      </c>
      <c r="B323" s="476">
        <v>44620</v>
      </c>
      <c r="C323" s="285" t="s">
        <v>382</v>
      </c>
      <c r="D323" s="285" t="s">
        <v>381</v>
      </c>
      <c r="E323" s="494">
        <v>0.54</v>
      </c>
      <c r="F323" s="534">
        <f t="shared" ref="F323:F325" si="87">+E323*100</f>
        <v>54</v>
      </c>
      <c r="G323" s="494">
        <v>0.61670000000000003</v>
      </c>
      <c r="H323" s="537">
        <f t="shared" ref="H323:H325" si="88">+G323*100</f>
        <v>61.67</v>
      </c>
      <c r="I323" s="487" t="s">
        <v>114</v>
      </c>
      <c r="J323" s="80">
        <f t="shared" si="82"/>
        <v>1.142037037037037</v>
      </c>
      <c r="K323" s="517">
        <f t="shared" si="83"/>
        <v>1.142037037037037</v>
      </c>
      <c r="L323" s="483" t="str">
        <f t="shared" si="84"/>
        <v>Sobresaliente</v>
      </c>
    </row>
    <row r="324" spans="1:12" x14ac:dyDescent="0.25">
      <c r="A324" s="482" t="s">
        <v>362</v>
      </c>
      <c r="B324" s="476">
        <v>44620</v>
      </c>
      <c r="C324" s="285" t="s">
        <v>382</v>
      </c>
      <c r="D324" s="285" t="s">
        <v>381</v>
      </c>
      <c r="E324" s="494">
        <v>0.1653</v>
      </c>
      <c r="F324" s="534">
        <f t="shared" si="87"/>
        <v>16.53</v>
      </c>
      <c r="G324" s="494">
        <v>0.44269999999999998</v>
      </c>
      <c r="H324" s="537">
        <f t="shared" si="88"/>
        <v>44.269999999999996</v>
      </c>
      <c r="I324" s="487" t="s">
        <v>114</v>
      </c>
      <c r="J324" s="80">
        <f t="shared" si="82"/>
        <v>2.6781609195402298</v>
      </c>
      <c r="K324" s="517">
        <f t="shared" si="83"/>
        <v>1.2</v>
      </c>
      <c r="L324" s="483" t="str">
        <f t="shared" si="84"/>
        <v>Sobresaliente</v>
      </c>
    </row>
    <row r="325" spans="1:12" x14ac:dyDescent="0.25">
      <c r="A325" s="482" t="s">
        <v>424</v>
      </c>
      <c r="B325" s="476">
        <v>44620</v>
      </c>
      <c r="C325" s="285" t="s">
        <v>382</v>
      </c>
      <c r="D325" s="285" t="s">
        <v>381</v>
      </c>
      <c r="E325" s="494">
        <v>0.99260000000000004</v>
      </c>
      <c r="F325" s="534">
        <f t="shared" si="87"/>
        <v>99.26</v>
      </c>
      <c r="G325" s="494">
        <v>0.99309999999999998</v>
      </c>
      <c r="H325" s="537">
        <f t="shared" si="88"/>
        <v>99.31</v>
      </c>
      <c r="I325" s="487" t="s">
        <v>114</v>
      </c>
      <c r="J325" s="80">
        <f t="shared" si="82"/>
        <v>1.0005037275841224</v>
      </c>
      <c r="K325" s="517">
        <f t="shared" si="83"/>
        <v>1.0005037275841224</v>
      </c>
      <c r="L325" s="483" t="str">
        <f t="shared" si="84"/>
        <v>Sobresaliente</v>
      </c>
    </row>
    <row r="326" spans="1:12" x14ac:dyDescent="0.25">
      <c r="A326" s="482" t="s">
        <v>423</v>
      </c>
      <c r="B326" s="476">
        <v>44651</v>
      </c>
      <c r="C326" s="285" t="s">
        <v>109</v>
      </c>
      <c r="D326" s="285" t="s">
        <v>110</v>
      </c>
      <c r="E326" s="494">
        <v>1.47E-2</v>
      </c>
      <c r="F326" s="534">
        <f t="shared" si="5"/>
        <v>1.47</v>
      </c>
      <c r="G326" s="494">
        <v>0.2155</v>
      </c>
      <c r="H326" s="537">
        <f t="shared" si="6"/>
        <v>21.55</v>
      </c>
      <c r="I326" s="487" t="s">
        <v>114</v>
      </c>
      <c r="J326" s="80">
        <f t="shared" si="7"/>
        <v>14.659863945578232</v>
      </c>
      <c r="K326" s="517">
        <f t="shared" si="8"/>
        <v>1.2</v>
      </c>
      <c r="L326" s="483" t="str">
        <f>+IF(J326&lt;79.99999%,"Incumple",IF(AND(J326&gt;=80%,J326&lt;94.999999%),"Tolerable",IF(AND(J326&gt;=95%,J326&lt;100%),"Satisfactorio","Sobresaliente")))</f>
        <v>Sobresaliente</v>
      </c>
    </row>
    <row r="327" spans="1:12" x14ac:dyDescent="0.25">
      <c r="A327" s="482" t="s">
        <v>357</v>
      </c>
      <c r="B327" s="476">
        <v>44651</v>
      </c>
      <c r="C327" s="285" t="s">
        <v>109</v>
      </c>
      <c r="D327" s="285" t="s">
        <v>110</v>
      </c>
      <c r="E327" s="494">
        <v>-1.2509999999999999</v>
      </c>
      <c r="F327" s="534">
        <f t="shared" si="5"/>
        <v>-125.1</v>
      </c>
      <c r="G327" s="494">
        <v>-0.71830000000000005</v>
      </c>
      <c r="H327" s="537">
        <f t="shared" si="6"/>
        <v>-71.83</v>
      </c>
      <c r="I327" s="487" t="s">
        <v>114</v>
      </c>
      <c r="J327" s="80">
        <f t="shared" si="7"/>
        <v>1.4258193445243803</v>
      </c>
      <c r="K327" s="517">
        <f t="shared" si="8"/>
        <v>1.2</v>
      </c>
      <c r="L327" s="483" t="str">
        <f t="shared" ref="L327:L364" si="89">+IF(J327&lt;79.99999%,"Incumple",IF(AND(J327&gt;=80%,J327&lt;94.999999%),"Tolerable",IF(AND(J327&gt;=95%,J327&lt;100%),"Satisfactorio","Sobresaliente")))</f>
        <v>Sobresaliente</v>
      </c>
    </row>
    <row r="328" spans="1:12" x14ac:dyDescent="0.25">
      <c r="A328" s="482" t="s">
        <v>415</v>
      </c>
      <c r="B328" s="476">
        <v>44651</v>
      </c>
      <c r="C328" s="285" t="s">
        <v>109</v>
      </c>
      <c r="D328" s="285" t="s">
        <v>110</v>
      </c>
      <c r="E328" s="494">
        <v>1</v>
      </c>
      <c r="F328" s="534">
        <f t="shared" si="5"/>
        <v>100</v>
      </c>
      <c r="G328" s="494">
        <v>0.81189999999999996</v>
      </c>
      <c r="H328" s="537">
        <f t="shared" si="6"/>
        <v>81.19</v>
      </c>
      <c r="I328" s="487" t="s">
        <v>116</v>
      </c>
      <c r="J328" s="80">
        <f t="shared" si="7"/>
        <v>1.1880999999999999</v>
      </c>
      <c r="K328" s="517">
        <f t="shared" si="8"/>
        <v>1.1880999999999999</v>
      </c>
      <c r="L328" s="483" t="str">
        <f t="shared" si="89"/>
        <v>Sobresaliente</v>
      </c>
    </row>
    <row r="329" spans="1:12" x14ac:dyDescent="0.25">
      <c r="A329" s="482" t="s">
        <v>359</v>
      </c>
      <c r="B329" s="476">
        <v>44651</v>
      </c>
      <c r="C329" s="285" t="s">
        <v>109</v>
      </c>
      <c r="D329" s="285" t="s">
        <v>110</v>
      </c>
      <c r="E329" s="494">
        <v>0.55579999999999996</v>
      </c>
      <c r="F329" s="534">
        <f t="shared" si="5"/>
        <v>55.58</v>
      </c>
      <c r="G329" s="494">
        <v>0.41799999999999998</v>
      </c>
      <c r="H329" s="537">
        <f t="shared" si="6"/>
        <v>41.8</v>
      </c>
      <c r="I329" s="487" t="s">
        <v>116</v>
      </c>
      <c r="J329" s="80">
        <f t="shared" si="7"/>
        <v>1.2479309103994243</v>
      </c>
      <c r="K329" s="517">
        <f t="shared" si="8"/>
        <v>1.2</v>
      </c>
      <c r="L329" s="483" t="str">
        <f t="shared" si="89"/>
        <v>Sobresaliente</v>
      </c>
    </row>
    <row r="330" spans="1:12" x14ac:dyDescent="0.25">
      <c r="A330" s="482" t="s">
        <v>360</v>
      </c>
      <c r="B330" s="476">
        <v>44651</v>
      </c>
      <c r="C330" s="285" t="s">
        <v>109</v>
      </c>
      <c r="D330" s="285" t="s">
        <v>110</v>
      </c>
      <c r="E330" s="496">
        <v>4.6500000000000004</v>
      </c>
      <c r="F330" s="535">
        <f>+E330</f>
        <v>4.6500000000000004</v>
      </c>
      <c r="G330" s="496">
        <v>4.62</v>
      </c>
      <c r="H330" s="538">
        <f>+G330</f>
        <v>4.62</v>
      </c>
      <c r="I330" s="487" t="s">
        <v>114</v>
      </c>
      <c r="J330" s="80">
        <f t="shared" si="7"/>
        <v>0.99354838709677418</v>
      </c>
      <c r="K330" s="517">
        <f t="shared" si="8"/>
        <v>0.99354838709677418</v>
      </c>
      <c r="L330" s="483" t="str">
        <f t="shared" si="89"/>
        <v>Satisfactorio</v>
      </c>
    </row>
    <row r="331" spans="1:12" x14ac:dyDescent="0.25">
      <c r="A331" s="482" t="s">
        <v>361</v>
      </c>
      <c r="B331" s="476">
        <v>44651</v>
      </c>
      <c r="C331" s="285" t="s">
        <v>109</v>
      </c>
      <c r="D331" s="285" t="s">
        <v>110</v>
      </c>
      <c r="E331" s="494">
        <v>0.54</v>
      </c>
      <c r="F331" s="534">
        <f t="shared" si="5"/>
        <v>54</v>
      </c>
      <c r="G331" s="494">
        <v>0.71379999999999999</v>
      </c>
      <c r="H331" s="537">
        <f t="shared" si="6"/>
        <v>71.38</v>
      </c>
      <c r="I331" s="487" t="s">
        <v>114</v>
      </c>
      <c r="J331" s="80">
        <f t="shared" si="7"/>
        <v>1.3218518518518518</v>
      </c>
      <c r="K331" s="517">
        <f t="shared" si="8"/>
        <v>1.2</v>
      </c>
      <c r="L331" s="483" t="str">
        <f t="shared" si="89"/>
        <v>Sobresaliente</v>
      </c>
    </row>
    <row r="332" spans="1:12" x14ac:dyDescent="0.25">
      <c r="A332" s="482" t="s">
        <v>362</v>
      </c>
      <c r="B332" s="476">
        <v>44651</v>
      </c>
      <c r="C332" s="285" t="s">
        <v>109</v>
      </c>
      <c r="D332" s="285" t="s">
        <v>110</v>
      </c>
      <c r="E332" s="494">
        <v>0.12690000000000001</v>
      </c>
      <c r="F332" s="534">
        <f t="shared" si="5"/>
        <v>12.690000000000001</v>
      </c>
      <c r="G332" s="494">
        <v>0.155</v>
      </c>
      <c r="H332" s="537">
        <f t="shared" si="6"/>
        <v>15.5</v>
      </c>
      <c r="I332" s="487" t="s">
        <v>114</v>
      </c>
      <c r="J332" s="80">
        <f t="shared" si="7"/>
        <v>1.2214342001576042</v>
      </c>
      <c r="K332" s="517">
        <f t="shared" si="8"/>
        <v>1.2</v>
      </c>
      <c r="L332" s="483" t="str">
        <f t="shared" si="89"/>
        <v>Sobresaliente</v>
      </c>
    </row>
    <row r="333" spans="1:12" x14ac:dyDescent="0.25">
      <c r="A333" s="482" t="s">
        <v>424</v>
      </c>
      <c r="B333" s="476">
        <v>44651</v>
      </c>
      <c r="C333" s="285" t="s">
        <v>109</v>
      </c>
      <c r="D333" s="285" t="s">
        <v>110</v>
      </c>
      <c r="E333" s="494">
        <v>0.4037</v>
      </c>
      <c r="F333" s="534">
        <f t="shared" si="5"/>
        <v>40.369999999999997</v>
      </c>
      <c r="G333" s="494">
        <v>0.33700000000000002</v>
      </c>
      <c r="H333" s="537">
        <f t="shared" si="6"/>
        <v>33.700000000000003</v>
      </c>
      <c r="I333" s="487" t="s">
        <v>114</v>
      </c>
      <c r="J333" s="80">
        <f t="shared" si="7"/>
        <v>0.83477830071835524</v>
      </c>
      <c r="K333" s="517">
        <f t="shared" si="8"/>
        <v>0.83477830071835524</v>
      </c>
      <c r="L333" s="483" t="str">
        <f t="shared" si="89"/>
        <v>Tolerable</v>
      </c>
    </row>
    <row r="334" spans="1:12" x14ac:dyDescent="0.25">
      <c r="A334" s="482" t="s">
        <v>423</v>
      </c>
      <c r="B334" s="476">
        <v>44651</v>
      </c>
      <c r="C334" s="285" t="s">
        <v>363</v>
      </c>
      <c r="D334" s="285" t="s">
        <v>110</v>
      </c>
      <c r="E334" s="283">
        <v>-0.13009999999999999</v>
      </c>
      <c r="F334" s="534">
        <f t="shared" si="5"/>
        <v>-13.01</v>
      </c>
      <c r="G334" s="494">
        <v>0.13950000000000001</v>
      </c>
      <c r="H334" s="537">
        <f t="shared" si="6"/>
        <v>13.950000000000001</v>
      </c>
      <c r="I334" s="487" t="s">
        <v>114</v>
      </c>
      <c r="J334" s="80">
        <f t="shared" si="7"/>
        <v>2.932616487455197</v>
      </c>
      <c r="K334" s="517">
        <f t="shared" si="8"/>
        <v>1.2</v>
      </c>
      <c r="L334" s="483" t="str">
        <f t="shared" si="89"/>
        <v>Sobresaliente</v>
      </c>
    </row>
    <row r="335" spans="1:12" x14ac:dyDescent="0.25">
      <c r="A335" s="482" t="s">
        <v>415</v>
      </c>
      <c r="B335" s="476">
        <v>44651</v>
      </c>
      <c r="C335" s="285" t="s">
        <v>363</v>
      </c>
      <c r="D335" s="285" t="s">
        <v>110</v>
      </c>
      <c r="E335" s="494">
        <v>1</v>
      </c>
      <c r="F335" s="534">
        <f t="shared" si="5"/>
        <v>100</v>
      </c>
      <c r="G335" s="494">
        <v>0.81869999999999998</v>
      </c>
      <c r="H335" s="537">
        <f t="shared" si="6"/>
        <v>81.87</v>
      </c>
      <c r="I335" s="487" t="s">
        <v>116</v>
      </c>
      <c r="J335" s="80">
        <f t="shared" si="7"/>
        <v>1.1813</v>
      </c>
      <c r="K335" s="517">
        <f t="shared" si="8"/>
        <v>1.1813</v>
      </c>
      <c r="L335" s="483" t="str">
        <f t="shared" si="89"/>
        <v>Sobresaliente</v>
      </c>
    </row>
    <row r="336" spans="1:12" x14ac:dyDescent="0.25">
      <c r="A336" s="482" t="s">
        <v>359</v>
      </c>
      <c r="B336" s="476">
        <v>44651</v>
      </c>
      <c r="C336" s="285" t="s">
        <v>363</v>
      </c>
      <c r="D336" s="285" t="s">
        <v>110</v>
      </c>
      <c r="E336" s="494">
        <v>0.52890000000000004</v>
      </c>
      <c r="F336" s="534">
        <f t="shared" si="5"/>
        <v>52.89</v>
      </c>
      <c r="G336" s="494">
        <v>0.439</v>
      </c>
      <c r="H336" s="537">
        <f t="shared" si="6"/>
        <v>43.9</v>
      </c>
      <c r="I336" s="487" t="s">
        <v>116</v>
      </c>
      <c r="J336" s="80">
        <f t="shared" si="7"/>
        <v>1.1699754206844395</v>
      </c>
      <c r="K336" s="517">
        <f t="shared" si="8"/>
        <v>1.1699754206844395</v>
      </c>
      <c r="L336" s="483" t="str">
        <f t="shared" si="89"/>
        <v>Sobresaliente</v>
      </c>
    </row>
    <row r="337" spans="1:12" x14ac:dyDescent="0.25">
      <c r="A337" s="482" t="s">
        <v>360</v>
      </c>
      <c r="B337" s="476">
        <v>44651</v>
      </c>
      <c r="C337" s="285" t="s">
        <v>363</v>
      </c>
      <c r="D337" s="285" t="s">
        <v>110</v>
      </c>
      <c r="E337" s="287">
        <v>4.6500000000000004</v>
      </c>
      <c r="F337" s="535">
        <f>+E337</f>
        <v>4.6500000000000004</v>
      </c>
      <c r="G337" s="287">
        <v>4.6100000000000003</v>
      </c>
      <c r="H337" s="538">
        <f>+G337</f>
        <v>4.6100000000000003</v>
      </c>
      <c r="I337" s="487" t="s">
        <v>114</v>
      </c>
      <c r="J337" s="80">
        <f t="shared" si="7"/>
        <v>0.99139784946236553</v>
      </c>
      <c r="K337" s="517">
        <f t="shared" si="8"/>
        <v>0.99139784946236553</v>
      </c>
      <c r="L337" s="483" t="str">
        <f t="shared" si="89"/>
        <v>Satisfactorio</v>
      </c>
    </row>
    <row r="338" spans="1:12" x14ac:dyDescent="0.25">
      <c r="A338" s="482" t="s">
        <v>361</v>
      </c>
      <c r="B338" s="476">
        <v>44651</v>
      </c>
      <c r="C338" s="285" t="s">
        <v>363</v>
      </c>
      <c r="D338" s="285" t="s">
        <v>110</v>
      </c>
      <c r="E338" s="494">
        <v>0.54</v>
      </c>
      <c r="F338" s="534">
        <f t="shared" si="5"/>
        <v>54</v>
      </c>
      <c r="G338" s="494">
        <v>0.70669999999999999</v>
      </c>
      <c r="H338" s="537">
        <f t="shared" si="6"/>
        <v>70.67</v>
      </c>
      <c r="I338" s="487" t="s">
        <v>114</v>
      </c>
      <c r="J338" s="80">
        <f t="shared" si="7"/>
        <v>1.3087037037037037</v>
      </c>
      <c r="K338" s="517">
        <f t="shared" si="8"/>
        <v>1.2</v>
      </c>
      <c r="L338" s="483" t="str">
        <f t="shared" si="89"/>
        <v>Sobresaliente</v>
      </c>
    </row>
    <row r="339" spans="1:12" x14ac:dyDescent="0.25">
      <c r="A339" s="482" t="s">
        <v>362</v>
      </c>
      <c r="B339" s="476">
        <v>44651</v>
      </c>
      <c r="C339" s="285" t="s">
        <v>363</v>
      </c>
      <c r="D339" s="285" t="s">
        <v>110</v>
      </c>
      <c r="E339" s="494">
        <v>6.4299999999999996E-2</v>
      </c>
      <c r="F339" s="534">
        <f t="shared" si="5"/>
        <v>6.43</v>
      </c>
      <c r="G339" s="494">
        <v>4.2000000000000003E-2</v>
      </c>
      <c r="H339" s="537">
        <f t="shared" si="6"/>
        <v>4.2</v>
      </c>
      <c r="I339" s="487" t="s">
        <v>114</v>
      </c>
      <c r="J339" s="80">
        <f t="shared" si="7"/>
        <v>0.65318818040435467</v>
      </c>
      <c r="K339" s="517">
        <f t="shared" si="8"/>
        <v>0.65318818040435467</v>
      </c>
      <c r="L339" s="483" t="str">
        <f t="shared" si="89"/>
        <v>Incumple</v>
      </c>
    </row>
    <row r="340" spans="1:12" x14ac:dyDescent="0.25">
      <c r="A340" s="482" t="s">
        <v>424</v>
      </c>
      <c r="B340" s="476">
        <v>44651</v>
      </c>
      <c r="C340" s="285" t="s">
        <v>363</v>
      </c>
      <c r="D340" s="285" t="s">
        <v>110</v>
      </c>
      <c r="E340" s="494">
        <v>0.43330000000000002</v>
      </c>
      <c r="F340" s="534">
        <f t="shared" si="5"/>
        <v>43.33</v>
      </c>
      <c r="G340" s="494">
        <v>0.36109999999999998</v>
      </c>
      <c r="H340" s="537">
        <f t="shared" si="6"/>
        <v>36.11</v>
      </c>
      <c r="I340" s="487" t="s">
        <v>114</v>
      </c>
      <c r="J340" s="80">
        <f t="shared" si="7"/>
        <v>0.83337179783060222</v>
      </c>
      <c r="K340" s="517">
        <f t="shared" si="8"/>
        <v>0.83337179783060222</v>
      </c>
      <c r="L340" s="483" t="str">
        <f t="shared" si="89"/>
        <v>Tolerable</v>
      </c>
    </row>
    <row r="341" spans="1:12" x14ac:dyDescent="0.25">
      <c r="A341" s="482" t="s">
        <v>423</v>
      </c>
      <c r="B341" s="476">
        <v>44651</v>
      </c>
      <c r="C341" s="285" t="s">
        <v>364</v>
      </c>
      <c r="D341" s="285" t="s">
        <v>110</v>
      </c>
      <c r="E341" s="283">
        <v>2.1920000000000002</v>
      </c>
      <c r="F341" s="534">
        <f t="shared" si="5"/>
        <v>219.20000000000002</v>
      </c>
      <c r="G341" s="494">
        <v>2.5013999999999998</v>
      </c>
      <c r="H341" s="537">
        <f t="shared" si="6"/>
        <v>250.14</v>
      </c>
      <c r="I341" s="487" t="s">
        <v>114</v>
      </c>
      <c r="J341" s="80">
        <f t="shared" si="7"/>
        <v>1.1411496350364962</v>
      </c>
      <c r="K341" s="517">
        <f t="shared" si="8"/>
        <v>1.1411496350364962</v>
      </c>
      <c r="L341" s="483" t="str">
        <f t="shared" si="89"/>
        <v>Sobresaliente</v>
      </c>
    </row>
    <row r="342" spans="1:12" x14ac:dyDescent="0.25">
      <c r="A342" s="482" t="s">
        <v>357</v>
      </c>
      <c r="B342" s="476">
        <v>44651</v>
      </c>
      <c r="C342" s="285" t="s">
        <v>364</v>
      </c>
      <c r="D342" s="285" t="s">
        <v>110</v>
      </c>
      <c r="E342" s="494">
        <v>-0.47720000000000001</v>
      </c>
      <c r="F342" s="534">
        <f t="shared" si="5"/>
        <v>-47.72</v>
      </c>
      <c r="G342" s="494">
        <v>-9.0399999999999994E-2</v>
      </c>
      <c r="H342" s="537">
        <f t="shared" si="6"/>
        <v>-9.0399999999999991</v>
      </c>
      <c r="I342" s="487" t="s">
        <v>114</v>
      </c>
      <c r="J342" s="80">
        <f t="shared" si="7"/>
        <v>1.8105616093880972</v>
      </c>
      <c r="K342" s="517">
        <f t="shared" si="8"/>
        <v>1.2</v>
      </c>
      <c r="L342" s="483" t="str">
        <f t="shared" si="89"/>
        <v>Sobresaliente</v>
      </c>
    </row>
    <row r="343" spans="1:12" x14ac:dyDescent="0.25">
      <c r="A343" s="482" t="s">
        <v>415</v>
      </c>
      <c r="B343" s="476">
        <v>44651</v>
      </c>
      <c r="C343" s="285" t="s">
        <v>364</v>
      </c>
      <c r="D343" s="285" t="s">
        <v>110</v>
      </c>
      <c r="E343" s="494">
        <v>1</v>
      </c>
      <c r="F343" s="534">
        <f t="shared" si="5"/>
        <v>100</v>
      </c>
      <c r="G343" s="494">
        <v>0.73250000000000004</v>
      </c>
      <c r="H343" s="537">
        <f t="shared" si="6"/>
        <v>73.25</v>
      </c>
      <c r="I343" s="487" t="s">
        <v>116</v>
      </c>
      <c r="J343" s="80">
        <f t="shared" si="7"/>
        <v>1.2675000000000001</v>
      </c>
      <c r="K343" s="517">
        <f t="shared" si="8"/>
        <v>1.2</v>
      </c>
      <c r="L343" s="483" t="str">
        <f t="shared" si="89"/>
        <v>Sobresaliente</v>
      </c>
    </row>
    <row r="344" spans="1:12" x14ac:dyDescent="0.25">
      <c r="A344" s="482" t="s">
        <v>360</v>
      </c>
      <c r="B344" s="476">
        <v>44651</v>
      </c>
      <c r="C344" s="285" t="s">
        <v>364</v>
      </c>
      <c r="D344" s="285" t="s">
        <v>110</v>
      </c>
      <c r="E344" s="496">
        <v>4.6500000000000004</v>
      </c>
      <c r="F344" s="535">
        <f>+E344</f>
        <v>4.6500000000000004</v>
      </c>
      <c r="G344" s="496">
        <v>4.71</v>
      </c>
      <c r="H344" s="538">
        <f>+G344</f>
        <v>4.71</v>
      </c>
      <c r="I344" s="487" t="s">
        <v>114</v>
      </c>
      <c r="J344" s="80">
        <f t="shared" si="7"/>
        <v>1.0129032258064514</v>
      </c>
      <c r="K344" s="517">
        <f t="shared" si="8"/>
        <v>1.0129032258064514</v>
      </c>
      <c r="L344" s="483" t="str">
        <f t="shared" si="89"/>
        <v>Sobresaliente</v>
      </c>
    </row>
    <row r="345" spans="1:12" x14ac:dyDescent="0.25">
      <c r="A345" s="482" t="s">
        <v>361</v>
      </c>
      <c r="B345" s="476">
        <v>44651</v>
      </c>
      <c r="C345" s="285" t="s">
        <v>364</v>
      </c>
      <c r="D345" s="285" t="s">
        <v>110</v>
      </c>
      <c r="E345" s="494">
        <v>0.54</v>
      </c>
      <c r="F345" s="534">
        <f t="shared" si="5"/>
        <v>54</v>
      </c>
      <c r="G345" s="494">
        <v>0.76249999999999996</v>
      </c>
      <c r="H345" s="537">
        <f t="shared" si="6"/>
        <v>76.25</v>
      </c>
      <c r="I345" s="487" t="s">
        <v>114</v>
      </c>
      <c r="J345" s="80">
        <f t="shared" si="7"/>
        <v>1.4120370370370368</v>
      </c>
      <c r="K345" s="517">
        <f t="shared" si="8"/>
        <v>1.2</v>
      </c>
      <c r="L345" s="483" t="str">
        <f t="shared" si="89"/>
        <v>Sobresaliente</v>
      </c>
    </row>
    <row r="346" spans="1:12" x14ac:dyDescent="0.25">
      <c r="A346" s="482" t="s">
        <v>362</v>
      </c>
      <c r="B346" s="476">
        <v>44651</v>
      </c>
      <c r="C346" s="285" t="s">
        <v>364</v>
      </c>
      <c r="D346" s="285" t="s">
        <v>110</v>
      </c>
      <c r="E346" s="494">
        <v>1.3851</v>
      </c>
      <c r="F346" s="534">
        <f t="shared" si="5"/>
        <v>138.51</v>
      </c>
      <c r="G346" s="494">
        <v>2.4291999999999998</v>
      </c>
      <c r="H346" s="537">
        <f t="shared" si="6"/>
        <v>242.92</v>
      </c>
      <c r="I346" s="487" t="s">
        <v>114</v>
      </c>
      <c r="J346" s="80">
        <f t="shared" si="7"/>
        <v>1.7538083892859719</v>
      </c>
      <c r="K346" s="517">
        <f t="shared" si="8"/>
        <v>1.2</v>
      </c>
      <c r="L346" s="483" t="str">
        <f t="shared" si="89"/>
        <v>Sobresaliente</v>
      </c>
    </row>
    <row r="347" spans="1:12" x14ac:dyDescent="0.25">
      <c r="A347" s="482" t="s">
        <v>424</v>
      </c>
      <c r="B347" s="476">
        <v>44651</v>
      </c>
      <c r="C347" s="285" t="s">
        <v>364</v>
      </c>
      <c r="D347" s="285" t="s">
        <v>110</v>
      </c>
      <c r="E347" s="494">
        <v>0.1381</v>
      </c>
      <c r="F347" s="534">
        <f t="shared" si="5"/>
        <v>13.81</v>
      </c>
      <c r="G347" s="494">
        <v>0.1898</v>
      </c>
      <c r="H347" s="537">
        <f t="shared" si="6"/>
        <v>18.98</v>
      </c>
      <c r="I347" s="487" t="s">
        <v>114</v>
      </c>
      <c r="J347" s="80">
        <f t="shared" si="7"/>
        <v>1.3743664011585808</v>
      </c>
      <c r="K347" s="517">
        <f t="shared" si="8"/>
        <v>1.2</v>
      </c>
      <c r="L347" s="483" t="str">
        <f t="shared" si="89"/>
        <v>Sobresaliente</v>
      </c>
    </row>
    <row r="348" spans="1:12" x14ac:dyDescent="0.25">
      <c r="A348" s="482" t="s">
        <v>423</v>
      </c>
      <c r="B348" s="476">
        <v>44651</v>
      </c>
      <c r="C348" s="285" t="s">
        <v>366</v>
      </c>
      <c r="D348" s="285" t="s">
        <v>110</v>
      </c>
      <c r="E348" s="283">
        <v>0.6946</v>
      </c>
      <c r="F348" s="534">
        <f t="shared" ref="F348:F411" si="90">+E348*100</f>
        <v>69.459999999999994</v>
      </c>
      <c r="G348" s="494">
        <v>1.4957</v>
      </c>
      <c r="H348" s="537">
        <f t="shared" ref="H348:H411" si="91">+G348*100</f>
        <v>149.57</v>
      </c>
      <c r="I348" s="487" t="s">
        <v>114</v>
      </c>
      <c r="J348" s="80">
        <f t="shared" ref="J348:J411" si="92">+IFERROR(IF(I348="Creciente",IF(AND(G348&lt;0,E348&lt;0),1-(G348-E348)/E348,IF(G348&lt;0,G348/E348,IF(E348&lt;0,1+((G348-E348)/G348),G348/E348))),IF(AND(G348&lt;0,E348&lt;0),(E348*-1)/(G348*-1),IF(G348&lt;0,(G348-E348)/G348,IF(E348&lt;0,-1+(G348-E348)/E348,IF(I348="Decreciente",1+(E348-G348)/E348,G348/E348))))),"N/A")</f>
        <v>2.1533256550532682</v>
      </c>
      <c r="K348" s="517">
        <f t="shared" ref="K348:K411" si="93">+IF(J348&lt;0,0%,IF(J348&gt;120%,120%,J348))</f>
        <v>1.2</v>
      </c>
      <c r="L348" s="483" t="str">
        <f t="shared" si="89"/>
        <v>Sobresaliente</v>
      </c>
    </row>
    <row r="349" spans="1:12" x14ac:dyDescent="0.25">
      <c r="A349" s="482" t="s">
        <v>415</v>
      </c>
      <c r="B349" s="476">
        <v>44651</v>
      </c>
      <c r="C349" s="285" t="s">
        <v>366</v>
      </c>
      <c r="D349" s="285" t="s">
        <v>110</v>
      </c>
      <c r="E349" s="494">
        <v>1</v>
      </c>
      <c r="F349" s="534">
        <f t="shared" si="90"/>
        <v>100</v>
      </c>
      <c r="G349" s="494">
        <v>0.76829999999999998</v>
      </c>
      <c r="H349" s="537">
        <f t="shared" si="91"/>
        <v>76.83</v>
      </c>
      <c r="I349" s="487" t="s">
        <v>116</v>
      </c>
      <c r="J349" s="80">
        <f t="shared" si="92"/>
        <v>1.2317</v>
      </c>
      <c r="K349" s="517">
        <f t="shared" si="93"/>
        <v>1.2</v>
      </c>
      <c r="L349" s="483" t="str">
        <f t="shared" si="89"/>
        <v>Sobresaliente</v>
      </c>
    </row>
    <row r="350" spans="1:12" x14ac:dyDescent="0.25">
      <c r="A350" s="482" t="s">
        <v>359</v>
      </c>
      <c r="B350" s="476">
        <v>44651</v>
      </c>
      <c r="C350" s="285" t="s">
        <v>366</v>
      </c>
      <c r="D350" s="285" t="s">
        <v>110</v>
      </c>
      <c r="E350" s="494">
        <v>0.66210000000000002</v>
      </c>
      <c r="F350" s="534">
        <f t="shared" si="90"/>
        <v>66.210000000000008</v>
      </c>
      <c r="G350" s="494">
        <v>0.47020000000000001</v>
      </c>
      <c r="H350" s="537">
        <f t="shared" si="91"/>
        <v>47.02</v>
      </c>
      <c r="I350" s="487" t="s">
        <v>116</v>
      </c>
      <c r="J350" s="80">
        <f t="shared" si="92"/>
        <v>1.2898353723002569</v>
      </c>
      <c r="K350" s="517">
        <f t="shared" si="93"/>
        <v>1.2</v>
      </c>
      <c r="L350" s="483" t="str">
        <f t="shared" si="89"/>
        <v>Sobresaliente</v>
      </c>
    </row>
    <row r="351" spans="1:12" x14ac:dyDescent="0.25">
      <c r="A351" s="482" t="s">
        <v>360</v>
      </c>
      <c r="B351" s="476">
        <v>44651</v>
      </c>
      <c r="C351" s="285" t="s">
        <v>366</v>
      </c>
      <c r="D351" s="285" t="s">
        <v>110</v>
      </c>
      <c r="E351" s="287">
        <v>4.6500000000000004</v>
      </c>
      <c r="F351" s="535">
        <f>+E351</f>
        <v>4.6500000000000004</v>
      </c>
      <c r="G351" s="287">
        <v>4.6100000000000003</v>
      </c>
      <c r="H351" s="538">
        <f>+G351</f>
        <v>4.6100000000000003</v>
      </c>
      <c r="I351" s="487" t="s">
        <v>114</v>
      </c>
      <c r="J351" s="80">
        <f t="shared" si="92"/>
        <v>0.99139784946236553</v>
      </c>
      <c r="K351" s="517">
        <f t="shared" si="93"/>
        <v>0.99139784946236553</v>
      </c>
      <c r="L351" s="483" t="str">
        <f t="shared" si="89"/>
        <v>Satisfactorio</v>
      </c>
    </row>
    <row r="352" spans="1:12" x14ac:dyDescent="0.25">
      <c r="A352" s="482" t="s">
        <v>361</v>
      </c>
      <c r="B352" s="476">
        <v>44651</v>
      </c>
      <c r="C352" s="285" t="s">
        <v>366</v>
      </c>
      <c r="D352" s="285" t="s">
        <v>110</v>
      </c>
      <c r="E352" s="494">
        <v>0.54</v>
      </c>
      <c r="F352" s="534">
        <f t="shared" si="90"/>
        <v>54</v>
      </c>
      <c r="G352" s="497">
        <v>0.69510000000000005</v>
      </c>
      <c r="H352" s="538">
        <f t="shared" si="91"/>
        <v>69.510000000000005</v>
      </c>
      <c r="I352" s="487" t="s">
        <v>114</v>
      </c>
      <c r="J352" s="80">
        <f t="shared" si="92"/>
        <v>1.2872222222222223</v>
      </c>
      <c r="K352" s="517">
        <f t="shared" si="93"/>
        <v>1.2</v>
      </c>
      <c r="L352" s="483" t="str">
        <f t="shared" si="89"/>
        <v>Sobresaliente</v>
      </c>
    </row>
    <row r="353" spans="1:12" x14ac:dyDescent="0.25">
      <c r="A353" s="482" t="s">
        <v>362</v>
      </c>
      <c r="B353" s="476">
        <v>44651</v>
      </c>
      <c r="C353" s="285" t="s">
        <v>366</v>
      </c>
      <c r="D353" s="285" t="s">
        <v>110</v>
      </c>
      <c r="E353" s="494">
        <v>0.38200000000000001</v>
      </c>
      <c r="F353" s="534">
        <f t="shared" si="90"/>
        <v>38.200000000000003</v>
      </c>
      <c r="G353" s="494">
        <v>0.87839999999999996</v>
      </c>
      <c r="H353" s="537">
        <f t="shared" si="91"/>
        <v>87.839999999999989</v>
      </c>
      <c r="I353" s="487" t="s">
        <v>114</v>
      </c>
      <c r="J353" s="80">
        <f t="shared" si="92"/>
        <v>2.2994764397905758</v>
      </c>
      <c r="K353" s="517">
        <f t="shared" si="93"/>
        <v>1.2</v>
      </c>
      <c r="L353" s="483" t="str">
        <f t="shared" si="89"/>
        <v>Sobresaliente</v>
      </c>
    </row>
    <row r="354" spans="1:12" x14ac:dyDescent="0.25">
      <c r="A354" s="482" t="s">
        <v>424</v>
      </c>
      <c r="B354" s="476">
        <v>44651</v>
      </c>
      <c r="C354" s="285" t="s">
        <v>366</v>
      </c>
      <c r="D354" s="285" t="s">
        <v>110</v>
      </c>
      <c r="E354" s="494">
        <v>0.27779999999999999</v>
      </c>
      <c r="F354" s="534">
        <f t="shared" si="90"/>
        <v>27.779999999999998</v>
      </c>
      <c r="G354" s="494">
        <v>0.29120000000000001</v>
      </c>
      <c r="H354" s="537">
        <f t="shared" si="91"/>
        <v>29.12</v>
      </c>
      <c r="I354" s="487" t="s">
        <v>114</v>
      </c>
      <c r="J354" s="80">
        <f t="shared" si="92"/>
        <v>1.0482361411087113</v>
      </c>
      <c r="K354" s="517">
        <f t="shared" si="93"/>
        <v>1.0482361411087113</v>
      </c>
      <c r="L354" s="483" t="str">
        <f t="shared" si="89"/>
        <v>Sobresaliente</v>
      </c>
    </row>
    <row r="355" spans="1:12" x14ac:dyDescent="0.25">
      <c r="A355" s="482" t="s">
        <v>423</v>
      </c>
      <c r="B355" s="476">
        <v>44651</v>
      </c>
      <c r="C355" s="285" t="s">
        <v>111</v>
      </c>
      <c r="D355" s="285" t="s">
        <v>110</v>
      </c>
      <c r="E355" s="494">
        <v>0.15459999999999999</v>
      </c>
      <c r="F355" s="534">
        <f t="shared" si="90"/>
        <v>15.459999999999999</v>
      </c>
      <c r="G355" s="494">
        <v>0.41470000000000001</v>
      </c>
      <c r="H355" s="537">
        <f t="shared" si="91"/>
        <v>41.47</v>
      </c>
      <c r="I355" s="487" t="s">
        <v>114</v>
      </c>
      <c r="J355" s="80">
        <f t="shared" si="92"/>
        <v>2.6824062095730921</v>
      </c>
      <c r="K355" s="517">
        <f t="shared" si="93"/>
        <v>1.2</v>
      </c>
      <c r="L355" s="483" t="str">
        <f t="shared" si="89"/>
        <v>Sobresaliente</v>
      </c>
    </row>
    <row r="356" spans="1:12" x14ac:dyDescent="0.25">
      <c r="A356" s="482" t="s">
        <v>357</v>
      </c>
      <c r="B356" s="476">
        <v>44651</v>
      </c>
      <c r="C356" s="285" t="s">
        <v>111</v>
      </c>
      <c r="D356" s="285" t="s">
        <v>110</v>
      </c>
      <c r="E356" s="494">
        <v>-4.6699999999999998E-2</v>
      </c>
      <c r="F356" s="534">
        <f t="shared" si="90"/>
        <v>-4.67</v>
      </c>
      <c r="G356" s="494">
        <v>0.1115</v>
      </c>
      <c r="H356" s="537">
        <f t="shared" si="91"/>
        <v>11.15</v>
      </c>
      <c r="I356" s="487" t="s">
        <v>114</v>
      </c>
      <c r="J356" s="80">
        <f t="shared" si="92"/>
        <v>2.4188340807174891</v>
      </c>
      <c r="K356" s="517">
        <f t="shared" si="93"/>
        <v>1.2</v>
      </c>
      <c r="L356" s="483" t="str">
        <f t="shared" si="89"/>
        <v>Sobresaliente</v>
      </c>
    </row>
    <row r="357" spans="1:12" x14ac:dyDescent="0.25">
      <c r="A357" s="482" t="s">
        <v>415</v>
      </c>
      <c r="B357" s="476">
        <v>44651</v>
      </c>
      <c r="C357" s="285" t="s">
        <v>111</v>
      </c>
      <c r="D357" s="285" t="s">
        <v>110</v>
      </c>
      <c r="E357" s="494">
        <v>1</v>
      </c>
      <c r="F357" s="534">
        <f t="shared" si="90"/>
        <v>100</v>
      </c>
      <c r="G357" s="494">
        <v>0.76659999999999995</v>
      </c>
      <c r="H357" s="537">
        <f t="shared" si="91"/>
        <v>76.66</v>
      </c>
      <c r="I357" s="487" t="s">
        <v>116</v>
      </c>
      <c r="J357" s="80">
        <f t="shared" si="92"/>
        <v>1.2334000000000001</v>
      </c>
      <c r="K357" s="517">
        <f t="shared" si="93"/>
        <v>1.2</v>
      </c>
      <c r="L357" s="483" t="str">
        <f t="shared" si="89"/>
        <v>Sobresaliente</v>
      </c>
    </row>
    <row r="358" spans="1:12" x14ac:dyDescent="0.25">
      <c r="A358" s="482" t="s">
        <v>423</v>
      </c>
      <c r="B358" s="476">
        <v>44651</v>
      </c>
      <c r="C358" s="285" t="s">
        <v>367</v>
      </c>
      <c r="D358" s="285" t="s">
        <v>110</v>
      </c>
      <c r="E358" s="283">
        <v>0.35630000000000001</v>
      </c>
      <c r="F358" s="534">
        <f t="shared" si="90"/>
        <v>35.630000000000003</v>
      </c>
      <c r="G358" s="494">
        <v>0.84219999999999995</v>
      </c>
      <c r="H358" s="537">
        <f t="shared" si="91"/>
        <v>84.22</v>
      </c>
      <c r="I358" s="487" t="s">
        <v>114</v>
      </c>
      <c r="J358" s="80">
        <f t="shared" si="92"/>
        <v>2.3637384226775189</v>
      </c>
      <c r="K358" s="517">
        <f t="shared" si="93"/>
        <v>1.2</v>
      </c>
      <c r="L358" s="483" t="str">
        <f t="shared" si="89"/>
        <v>Sobresaliente</v>
      </c>
    </row>
    <row r="359" spans="1:12" x14ac:dyDescent="0.25">
      <c r="A359" s="482" t="s">
        <v>415</v>
      </c>
      <c r="B359" s="476">
        <v>44651</v>
      </c>
      <c r="C359" s="285" t="s">
        <v>367</v>
      </c>
      <c r="D359" s="285" t="s">
        <v>110</v>
      </c>
      <c r="E359" s="494">
        <v>1</v>
      </c>
      <c r="F359" s="534">
        <f t="shared" si="90"/>
        <v>100</v>
      </c>
      <c r="G359" s="494">
        <v>0.60629999999999995</v>
      </c>
      <c r="H359" s="537">
        <f t="shared" si="91"/>
        <v>60.629999999999995</v>
      </c>
      <c r="I359" s="487" t="s">
        <v>116</v>
      </c>
      <c r="J359" s="80">
        <f t="shared" si="92"/>
        <v>1.3936999999999999</v>
      </c>
      <c r="K359" s="517">
        <f t="shared" si="93"/>
        <v>1.2</v>
      </c>
      <c r="L359" s="483" t="str">
        <f t="shared" si="89"/>
        <v>Sobresaliente</v>
      </c>
    </row>
    <row r="360" spans="1:12" x14ac:dyDescent="0.25">
      <c r="A360" s="482" t="s">
        <v>359</v>
      </c>
      <c r="B360" s="476">
        <v>44651</v>
      </c>
      <c r="C360" s="285" t="s">
        <v>367</v>
      </c>
      <c r="D360" s="285" t="s">
        <v>110</v>
      </c>
      <c r="E360" s="494">
        <v>0.2747</v>
      </c>
      <c r="F360" s="534">
        <f t="shared" si="90"/>
        <v>27.47</v>
      </c>
      <c r="G360" s="494">
        <v>0.14649999999999999</v>
      </c>
      <c r="H360" s="537">
        <f t="shared" si="91"/>
        <v>14.649999999999999</v>
      </c>
      <c r="I360" s="487" t="s">
        <v>116</v>
      </c>
      <c r="J360" s="80">
        <f t="shared" si="92"/>
        <v>1.466690935566072</v>
      </c>
      <c r="K360" s="517">
        <f t="shared" si="93"/>
        <v>1.2</v>
      </c>
      <c r="L360" s="483" t="str">
        <f t="shared" si="89"/>
        <v>Sobresaliente</v>
      </c>
    </row>
    <row r="361" spans="1:12" x14ac:dyDescent="0.25">
      <c r="A361" s="482" t="s">
        <v>360</v>
      </c>
      <c r="B361" s="476">
        <v>44651</v>
      </c>
      <c r="C361" s="285" t="s">
        <v>367</v>
      </c>
      <c r="D361" s="285" t="s">
        <v>110</v>
      </c>
      <c r="E361" s="287">
        <v>4.6500000000000004</v>
      </c>
      <c r="F361" s="535">
        <f>+E361</f>
        <v>4.6500000000000004</v>
      </c>
      <c r="G361" s="287">
        <v>4.55</v>
      </c>
      <c r="H361" s="538">
        <f>+G361</f>
        <v>4.55</v>
      </c>
      <c r="I361" s="487" t="s">
        <v>114</v>
      </c>
      <c r="J361" s="80">
        <f t="shared" si="92"/>
        <v>0.97849462365591389</v>
      </c>
      <c r="K361" s="517">
        <f t="shared" si="93"/>
        <v>0.97849462365591389</v>
      </c>
      <c r="L361" s="483" t="str">
        <f t="shared" si="89"/>
        <v>Satisfactorio</v>
      </c>
    </row>
    <row r="362" spans="1:12" x14ac:dyDescent="0.25">
      <c r="A362" s="482" t="s">
        <v>361</v>
      </c>
      <c r="B362" s="476">
        <v>44651</v>
      </c>
      <c r="C362" s="285" t="s">
        <v>367</v>
      </c>
      <c r="D362" s="285" t="s">
        <v>110</v>
      </c>
      <c r="E362" s="497">
        <v>0.54</v>
      </c>
      <c r="F362" s="535">
        <f t="shared" si="90"/>
        <v>54</v>
      </c>
      <c r="G362" s="497">
        <v>0.66400000000000003</v>
      </c>
      <c r="H362" s="538">
        <f t="shared" si="91"/>
        <v>66.400000000000006</v>
      </c>
      <c r="I362" s="487" t="s">
        <v>114</v>
      </c>
      <c r="J362" s="80">
        <f t="shared" si="92"/>
        <v>1.2296296296296296</v>
      </c>
      <c r="K362" s="517">
        <f t="shared" si="93"/>
        <v>1.2</v>
      </c>
      <c r="L362" s="483" t="str">
        <f t="shared" si="89"/>
        <v>Sobresaliente</v>
      </c>
    </row>
    <row r="363" spans="1:12" x14ac:dyDescent="0.25">
      <c r="A363" s="482" t="s">
        <v>362</v>
      </c>
      <c r="B363" s="476">
        <v>44651</v>
      </c>
      <c r="C363" s="285" t="s">
        <v>367</v>
      </c>
      <c r="D363" s="285" t="s">
        <v>110</v>
      </c>
      <c r="E363" s="494">
        <v>0.20399999999999999</v>
      </c>
      <c r="F363" s="534">
        <f t="shared" si="90"/>
        <v>20.399999999999999</v>
      </c>
      <c r="G363" s="494">
        <v>0.64139999999999997</v>
      </c>
      <c r="H363" s="537">
        <f t="shared" si="91"/>
        <v>64.14</v>
      </c>
      <c r="I363" s="487" t="s">
        <v>114</v>
      </c>
      <c r="J363" s="80">
        <f t="shared" si="92"/>
        <v>3.1441176470588235</v>
      </c>
      <c r="K363" s="517">
        <f t="shared" si="93"/>
        <v>1.2</v>
      </c>
      <c r="L363" s="483" t="str">
        <f t="shared" si="89"/>
        <v>Sobresaliente</v>
      </c>
    </row>
    <row r="364" spans="1:12" x14ac:dyDescent="0.25">
      <c r="A364" s="482" t="s">
        <v>424</v>
      </c>
      <c r="B364" s="476">
        <v>44651</v>
      </c>
      <c r="C364" s="285" t="s">
        <v>367</v>
      </c>
      <c r="D364" s="285" t="s">
        <v>110</v>
      </c>
      <c r="E364" s="494">
        <v>9.3299999999999994E-2</v>
      </c>
      <c r="F364" s="534">
        <f t="shared" si="90"/>
        <v>9.33</v>
      </c>
      <c r="G364" s="494">
        <v>0.13589999999999999</v>
      </c>
      <c r="H364" s="537">
        <f t="shared" si="91"/>
        <v>13.59</v>
      </c>
      <c r="I364" s="487" t="s">
        <v>114</v>
      </c>
      <c r="J364" s="80">
        <f t="shared" si="92"/>
        <v>1.4565916398713827</v>
      </c>
      <c r="K364" s="517">
        <f t="shared" si="93"/>
        <v>1.2</v>
      </c>
      <c r="L364" s="483" t="str">
        <f t="shared" si="89"/>
        <v>Sobresaliente</v>
      </c>
    </row>
    <row r="365" spans="1:12" x14ac:dyDescent="0.25">
      <c r="A365" s="482" t="s">
        <v>423</v>
      </c>
      <c r="B365" s="476">
        <v>44651</v>
      </c>
      <c r="C365" s="285" t="s">
        <v>368</v>
      </c>
      <c r="D365" s="285" t="s">
        <v>369</v>
      </c>
      <c r="E365" s="494">
        <v>1.0596000000000001</v>
      </c>
      <c r="F365" s="534">
        <f t="shared" si="90"/>
        <v>105.96000000000001</v>
      </c>
      <c r="G365" s="494">
        <v>2.4239000000000002</v>
      </c>
      <c r="H365" s="537">
        <f t="shared" si="91"/>
        <v>242.39000000000001</v>
      </c>
      <c r="I365" s="487" t="s">
        <v>114</v>
      </c>
      <c r="J365" s="80">
        <f t="shared" si="92"/>
        <v>2.2875613439033597</v>
      </c>
      <c r="K365" s="517">
        <f t="shared" si="93"/>
        <v>1.2</v>
      </c>
      <c r="L365" s="483" t="str">
        <f t="shared" ref="L365:L370" si="94">+IF(J365&lt;79.99999%,"Incumple",IF(AND(J365&gt;=80%,J365&lt;94.999999%),"Tolerable",IF(AND(J365&gt;=95%,J365&lt;100%),"Satisfactorio","Sobresaliente")))</f>
        <v>Sobresaliente</v>
      </c>
    </row>
    <row r="366" spans="1:12" x14ac:dyDescent="0.25">
      <c r="A366" s="482" t="s">
        <v>415</v>
      </c>
      <c r="B366" s="476">
        <v>44651</v>
      </c>
      <c r="C366" s="285" t="s">
        <v>368</v>
      </c>
      <c r="D366" s="285" t="s">
        <v>369</v>
      </c>
      <c r="E366" s="494">
        <v>1</v>
      </c>
      <c r="F366" s="534">
        <f t="shared" si="90"/>
        <v>100</v>
      </c>
      <c r="G366" s="494">
        <v>0.86960000000000004</v>
      </c>
      <c r="H366" s="537">
        <f t="shared" si="91"/>
        <v>86.960000000000008</v>
      </c>
      <c r="I366" s="487" t="s">
        <v>116</v>
      </c>
      <c r="J366" s="80">
        <f t="shared" si="92"/>
        <v>1.1303999999999998</v>
      </c>
      <c r="K366" s="517">
        <f t="shared" si="93"/>
        <v>1.1303999999999998</v>
      </c>
      <c r="L366" s="483" t="str">
        <f t="shared" si="94"/>
        <v>Sobresaliente</v>
      </c>
    </row>
    <row r="367" spans="1:12" x14ac:dyDescent="0.25">
      <c r="A367" s="482" t="s">
        <v>359</v>
      </c>
      <c r="B367" s="476">
        <v>44651</v>
      </c>
      <c r="C367" s="285" t="s">
        <v>368</v>
      </c>
      <c r="D367" s="285" t="s">
        <v>369</v>
      </c>
      <c r="E367" s="494">
        <v>0.27510000000000001</v>
      </c>
      <c r="F367" s="534">
        <f t="shared" si="90"/>
        <v>27.51</v>
      </c>
      <c r="G367" s="494">
        <v>2.46E-2</v>
      </c>
      <c r="H367" s="537">
        <f t="shared" si="91"/>
        <v>2.46</v>
      </c>
      <c r="I367" s="487" t="s">
        <v>116</v>
      </c>
      <c r="J367" s="80">
        <f t="shared" si="92"/>
        <v>1.9105779716466738</v>
      </c>
      <c r="K367" s="517">
        <f t="shared" si="93"/>
        <v>1.2</v>
      </c>
      <c r="L367" s="483" t="str">
        <f t="shared" si="94"/>
        <v>Sobresaliente</v>
      </c>
    </row>
    <row r="368" spans="1:12" x14ac:dyDescent="0.25">
      <c r="A368" s="482" t="s">
        <v>360</v>
      </c>
      <c r="B368" s="476">
        <v>44651</v>
      </c>
      <c r="C368" s="285" t="s">
        <v>368</v>
      </c>
      <c r="D368" s="285" t="s">
        <v>369</v>
      </c>
      <c r="E368" s="287">
        <v>4.6500000000000004</v>
      </c>
      <c r="F368" s="535">
        <f>+E368</f>
        <v>4.6500000000000004</v>
      </c>
      <c r="G368" s="287">
        <v>4.8099999999999996</v>
      </c>
      <c r="H368" s="538">
        <f>+G368</f>
        <v>4.8099999999999996</v>
      </c>
      <c r="I368" s="487" t="s">
        <v>114</v>
      </c>
      <c r="J368" s="80">
        <f t="shared" si="92"/>
        <v>1.0344086021505374</v>
      </c>
      <c r="K368" s="517">
        <f t="shared" si="93"/>
        <v>1.0344086021505374</v>
      </c>
      <c r="L368" s="483" t="str">
        <f t="shared" si="94"/>
        <v>Sobresaliente</v>
      </c>
    </row>
    <row r="369" spans="1:12" x14ac:dyDescent="0.25">
      <c r="A369" s="482" t="s">
        <v>361</v>
      </c>
      <c r="B369" s="476">
        <v>44651</v>
      </c>
      <c r="C369" s="285" t="s">
        <v>368</v>
      </c>
      <c r="D369" s="285" t="s">
        <v>369</v>
      </c>
      <c r="E369" s="494">
        <v>0.54</v>
      </c>
      <c r="F369" s="534">
        <f t="shared" si="90"/>
        <v>54</v>
      </c>
      <c r="G369" s="494">
        <v>0.75760000000000005</v>
      </c>
      <c r="H369" s="537">
        <f t="shared" si="91"/>
        <v>75.760000000000005</v>
      </c>
      <c r="I369" s="487" t="s">
        <v>114</v>
      </c>
      <c r="J369" s="80">
        <f t="shared" si="92"/>
        <v>1.402962962962963</v>
      </c>
      <c r="K369" s="517">
        <f t="shared" si="93"/>
        <v>1.2</v>
      </c>
      <c r="L369" s="483" t="str">
        <f t="shared" si="94"/>
        <v>Sobresaliente</v>
      </c>
    </row>
    <row r="370" spans="1:12" x14ac:dyDescent="0.25">
      <c r="A370" s="482" t="s">
        <v>362</v>
      </c>
      <c r="B370" s="476">
        <v>44651</v>
      </c>
      <c r="C370" s="285" t="s">
        <v>368</v>
      </c>
      <c r="D370" s="285" t="s">
        <v>369</v>
      </c>
      <c r="E370" s="494">
        <v>0.69769999999999999</v>
      </c>
      <c r="F370" s="534">
        <f t="shared" si="90"/>
        <v>69.77</v>
      </c>
      <c r="G370" s="494">
        <v>1.1311</v>
      </c>
      <c r="H370" s="537">
        <f t="shared" si="91"/>
        <v>113.11</v>
      </c>
      <c r="I370" s="487" t="s">
        <v>114</v>
      </c>
      <c r="J370" s="80">
        <f t="shared" si="92"/>
        <v>1.6211838899240361</v>
      </c>
      <c r="K370" s="517">
        <f t="shared" si="93"/>
        <v>1.2</v>
      </c>
      <c r="L370" s="483" t="str">
        <f t="shared" si="94"/>
        <v>Sobresaliente</v>
      </c>
    </row>
    <row r="371" spans="1:12" x14ac:dyDescent="0.25">
      <c r="A371" s="482" t="s">
        <v>424</v>
      </c>
      <c r="B371" s="476">
        <v>44651</v>
      </c>
      <c r="C371" s="285" t="s">
        <v>368</v>
      </c>
      <c r="D371" s="285" t="s">
        <v>369</v>
      </c>
      <c r="E371" s="494">
        <v>0.2029</v>
      </c>
      <c r="F371" s="534">
        <f t="shared" si="90"/>
        <v>20.29</v>
      </c>
      <c r="G371" s="494">
        <v>0.32819999999999999</v>
      </c>
      <c r="H371" s="537">
        <f t="shared" si="91"/>
        <v>32.82</v>
      </c>
      <c r="I371" s="487" t="s">
        <v>114</v>
      </c>
      <c r="J371" s="80">
        <f t="shared" si="92"/>
        <v>1.6175455889600789</v>
      </c>
      <c r="K371" s="517">
        <f t="shared" si="93"/>
        <v>1.2</v>
      </c>
      <c r="L371" s="483" t="str">
        <f t="shared" ref="L371:L409" si="95">+IF(J371&lt;79.99999%,"Incumple",IF(AND(J371&gt;=80%,J371&lt;94.999999%),"Tolerable",IF(AND(J371&gt;=95%,J371&lt;100%),"Satisfactorio","Sobresaliente")))</f>
        <v>Sobresaliente</v>
      </c>
    </row>
    <row r="372" spans="1:12" x14ac:dyDescent="0.25">
      <c r="A372" s="482" t="s">
        <v>423</v>
      </c>
      <c r="B372" s="476">
        <v>44651</v>
      </c>
      <c r="C372" s="285" t="s">
        <v>370</v>
      </c>
      <c r="D372" s="285" t="s">
        <v>369</v>
      </c>
      <c r="E372" s="520">
        <v>-0.01</v>
      </c>
      <c r="F372" s="536">
        <f t="shared" si="90"/>
        <v>-1</v>
      </c>
      <c r="G372" s="494">
        <v>-1</v>
      </c>
      <c r="H372" s="534">
        <f t="shared" si="91"/>
        <v>-100</v>
      </c>
      <c r="I372" s="285" t="s">
        <v>114</v>
      </c>
      <c r="J372" s="80">
        <f t="shared" si="92"/>
        <v>-98</v>
      </c>
      <c r="K372" s="517">
        <f t="shared" si="93"/>
        <v>0</v>
      </c>
      <c r="L372" s="483" t="str">
        <f t="shared" si="95"/>
        <v>Incumple</v>
      </c>
    </row>
    <row r="373" spans="1:12" x14ac:dyDescent="0.25">
      <c r="A373" s="482" t="s">
        <v>415</v>
      </c>
      <c r="B373" s="476">
        <v>44651</v>
      </c>
      <c r="C373" s="285" t="s">
        <v>370</v>
      </c>
      <c r="D373" s="285" t="s">
        <v>369</v>
      </c>
      <c r="E373" s="494">
        <v>1</v>
      </c>
      <c r="F373" s="534">
        <f t="shared" si="90"/>
        <v>100</v>
      </c>
      <c r="G373" s="494">
        <v>1.0633999999999999</v>
      </c>
      <c r="H373" s="537">
        <f t="shared" si="91"/>
        <v>106.33999999999999</v>
      </c>
      <c r="I373" s="487" t="s">
        <v>116</v>
      </c>
      <c r="J373" s="80">
        <f t="shared" si="92"/>
        <v>0.9366000000000001</v>
      </c>
      <c r="K373" s="517">
        <f t="shared" si="93"/>
        <v>0.9366000000000001</v>
      </c>
      <c r="L373" s="483" t="str">
        <f t="shared" si="95"/>
        <v>Tolerable</v>
      </c>
    </row>
    <row r="374" spans="1:12" x14ac:dyDescent="0.25">
      <c r="A374" s="482" t="s">
        <v>359</v>
      </c>
      <c r="B374" s="476">
        <v>44651</v>
      </c>
      <c r="C374" s="285" t="s">
        <v>370</v>
      </c>
      <c r="D374" s="285" t="s">
        <v>369</v>
      </c>
      <c r="E374" s="519">
        <v>0.01</v>
      </c>
      <c r="F374" s="536">
        <f t="shared" si="90"/>
        <v>1</v>
      </c>
      <c r="G374" s="494">
        <v>1</v>
      </c>
      <c r="H374" s="537">
        <f t="shared" si="91"/>
        <v>100</v>
      </c>
      <c r="I374" s="487" t="s">
        <v>116</v>
      </c>
      <c r="J374" s="80">
        <f t="shared" si="92"/>
        <v>-98</v>
      </c>
      <c r="K374" s="517">
        <f t="shared" si="93"/>
        <v>0</v>
      </c>
      <c r="L374" s="483" t="str">
        <f t="shared" si="95"/>
        <v>Incumple</v>
      </c>
    </row>
    <row r="375" spans="1:12" x14ac:dyDescent="0.25">
      <c r="A375" s="482" t="s">
        <v>360</v>
      </c>
      <c r="B375" s="476">
        <v>44651</v>
      </c>
      <c r="C375" s="285" t="s">
        <v>370</v>
      </c>
      <c r="D375" s="285" t="s">
        <v>369</v>
      </c>
      <c r="E375" s="287">
        <v>4.6500000000000004</v>
      </c>
      <c r="F375" s="535">
        <f>+E375</f>
        <v>4.6500000000000004</v>
      </c>
      <c r="G375" s="287">
        <v>4.72</v>
      </c>
      <c r="H375" s="538">
        <f>+G375</f>
        <v>4.72</v>
      </c>
      <c r="I375" s="487" t="s">
        <v>114</v>
      </c>
      <c r="J375" s="80">
        <f t="shared" si="92"/>
        <v>1.0150537634408601</v>
      </c>
      <c r="K375" s="517">
        <f t="shared" si="93"/>
        <v>1.0150537634408601</v>
      </c>
      <c r="L375" s="483" t="str">
        <f t="shared" si="95"/>
        <v>Sobresaliente</v>
      </c>
    </row>
    <row r="376" spans="1:12" x14ac:dyDescent="0.25">
      <c r="A376" s="482" t="s">
        <v>361</v>
      </c>
      <c r="B376" s="476">
        <v>44651</v>
      </c>
      <c r="C376" s="285" t="s">
        <v>370</v>
      </c>
      <c r="D376" s="285" t="s">
        <v>369</v>
      </c>
      <c r="E376" s="494">
        <v>0.5</v>
      </c>
      <c r="F376" s="534">
        <f t="shared" si="90"/>
        <v>50</v>
      </c>
      <c r="G376" s="494">
        <v>0.55589999999999995</v>
      </c>
      <c r="H376" s="537">
        <f t="shared" si="91"/>
        <v>55.589999999999996</v>
      </c>
      <c r="I376" s="487" t="s">
        <v>114</v>
      </c>
      <c r="J376" s="80">
        <f t="shared" si="92"/>
        <v>1.1117999999999999</v>
      </c>
      <c r="K376" s="517">
        <f t="shared" si="93"/>
        <v>1.1117999999999999</v>
      </c>
      <c r="L376" s="483" t="str">
        <f t="shared" si="95"/>
        <v>Sobresaliente</v>
      </c>
    </row>
    <row r="377" spans="1:12" x14ac:dyDescent="0.25">
      <c r="A377" s="482" t="s">
        <v>362</v>
      </c>
      <c r="B377" s="476">
        <v>44651</v>
      </c>
      <c r="C377" s="285" t="s">
        <v>370</v>
      </c>
      <c r="D377" s="285" t="s">
        <v>369</v>
      </c>
      <c r="E377" s="494">
        <v>-1</v>
      </c>
      <c r="F377" s="534">
        <f t="shared" si="90"/>
        <v>-100</v>
      </c>
      <c r="G377" s="494">
        <v>-0.91469999999999996</v>
      </c>
      <c r="H377" s="537">
        <f t="shared" si="91"/>
        <v>-91.47</v>
      </c>
      <c r="I377" s="487" t="s">
        <v>114</v>
      </c>
      <c r="J377" s="80">
        <f t="shared" si="92"/>
        <v>1.0853000000000002</v>
      </c>
      <c r="K377" s="517">
        <f t="shared" si="93"/>
        <v>1.0853000000000002</v>
      </c>
      <c r="L377" s="483" t="str">
        <f t="shared" si="95"/>
        <v>Sobresaliente</v>
      </c>
    </row>
    <row r="378" spans="1:12" x14ac:dyDescent="0.25">
      <c r="A378" s="482" t="s">
        <v>424</v>
      </c>
      <c r="B378" s="476">
        <v>44651</v>
      </c>
      <c r="C378" s="285" t="s">
        <v>370</v>
      </c>
      <c r="D378" s="285" t="s">
        <v>369</v>
      </c>
      <c r="E378" s="519">
        <v>-0.01</v>
      </c>
      <c r="F378" s="536">
        <f t="shared" si="90"/>
        <v>-1</v>
      </c>
      <c r="G378" s="494">
        <v>0</v>
      </c>
      <c r="H378" s="534">
        <f t="shared" si="91"/>
        <v>0</v>
      </c>
      <c r="I378" s="285" t="s">
        <v>114</v>
      </c>
      <c r="J378" s="80" t="str">
        <f t="shared" si="92"/>
        <v>N/A</v>
      </c>
      <c r="K378" s="517">
        <f t="shared" si="93"/>
        <v>1.2</v>
      </c>
      <c r="L378" s="483" t="str">
        <f t="shared" si="95"/>
        <v>Sobresaliente</v>
      </c>
    </row>
    <row r="379" spans="1:12" x14ac:dyDescent="0.25">
      <c r="A379" s="482" t="s">
        <v>423</v>
      </c>
      <c r="B379" s="476">
        <v>44651</v>
      </c>
      <c r="C379" s="285" t="s">
        <v>22</v>
      </c>
      <c r="D379" s="285" t="s">
        <v>369</v>
      </c>
      <c r="E379" s="283">
        <v>1.1934</v>
      </c>
      <c r="F379" s="534">
        <f t="shared" si="90"/>
        <v>119.34</v>
      </c>
      <c r="G379" s="494">
        <v>3.3359999999999999</v>
      </c>
      <c r="H379" s="537">
        <f t="shared" si="91"/>
        <v>333.59999999999997</v>
      </c>
      <c r="I379" s="487" t="s">
        <v>114</v>
      </c>
      <c r="J379" s="80">
        <f t="shared" si="92"/>
        <v>2.7953745600804423</v>
      </c>
      <c r="K379" s="517">
        <f t="shared" si="93"/>
        <v>1.2</v>
      </c>
      <c r="L379" s="483" t="str">
        <f t="shared" si="95"/>
        <v>Sobresaliente</v>
      </c>
    </row>
    <row r="380" spans="1:12" x14ac:dyDescent="0.25">
      <c r="A380" s="482" t="s">
        <v>415</v>
      </c>
      <c r="B380" s="476">
        <v>44651</v>
      </c>
      <c r="C380" s="285" t="s">
        <v>22</v>
      </c>
      <c r="D380" s="285" t="s">
        <v>369</v>
      </c>
      <c r="E380" s="494">
        <v>1</v>
      </c>
      <c r="F380" s="534">
        <f t="shared" si="90"/>
        <v>100</v>
      </c>
      <c r="G380" s="494">
        <v>0.87229999999999996</v>
      </c>
      <c r="H380" s="537">
        <f t="shared" si="91"/>
        <v>87.22999999999999</v>
      </c>
      <c r="I380" s="487" t="s">
        <v>116</v>
      </c>
      <c r="J380" s="80">
        <f t="shared" si="92"/>
        <v>1.1276999999999999</v>
      </c>
      <c r="K380" s="517">
        <f t="shared" si="93"/>
        <v>1.1276999999999999</v>
      </c>
      <c r="L380" s="483" t="str">
        <f t="shared" si="95"/>
        <v>Sobresaliente</v>
      </c>
    </row>
    <row r="381" spans="1:12" x14ac:dyDescent="0.25">
      <c r="A381" s="482" t="s">
        <v>359</v>
      </c>
      <c r="B381" s="476">
        <v>44651</v>
      </c>
      <c r="C381" s="285" t="s">
        <v>22</v>
      </c>
      <c r="D381" s="285" t="s">
        <v>369</v>
      </c>
      <c r="E381" s="494">
        <v>0.3221</v>
      </c>
      <c r="F381" s="534">
        <f t="shared" si="90"/>
        <v>32.21</v>
      </c>
      <c r="G381" s="494">
        <v>1.6899999999999998E-2</v>
      </c>
      <c r="H381" s="537">
        <f t="shared" si="91"/>
        <v>1.69</v>
      </c>
      <c r="I381" s="487" t="s">
        <v>116</v>
      </c>
      <c r="J381" s="80">
        <f t="shared" si="92"/>
        <v>1.947531822415399</v>
      </c>
      <c r="K381" s="517">
        <f t="shared" si="93"/>
        <v>1.2</v>
      </c>
      <c r="L381" s="483" t="str">
        <f t="shared" si="95"/>
        <v>Sobresaliente</v>
      </c>
    </row>
    <row r="382" spans="1:12" x14ac:dyDescent="0.25">
      <c r="A382" s="482" t="s">
        <v>360</v>
      </c>
      <c r="B382" s="476">
        <v>44651</v>
      </c>
      <c r="C382" s="285" t="s">
        <v>22</v>
      </c>
      <c r="D382" s="285" t="s">
        <v>369</v>
      </c>
      <c r="E382" s="287">
        <v>4.6500000000000004</v>
      </c>
      <c r="F382" s="535">
        <f>+E382</f>
        <v>4.6500000000000004</v>
      </c>
      <c r="G382" s="287">
        <v>4.8</v>
      </c>
      <c r="H382" s="538">
        <f>+G382</f>
        <v>4.8</v>
      </c>
      <c r="I382" s="285" t="s">
        <v>114</v>
      </c>
      <c r="J382" s="80">
        <f t="shared" si="92"/>
        <v>1.032258064516129</v>
      </c>
      <c r="K382" s="517">
        <f t="shared" si="93"/>
        <v>1.032258064516129</v>
      </c>
      <c r="L382" s="483" t="str">
        <f t="shared" si="95"/>
        <v>Sobresaliente</v>
      </c>
    </row>
    <row r="383" spans="1:12" x14ac:dyDescent="0.25">
      <c r="A383" s="482" t="s">
        <v>361</v>
      </c>
      <c r="B383" s="476">
        <v>44651</v>
      </c>
      <c r="C383" s="285" t="s">
        <v>22</v>
      </c>
      <c r="D383" s="285" t="s">
        <v>369</v>
      </c>
      <c r="E383" s="494">
        <v>0.54</v>
      </c>
      <c r="F383" s="534">
        <f t="shared" si="90"/>
        <v>54</v>
      </c>
      <c r="G383" s="494">
        <v>0.79259999999999997</v>
      </c>
      <c r="H383" s="534">
        <f t="shared" si="91"/>
        <v>79.259999999999991</v>
      </c>
      <c r="I383" s="285" t="s">
        <v>114</v>
      </c>
      <c r="J383" s="80">
        <f t="shared" si="92"/>
        <v>1.4677777777777776</v>
      </c>
      <c r="K383" s="517">
        <f t="shared" si="93"/>
        <v>1.2</v>
      </c>
      <c r="L383" s="483" t="str">
        <f t="shared" si="95"/>
        <v>Sobresaliente</v>
      </c>
    </row>
    <row r="384" spans="1:12" x14ac:dyDescent="0.25">
      <c r="A384" s="482" t="s">
        <v>362</v>
      </c>
      <c r="B384" s="476">
        <v>44651</v>
      </c>
      <c r="C384" s="285" t="s">
        <v>22</v>
      </c>
      <c r="D384" s="285" t="s">
        <v>369</v>
      </c>
      <c r="E384" s="494">
        <v>0.89480000000000004</v>
      </c>
      <c r="F384" s="534">
        <f t="shared" si="90"/>
        <v>89.48</v>
      </c>
      <c r="G384" s="494">
        <v>1.2405999999999999</v>
      </c>
      <c r="H384" s="534">
        <f t="shared" si="91"/>
        <v>124.05999999999999</v>
      </c>
      <c r="I384" s="285" t="s">
        <v>114</v>
      </c>
      <c r="J384" s="80">
        <f t="shared" si="92"/>
        <v>1.3864550737594992</v>
      </c>
      <c r="K384" s="517">
        <f t="shared" si="93"/>
        <v>1.2</v>
      </c>
      <c r="L384" s="483" t="str">
        <f t="shared" si="95"/>
        <v>Sobresaliente</v>
      </c>
    </row>
    <row r="385" spans="1:12" x14ac:dyDescent="0.25">
      <c r="A385" s="482" t="s">
        <v>424</v>
      </c>
      <c r="B385" s="476">
        <v>44651</v>
      </c>
      <c r="C385" s="285" t="s">
        <v>22</v>
      </c>
      <c r="D385" s="285" t="s">
        <v>369</v>
      </c>
      <c r="E385" s="494">
        <v>0.3367</v>
      </c>
      <c r="F385" s="534">
        <f t="shared" si="90"/>
        <v>33.67</v>
      </c>
      <c r="G385" s="494">
        <v>0.37809999999999999</v>
      </c>
      <c r="H385" s="534">
        <f t="shared" si="91"/>
        <v>37.81</v>
      </c>
      <c r="I385" s="285" t="s">
        <v>114</v>
      </c>
      <c r="J385" s="80">
        <f t="shared" si="92"/>
        <v>1.1229581229581229</v>
      </c>
      <c r="K385" s="517">
        <f t="shared" si="93"/>
        <v>1.1229581229581229</v>
      </c>
      <c r="L385" s="483" t="str">
        <f t="shared" si="95"/>
        <v>Sobresaliente</v>
      </c>
    </row>
    <row r="386" spans="1:12" x14ac:dyDescent="0.25">
      <c r="A386" s="482" t="s">
        <v>423</v>
      </c>
      <c r="B386" s="476">
        <v>44651</v>
      </c>
      <c r="C386" s="285" t="s">
        <v>372</v>
      </c>
      <c r="D386" s="285" t="s">
        <v>369</v>
      </c>
      <c r="E386" s="494">
        <v>0.84430000000000005</v>
      </c>
      <c r="F386" s="534">
        <f t="shared" si="90"/>
        <v>84.43</v>
      </c>
      <c r="G386" s="494">
        <v>0.62839999999999996</v>
      </c>
      <c r="H386" s="534">
        <f t="shared" si="91"/>
        <v>62.839999999999996</v>
      </c>
      <c r="I386" s="285" t="s">
        <v>114</v>
      </c>
      <c r="J386" s="80">
        <f t="shared" si="92"/>
        <v>0.74428520668008991</v>
      </c>
      <c r="K386" s="517">
        <f t="shared" si="93"/>
        <v>0.74428520668008991</v>
      </c>
      <c r="L386" s="483" t="str">
        <f t="shared" si="95"/>
        <v>Incumple</v>
      </c>
    </row>
    <row r="387" spans="1:12" x14ac:dyDescent="0.25">
      <c r="A387" s="482" t="s">
        <v>357</v>
      </c>
      <c r="B387" s="476">
        <v>44651</v>
      </c>
      <c r="C387" s="285" t="s">
        <v>372</v>
      </c>
      <c r="D387" s="285" t="s">
        <v>369</v>
      </c>
      <c r="E387" s="494">
        <v>-0.1419</v>
      </c>
      <c r="F387" s="534">
        <f t="shared" si="90"/>
        <v>-14.19</v>
      </c>
      <c r="G387" s="494">
        <v>-5.4300000000000001E-2</v>
      </c>
      <c r="H387" s="534">
        <f t="shared" si="91"/>
        <v>-5.43</v>
      </c>
      <c r="I387" s="285" t="s">
        <v>114</v>
      </c>
      <c r="J387" s="80">
        <f t="shared" si="92"/>
        <v>1.617336152219873</v>
      </c>
      <c r="K387" s="517">
        <f t="shared" si="93"/>
        <v>1.2</v>
      </c>
      <c r="L387" s="483" t="str">
        <f t="shared" si="95"/>
        <v>Sobresaliente</v>
      </c>
    </row>
    <row r="388" spans="1:12" x14ac:dyDescent="0.25">
      <c r="A388" s="482" t="s">
        <v>415</v>
      </c>
      <c r="B388" s="476">
        <v>44651</v>
      </c>
      <c r="C388" s="285" t="s">
        <v>372</v>
      </c>
      <c r="D388" s="285" t="s">
        <v>369</v>
      </c>
      <c r="E388" s="494">
        <v>1</v>
      </c>
      <c r="F388" s="534">
        <f t="shared" si="90"/>
        <v>100</v>
      </c>
      <c r="G388" s="494">
        <v>0.83660000000000001</v>
      </c>
      <c r="H388" s="534">
        <f t="shared" si="91"/>
        <v>83.66</v>
      </c>
      <c r="I388" s="285" t="s">
        <v>116</v>
      </c>
      <c r="J388" s="80">
        <f t="shared" si="92"/>
        <v>1.1634</v>
      </c>
      <c r="K388" s="517">
        <f t="shared" si="93"/>
        <v>1.1634</v>
      </c>
      <c r="L388" s="483" t="str">
        <f t="shared" si="95"/>
        <v>Sobresaliente</v>
      </c>
    </row>
    <row r="389" spans="1:12" x14ac:dyDescent="0.25">
      <c r="A389" s="482" t="s">
        <v>360</v>
      </c>
      <c r="B389" s="476">
        <v>44651</v>
      </c>
      <c r="C389" s="285" t="s">
        <v>372</v>
      </c>
      <c r="D389" s="285" t="s">
        <v>369</v>
      </c>
      <c r="E389" s="287">
        <v>4.6500000000000004</v>
      </c>
      <c r="F389" s="535">
        <f>+E389</f>
        <v>4.6500000000000004</v>
      </c>
      <c r="G389" s="287">
        <v>4.8099999999999996</v>
      </c>
      <c r="H389" s="538">
        <f>+G389</f>
        <v>4.8099999999999996</v>
      </c>
      <c r="I389" s="285" t="s">
        <v>114</v>
      </c>
      <c r="J389" s="80">
        <f t="shared" si="92"/>
        <v>1.0344086021505374</v>
      </c>
      <c r="K389" s="517">
        <f t="shared" si="93"/>
        <v>1.0344086021505374</v>
      </c>
      <c r="L389" s="483" t="str">
        <f t="shared" si="95"/>
        <v>Sobresaliente</v>
      </c>
    </row>
    <row r="390" spans="1:12" x14ac:dyDescent="0.25">
      <c r="A390" s="482" t="s">
        <v>361</v>
      </c>
      <c r="B390" s="476">
        <v>44651</v>
      </c>
      <c r="C390" s="285" t="s">
        <v>372</v>
      </c>
      <c r="D390" s="285" t="s">
        <v>369</v>
      </c>
      <c r="E390" s="494">
        <v>0.54</v>
      </c>
      <c r="F390" s="534">
        <f t="shared" si="90"/>
        <v>54</v>
      </c>
      <c r="G390" s="494">
        <v>0.73099999999999998</v>
      </c>
      <c r="H390" s="534">
        <f t="shared" si="91"/>
        <v>73.099999999999994</v>
      </c>
      <c r="I390" s="285" t="s">
        <v>114</v>
      </c>
      <c r="J390" s="80">
        <f t="shared" si="92"/>
        <v>1.3537037037037036</v>
      </c>
      <c r="K390" s="517">
        <f t="shared" si="93"/>
        <v>1.2</v>
      </c>
      <c r="L390" s="483" t="str">
        <f t="shared" si="95"/>
        <v>Sobresaliente</v>
      </c>
    </row>
    <row r="391" spans="1:12" x14ac:dyDescent="0.25">
      <c r="A391" s="482" t="s">
        <v>362</v>
      </c>
      <c r="B391" s="476">
        <v>44651</v>
      </c>
      <c r="C391" s="285" t="s">
        <v>372</v>
      </c>
      <c r="D391" s="285" t="s">
        <v>369</v>
      </c>
      <c r="E391" s="494">
        <v>0.76449999999999996</v>
      </c>
      <c r="F391" s="534">
        <f t="shared" si="90"/>
        <v>76.449999999999989</v>
      </c>
      <c r="G391" s="494">
        <v>1.8214999999999999</v>
      </c>
      <c r="H391" s="534">
        <f t="shared" si="91"/>
        <v>182.14999999999998</v>
      </c>
      <c r="I391" s="285" t="s">
        <v>114</v>
      </c>
      <c r="J391" s="80">
        <f t="shared" si="92"/>
        <v>2.3826030085022891</v>
      </c>
      <c r="K391" s="517">
        <f t="shared" si="93"/>
        <v>1.2</v>
      </c>
      <c r="L391" s="483" t="str">
        <f t="shared" si="95"/>
        <v>Sobresaliente</v>
      </c>
    </row>
    <row r="392" spans="1:12" x14ac:dyDescent="0.25">
      <c r="A392" s="482" t="s">
        <v>424</v>
      </c>
      <c r="B392" s="476">
        <v>44651</v>
      </c>
      <c r="C392" s="285" t="s">
        <v>372</v>
      </c>
      <c r="D392" s="285" t="s">
        <v>369</v>
      </c>
      <c r="E392" s="494">
        <v>0.2029</v>
      </c>
      <c r="F392" s="534">
        <f t="shared" si="90"/>
        <v>20.29</v>
      </c>
      <c r="G392" s="494">
        <v>0.1467</v>
      </c>
      <c r="H392" s="534">
        <f t="shared" si="91"/>
        <v>14.67</v>
      </c>
      <c r="I392" s="285" t="s">
        <v>114</v>
      </c>
      <c r="J392" s="80">
        <f t="shared" si="92"/>
        <v>0.72301626416954168</v>
      </c>
      <c r="K392" s="517">
        <f t="shared" si="93"/>
        <v>0.72301626416954168</v>
      </c>
      <c r="L392" s="483" t="str">
        <f t="shared" si="95"/>
        <v>Incumple</v>
      </c>
    </row>
    <row r="393" spans="1:12" x14ac:dyDescent="0.25">
      <c r="A393" s="482" t="s">
        <v>423</v>
      </c>
      <c r="B393" s="476">
        <v>44651</v>
      </c>
      <c r="C393" s="285" t="s">
        <v>373</v>
      </c>
      <c r="D393" s="285" t="s">
        <v>369</v>
      </c>
      <c r="E393" s="286">
        <v>-0.67320000000000002</v>
      </c>
      <c r="F393" s="534">
        <f t="shared" si="90"/>
        <v>-67.320000000000007</v>
      </c>
      <c r="G393" s="286">
        <v>0.3589</v>
      </c>
      <c r="H393" s="534">
        <f t="shared" si="91"/>
        <v>35.89</v>
      </c>
      <c r="I393" s="285" t="s">
        <v>114</v>
      </c>
      <c r="J393" s="80">
        <f t="shared" si="92"/>
        <v>3.8757314015045976</v>
      </c>
      <c r="K393" s="517">
        <f t="shared" si="93"/>
        <v>1.2</v>
      </c>
      <c r="L393" s="483" t="str">
        <f t="shared" si="95"/>
        <v>Sobresaliente</v>
      </c>
    </row>
    <row r="394" spans="1:12" x14ac:dyDescent="0.25">
      <c r="A394" s="482" t="s">
        <v>415</v>
      </c>
      <c r="B394" s="476">
        <v>44651</v>
      </c>
      <c r="C394" s="285" t="s">
        <v>373</v>
      </c>
      <c r="D394" s="285" t="s">
        <v>369</v>
      </c>
      <c r="E394" s="494">
        <v>1</v>
      </c>
      <c r="F394" s="534">
        <f t="shared" si="90"/>
        <v>100</v>
      </c>
      <c r="G394" s="494">
        <v>0.93530000000000002</v>
      </c>
      <c r="H394" s="537">
        <f t="shared" si="91"/>
        <v>93.53</v>
      </c>
      <c r="I394" s="487" t="s">
        <v>116</v>
      </c>
      <c r="J394" s="80">
        <f t="shared" si="92"/>
        <v>1.0647</v>
      </c>
      <c r="K394" s="517">
        <f t="shared" si="93"/>
        <v>1.0647</v>
      </c>
      <c r="L394" s="483" t="str">
        <f t="shared" si="95"/>
        <v>Sobresaliente</v>
      </c>
    </row>
    <row r="395" spans="1:12" x14ac:dyDescent="0.25">
      <c r="A395" s="482" t="s">
        <v>359</v>
      </c>
      <c r="B395" s="476">
        <v>44651</v>
      </c>
      <c r="C395" s="285" t="s">
        <v>373</v>
      </c>
      <c r="D395" s="285" t="s">
        <v>369</v>
      </c>
      <c r="E395" s="494">
        <v>0.96009999999999995</v>
      </c>
      <c r="F395" s="534">
        <f t="shared" si="90"/>
        <v>96.009999999999991</v>
      </c>
      <c r="G395" s="494">
        <v>0.81389999999999996</v>
      </c>
      <c r="H395" s="537">
        <f t="shared" si="91"/>
        <v>81.39</v>
      </c>
      <c r="I395" s="487" t="s">
        <v>116</v>
      </c>
      <c r="J395" s="80">
        <f t="shared" si="92"/>
        <v>1.1522758046036872</v>
      </c>
      <c r="K395" s="517">
        <f t="shared" si="93"/>
        <v>1.1522758046036872</v>
      </c>
      <c r="L395" s="483" t="str">
        <f t="shared" si="95"/>
        <v>Sobresaliente</v>
      </c>
    </row>
    <row r="396" spans="1:12" x14ac:dyDescent="0.25">
      <c r="A396" s="482" t="s">
        <v>360</v>
      </c>
      <c r="B396" s="476">
        <v>44651</v>
      </c>
      <c r="C396" s="285" t="s">
        <v>373</v>
      </c>
      <c r="D396" s="285" t="s">
        <v>369</v>
      </c>
      <c r="E396" s="287">
        <v>4.6500000000000004</v>
      </c>
      <c r="F396" s="535">
        <f>+E396</f>
        <v>4.6500000000000004</v>
      </c>
      <c r="G396" s="287">
        <v>4.76</v>
      </c>
      <c r="H396" s="538">
        <f>+G396</f>
        <v>4.76</v>
      </c>
      <c r="I396" s="285" t="s">
        <v>114</v>
      </c>
      <c r="J396" s="80">
        <f t="shared" si="92"/>
        <v>1.0236559139784944</v>
      </c>
      <c r="K396" s="517">
        <f t="shared" si="93"/>
        <v>1.0236559139784944</v>
      </c>
      <c r="L396" s="483" t="str">
        <f t="shared" si="95"/>
        <v>Sobresaliente</v>
      </c>
    </row>
    <row r="397" spans="1:12" x14ac:dyDescent="0.25">
      <c r="A397" s="482" t="s">
        <v>361</v>
      </c>
      <c r="B397" s="476">
        <v>44651</v>
      </c>
      <c r="C397" s="285" t="s">
        <v>373</v>
      </c>
      <c r="D397" s="285" t="s">
        <v>369</v>
      </c>
      <c r="E397" s="494">
        <v>0.54</v>
      </c>
      <c r="F397" s="534">
        <f t="shared" si="90"/>
        <v>54</v>
      </c>
      <c r="G397" s="494">
        <v>0.71819999999999995</v>
      </c>
      <c r="H397" s="534">
        <f t="shared" si="91"/>
        <v>71.819999999999993</v>
      </c>
      <c r="I397" s="285" t="s">
        <v>114</v>
      </c>
      <c r="J397" s="80">
        <f t="shared" si="92"/>
        <v>1.3299999999999998</v>
      </c>
      <c r="K397" s="517">
        <f t="shared" si="93"/>
        <v>1.2</v>
      </c>
      <c r="L397" s="483" t="str">
        <f t="shared" si="95"/>
        <v>Sobresaliente</v>
      </c>
    </row>
    <row r="398" spans="1:12" x14ac:dyDescent="0.25">
      <c r="A398" s="482" t="s">
        <v>362</v>
      </c>
      <c r="B398" s="476">
        <v>44651</v>
      </c>
      <c r="C398" s="285" t="s">
        <v>373</v>
      </c>
      <c r="D398" s="285" t="s">
        <v>369</v>
      </c>
      <c r="E398" s="494">
        <v>-0.27339999999999998</v>
      </c>
      <c r="F398" s="534">
        <f t="shared" si="90"/>
        <v>-27.339999999999996</v>
      </c>
      <c r="G398" s="494">
        <v>-0.27479999999999999</v>
      </c>
      <c r="H398" s="534">
        <f t="shared" si="91"/>
        <v>-27.48</v>
      </c>
      <c r="I398" s="285" t="s">
        <v>114</v>
      </c>
      <c r="J398" s="80">
        <f t="shared" si="92"/>
        <v>0.99487929773226036</v>
      </c>
      <c r="K398" s="517">
        <f t="shared" si="93"/>
        <v>0.99487929773226036</v>
      </c>
      <c r="L398" s="483" t="str">
        <f t="shared" si="95"/>
        <v>Satisfactorio</v>
      </c>
    </row>
    <row r="399" spans="1:12" x14ac:dyDescent="0.25">
      <c r="A399" s="482" t="s">
        <v>424</v>
      </c>
      <c r="B399" s="476">
        <v>44651</v>
      </c>
      <c r="C399" s="285" t="s">
        <v>373</v>
      </c>
      <c r="D399" s="285" t="s">
        <v>369</v>
      </c>
      <c r="E399" s="494">
        <v>4.3E-3</v>
      </c>
      <c r="F399" s="534">
        <f t="shared" si="90"/>
        <v>0.43</v>
      </c>
      <c r="G399" s="494">
        <v>3.3E-3</v>
      </c>
      <c r="H399" s="534">
        <f t="shared" si="91"/>
        <v>0.33</v>
      </c>
      <c r="I399" s="285" t="s">
        <v>114</v>
      </c>
      <c r="J399" s="80">
        <f t="shared" si="92"/>
        <v>0.76744186046511631</v>
      </c>
      <c r="K399" s="517">
        <f t="shared" si="93"/>
        <v>0.76744186046511631</v>
      </c>
      <c r="L399" s="483" t="str">
        <f t="shared" si="95"/>
        <v>Incumple</v>
      </c>
    </row>
    <row r="400" spans="1:12" x14ac:dyDescent="0.25">
      <c r="A400" s="482" t="s">
        <v>423</v>
      </c>
      <c r="B400" s="476">
        <v>44651</v>
      </c>
      <c r="C400" s="285" t="s">
        <v>374</v>
      </c>
      <c r="D400" s="285" t="s">
        <v>369</v>
      </c>
      <c r="E400" s="494">
        <v>-0.4551</v>
      </c>
      <c r="F400" s="534">
        <f t="shared" si="90"/>
        <v>-45.51</v>
      </c>
      <c r="G400" s="494">
        <v>0.22289999999999999</v>
      </c>
      <c r="H400" s="534">
        <f t="shared" si="91"/>
        <v>22.29</v>
      </c>
      <c r="I400" s="285" t="s">
        <v>114</v>
      </c>
      <c r="J400" s="80">
        <f t="shared" si="92"/>
        <v>4.0417227456258411</v>
      </c>
      <c r="K400" s="517">
        <f t="shared" si="93"/>
        <v>1.2</v>
      </c>
      <c r="L400" s="483" t="str">
        <f t="shared" si="95"/>
        <v>Sobresaliente</v>
      </c>
    </row>
    <row r="401" spans="1:12" x14ac:dyDescent="0.25">
      <c r="A401" s="482" t="s">
        <v>415</v>
      </c>
      <c r="B401" s="476">
        <v>44651</v>
      </c>
      <c r="C401" s="285" t="s">
        <v>374</v>
      </c>
      <c r="D401" s="285" t="s">
        <v>369</v>
      </c>
      <c r="E401" s="494">
        <v>1</v>
      </c>
      <c r="F401" s="534">
        <f t="shared" si="90"/>
        <v>100</v>
      </c>
      <c r="G401" s="494">
        <v>0.84350000000000003</v>
      </c>
      <c r="H401" s="537">
        <f t="shared" si="91"/>
        <v>84.350000000000009</v>
      </c>
      <c r="I401" s="487" t="s">
        <v>116</v>
      </c>
      <c r="J401" s="80">
        <f t="shared" si="92"/>
        <v>1.1564999999999999</v>
      </c>
      <c r="K401" s="517">
        <f t="shared" si="93"/>
        <v>1.1564999999999999</v>
      </c>
      <c r="L401" s="483" t="str">
        <f t="shared" si="95"/>
        <v>Sobresaliente</v>
      </c>
    </row>
    <row r="402" spans="1:12" x14ac:dyDescent="0.25">
      <c r="A402" s="482" t="s">
        <v>359</v>
      </c>
      <c r="B402" s="476">
        <v>44651</v>
      </c>
      <c r="C402" s="285" t="s">
        <v>374</v>
      </c>
      <c r="D402" s="285" t="s">
        <v>369</v>
      </c>
      <c r="E402" s="494">
        <v>0.98750000000000004</v>
      </c>
      <c r="F402" s="534">
        <f t="shared" si="90"/>
        <v>98.75</v>
      </c>
      <c r="G402" s="494">
        <v>0.96860000000000002</v>
      </c>
      <c r="H402" s="537">
        <f t="shared" si="91"/>
        <v>96.86</v>
      </c>
      <c r="I402" s="487" t="s">
        <v>116</v>
      </c>
      <c r="J402" s="80">
        <f t="shared" si="92"/>
        <v>1.0191392405063291</v>
      </c>
      <c r="K402" s="517">
        <f t="shared" si="93"/>
        <v>1.0191392405063291</v>
      </c>
      <c r="L402" s="483" t="str">
        <f t="shared" si="95"/>
        <v>Sobresaliente</v>
      </c>
    </row>
    <row r="403" spans="1:12" x14ac:dyDescent="0.25">
      <c r="A403" s="482" t="s">
        <v>360</v>
      </c>
      <c r="B403" s="476">
        <v>44651</v>
      </c>
      <c r="C403" s="285" t="s">
        <v>374</v>
      </c>
      <c r="D403" s="285" t="s">
        <v>369</v>
      </c>
      <c r="E403" s="287">
        <v>4.6500000000000004</v>
      </c>
      <c r="F403" s="535">
        <f>+E403</f>
        <v>4.6500000000000004</v>
      </c>
      <c r="G403" s="287">
        <v>4.8</v>
      </c>
      <c r="H403" s="538">
        <f>+G403</f>
        <v>4.8</v>
      </c>
      <c r="I403" s="285" t="s">
        <v>114</v>
      </c>
      <c r="J403" s="80">
        <f t="shared" si="92"/>
        <v>1.032258064516129</v>
      </c>
      <c r="K403" s="517">
        <f t="shared" si="93"/>
        <v>1.032258064516129</v>
      </c>
      <c r="L403" s="483" t="str">
        <f t="shared" si="95"/>
        <v>Sobresaliente</v>
      </c>
    </row>
    <row r="404" spans="1:12" x14ac:dyDescent="0.25">
      <c r="A404" s="482" t="s">
        <v>361</v>
      </c>
      <c r="B404" s="476">
        <v>44651</v>
      </c>
      <c r="C404" s="285" t="s">
        <v>374</v>
      </c>
      <c r="D404" s="285" t="s">
        <v>369</v>
      </c>
      <c r="E404" s="494">
        <v>0.54</v>
      </c>
      <c r="F404" s="534">
        <f t="shared" si="90"/>
        <v>54</v>
      </c>
      <c r="G404" s="494">
        <v>0.72629999999999995</v>
      </c>
      <c r="H404" s="534">
        <f t="shared" si="91"/>
        <v>72.63</v>
      </c>
      <c r="I404" s="285" t="s">
        <v>114</v>
      </c>
      <c r="J404" s="80">
        <f t="shared" si="92"/>
        <v>1.3449999999999998</v>
      </c>
      <c r="K404" s="517">
        <f t="shared" si="93"/>
        <v>1.2</v>
      </c>
      <c r="L404" s="483" t="str">
        <f t="shared" si="95"/>
        <v>Sobresaliente</v>
      </c>
    </row>
    <row r="405" spans="1:12" x14ac:dyDescent="0.25">
      <c r="A405" s="482" t="s">
        <v>362</v>
      </c>
      <c r="B405" s="476">
        <v>44651</v>
      </c>
      <c r="C405" s="285" t="s">
        <v>374</v>
      </c>
      <c r="D405" s="285" t="s">
        <v>369</v>
      </c>
      <c r="E405" s="494">
        <v>9.2499999999999999E-2</v>
      </c>
      <c r="F405" s="534">
        <f t="shared" si="90"/>
        <v>9.25</v>
      </c>
      <c r="G405" s="494">
        <v>-0.14180000000000001</v>
      </c>
      <c r="H405" s="534">
        <f t="shared" si="91"/>
        <v>-14.180000000000001</v>
      </c>
      <c r="I405" s="285" t="s">
        <v>114</v>
      </c>
      <c r="J405" s="80">
        <f t="shared" si="92"/>
        <v>-1.5329729729729731</v>
      </c>
      <c r="K405" s="517">
        <f t="shared" si="93"/>
        <v>0</v>
      </c>
      <c r="L405" s="483" t="str">
        <f t="shared" si="95"/>
        <v>Incumple</v>
      </c>
    </row>
    <row r="406" spans="1:12" x14ac:dyDescent="0.25">
      <c r="A406" s="482" t="s">
        <v>424</v>
      </c>
      <c r="B406" s="476">
        <v>44651</v>
      </c>
      <c r="C406" s="285" t="s">
        <v>374</v>
      </c>
      <c r="D406" s="285" t="s">
        <v>369</v>
      </c>
      <c r="E406" s="494">
        <v>1.9E-3</v>
      </c>
      <c r="F406" s="534">
        <f t="shared" si="90"/>
        <v>0.19</v>
      </c>
      <c r="G406" s="494">
        <v>4.4999999999999997E-3</v>
      </c>
      <c r="H406" s="534">
        <f t="shared" si="91"/>
        <v>0.44999999999999996</v>
      </c>
      <c r="I406" s="285" t="s">
        <v>114</v>
      </c>
      <c r="J406" s="80">
        <f t="shared" si="92"/>
        <v>2.3684210526315788</v>
      </c>
      <c r="K406" s="517">
        <f t="shared" si="93"/>
        <v>1.2</v>
      </c>
      <c r="L406" s="483" t="str">
        <f t="shared" si="95"/>
        <v>Sobresaliente</v>
      </c>
    </row>
    <row r="407" spans="1:12" x14ac:dyDescent="0.25">
      <c r="A407" s="482" t="s">
        <v>423</v>
      </c>
      <c r="B407" s="476">
        <v>44651</v>
      </c>
      <c r="C407" s="285" t="s">
        <v>377</v>
      </c>
      <c r="D407" s="285" t="s">
        <v>369</v>
      </c>
      <c r="E407" s="494">
        <v>1.6554</v>
      </c>
      <c r="F407" s="534">
        <f t="shared" si="90"/>
        <v>165.54</v>
      </c>
      <c r="G407" s="494">
        <v>0.75580000000000003</v>
      </c>
      <c r="H407" s="534">
        <f t="shared" si="91"/>
        <v>75.58</v>
      </c>
      <c r="I407" s="285" t="s">
        <v>114</v>
      </c>
      <c r="J407" s="80">
        <f t="shared" si="92"/>
        <v>0.45656638878820832</v>
      </c>
      <c r="K407" s="517">
        <f t="shared" si="93"/>
        <v>0.45656638878820832</v>
      </c>
      <c r="L407" s="483" t="str">
        <f t="shared" si="95"/>
        <v>Incumple</v>
      </c>
    </row>
    <row r="408" spans="1:12" x14ac:dyDescent="0.25">
      <c r="A408" s="482" t="s">
        <v>415</v>
      </c>
      <c r="B408" s="476">
        <v>44651</v>
      </c>
      <c r="C408" s="285" t="s">
        <v>377</v>
      </c>
      <c r="D408" s="285" t="s">
        <v>369</v>
      </c>
      <c r="E408" s="494">
        <v>1</v>
      </c>
      <c r="F408" s="534">
        <f t="shared" si="90"/>
        <v>100</v>
      </c>
      <c r="G408" s="494">
        <v>0.9163</v>
      </c>
      <c r="H408" s="537">
        <f t="shared" si="91"/>
        <v>91.63</v>
      </c>
      <c r="I408" s="487" t="s">
        <v>116</v>
      </c>
      <c r="J408" s="80">
        <f t="shared" si="92"/>
        <v>1.0836999999999999</v>
      </c>
      <c r="K408" s="517">
        <f t="shared" si="93"/>
        <v>1.0836999999999999</v>
      </c>
      <c r="L408" s="483" t="str">
        <f t="shared" si="95"/>
        <v>Sobresaliente</v>
      </c>
    </row>
    <row r="409" spans="1:12" x14ac:dyDescent="0.25">
      <c r="A409" s="482" t="s">
        <v>359</v>
      </c>
      <c r="B409" s="476">
        <v>44651</v>
      </c>
      <c r="C409" s="285" t="s">
        <v>377</v>
      </c>
      <c r="D409" s="285" t="s">
        <v>369</v>
      </c>
      <c r="E409" s="494">
        <v>0.31319999999999998</v>
      </c>
      <c r="F409" s="534">
        <f t="shared" si="90"/>
        <v>31.319999999999997</v>
      </c>
      <c r="G409" s="494">
        <v>0.49840000000000001</v>
      </c>
      <c r="H409" s="537">
        <f t="shared" si="91"/>
        <v>49.84</v>
      </c>
      <c r="I409" s="487" t="s">
        <v>116</v>
      </c>
      <c r="J409" s="80">
        <f t="shared" si="92"/>
        <v>0.40868454661558096</v>
      </c>
      <c r="K409" s="517">
        <f t="shared" si="93"/>
        <v>0.40868454661558096</v>
      </c>
      <c r="L409" s="483" t="str">
        <f t="shared" si="95"/>
        <v>Incumple</v>
      </c>
    </row>
    <row r="410" spans="1:12" x14ac:dyDescent="0.25">
      <c r="A410" s="482" t="s">
        <v>360</v>
      </c>
      <c r="B410" s="476">
        <v>44651</v>
      </c>
      <c r="C410" s="285" t="s">
        <v>377</v>
      </c>
      <c r="D410" s="285" t="s">
        <v>369</v>
      </c>
      <c r="E410" s="287">
        <v>4.6500000000000004</v>
      </c>
      <c r="F410" s="535">
        <f>+E410</f>
        <v>4.6500000000000004</v>
      </c>
      <c r="G410" s="287">
        <v>4.8</v>
      </c>
      <c r="H410" s="538">
        <f>+G410</f>
        <v>4.8</v>
      </c>
      <c r="I410" s="285" t="s">
        <v>114</v>
      </c>
      <c r="J410" s="80">
        <f t="shared" si="92"/>
        <v>1.032258064516129</v>
      </c>
      <c r="K410" s="517">
        <f t="shared" si="93"/>
        <v>1.032258064516129</v>
      </c>
      <c r="L410" s="483" t="str">
        <f t="shared" ref="L410:L427" si="96">+IF(J410&lt;79.99999%,"Incumple",IF(AND(J410&gt;=80%,J410&lt;94.999999%),"Tolerable",IF(AND(J410&gt;=95%,J410&lt;100%),"Satisfactorio","Sobresaliente")))</f>
        <v>Sobresaliente</v>
      </c>
    </row>
    <row r="411" spans="1:12" x14ac:dyDescent="0.25">
      <c r="A411" s="482" t="s">
        <v>361</v>
      </c>
      <c r="B411" s="476">
        <v>44651</v>
      </c>
      <c r="C411" s="285" t="s">
        <v>377</v>
      </c>
      <c r="D411" s="285" t="s">
        <v>369</v>
      </c>
      <c r="E411" s="494">
        <v>0.54</v>
      </c>
      <c r="F411" s="534">
        <f t="shared" si="90"/>
        <v>54</v>
      </c>
      <c r="G411" s="494">
        <v>0.75580000000000003</v>
      </c>
      <c r="H411" s="534">
        <f t="shared" si="91"/>
        <v>75.58</v>
      </c>
      <c r="I411" s="285" t="s">
        <v>114</v>
      </c>
      <c r="J411" s="80">
        <f t="shared" si="92"/>
        <v>1.3996296296296296</v>
      </c>
      <c r="K411" s="517">
        <f t="shared" si="93"/>
        <v>1.2</v>
      </c>
      <c r="L411" s="483" t="str">
        <f t="shared" si="96"/>
        <v>Sobresaliente</v>
      </c>
    </row>
    <row r="412" spans="1:12" x14ac:dyDescent="0.25">
      <c r="A412" s="482" t="s">
        <v>362</v>
      </c>
      <c r="B412" s="476">
        <v>44651</v>
      </c>
      <c r="C412" s="285" t="s">
        <v>377</v>
      </c>
      <c r="D412" s="285" t="s">
        <v>369</v>
      </c>
      <c r="E412" s="497">
        <v>2.5110000000000001</v>
      </c>
      <c r="F412" s="535">
        <f t="shared" ref="F412:F427" si="97">+E412*100</f>
        <v>251.10000000000002</v>
      </c>
      <c r="G412" s="497">
        <v>1.8483000000000001</v>
      </c>
      <c r="H412" s="535">
        <f t="shared" ref="H412:H427" si="98">+G412*100</f>
        <v>184.83</v>
      </c>
      <c r="I412" s="285" t="s">
        <v>114</v>
      </c>
      <c r="J412" s="80">
        <f t="shared" ref="J412:J427" si="99">+IFERROR(IF(I412="Creciente",IF(AND(G412&lt;0,E412&lt;0),1-(G412-E412)/E412,IF(G412&lt;0,G412/E412,IF(E412&lt;0,1+((G412-E412)/G412),G412/E412))),IF(AND(G412&lt;0,E412&lt;0),(E412*-1)/(G412*-1),IF(G412&lt;0,(G412-E412)/G412,IF(E412&lt;0,-1+(G412-E412)/E412,IF(I412="Decreciente",1+(E412-G412)/E412,G412/E412))))),"N/A")</f>
        <v>0.73608124253285545</v>
      </c>
      <c r="K412" s="517">
        <f t="shared" ref="K412:K427" si="100">+IF(J412&lt;0,0%,IF(J412&gt;120%,120%,J412))</f>
        <v>0.73608124253285545</v>
      </c>
      <c r="L412" s="483" t="str">
        <f t="shared" si="96"/>
        <v>Incumple</v>
      </c>
    </row>
    <row r="413" spans="1:12" x14ac:dyDescent="0.25">
      <c r="A413" s="482" t="s">
        <v>424</v>
      </c>
      <c r="B413" s="476">
        <v>44651</v>
      </c>
      <c r="C413" s="285" t="s">
        <v>377</v>
      </c>
      <c r="D413" s="285" t="s">
        <v>369</v>
      </c>
      <c r="E413" s="494">
        <v>0.39100000000000001</v>
      </c>
      <c r="F413" s="534">
        <f t="shared" si="97"/>
        <v>39.1</v>
      </c>
      <c r="G413" s="494">
        <v>0.41570000000000001</v>
      </c>
      <c r="H413" s="534">
        <f t="shared" si="98"/>
        <v>41.57</v>
      </c>
      <c r="I413" s="285" t="s">
        <v>114</v>
      </c>
      <c r="J413" s="80">
        <f t="shared" si="99"/>
        <v>1.0631713554987212</v>
      </c>
      <c r="K413" s="517">
        <f t="shared" si="100"/>
        <v>1.0631713554987212</v>
      </c>
      <c r="L413" s="483" t="str">
        <f t="shared" si="96"/>
        <v>Sobresaliente</v>
      </c>
    </row>
    <row r="414" spans="1:12" x14ac:dyDescent="0.25">
      <c r="A414" s="482" t="s">
        <v>361</v>
      </c>
      <c r="B414" s="476">
        <v>44651</v>
      </c>
      <c r="C414" s="285" t="s">
        <v>115</v>
      </c>
      <c r="D414" s="285" t="s">
        <v>369</v>
      </c>
      <c r="E414" s="494">
        <v>0.54</v>
      </c>
      <c r="F414" s="534">
        <f t="shared" si="97"/>
        <v>54</v>
      </c>
      <c r="G414" s="494">
        <v>0.68820000000000003</v>
      </c>
      <c r="H414" s="534">
        <f t="shared" si="98"/>
        <v>68.820000000000007</v>
      </c>
      <c r="I414" s="285" t="s">
        <v>114</v>
      </c>
      <c r="J414" s="80">
        <f t="shared" si="99"/>
        <v>1.2744444444444445</v>
      </c>
      <c r="K414" s="517">
        <f t="shared" si="100"/>
        <v>1.2</v>
      </c>
      <c r="L414" s="483" t="str">
        <f t="shared" si="96"/>
        <v>Sobresaliente</v>
      </c>
    </row>
    <row r="415" spans="1:12" x14ac:dyDescent="0.25">
      <c r="A415" s="482" t="s">
        <v>360</v>
      </c>
      <c r="B415" s="476">
        <v>44651</v>
      </c>
      <c r="C415" s="285" t="s">
        <v>115</v>
      </c>
      <c r="D415" s="285" t="s">
        <v>369</v>
      </c>
      <c r="E415" s="287">
        <v>4.6500000000000004</v>
      </c>
      <c r="F415" s="535">
        <f>+E415</f>
        <v>4.6500000000000004</v>
      </c>
      <c r="G415" s="287">
        <v>4.5599999999999996</v>
      </c>
      <c r="H415" s="538">
        <f>+G415</f>
        <v>4.5599999999999996</v>
      </c>
      <c r="I415" s="285" t="s">
        <v>114</v>
      </c>
      <c r="J415" s="80">
        <f t="shared" si="99"/>
        <v>0.98064516129032242</v>
      </c>
      <c r="K415" s="517">
        <f t="shared" si="100"/>
        <v>0.98064516129032242</v>
      </c>
      <c r="L415" s="483" t="str">
        <f t="shared" si="96"/>
        <v>Satisfactorio</v>
      </c>
    </row>
    <row r="416" spans="1:12" x14ac:dyDescent="0.25">
      <c r="A416" s="482" t="s">
        <v>362</v>
      </c>
      <c r="B416" s="476">
        <v>44651</v>
      </c>
      <c r="C416" s="285" t="s">
        <v>115</v>
      </c>
      <c r="D416" s="285" t="s">
        <v>369</v>
      </c>
      <c r="E416" s="494">
        <v>-0.37069999999999997</v>
      </c>
      <c r="F416" s="534">
        <f t="shared" si="97"/>
        <v>-37.07</v>
      </c>
      <c r="G416" s="494">
        <v>-0.1017</v>
      </c>
      <c r="H416" s="534">
        <f t="shared" si="98"/>
        <v>-10.17</v>
      </c>
      <c r="I416" s="285" t="s">
        <v>114</v>
      </c>
      <c r="J416" s="80">
        <f t="shared" si="99"/>
        <v>1.7256541677906663</v>
      </c>
      <c r="K416" s="517">
        <f t="shared" si="100"/>
        <v>1.2</v>
      </c>
      <c r="L416" s="483" t="str">
        <f t="shared" si="96"/>
        <v>Sobresaliente</v>
      </c>
    </row>
    <row r="417" spans="1:12" x14ac:dyDescent="0.25">
      <c r="A417" s="482" t="s">
        <v>379</v>
      </c>
      <c r="B417" s="476">
        <v>44651</v>
      </c>
      <c r="C417" s="285" t="s">
        <v>115</v>
      </c>
      <c r="D417" s="285" t="s">
        <v>369</v>
      </c>
      <c r="E417" s="286">
        <v>0.52</v>
      </c>
      <c r="F417" s="534">
        <f t="shared" si="97"/>
        <v>52</v>
      </c>
      <c r="G417" s="286">
        <v>0.50829999999999997</v>
      </c>
      <c r="H417" s="534">
        <f t="shared" si="98"/>
        <v>50.83</v>
      </c>
      <c r="I417" s="285" t="s">
        <v>114</v>
      </c>
      <c r="J417" s="80">
        <f t="shared" si="99"/>
        <v>0.97749999999999992</v>
      </c>
      <c r="K417" s="517">
        <f t="shared" si="100"/>
        <v>0.97749999999999992</v>
      </c>
      <c r="L417" s="483" t="str">
        <f t="shared" si="96"/>
        <v>Satisfactorio</v>
      </c>
    </row>
    <row r="418" spans="1:12" x14ac:dyDescent="0.25">
      <c r="A418" s="482" t="s">
        <v>404</v>
      </c>
      <c r="B418" s="476">
        <v>44651</v>
      </c>
      <c r="C418" s="285" t="s">
        <v>115</v>
      </c>
      <c r="D418" s="285" t="s">
        <v>369</v>
      </c>
      <c r="E418" s="286">
        <v>0.75</v>
      </c>
      <c r="F418" s="534">
        <f t="shared" si="97"/>
        <v>75</v>
      </c>
      <c r="G418" s="286">
        <v>0.65</v>
      </c>
      <c r="H418" s="534">
        <f t="shared" si="98"/>
        <v>65</v>
      </c>
      <c r="I418" s="285" t="s">
        <v>114</v>
      </c>
      <c r="J418" s="80">
        <f t="shared" si="99"/>
        <v>0.8666666666666667</v>
      </c>
      <c r="K418" s="517">
        <f t="shared" si="100"/>
        <v>0.8666666666666667</v>
      </c>
      <c r="L418" s="483" t="str">
        <f t="shared" si="96"/>
        <v>Tolerable</v>
      </c>
    </row>
    <row r="419" spans="1:12" x14ac:dyDescent="0.25">
      <c r="A419" s="482" t="s">
        <v>423</v>
      </c>
      <c r="B419" s="476">
        <v>44651</v>
      </c>
      <c r="C419" s="285" t="s">
        <v>380</v>
      </c>
      <c r="D419" s="285" t="s">
        <v>381</v>
      </c>
      <c r="E419" s="494">
        <v>-0.1525</v>
      </c>
      <c r="F419" s="534">
        <f t="shared" si="97"/>
        <v>-15.25</v>
      </c>
      <c r="G419" s="494">
        <v>-0.24179999999999999</v>
      </c>
      <c r="H419" s="537">
        <f t="shared" si="98"/>
        <v>-24.18</v>
      </c>
      <c r="I419" s="487" t="s">
        <v>114</v>
      </c>
      <c r="J419" s="80">
        <f t="shared" si="99"/>
        <v>0.41442622950819674</v>
      </c>
      <c r="K419" s="517">
        <f t="shared" si="100"/>
        <v>0.41442622950819674</v>
      </c>
      <c r="L419" s="483" t="str">
        <f t="shared" si="96"/>
        <v>Incumple</v>
      </c>
    </row>
    <row r="420" spans="1:12" x14ac:dyDescent="0.25">
      <c r="A420" s="482" t="s">
        <v>357</v>
      </c>
      <c r="B420" s="476">
        <v>44651</v>
      </c>
      <c r="C420" s="285" t="s">
        <v>380</v>
      </c>
      <c r="D420" s="285" t="s">
        <v>381</v>
      </c>
      <c r="E420" s="494">
        <v>-4.2200000000000001E-2</v>
      </c>
      <c r="F420" s="534">
        <f t="shared" si="97"/>
        <v>-4.22</v>
      </c>
      <c r="G420" s="494">
        <v>-0.14399999999999999</v>
      </c>
      <c r="H420" s="537">
        <f t="shared" si="98"/>
        <v>-14.399999999999999</v>
      </c>
      <c r="I420" s="487" t="s">
        <v>114</v>
      </c>
      <c r="J420" s="80">
        <f t="shared" si="99"/>
        <v>-1.4123222748815163</v>
      </c>
      <c r="K420" s="517">
        <f t="shared" si="100"/>
        <v>0</v>
      </c>
      <c r="L420" s="483" t="str">
        <f t="shared" si="96"/>
        <v>Incumple</v>
      </c>
    </row>
    <row r="421" spans="1:12" x14ac:dyDescent="0.25">
      <c r="A421" s="482" t="s">
        <v>415</v>
      </c>
      <c r="B421" s="476">
        <v>44651</v>
      </c>
      <c r="C421" s="285" t="s">
        <v>380</v>
      </c>
      <c r="D421" s="285" t="s">
        <v>381</v>
      </c>
      <c r="E421" s="494">
        <v>1</v>
      </c>
      <c r="F421" s="534">
        <f t="shared" si="97"/>
        <v>100</v>
      </c>
      <c r="G421" s="494">
        <v>0.76570000000000005</v>
      </c>
      <c r="H421" s="537">
        <f t="shared" si="98"/>
        <v>76.570000000000007</v>
      </c>
      <c r="I421" s="487" t="s">
        <v>116</v>
      </c>
      <c r="J421" s="80">
        <f t="shared" si="99"/>
        <v>1.2343</v>
      </c>
      <c r="K421" s="517">
        <f t="shared" si="100"/>
        <v>1.2</v>
      </c>
      <c r="L421" s="483" t="str">
        <f t="shared" si="96"/>
        <v>Sobresaliente</v>
      </c>
    </row>
    <row r="422" spans="1:12" x14ac:dyDescent="0.25">
      <c r="A422" s="482" t="s">
        <v>360</v>
      </c>
      <c r="B422" s="476">
        <v>44651</v>
      </c>
      <c r="C422" s="285" t="s">
        <v>380</v>
      </c>
      <c r="D422" s="285" t="s">
        <v>381</v>
      </c>
      <c r="E422" s="496">
        <v>4.6500000000000004</v>
      </c>
      <c r="F422" s="535">
        <f>+E422</f>
        <v>4.6500000000000004</v>
      </c>
      <c r="G422" s="496">
        <v>4.5599999999999996</v>
      </c>
      <c r="H422" s="538">
        <f>+G422</f>
        <v>4.5599999999999996</v>
      </c>
      <c r="I422" s="487" t="s">
        <v>114</v>
      </c>
      <c r="J422" s="80">
        <f t="shared" si="99"/>
        <v>0.98064516129032242</v>
      </c>
      <c r="K422" s="517">
        <f t="shared" si="100"/>
        <v>0.98064516129032242</v>
      </c>
      <c r="L422" s="483" t="str">
        <f t="shared" si="96"/>
        <v>Satisfactorio</v>
      </c>
    </row>
    <row r="423" spans="1:12" x14ac:dyDescent="0.25">
      <c r="A423" s="482" t="s">
        <v>361</v>
      </c>
      <c r="B423" s="476">
        <v>44651</v>
      </c>
      <c r="C423" s="285" t="s">
        <v>380</v>
      </c>
      <c r="D423" s="285" t="s">
        <v>381</v>
      </c>
      <c r="E423" s="494">
        <v>0.54</v>
      </c>
      <c r="F423" s="534">
        <f t="shared" si="97"/>
        <v>54</v>
      </c>
      <c r="G423" s="494">
        <v>0.73909999999999998</v>
      </c>
      <c r="H423" s="537">
        <f t="shared" si="98"/>
        <v>73.91</v>
      </c>
      <c r="I423" s="487" t="s">
        <v>114</v>
      </c>
      <c r="J423" s="80">
        <f t="shared" si="99"/>
        <v>1.3687037037037035</v>
      </c>
      <c r="K423" s="517">
        <f t="shared" si="100"/>
        <v>1.2</v>
      </c>
      <c r="L423" s="483" t="str">
        <f t="shared" si="96"/>
        <v>Sobresaliente</v>
      </c>
    </row>
    <row r="424" spans="1:12" x14ac:dyDescent="0.25">
      <c r="A424" s="482" t="s">
        <v>362</v>
      </c>
      <c r="B424" s="476">
        <v>44651</v>
      </c>
      <c r="C424" s="285" t="s">
        <v>380</v>
      </c>
      <c r="D424" s="285" t="s">
        <v>381</v>
      </c>
      <c r="E424" s="494">
        <v>0.44719999999999999</v>
      </c>
      <c r="F424" s="534">
        <f t="shared" si="97"/>
        <v>44.72</v>
      </c>
      <c r="G424" s="494">
        <v>-1.24E-2</v>
      </c>
      <c r="H424" s="537">
        <f t="shared" si="98"/>
        <v>-1.24</v>
      </c>
      <c r="I424" s="487" t="s">
        <v>114</v>
      </c>
      <c r="J424" s="80">
        <f t="shared" si="99"/>
        <v>-2.7728085867620753E-2</v>
      </c>
      <c r="K424" s="517">
        <f t="shared" si="100"/>
        <v>0</v>
      </c>
      <c r="L424" s="483" t="str">
        <f t="shared" si="96"/>
        <v>Incumple</v>
      </c>
    </row>
    <row r="425" spans="1:12" x14ac:dyDescent="0.25">
      <c r="A425" s="482" t="s">
        <v>424</v>
      </c>
      <c r="B425" s="476">
        <v>44651</v>
      </c>
      <c r="C425" s="285" t="s">
        <v>380</v>
      </c>
      <c r="D425" s="285" t="s">
        <v>381</v>
      </c>
      <c r="E425" s="494">
        <v>0.63519999999999999</v>
      </c>
      <c r="F425" s="534">
        <f t="shared" si="97"/>
        <v>63.519999999999996</v>
      </c>
      <c r="G425" s="494">
        <v>0.64149999999999996</v>
      </c>
      <c r="H425" s="537">
        <f t="shared" si="98"/>
        <v>64.149999999999991</v>
      </c>
      <c r="I425" s="487" t="s">
        <v>114</v>
      </c>
      <c r="J425" s="80">
        <f t="shared" si="99"/>
        <v>1.009918136020151</v>
      </c>
      <c r="K425" s="517">
        <f t="shared" si="100"/>
        <v>1.009918136020151</v>
      </c>
      <c r="L425" s="483" t="str">
        <f t="shared" si="96"/>
        <v>Sobresaliente</v>
      </c>
    </row>
    <row r="426" spans="1:12" x14ac:dyDescent="0.25">
      <c r="A426" s="482" t="s">
        <v>423</v>
      </c>
      <c r="B426" s="476">
        <v>44651</v>
      </c>
      <c r="C426" s="285" t="s">
        <v>382</v>
      </c>
      <c r="D426" s="285" t="s">
        <v>381</v>
      </c>
      <c r="E426" s="494">
        <v>0.21640000000000001</v>
      </c>
      <c r="F426" s="534">
        <f t="shared" si="97"/>
        <v>21.64</v>
      </c>
      <c r="G426" s="494">
        <v>0.2142</v>
      </c>
      <c r="H426" s="537">
        <f t="shared" si="98"/>
        <v>21.42</v>
      </c>
      <c r="I426" s="487" t="s">
        <v>114</v>
      </c>
      <c r="J426" s="80">
        <f t="shared" si="99"/>
        <v>0.9898336414048059</v>
      </c>
      <c r="K426" s="517">
        <f t="shared" si="100"/>
        <v>0.9898336414048059</v>
      </c>
      <c r="L426" s="483" t="str">
        <f t="shared" si="96"/>
        <v>Satisfactorio</v>
      </c>
    </row>
    <row r="427" spans="1:12" x14ac:dyDescent="0.25">
      <c r="A427" s="482" t="s">
        <v>357</v>
      </c>
      <c r="B427" s="476">
        <v>44651</v>
      </c>
      <c r="C427" s="285" t="s">
        <v>382</v>
      </c>
      <c r="D427" s="285" t="s">
        <v>381</v>
      </c>
      <c r="E427" s="494">
        <v>0.2492</v>
      </c>
      <c r="F427" s="534">
        <f t="shared" si="97"/>
        <v>24.92</v>
      </c>
      <c r="G427" s="494">
        <v>0.45800000000000002</v>
      </c>
      <c r="H427" s="537">
        <f t="shared" si="98"/>
        <v>45.800000000000004</v>
      </c>
      <c r="I427" s="487" t="s">
        <v>114</v>
      </c>
      <c r="J427" s="80">
        <f t="shared" si="99"/>
        <v>1.8378812199036918</v>
      </c>
      <c r="K427" s="517">
        <f t="shared" si="100"/>
        <v>1.2</v>
      </c>
      <c r="L427" s="483" t="str">
        <f t="shared" si="96"/>
        <v>Sobresaliente</v>
      </c>
    </row>
    <row r="428" spans="1:12" x14ac:dyDescent="0.25">
      <c r="A428" s="482" t="s">
        <v>415</v>
      </c>
      <c r="B428" s="476">
        <v>44651</v>
      </c>
      <c r="C428" s="285" t="s">
        <v>382</v>
      </c>
      <c r="D428" s="285" t="s">
        <v>381</v>
      </c>
      <c r="E428" s="494">
        <v>1</v>
      </c>
      <c r="F428" s="534">
        <f>+E428*100</f>
        <v>100</v>
      </c>
      <c r="G428" s="494">
        <v>0.71440000000000003</v>
      </c>
      <c r="H428" s="537">
        <f>+G428*100</f>
        <v>71.44</v>
      </c>
      <c r="I428" s="487" t="s">
        <v>116</v>
      </c>
      <c r="J428" s="80">
        <f>+IFERROR(IF(I428="Creciente",IF(AND(G428&lt;0,E428&lt;0),1-(G428-E428)/E428,IF(G428&lt;0,G428/E428,IF(E428&lt;0,1+((G428-E428)/G428),G428/E428))),IF(AND(G428&lt;0,E428&lt;0),(E428*-1)/(G428*-1),IF(G428&lt;0,(G428-E428)/G428,IF(E428&lt;0,-1+(G428-E428)/E428,IF(I428="Decreciente",1+(E428-G428)/E428,G428/E428))))),"N/A")</f>
        <v>1.2856000000000001</v>
      </c>
      <c r="K428" s="517">
        <f>+IF(J428&lt;0,0%,IF(J428&gt;120%,120%,J428))</f>
        <v>1.2</v>
      </c>
      <c r="L428" s="483" t="str">
        <f t="shared" ref="L428:L433" si="101">+IF(J428&lt;79.99999%,"Incumple",IF(AND(J428&gt;=80%,J428&lt;94.999999%),"Tolerable",IF(AND(J428&gt;=95%,J428&lt;100%),"Satisfactorio","Sobresaliente")))</f>
        <v>Sobresaliente</v>
      </c>
    </row>
    <row r="429" spans="1:12" x14ac:dyDescent="0.25">
      <c r="A429" s="482" t="s">
        <v>360</v>
      </c>
      <c r="B429" s="476">
        <v>44651</v>
      </c>
      <c r="C429" s="285" t="s">
        <v>382</v>
      </c>
      <c r="D429" s="285" t="s">
        <v>381</v>
      </c>
      <c r="E429" s="494">
        <v>4.65E-2</v>
      </c>
      <c r="F429" s="534">
        <f>+E429*100</f>
        <v>4.6500000000000004</v>
      </c>
      <c r="G429" s="494">
        <v>4.5900000000000003E-2</v>
      </c>
      <c r="H429" s="537">
        <f>+G429*100</f>
        <v>4.5900000000000007</v>
      </c>
      <c r="I429" s="487" t="s">
        <v>114</v>
      </c>
      <c r="J429" s="80">
        <f>+IFERROR(IF(I429="Creciente",IF(AND(G429&lt;0,E429&lt;0),1-(G429-E429)/E429,IF(G429&lt;0,G429/E429,IF(E429&lt;0,1+((G429-E429)/G429),G429/E429))),IF(AND(G429&lt;0,E429&lt;0),(E429*-1)/(G429*-1),IF(G429&lt;0,(G429-E429)/G429,IF(E429&lt;0,-1+(G429-E429)/E429,IF(I429="Decreciente",1+(E429-G429)/E429,G429/E429))))),"N/A")</f>
        <v>0.98709677419354847</v>
      </c>
      <c r="K429" s="517">
        <f>+IF(J429&lt;0,0%,IF(J429&gt;120%,120%,J429))</f>
        <v>0.98709677419354847</v>
      </c>
      <c r="L429" s="483" t="str">
        <f t="shared" si="101"/>
        <v>Satisfactorio</v>
      </c>
    </row>
    <row r="430" spans="1:12" x14ac:dyDescent="0.25">
      <c r="A430" s="482" t="s">
        <v>361</v>
      </c>
      <c r="B430" s="476">
        <v>44651</v>
      </c>
      <c r="C430" s="285" t="s">
        <v>382</v>
      </c>
      <c r="D430" s="285" t="s">
        <v>381</v>
      </c>
      <c r="E430" s="494">
        <v>0.54</v>
      </c>
      <c r="F430" s="534">
        <f>+E430*100</f>
        <v>54</v>
      </c>
      <c r="G430" s="494">
        <v>0.60260000000000002</v>
      </c>
      <c r="H430" s="537">
        <f>+G430*100</f>
        <v>60.260000000000005</v>
      </c>
      <c r="I430" s="487" t="s">
        <v>114</v>
      </c>
      <c r="J430" s="80">
        <f>+IFERROR(IF(I430="Creciente",IF(AND(G430&lt;0,E430&lt;0),1-(G430-E430)/E430,IF(G430&lt;0,G430/E430,IF(E430&lt;0,1+((G430-E430)/G430),G430/E430))),IF(AND(G430&lt;0,E430&lt;0),(E430*-1)/(G430*-1),IF(G430&lt;0,(G430-E430)/G430,IF(E430&lt;0,-1+(G430-E430)/E430,IF(I430="Decreciente",1+(E430-G430)/E430,G430/E430))))),"N/A")</f>
        <v>1.115925925925926</v>
      </c>
      <c r="K430" s="517">
        <f>+IF(J430&lt;0,0%,IF(J430&gt;120%,120%,J430))</f>
        <v>1.115925925925926</v>
      </c>
      <c r="L430" s="483" t="str">
        <f t="shared" si="101"/>
        <v>Sobresaliente</v>
      </c>
    </row>
    <row r="431" spans="1:12" x14ac:dyDescent="0.25">
      <c r="A431" s="482" t="s">
        <v>362</v>
      </c>
      <c r="B431" s="476">
        <v>44651</v>
      </c>
      <c r="C431" s="285" t="s">
        <v>382</v>
      </c>
      <c r="D431" s="285" t="s">
        <v>381</v>
      </c>
      <c r="E431" s="494">
        <v>0.1681</v>
      </c>
      <c r="F431" s="534">
        <f>+E431*100</f>
        <v>16.809999999999999</v>
      </c>
      <c r="G431" s="494">
        <v>0.3715</v>
      </c>
      <c r="H431" s="537">
        <f>+G431*100</f>
        <v>37.15</v>
      </c>
      <c r="I431" s="487" t="s">
        <v>114</v>
      </c>
      <c r="J431" s="80">
        <f>+IFERROR(IF(I431="Creciente",IF(AND(G431&lt;0,E431&lt;0),1-(G431-E431)/E431,IF(G431&lt;0,G431/E431,IF(E431&lt;0,1+((G431-E431)/G431),G431/E431))),IF(AND(G431&lt;0,E431&lt;0),(E431*-1)/(G431*-1),IF(G431&lt;0,(G431-E431)/G431,IF(E431&lt;0,-1+(G431-E431)/E431,IF(I431="Decreciente",1+(E431-G431)/E431,G431/E431))))),"N/A")</f>
        <v>2.2099940511600238</v>
      </c>
      <c r="K431" s="517">
        <f>+IF(J431&lt;0,0%,IF(J431&gt;120%,120%,J431))</f>
        <v>1.2</v>
      </c>
      <c r="L431" s="483" t="str">
        <f t="shared" si="101"/>
        <v>Sobresaliente</v>
      </c>
    </row>
    <row r="432" spans="1:12" x14ac:dyDescent="0.25">
      <c r="A432" s="482" t="s">
        <v>424</v>
      </c>
      <c r="B432" s="476">
        <v>44651</v>
      </c>
      <c r="C432" s="285" t="s">
        <v>382</v>
      </c>
      <c r="D432" s="285" t="s">
        <v>381</v>
      </c>
      <c r="E432" s="494">
        <v>0.99319999999999997</v>
      </c>
      <c r="F432" s="534">
        <f>+E432*100</f>
        <v>99.32</v>
      </c>
      <c r="G432" s="494">
        <v>0.99219999999999997</v>
      </c>
      <c r="H432" s="537">
        <f>+G432*100</f>
        <v>99.22</v>
      </c>
      <c r="I432" s="487" t="s">
        <v>114</v>
      </c>
      <c r="J432" s="80">
        <f>+IFERROR(IF(I432="Creciente",IF(AND(G432&lt;0,E432&lt;0),1-(G432-E432)/E432,IF(G432&lt;0,G432/E432,IF(E432&lt;0,1+((G432-E432)/G432),G432/E432))),IF(AND(G432&lt;0,E432&lt;0),(E432*-1)/(G432*-1),IF(G432&lt;0,(G432-E432)/G432,IF(E432&lt;0,-1+(G432-E432)/E432,IF(I432="Decreciente",1+(E432-G432)/E432,G432/E432))))),"N/A")</f>
        <v>0.99899315344341522</v>
      </c>
      <c r="K432" s="517">
        <f>+IF(J432&lt;0,0%,IF(J432&gt;120%,120%,J432))</f>
        <v>0.99899315344341522</v>
      </c>
      <c r="L432" s="483" t="str">
        <f t="shared" si="101"/>
        <v>Satisfactorio</v>
      </c>
    </row>
    <row r="433" spans="1:12" x14ac:dyDescent="0.25">
      <c r="A433" s="587" t="s">
        <v>423</v>
      </c>
      <c r="B433" s="476">
        <v>44681</v>
      </c>
      <c r="C433" s="285" t="s">
        <v>109</v>
      </c>
      <c r="D433" s="285" t="s">
        <v>110</v>
      </c>
      <c r="E433" s="494">
        <v>0.25059999999999999</v>
      </c>
      <c r="F433" s="534">
        <f t="shared" ref="F433" si="102">+E433*100</f>
        <v>25.06</v>
      </c>
      <c r="G433" s="494">
        <v>0.4294</v>
      </c>
      <c r="H433" s="537">
        <f t="shared" ref="H433" si="103">+G433*100</f>
        <v>42.94</v>
      </c>
      <c r="I433" s="487" t="s">
        <v>114</v>
      </c>
      <c r="J433" s="80">
        <f t="shared" ref="J433" si="104">+IFERROR(IF(I433="Creciente",IF(AND(G433&lt;0,E433&lt;0),1-(G433-E433)/E433,IF(G433&lt;0,G433/E433,IF(E433&lt;0,1+((G433-E433)/G433),G433/E433))),IF(AND(G433&lt;0,E433&lt;0),(E433*-1)/(G433*-1),IF(G433&lt;0,(G433-E433)/G433,IF(E433&lt;0,-1+(G433-E433)/E433,IF(I433="Decreciente",1+(E433-G433)/E433,G433/E433))))),"N/A")</f>
        <v>1.7134876296887471</v>
      </c>
      <c r="K433" s="517">
        <f t="shared" ref="K433" si="105">+IF(J433&lt;0,0%,IF(J433&gt;120%,120%,J433))</f>
        <v>1.2</v>
      </c>
      <c r="L433" s="483" t="str">
        <f t="shared" si="101"/>
        <v>Sobresaliente</v>
      </c>
    </row>
    <row r="434" spans="1:12" x14ac:dyDescent="0.25">
      <c r="A434" s="482" t="s">
        <v>357</v>
      </c>
      <c r="B434" s="476">
        <v>44681</v>
      </c>
      <c r="C434" s="285" t="s">
        <v>109</v>
      </c>
      <c r="D434" s="285" t="s">
        <v>110</v>
      </c>
      <c r="E434" s="494">
        <v>-1.0592999999999999</v>
      </c>
      <c r="F434" s="534">
        <f t="shared" ref="F434" si="106">+E434*100</f>
        <v>-105.92999999999999</v>
      </c>
      <c r="G434" s="494">
        <v>-0.65500000000000003</v>
      </c>
      <c r="H434" s="537">
        <f t="shared" ref="H434" si="107">+G434*100</f>
        <v>-65.5</v>
      </c>
      <c r="I434" s="487" t="s">
        <v>114</v>
      </c>
      <c r="J434" s="80">
        <f t="shared" ref="J434" si="108">+IFERROR(IF(I434="Creciente",IF(AND(G434&lt;0,E434&lt;0),1-(G434-E434)/E434,IF(G434&lt;0,G434/E434,IF(E434&lt;0,1+((G434-E434)/G434),G434/E434))),IF(AND(G434&lt;0,E434&lt;0),(E434*-1)/(G434*-1),IF(G434&lt;0,(G434-E434)/G434,IF(E434&lt;0,-1+(G434-E434)/E434,IF(I434="Decreciente",1+(E434-G434)/E434,G434/E434))))),"N/A")</f>
        <v>1.3816671386764843</v>
      </c>
      <c r="K434" s="517">
        <f t="shared" ref="K434" si="109">+IF(J434&lt;0,0%,IF(J434&gt;120%,120%,J434))</f>
        <v>1.2</v>
      </c>
      <c r="L434" s="483" t="str">
        <f t="shared" ref="L434:L475" si="110">+IF(J434&lt;79.99999%,"Incumple",IF(AND(J434&gt;=80%,J434&lt;94.999999%),"Tolerable",IF(AND(J434&gt;=95%,J434&lt;100%),"Satisfactorio","Sobresaliente")))</f>
        <v>Sobresaliente</v>
      </c>
    </row>
    <row r="435" spans="1:12" x14ac:dyDescent="0.25">
      <c r="A435" s="482" t="s">
        <v>415</v>
      </c>
      <c r="B435" s="476">
        <v>44681</v>
      </c>
      <c r="C435" s="285" t="s">
        <v>109</v>
      </c>
      <c r="D435" s="285" t="s">
        <v>110</v>
      </c>
      <c r="E435" s="494">
        <v>1</v>
      </c>
      <c r="F435" s="534">
        <f t="shared" ref="F435" si="111">+E435*100</f>
        <v>100</v>
      </c>
      <c r="G435" s="494">
        <v>0.81889999999999996</v>
      </c>
      <c r="H435" s="537">
        <f t="shared" ref="H435" si="112">+G435*100</f>
        <v>81.89</v>
      </c>
      <c r="I435" s="487" t="s">
        <v>116</v>
      </c>
      <c r="J435" s="80">
        <f t="shared" ref="J435" si="113">+IFERROR(IF(I435="Creciente",IF(AND(G435&lt;0,E435&lt;0),1-(G435-E435)/E435,IF(G435&lt;0,G435/E435,IF(E435&lt;0,1+((G435-E435)/G435),G435/E435))),IF(AND(G435&lt;0,E435&lt;0),(E435*-1)/(G435*-1),IF(G435&lt;0,(G435-E435)/G435,IF(E435&lt;0,-1+(G435-E435)/E435,IF(I435="Decreciente",1+(E435-G435)/E435,G435/E435))))),"N/A")</f>
        <v>1.1811</v>
      </c>
      <c r="K435" s="517">
        <f t="shared" ref="K435" si="114">+IF(J435&lt;0,0%,IF(J435&gt;120%,120%,J435))</f>
        <v>1.1811</v>
      </c>
      <c r="L435" s="483" t="str">
        <f t="shared" si="110"/>
        <v>Sobresaliente</v>
      </c>
    </row>
    <row r="436" spans="1:12" x14ac:dyDescent="0.25">
      <c r="A436" s="482" t="s">
        <v>359</v>
      </c>
      <c r="B436" s="476">
        <v>44681</v>
      </c>
      <c r="C436" s="285" t="s">
        <v>109</v>
      </c>
      <c r="D436" s="285" t="s">
        <v>110</v>
      </c>
      <c r="E436" s="494">
        <v>0.51539999999999997</v>
      </c>
      <c r="F436" s="534">
        <f t="shared" ref="F436" si="115">+E436*100</f>
        <v>51.54</v>
      </c>
      <c r="G436" s="494">
        <v>0.39579999999999999</v>
      </c>
      <c r="H436" s="537">
        <f t="shared" ref="H436" si="116">+G436*100</f>
        <v>39.58</v>
      </c>
      <c r="I436" s="487" t="s">
        <v>116</v>
      </c>
      <c r="J436" s="80">
        <f t="shared" ref="J436" si="117">+IFERROR(IF(I436="Creciente",IF(AND(G436&lt;0,E436&lt;0),1-(G436-E436)/E436,IF(G436&lt;0,G436/E436,IF(E436&lt;0,1+((G436-E436)/G436),G436/E436))),IF(AND(G436&lt;0,E436&lt;0),(E436*-1)/(G436*-1),IF(G436&lt;0,(G436-E436)/G436,IF(E436&lt;0,-1+(G436-E436)/E436,IF(I436="Decreciente",1+(E436-G436)/E436,G436/E436))))),"N/A")</f>
        <v>1.2320527745440435</v>
      </c>
      <c r="K436" s="517">
        <f t="shared" ref="K436" si="118">+IF(J436&lt;0,0%,IF(J436&gt;120%,120%,J436))</f>
        <v>1.2</v>
      </c>
      <c r="L436" s="483" t="str">
        <f t="shared" si="110"/>
        <v>Sobresaliente</v>
      </c>
    </row>
    <row r="437" spans="1:12" x14ac:dyDescent="0.25">
      <c r="A437" s="482" t="s">
        <v>360</v>
      </c>
      <c r="B437" s="476">
        <v>44681</v>
      </c>
      <c r="C437" s="285" t="s">
        <v>109</v>
      </c>
      <c r="D437" s="285" t="s">
        <v>110</v>
      </c>
      <c r="E437" s="496">
        <v>4.6500000000000004</v>
      </c>
      <c r="F437" s="535">
        <f>+E437</f>
        <v>4.6500000000000004</v>
      </c>
      <c r="G437" s="496">
        <v>4.68</v>
      </c>
      <c r="H437" s="538">
        <f>+G437</f>
        <v>4.68</v>
      </c>
      <c r="I437" s="487" t="s">
        <v>114</v>
      </c>
      <c r="J437" s="80">
        <f t="shared" ref="J437" si="119">+IFERROR(IF(I437="Creciente",IF(AND(G437&lt;0,E437&lt;0),1-(G437-E437)/E437,IF(G437&lt;0,G437/E437,IF(E437&lt;0,1+((G437-E437)/G437),G437/E437))),IF(AND(G437&lt;0,E437&lt;0),(E437*-1)/(G437*-1),IF(G437&lt;0,(G437-E437)/G437,IF(E437&lt;0,-1+(G437-E437)/E437,IF(I437="Decreciente",1+(E437-G437)/E437,G437/E437))))),"N/A")</f>
        <v>1.0064516129032257</v>
      </c>
      <c r="K437" s="517">
        <f t="shared" ref="K437" si="120">+IF(J437&lt;0,0%,IF(J437&gt;120%,120%,J437))</f>
        <v>1.0064516129032257</v>
      </c>
      <c r="L437" s="483" t="str">
        <f t="shared" si="110"/>
        <v>Sobresaliente</v>
      </c>
    </row>
    <row r="438" spans="1:12" x14ac:dyDescent="0.25">
      <c r="A438" s="482" t="s">
        <v>361</v>
      </c>
      <c r="B438" s="476">
        <v>44681</v>
      </c>
      <c r="C438" s="285" t="s">
        <v>109</v>
      </c>
      <c r="D438" s="285" t="s">
        <v>110</v>
      </c>
      <c r="E438" s="494">
        <v>0.54</v>
      </c>
      <c r="F438" s="534">
        <f t="shared" ref="F438" si="121">+E438*100</f>
        <v>54</v>
      </c>
      <c r="G438" s="494">
        <v>0.73839999999999995</v>
      </c>
      <c r="H438" s="537">
        <f t="shared" ref="H438" si="122">+G438*100</f>
        <v>73.839999999999989</v>
      </c>
      <c r="I438" s="487" t="s">
        <v>114</v>
      </c>
      <c r="J438" s="80">
        <f t="shared" ref="J438" si="123">+IFERROR(IF(I438="Creciente",IF(AND(G438&lt;0,E438&lt;0),1-(G438-E438)/E438,IF(G438&lt;0,G438/E438,IF(E438&lt;0,1+((G438-E438)/G438),G438/E438))),IF(AND(G438&lt;0,E438&lt;0),(E438*-1)/(G438*-1),IF(G438&lt;0,(G438-E438)/G438,IF(E438&lt;0,-1+(G438-E438)/E438,IF(I438="Decreciente",1+(E438-G438)/E438,G438/E438))))),"N/A")</f>
        <v>1.3674074074074072</v>
      </c>
      <c r="K438" s="517">
        <f t="shared" ref="K438" si="124">+IF(J438&lt;0,0%,IF(J438&gt;120%,120%,J438))</f>
        <v>1.2</v>
      </c>
      <c r="L438" s="483" t="str">
        <f t="shared" si="110"/>
        <v>Sobresaliente</v>
      </c>
    </row>
    <row r="439" spans="1:12" x14ac:dyDescent="0.25">
      <c r="A439" s="482" t="s">
        <v>362</v>
      </c>
      <c r="B439" s="476">
        <v>44681</v>
      </c>
      <c r="C439" s="285" t="s">
        <v>109</v>
      </c>
      <c r="D439" s="285" t="s">
        <v>110</v>
      </c>
      <c r="E439" s="494">
        <v>0.19450000000000001</v>
      </c>
      <c r="F439" s="534">
        <f t="shared" ref="F439" si="125">+E439*100</f>
        <v>19.45</v>
      </c>
      <c r="G439" s="494">
        <v>0.3679</v>
      </c>
      <c r="H439" s="537">
        <f t="shared" ref="H439" si="126">+G439*100</f>
        <v>36.79</v>
      </c>
      <c r="I439" s="487" t="s">
        <v>114</v>
      </c>
      <c r="J439" s="80">
        <f t="shared" ref="J439" si="127">+IFERROR(IF(I439="Creciente",IF(AND(G439&lt;0,E439&lt;0),1-(G439-E439)/E439,IF(G439&lt;0,G439/E439,IF(E439&lt;0,1+((G439-E439)/G439),G439/E439))),IF(AND(G439&lt;0,E439&lt;0),(E439*-1)/(G439*-1),IF(G439&lt;0,(G439-E439)/G439,IF(E439&lt;0,-1+(G439-E439)/E439,IF(I439="Decreciente",1+(E439-G439)/E439,G439/E439))))),"N/A")</f>
        <v>1.8915167095115681</v>
      </c>
      <c r="K439" s="517">
        <f t="shared" ref="K439" si="128">+IF(J439&lt;0,0%,IF(J439&gt;120%,120%,J439))</f>
        <v>1.2</v>
      </c>
      <c r="L439" s="483" t="str">
        <f t="shared" si="110"/>
        <v>Sobresaliente</v>
      </c>
    </row>
    <row r="440" spans="1:12" x14ac:dyDescent="0.25">
      <c r="A440" s="482" t="s">
        <v>424</v>
      </c>
      <c r="B440" s="476">
        <v>44681</v>
      </c>
      <c r="C440" s="285" t="s">
        <v>109</v>
      </c>
      <c r="D440" s="285" t="s">
        <v>110</v>
      </c>
      <c r="E440" s="494">
        <v>0.40689999999999998</v>
      </c>
      <c r="F440" s="534">
        <f t="shared" ref="F440" si="129">+E440*100</f>
        <v>40.69</v>
      </c>
      <c r="G440" s="494">
        <v>0.34370000000000001</v>
      </c>
      <c r="H440" s="537">
        <f t="shared" ref="H440" si="130">+G440*100</f>
        <v>34.369999999999997</v>
      </c>
      <c r="I440" s="487" t="s">
        <v>114</v>
      </c>
      <c r="J440" s="80">
        <f t="shared" ref="J440" si="131">+IFERROR(IF(I440="Creciente",IF(AND(G440&lt;0,E440&lt;0),1-(G440-E440)/E440,IF(G440&lt;0,G440/E440,IF(E440&lt;0,1+((G440-E440)/G440),G440/E440))),IF(AND(G440&lt;0,E440&lt;0),(E440*-1)/(G440*-1),IF(G440&lt;0,(G440-E440)/G440,IF(E440&lt;0,-1+(G440-E440)/E440,IF(I440="Decreciente",1+(E440-G440)/E440,G440/E440))))),"N/A")</f>
        <v>0.84467928237896295</v>
      </c>
      <c r="K440" s="517">
        <f t="shared" ref="K440" si="132">+IF(J440&lt;0,0%,IF(J440&gt;120%,120%,J440))</f>
        <v>0.84467928237896295</v>
      </c>
      <c r="L440" s="483" t="str">
        <f t="shared" si="110"/>
        <v>Tolerable</v>
      </c>
    </row>
    <row r="441" spans="1:12" x14ac:dyDescent="0.25">
      <c r="A441" s="482" t="s">
        <v>423</v>
      </c>
      <c r="B441" s="476">
        <v>44681</v>
      </c>
      <c r="C441" s="285" t="s">
        <v>363</v>
      </c>
      <c r="D441" s="285" t="s">
        <v>110</v>
      </c>
      <c r="E441" s="283">
        <v>8.6300000000000002E-2</v>
      </c>
      <c r="F441" s="534">
        <f t="shared" ref="F441" si="133">+E441*100</f>
        <v>8.6300000000000008</v>
      </c>
      <c r="G441" s="494">
        <v>0.3397</v>
      </c>
      <c r="H441" s="537">
        <f t="shared" ref="H441" si="134">+G441*100</f>
        <v>33.97</v>
      </c>
      <c r="I441" s="487" t="s">
        <v>114</v>
      </c>
      <c r="J441" s="80">
        <f t="shared" ref="J441" si="135">+IFERROR(IF(I441="Creciente",IF(AND(G441&lt;0,E441&lt;0),1-(G441-E441)/E441,IF(G441&lt;0,G441/E441,IF(E441&lt;0,1+((G441-E441)/G441),G441/E441))),IF(AND(G441&lt;0,E441&lt;0),(E441*-1)/(G441*-1),IF(G441&lt;0,(G441-E441)/G441,IF(E441&lt;0,-1+(G441-E441)/E441,IF(I441="Decreciente",1+(E441-G441)/E441,G441/E441))))),"N/A")</f>
        <v>3.936268829663963</v>
      </c>
      <c r="K441" s="517">
        <f t="shared" ref="K441" si="136">+IF(J441&lt;0,0%,IF(J441&gt;120%,120%,J441))</f>
        <v>1.2</v>
      </c>
      <c r="L441" s="483" t="str">
        <f t="shared" si="110"/>
        <v>Sobresaliente</v>
      </c>
    </row>
    <row r="442" spans="1:12" x14ac:dyDescent="0.25">
      <c r="A442" s="482" t="s">
        <v>415</v>
      </c>
      <c r="B442" s="476">
        <v>44681</v>
      </c>
      <c r="C442" s="285" t="s">
        <v>363</v>
      </c>
      <c r="D442" s="285" t="s">
        <v>110</v>
      </c>
      <c r="E442" s="494">
        <v>1</v>
      </c>
      <c r="F442" s="534">
        <f t="shared" ref="F442" si="137">+E442*100</f>
        <v>100</v>
      </c>
      <c r="G442" s="494">
        <v>0.82379999999999998</v>
      </c>
      <c r="H442" s="537">
        <f t="shared" ref="H442" si="138">+G442*100</f>
        <v>82.38</v>
      </c>
      <c r="I442" s="487" t="s">
        <v>116</v>
      </c>
      <c r="J442" s="80">
        <f t="shared" ref="J442" si="139">+IFERROR(IF(I442="Creciente",IF(AND(G442&lt;0,E442&lt;0),1-(G442-E442)/E442,IF(G442&lt;0,G442/E442,IF(E442&lt;0,1+((G442-E442)/G442),G442/E442))),IF(AND(G442&lt;0,E442&lt;0),(E442*-1)/(G442*-1),IF(G442&lt;0,(G442-E442)/G442,IF(E442&lt;0,-1+(G442-E442)/E442,IF(I442="Decreciente",1+(E442-G442)/E442,G442/E442))))),"N/A")</f>
        <v>1.1762000000000001</v>
      </c>
      <c r="K442" s="517">
        <f t="shared" ref="K442" si="140">+IF(J442&lt;0,0%,IF(J442&gt;120%,120%,J442))</f>
        <v>1.1762000000000001</v>
      </c>
      <c r="L442" s="483" t="str">
        <f t="shared" si="110"/>
        <v>Sobresaliente</v>
      </c>
    </row>
    <row r="443" spans="1:12" x14ac:dyDescent="0.25">
      <c r="A443" s="482" t="s">
        <v>359</v>
      </c>
      <c r="B443" s="476">
        <v>44681</v>
      </c>
      <c r="C443" s="285" t="s">
        <v>363</v>
      </c>
      <c r="D443" s="285" t="s">
        <v>110</v>
      </c>
      <c r="E443" s="494">
        <v>0.47589999999999999</v>
      </c>
      <c r="F443" s="534">
        <f t="shared" ref="F443" si="141">+E443*100</f>
        <v>47.589999999999996</v>
      </c>
      <c r="G443" s="494">
        <v>0.42149999999999999</v>
      </c>
      <c r="H443" s="537">
        <f t="shared" ref="H443" si="142">+G443*100</f>
        <v>42.15</v>
      </c>
      <c r="I443" s="487" t="s">
        <v>116</v>
      </c>
      <c r="J443" s="80">
        <f t="shared" ref="J443" si="143">+IFERROR(IF(I443="Creciente",IF(AND(G443&lt;0,E443&lt;0),1-(G443-E443)/E443,IF(G443&lt;0,G443/E443,IF(E443&lt;0,1+((G443-E443)/G443),G443/E443))),IF(AND(G443&lt;0,E443&lt;0),(E443*-1)/(G443*-1),IF(G443&lt;0,(G443-E443)/G443,IF(E443&lt;0,-1+(G443-E443)/E443,IF(I443="Decreciente",1+(E443-G443)/E443,G443/E443))))),"N/A")</f>
        <v>1.1143097289346502</v>
      </c>
      <c r="K443" s="517">
        <f t="shared" ref="K443" si="144">+IF(J443&lt;0,0%,IF(J443&gt;120%,120%,J443))</f>
        <v>1.1143097289346502</v>
      </c>
      <c r="L443" s="483" t="str">
        <f t="shared" si="110"/>
        <v>Sobresaliente</v>
      </c>
    </row>
    <row r="444" spans="1:12" x14ac:dyDescent="0.25">
      <c r="A444" s="482" t="s">
        <v>360</v>
      </c>
      <c r="B444" s="476">
        <v>44681</v>
      </c>
      <c r="C444" s="285" t="s">
        <v>363</v>
      </c>
      <c r="D444" s="285" t="s">
        <v>110</v>
      </c>
      <c r="E444" s="287">
        <v>4.6500000000000004</v>
      </c>
      <c r="F444" s="535">
        <f>+E444</f>
        <v>4.6500000000000004</v>
      </c>
      <c r="G444" s="287">
        <v>4.68</v>
      </c>
      <c r="H444" s="538">
        <f>+G444</f>
        <v>4.68</v>
      </c>
      <c r="I444" s="487" t="s">
        <v>114</v>
      </c>
      <c r="J444" s="80">
        <f t="shared" ref="J444" si="145">+IFERROR(IF(I444="Creciente",IF(AND(G444&lt;0,E444&lt;0),1-(G444-E444)/E444,IF(G444&lt;0,G444/E444,IF(E444&lt;0,1+((G444-E444)/G444),G444/E444))),IF(AND(G444&lt;0,E444&lt;0),(E444*-1)/(G444*-1),IF(G444&lt;0,(G444-E444)/G444,IF(E444&lt;0,-1+(G444-E444)/E444,IF(I444="Decreciente",1+(E444-G444)/E444,G444/E444))))),"N/A")</f>
        <v>1.0064516129032257</v>
      </c>
      <c r="K444" s="517">
        <f t="shared" ref="K444" si="146">+IF(J444&lt;0,0%,IF(J444&gt;120%,120%,J444))</f>
        <v>1.0064516129032257</v>
      </c>
      <c r="L444" s="483" t="str">
        <f t="shared" si="110"/>
        <v>Sobresaliente</v>
      </c>
    </row>
    <row r="445" spans="1:12" x14ac:dyDescent="0.25">
      <c r="A445" s="482" t="s">
        <v>361</v>
      </c>
      <c r="B445" s="476">
        <v>44681</v>
      </c>
      <c r="C445" s="285" t="s">
        <v>363</v>
      </c>
      <c r="D445" s="285" t="s">
        <v>110</v>
      </c>
      <c r="E445" s="494">
        <v>0.54</v>
      </c>
      <c r="F445" s="534">
        <f t="shared" ref="F445" si="147">+E445*100</f>
        <v>54</v>
      </c>
      <c r="G445" s="494">
        <v>0.73729999999999996</v>
      </c>
      <c r="H445" s="537">
        <f t="shared" ref="H445" si="148">+G445*100</f>
        <v>73.72999999999999</v>
      </c>
      <c r="I445" s="487" t="s">
        <v>114</v>
      </c>
      <c r="J445" s="80">
        <f t="shared" ref="J445" si="149">+IFERROR(IF(I445="Creciente",IF(AND(G445&lt;0,E445&lt;0),1-(G445-E445)/E445,IF(G445&lt;0,G445/E445,IF(E445&lt;0,1+((G445-E445)/G445),G445/E445))),IF(AND(G445&lt;0,E445&lt;0),(E445*-1)/(G445*-1),IF(G445&lt;0,(G445-E445)/G445,IF(E445&lt;0,-1+(G445-E445)/E445,IF(I445="Decreciente",1+(E445-G445)/E445,G445/E445))))),"N/A")</f>
        <v>1.3653703703703701</v>
      </c>
      <c r="K445" s="517">
        <f t="shared" ref="K445" si="150">+IF(J445&lt;0,0%,IF(J445&gt;120%,120%,J445))</f>
        <v>1.2</v>
      </c>
      <c r="L445" s="483" t="str">
        <f t="shared" si="110"/>
        <v>Sobresaliente</v>
      </c>
    </row>
    <row r="446" spans="1:12" x14ac:dyDescent="0.25">
      <c r="A446" s="482" t="s">
        <v>362</v>
      </c>
      <c r="B446" s="476">
        <v>44681</v>
      </c>
      <c r="C446" s="285" t="s">
        <v>363</v>
      </c>
      <c r="D446" s="285" t="s">
        <v>110</v>
      </c>
      <c r="E446" s="494">
        <v>0.1328</v>
      </c>
      <c r="F446" s="534">
        <f t="shared" ref="F446" si="151">+E446*100</f>
        <v>13.28</v>
      </c>
      <c r="G446" s="494">
        <v>0.22919999999999999</v>
      </c>
      <c r="H446" s="537">
        <f t="shared" ref="H446" si="152">+G446*100</f>
        <v>22.919999999999998</v>
      </c>
      <c r="I446" s="487" t="s">
        <v>114</v>
      </c>
      <c r="J446" s="80">
        <f t="shared" ref="J446" si="153">+IFERROR(IF(I446="Creciente",IF(AND(G446&lt;0,E446&lt;0),1-(G446-E446)/E446,IF(G446&lt;0,G446/E446,IF(E446&lt;0,1+((G446-E446)/G446),G446/E446))),IF(AND(G446&lt;0,E446&lt;0),(E446*-1)/(G446*-1),IF(G446&lt;0,(G446-E446)/G446,IF(E446&lt;0,-1+(G446-E446)/E446,IF(I446="Decreciente",1+(E446-G446)/E446,G446/E446))))),"N/A")</f>
        <v>1.7259036144578312</v>
      </c>
      <c r="K446" s="517">
        <f t="shared" ref="K446" si="154">+IF(J446&lt;0,0%,IF(J446&gt;120%,120%,J446))</f>
        <v>1.2</v>
      </c>
      <c r="L446" s="483" t="str">
        <f t="shared" si="110"/>
        <v>Sobresaliente</v>
      </c>
    </row>
    <row r="447" spans="1:12" x14ac:dyDescent="0.25">
      <c r="A447" s="482" t="s">
        <v>424</v>
      </c>
      <c r="B447" s="476">
        <v>44681</v>
      </c>
      <c r="C447" s="285" t="s">
        <v>363</v>
      </c>
      <c r="D447" s="285" t="s">
        <v>110</v>
      </c>
      <c r="E447" s="494">
        <v>0.43559999999999999</v>
      </c>
      <c r="F447" s="534">
        <f t="shared" ref="F447" si="155">+E447*100</f>
        <v>43.56</v>
      </c>
      <c r="G447" s="494">
        <v>0.37319999999999998</v>
      </c>
      <c r="H447" s="537">
        <f t="shared" ref="H447" si="156">+G447*100</f>
        <v>37.32</v>
      </c>
      <c r="I447" s="487" t="s">
        <v>114</v>
      </c>
      <c r="J447" s="80">
        <f t="shared" ref="J447" si="157">+IFERROR(IF(I447="Creciente",IF(AND(G447&lt;0,E447&lt;0),1-(G447-E447)/E447,IF(G447&lt;0,G447/E447,IF(E447&lt;0,1+((G447-E447)/G447),G447/E447))),IF(AND(G447&lt;0,E447&lt;0),(E447*-1)/(G447*-1),IF(G447&lt;0,(G447-E447)/G447,IF(E447&lt;0,-1+(G447-E447)/E447,IF(I447="Decreciente",1+(E447-G447)/E447,G447/E447))))),"N/A")</f>
        <v>0.85674931129476584</v>
      </c>
      <c r="K447" s="517">
        <f t="shared" ref="K447" si="158">+IF(J447&lt;0,0%,IF(J447&gt;120%,120%,J447))</f>
        <v>0.85674931129476584</v>
      </c>
      <c r="L447" s="483" t="str">
        <f t="shared" si="110"/>
        <v>Tolerable</v>
      </c>
    </row>
    <row r="448" spans="1:12" x14ac:dyDescent="0.25">
      <c r="A448" s="482" t="s">
        <v>423</v>
      </c>
      <c r="B448" s="476">
        <v>44681</v>
      </c>
      <c r="C448" s="285" t="s">
        <v>364</v>
      </c>
      <c r="D448" s="285" t="s">
        <v>110</v>
      </c>
      <c r="E448" s="283">
        <v>2.2010000000000001</v>
      </c>
      <c r="F448" s="534">
        <f t="shared" ref="F448" si="159">+E448*100</f>
        <v>220.1</v>
      </c>
      <c r="G448" s="494">
        <v>2.5266000000000002</v>
      </c>
      <c r="H448" s="537">
        <f t="shared" ref="H448" si="160">+G448*100</f>
        <v>252.66000000000003</v>
      </c>
      <c r="I448" s="487" t="s">
        <v>114</v>
      </c>
      <c r="J448" s="80">
        <f t="shared" ref="J448" si="161">+IFERROR(IF(I448="Creciente",IF(AND(G448&lt;0,E448&lt;0),1-(G448-E448)/E448,IF(G448&lt;0,G448/E448,IF(E448&lt;0,1+((G448-E448)/G448),G448/E448))),IF(AND(G448&lt;0,E448&lt;0),(E448*-1)/(G448*-1),IF(G448&lt;0,(G448-E448)/G448,IF(E448&lt;0,-1+(G448-E448)/E448,IF(I448="Decreciente",1+(E448-G448)/E448,G448/E448))))),"N/A")</f>
        <v>1.1479327578373466</v>
      </c>
      <c r="K448" s="517">
        <f t="shared" ref="K448" si="162">+IF(J448&lt;0,0%,IF(J448&gt;120%,120%,J448))</f>
        <v>1.1479327578373466</v>
      </c>
      <c r="L448" s="483" t="str">
        <f t="shared" si="110"/>
        <v>Sobresaliente</v>
      </c>
    </row>
    <row r="449" spans="1:12" x14ac:dyDescent="0.25">
      <c r="A449" s="482" t="s">
        <v>357</v>
      </c>
      <c r="B449" s="476">
        <v>44681</v>
      </c>
      <c r="C449" s="285" t="s">
        <v>364</v>
      </c>
      <c r="D449" s="285" t="s">
        <v>110</v>
      </c>
      <c r="E449" s="494">
        <v>-0.30349999999999999</v>
      </c>
      <c r="F449" s="534">
        <f t="shared" ref="F449" si="163">+E449*100</f>
        <v>-30.349999999999998</v>
      </c>
      <c r="G449" s="494">
        <v>-2.0999999999999999E-3</v>
      </c>
      <c r="H449" s="537">
        <f t="shared" ref="H449" si="164">+G449*100</f>
        <v>-0.21</v>
      </c>
      <c r="I449" s="487" t="s">
        <v>114</v>
      </c>
      <c r="J449" s="80">
        <f t="shared" ref="J449" si="165">+IFERROR(IF(I449="Creciente",IF(AND(G449&lt;0,E449&lt;0),1-(G449-E449)/E449,IF(G449&lt;0,G449/E449,IF(E449&lt;0,1+((G449-E449)/G449),G449/E449))),IF(AND(G449&lt;0,E449&lt;0),(E449*-1)/(G449*-1),IF(G449&lt;0,(G449-E449)/G449,IF(E449&lt;0,-1+(G449-E449)/E449,IF(I449="Decreciente",1+(E449-G449)/E449,G449/E449))))),"N/A")</f>
        <v>1.9930807248764415</v>
      </c>
      <c r="K449" s="517">
        <f t="shared" ref="K449" si="166">+IF(J449&lt;0,0%,IF(J449&gt;120%,120%,J449))</f>
        <v>1.2</v>
      </c>
      <c r="L449" s="483" t="str">
        <f t="shared" si="110"/>
        <v>Sobresaliente</v>
      </c>
    </row>
    <row r="450" spans="1:12" x14ac:dyDescent="0.25">
      <c r="A450" s="482" t="s">
        <v>415</v>
      </c>
      <c r="B450" s="476">
        <v>44681</v>
      </c>
      <c r="C450" s="285" t="s">
        <v>364</v>
      </c>
      <c r="D450" s="285" t="s">
        <v>110</v>
      </c>
      <c r="E450" s="494">
        <v>1</v>
      </c>
      <c r="F450" s="534">
        <f t="shared" ref="F450" si="167">+E450*100</f>
        <v>100</v>
      </c>
      <c r="G450" s="494">
        <v>0.76300000000000001</v>
      </c>
      <c r="H450" s="537">
        <f t="shared" ref="H450" si="168">+G450*100</f>
        <v>76.3</v>
      </c>
      <c r="I450" s="487" t="s">
        <v>116</v>
      </c>
      <c r="J450" s="80">
        <f t="shared" ref="J450" si="169">+IFERROR(IF(I450="Creciente",IF(AND(G450&lt;0,E450&lt;0),1-(G450-E450)/E450,IF(G450&lt;0,G450/E450,IF(E450&lt;0,1+((G450-E450)/G450),G450/E450))),IF(AND(G450&lt;0,E450&lt;0),(E450*-1)/(G450*-1),IF(G450&lt;0,(G450-E450)/G450,IF(E450&lt;0,-1+(G450-E450)/E450,IF(I450="Decreciente",1+(E450-G450)/E450,G450/E450))))),"N/A")</f>
        <v>1.2370000000000001</v>
      </c>
      <c r="K450" s="517">
        <f t="shared" ref="K450" si="170">+IF(J450&lt;0,0%,IF(J450&gt;120%,120%,J450))</f>
        <v>1.2</v>
      </c>
      <c r="L450" s="483" t="str">
        <f t="shared" si="110"/>
        <v>Sobresaliente</v>
      </c>
    </row>
    <row r="451" spans="1:12" x14ac:dyDescent="0.25">
      <c r="A451" s="482" t="s">
        <v>360</v>
      </c>
      <c r="B451" s="476">
        <v>44681</v>
      </c>
      <c r="C451" s="285" t="s">
        <v>364</v>
      </c>
      <c r="D451" s="285" t="s">
        <v>110</v>
      </c>
      <c r="E451" s="496">
        <v>4.6500000000000004</v>
      </c>
      <c r="F451" s="535">
        <f>+E451</f>
        <v>4.6500000000000004</v>
      </c>
      <c r="G451" s="496">
        <v>4.66</v>
      </c>
      <c r="H451" s="538">
        <f>+G451</f>
        <v>4.66</v>
      </c>
      <c r="I451" s="487" t="s">
        <v>114</v>
      </c>
      <c r="J451" s="80">
        <f t="shared" ref="J451" si="171">+IFERROR(IF(I451="Creciente",IF(AND(G451&lt;0,E451&lt;0),1-(G451-E451)/E451,IF(G451&lt;0,G451/E451,IF(E451&lt;0,1+((G451-E451)/G451),G451/E451))),IF(AND(G451&lt;0,E451&lt;0),(E451*-1)/(G451*-1),IF(G451&lt;0,(G451-E451)/G451,IF(E451&lt;0,-1+(G451-E451)/E451,IF(I451="Decreciente",1+(E451-G451)/E451,G451/E451))))),"N/A")</f>
        <v>1.0021505376344086</v>
      </c>
      <c r="K451" s="517">
        <f t="shared" ref="K451" si="172">+IF(J451&lt;0,0%,IF(J451&gt;120%,120%,J451))</f>
        <v>1.0021505376344086</v>
      </c>
      <c r="L451" s="483" t="str">
        <f t="shared" si="110"/>
        <v>Sobresaliente</v>
      </c>
    </row>
    <row r="452" spans="1:12" x14ac:dyDescent="0.25">
      <c r="A452" s="482" t="s">
        <v>361</v>
      </c>
      <c r="B452" s="476">
        <v>44681</v>
      </c>
      <c r="C452" s="285" t="s">
        <v>364</v>
      </c>
      <c r="D452" s="285" t="s">
        <v>110</v>
      </c>
      <c r="E452" s="494">
        <v>0.54</v>
      </c>
      <c r="F452" s="534">
        <f t="shared" ref="F452" si="173">+E452*100</f>
        <v>54</v>
      </c>
      <c r="G452" s="494">
        <v>0.74739999999999995</v>
      </c>
      <c r="H452" s="537">
        <f t="shared" ref="H452" si="174">+G452*100</f>
        <v>74.739999999999995</v>
      </c>
      <c r="I452" s="487" t="s">
        <v>114</v>
      </c>
      <c r="J452" s="80">
        <f t="shared" ref="J452" si="175">+IFERROR(IF(I452="Creciente",IF(AND(G452&lt;0,E452&lt;0),1-(G452-E452)/E452,IF(G452&lt;0,G452/E452,IF(E452&lt;0,1+((G452-E452)/G452),G452/E452))),IF(AND(G452&lt;0,E452&lt;0),(E452*-1)/(G452*-1),IF(G452&lt;0,(G452-E452)/G452,IF(E452&lt;0,-1+(G452-E452)/E452,IF(I452="Decreciente",1+(E452-G452)/E452,G452/E452))))),"N/A")</f>
        <v>1.3840740740740738</v>
      </c>
      <c r="K452" s="517">
        <f t="shared" ref="K452" si="176">+IF(J452&lt;0,0%,IF(J452&gt;120%,120%,J452))</f>
        <v>1.2</v>
      </c>
      <c r="L452" s="483" t="str">
        <f t="shared" si="110"/>
        <v>Sobresaliente</v>
      </c>
    </row>
    <row r="453" spans="1:12" x14ac:dyDescent="0.25">
      <c r="A453" s="482" t="s">
        <v>362</v>
      </c>
      <c r="B453" s="476">
        <v>44681</v>
      </c>
      <c r="C453" s="285" t="s">
        <v>364</v>
      </c>
      <c r="D453" s="285" t="s">
        <v>110</v>
      </c>
      <c r="E453" s="494">
        <v>1.3936999999999999</v>
      </c>
      <c r="F453" s="534">
        <f t="shared" ref="F453" si="177">+E453*100</f>
        <v>139.37</v>
      </c>
      <c r="G453" s="494">
        <v>3.0663</v>
      </c>
      <c r="H453" s="537">
        <f t="shared" ref="H453" si="178">+G453*100</f>
        <v>306.63</v>
      </c>
      <c r="I453" s="487" t="s">
        <v>114</v>
      </c>
      <c r="J453" s="80">
        <f t="shared" ref="J453" si="179">+IFERROR(IF(I453="Creciente",IF(AND(G453&lt;0,E453&lt;0),1-(G453-E453)/E453,IF(G453&lt;0,G453/E453,IF(E453&lt;0,1+((G453-E453)/G453),G453/E453))),IF(AND(G453&lt;0,E453&lt;0),(E453*-1)/(G453*-1),IF(G453&lt;0,(G453-E453)/G453,IF(E453&lt;0,-1+(G453-E453)/E453,IF(I453="Decreciente",1+(E453-G453)/E453,G453/E453))))),"N/A")</f>
        <v>2.2001148023247472</v>
      </c>
      <c r="K453" s="517">
        <f t="shared" ref="K453" si="180">+IF(J453&lt;0,0%,IF(J453&gt;120%,120%,J453))</f>
        <v>1.2</v>
      </c>
      <c r="L453" s="483" t="str">
        <f t="shared" si="110"/>
        <v>Sobresaliente</v>
      </c>
    </row>
    <row r="454" spans="1:12" x14ac:dyDescent="0.25">
      <c r="A454" s="482" t="s">
        <v>424</v>
      </c>
      <c r="B454" s="476">
        <v>44681</v>
      </c>
      <c r="C454" s="285" t="s">
        <v>364</v>
      </c>
      <c r="D454" s="285" t="s">
        <v>110</v>
      </c>
      <c r="E454" s="494">
        <v>0.14349999999999999</v>
      </c>
      <c r="F454" s="534">
        <f t="shared" ref="F454" si="181">+E454*100</f>
        <v>14.35</v>
      </c>
      <c r="G454" s="494">
        <v>0.1699</v>
      </c>
      <c r="H454" s="537">
        <f t="shared" ref="H454" si="182">+G454*100</f>
        <v>16.989999999999998</v>
      </c>
      <c r="I454" s="487" t="s">
        <v>114</v>
      </c>
      <c r="J454" s="80">
        <f t="shared" ref="J454" si="183">+IFERROR(IF(I454="Creciente",IF(AND(G454&lt;0,E454&lt;0),1-(G454-E454)/E454,IF(G454&lt;0,G454/E454,IF(E454&lt;0,1+((G454-E454)/G454),G454/E454))),IF(AND(G454&lt;0,E454&lt;0),(E454*-1)/(G454*-1),IF(G454&lt;0,(G454-E454)/G454,IF(E454&lt;0,-1+(G454-E454)/E454,IF(I454="Decreciente",1+(E454-G454)/E454,G454/E454))))),"N/A")</f>
        <v>1.1839721254355402</v>
      </c>
      <c r="K454" s="517">
        <f t="shared" ref="K454" si="184">+IF(J454&lt;0,0%,IF(J454&gt;120%,120%,J454))</f>
        <v>1.1839721254355402</v>
      </c>
      <c r="L454" s="483" t="str">
        <f t="shared" si="110"/>
        <v>Sobresaliente</v>
      </c>
    </row>
    <row r="455" spans="1:12" x14ac:dyDescent="0.25">
      <c r="A455" s="482" t="s">
        <v>423</v>
      </c>
      <c r="B455" s="476">
        <v>44681</v>
      </c>
      <c r="C455" s="285" t="s">
        <v>366</v>
      </c>
      <c r="D455" s="285" t="s">
        <v>110</v>
      </c>
      <c r="E455" s="283">
        <v>1.0355000000000001</v>
      </c>
      <c r="F455" s="534">
        <f t="shared" ref="F455" si="185">+E455*100</f>
        <v>103.55000000000001</v>
      </c>
      <c r="G455" s="494">
        <v>1.8837999999999999</v>
      </c>
      <c r="H455" s="537">
        <f t="shared" ref="H455" si="186">+G455*100</f>
        <v>188.38</v>
      </c>
      <c r="I455" s="487" t="s">
        <v>114</v>
      </c>
      <c r="J455" s="80">
        <f t="shared" ref="J455" si="187">+IFERROR(IF(I455="Creciente",IF(AND(G455&lt;0,E455&lt;0),1-(G455-E455)/E455,IF(G455&lt;0,G455/E455,IF(E455&lt;0,1+((G455-E455)/G455),G455/E455))),IF(AND(G455&lt;0,E455&lt;0),(E455*-1)/(G455*-1),IF(G455&lt;0,(G455-E455)/G455,IF(E455&lt;0,-1+(G455-E455)/E455,IF(I455="Decreciente",1+(E455-G455)/E455,G455/E455))))),"N/A")</f>
        <v>1.819217769193626</v>
      </c>
      <c r="K455" s="517">
        <f t="shared" ref="K455" si="188">+IF(J455&lt;0,0%,IF(J455&gt;120%,120%,J455))</f>
        <v>1.2</v>
      </c>
      <c r="L455" s="483" t="str">
        <f t="shared" si="110"/>
        <v>Sobresaliente</v>
      </c>
    </row>
    <row r="456" spans="1:12" x14ac:dyDescent="0.25">
      <c r="A456" s="482" t="s">
        <v>415</v>
      </c>
      <c r="B456" s="476">
        <v>44681</v>
      </c>
      <c r="C456" s="285" t="s">
        <v>366</v>
      </c>
      <c r="D456" s="285" t="s">
        <v>110</v>
      </c>
      <c r="E456" s="494">
        <v>1</v>
      </c>
      <c r="F456" s="534">
        <f t="shared" ref="F456" si="189">+E456*100</f>
        <v>100</v>
      </c>
      <c r="G456" s="494">
        <v>0.80810000000000004</v>
      </c>
      <c r="H456" s="537">
        <f t="shared" ref="H456" si="190">+G456*100</f>
        <v>80.81</v>
      </c>
      <c r="I456" s="487" t="s">
        <v>116</v>
      </c>
      <c r="J456" s="80">
        <f t="shared" ref="J456" si="191">+IFERROR(IF(I456="Creciente",IF(AND(G456&lt;0,E456&lt;0),1-(G456-E456)/E456,IF(G456&lt;0,G456/E456,IF(E456&lt;0,1+((G456-E456)/G456),G456/E456))),IF(AND(G456&lt;0,E456&lt;0),(E456*-1)/(G456*-1),IF(G456&lt;0,(G456-E456)/G456,IF(E456&lt;0,-1+(G456-E456)/E456,IF(I456="Decreciente",1+(E456-G456)/E456,G456/E456))))),"N/A")</f>
        <v>1.1919</v>
      </c>
      <c r="K456" s="517">
        <f t="shared" ref="K456" si="192">+IF(J456&lt;0,0%,IF(J456&gt;120%,120%,J456))</f>
        <v>1.1919</v>
      </c>
      <c r="L456" s="483" t="str">
        <f t="shared" si="110"/>
        <v>Sobresaliente</v>
      </c>
    </row>
    <row r="457" spans="1:12" x14ac:dyDescent="0.25">
      <c r="A457" s="482" t="s">
        <v>359</v>
      </c>
      <c r="B457" s="476">
        <v>44681</v>
      </c>
      <c r="C457" s="285" t="s">
        <v>366</v>
      </c>
      <c r="D457" s="285" t="s">
        <v>110</v>
      </c>
      <c r="E457" s="494">
        <v>0.64870000000000005</v>
      </c>
      <c r="F457" s="534">
        <f t="shared" ref="F457" si="193">+E457*100</f>
        <v>64.87</v>
      </c>
      <c r="G457" s="494">
        <v>0.48049999999999998</v>
      </c>
      <c r="H457" s="537">
        <f t="shared" ref="H457" si="194">+G457*100</f>
        <v>48.05</v>
      </c>
      <c r="I457" s="487" t="s">
        <v>116</v>
      </c>
      <c r="J457" s="80">
        <f t="shared" ref="J457" si="195">+IFERROR(IF(I457="Creciente",IF(AND(G457&lt;0,E457&lt;0),1-(G457-E457)/E457,IF(G457&lt;0,G457/E457,IF(E457&lt;0,1+((G457-E457)/G457),G457/E457))),IF(AND(G457&lt;0,E457&lt;0),(E457*-1)/(G457*-1),IF(G457&lt;0,(G457-E457)/G457,IF(E457&lt;0,-1+(G457-E457)/E457,IF(I457="Decreciente",1+(E457-G457)/E457,G457/E457))))),"N/A")</f>
        <v>1.2592878063819948</v>
      </c>
      <c r="K457" s="517">
        <f t="shared" ref="K457" si="196">+IF(J457&lt;0,0%,IF(J457&gt;120%,120%,J457))</f>
        <v>1.2</v>
      </c>
      <c r="L457" s="483" t="str">
        <f t="shared" si="110"/>
        <v>Sobresaliente</v>
      </c>
    </row>
    <row r="458" spans="1:12" x14ac:dyDescent="0.25">
      <c r="A458" s="482" t="s">
        <v>360</v>
      </c>
      <c r="B458" s="476">
        <v>44681</v>
      </c>
      <c r="C458" s="285" t="s">
        <v>366</v>
      </c>
      <c r="D458" s="285" t="s">
        <v>110</v>
      </c>
      <c r="E458" s="287">
        <v>4.6500000000000004</v>
      </c>
      <c r="F458" s="535">
        <f>+E458</f>
        <v>4.6500000000000004</v>
      </c>
      <c r="G458" s="287">
        <v>4.67</v>
      </c>
      <c r="H458" s="538">
        <f>+G458</f>
        <v>4.67</v>
      </c>
      <c r="I458" s="487" t="s">
        <v>114</v>
      </c>
      <c r="J458" s="80">
        <f t="shared" ref="J458" si="197">+IFERROR(IF(I458="Creciente",IF(AND(G458&lt;0,E458&lt;0),1-(G458-E458)/E458,IF(G458&lt;0,G458/E458,IF(E458&lt;0,1+((G458-E458)/G458),G458/E458))),IF(AND(G458&lt;0,E458&lt;0),(E458*-1)/(G458*-1),IF(G458&lt;0,(G458-E458)/G458,IF(E458&lt;0,-1+(G458-E458)/E458,IF(I458="Decreciente",1+(E458-G458)/E458,G458/E458))))),"N/A")</f>
        <v>1.0043010752688171</v>
      </c>
      <c r="K458" s="517">
        <f t="shared" ref="K458" si="198">+IF(J458&lt;0,0%,IF(J458&gt;120%,120%,J458))</f>
        <v>1.0043010752688171</v>
      </c>
      <c r="L458" s="483" t="str">
        <f t="shared" si="110"/>
        <v>Sobresaliente</v>
      </c>
    </row>
    <row r="459" spans="1:12" x14ac:dyDescent="0.25">
      <c r="A459" s="482" t="s">
        <v>361</v>
      </c>
      <c r="B459" s="476">
        <v>44681</v>
      </c>
      <c r="C459" s="285" t="s">
        <v>366</v>
      </c>
      <c r="D459" s="285" t="s">
        <v>110</v>
      </c>
      <c r="E459" s="494">
        <v>0.54</v>
      </c>
      <c r="F459" s="534">
        <f t="shared" ref="F459" si="199">+E459*100</f>
        <v>54</v>
      </c>
      <c r="G459" s="497">
        <v>0.7097</v>
      </c>
      <c r="H459" s="538">
        <f t="shared" ref="H459" si="200">+G459*100</f>
        <v>70.97</v>
      </c>
      <c r="I459" s="487" t="s">
        <v>114</v>
      </c>
      <c r="J459" s="80">
        <f t="shared" ref="J459" si="201">+IFERROR(IF(I459="Creciente",IF(AND(G459&lt;0,E459&lt;0),1-(G459-E459)/E459,IF(G459&lt;0,G459/E459,IF(E459&lt;0,1+((G459-E459)/G459),G459/E459))),IF(AND(G459&lt;0,E459&lt;0),(E459*-1)/(G459*-1),IF(G459&lt;0,(G459-E459)/G459,IF(E459&lt;0,-1+(G459-E459)/E459,IF(I459="Decreciente",1+(E459-G459)/E459,G459/E459))))),"N/A")</f>
        <v>1.3142592592592592</v>
      </c>
      <c r="K459" s="517">
        <f t="shared" ref="K459" si="202">+IF(J459&lt;0,0%,IF(J459&gt;120%,120%,J459))</f>
        <v>1.2</v>
      </c>
      <c r="L459" s="483" t="str">
        <f t="shared" si="110"/>
        <v>Sobresaliente</v>
      </c>
    </row>
    <row r="460" spans="1:12" x14ac:dyDescent="0.25">
      <c r="A460" s="482" t="s">
        <v>362</v>
      </c>
      <c r="B460" s="476">
        <v>44681</v>
      </c>
      <c r="C460" s="285" t="s">
        <v>366</v>
      </c>
      <c r="D460" s="285" t="s">
        <v>110</v>
      </c>
      <c r="E460" s="494">
        <v>0.5403</v>
      </c>
      <c r="F460" s="534">
        <f t="shared" ref="F460" si="203">+E460*100</f>
        <v>54.03</v>
      </c>
      <c r="G460" s="494">
        <v>1.0178</v>
      </c>
      <c r="H460" s="537">
        <f t="shared" ref="H460" si="204">+G460*100</f>
        <v>101.78</v>
      </c>
      <c r="I460" s="487" t="s">
        <v>114</v>
      </c>
      <c r="J460" s="80">
        <f t="shared" ref="J460" si="205">+IFERROR(IF(I460="Creciente",IF(AND(G460&lt;0,E460&lt;0),1-(G460-E460)/E460,IF(G460&lt;0,G460/E460,IF(E460&lt;0,1+((G460-E460)/G460),G460/E460))),IF(AND(G460&lt;0,E460&lt;0),(E460*-1)/(G460*-1),IF(G460&lt;0,(G460-E460)/G460,IF(E460&lt;0,-1+(G460-E460)/E460,IF(I460="Decreciente",1+(E460-G460)/E460,G460/E460))))),"N/A")</f>
        <v>1.8837682768832131</v>
      </c>
      <c r="K460" s="517">
        <f t="shared" ref="K460" si="206">+IF(J460&lt;0,0%,IF(J460&gt;120%,120%,J460))</f>
        <v>1.2</v>
      </c>
      <c r="L460" s="483" t="str">
        <f t="shared" si="110"/>
        <v>Sobresaliente</v>
      </c>
    </row>
    <row r="461" spans="1:12" x14ac:dyDescent="0.25">
      <c r="A461" s="482" t="s">
        <v>424</v>
      </c>
      <c r="B461" s="476">
        <v>44681</v>
      </c>
      <c r="C461" s="285" t="s">
        <v>366</v>
      </c>
      <c r="D461" s="285" t="s">
        <v>110</v>
      </c>
      <c r="E461" s="494">
        <v>0.28389999999999999</v>
      </c>
      <c r="F461" s="534">
        <f t="shared" ref="F461" si="207">+E461*100</f>
        <v>28.389999999999997</v>
      </c>
      <c r="G461" s="494">
        <v>0.28710000000000002</v>
      </c>
      <c r="H461" s="537">
        <f t="shared" ref="H461" si="208">+G461*100</f>
        <v>28.71</v>
      </c>
      <c r="I461" s="487" t="s">
        <v>114</v>
      </c>
      <c r="J461" s="80">
        <f t="shared" ref="J461" si="209">+IFERROR(IF(I461="Creciente",IF(AND(G461&lt;0,E461&lt;0),1-(G461-E461)/E461,IF(G461&lt;0,G461/E461,IF(E461&lt;0,1+((G461-E461)/G461),G461/E461))),IF(AND(G461&lt;0,E461&lt;0),(E461*-1)/(G461*-1),IF(G461&lt;0,(G461-E461)/G461,IF(E461&lt;0,-1+(G461-E461)/E461,IF(I461="Decreciente",1+(E461-G461)/E461,G461/E461))))),"N/A")</f>
        <v>1.0112715744980629</v>
      </c>
      <c r="K461" s="517">
        <f t="shared" ref="K461" si="210">+IF(J461&lt;0,0%,IF(J461&gt;120%,120%,J461))</f>
        <v>1.0112715744980629</v>
      </c>
      <c r="L461" s="483" t="str">
        <f t="shared" si="110"/>
        <v>Sobresaliente</v>
      </c>
    </row>
    <row r="462" spans="1:12" x14ac:dyDescent="0.25">
      <c r="A462" s="482" t="s">
        <v>423</v>
      </c>
      <c r="B462" s="476">
        <v>44681</v>
      </c>
      <c r="C462" s="285" t="s">
        <v>111</v>
      </c>
      <c r="D462" s="285" t="s">
        <v>110</v>
      </c>
      <c r="E462" s="494">
        <v>0.43180000000000002</v>
      </c>
      <c r="F462" s="534">
        <f t="shared" ref="F462" si="211">+E462*100</f>
        <v>43.18</v>
      </c>
      <c r="G462" s="494">
        <v>0.71330000000000005</v>
      </c>
      <c r="H462" s="537">
        <f t="shared" ref="H462" si="212">+G462*100</f>
        <v>71.33</v>
      </c>
      <c r="I462" s="487" t="s">
        <v>114</v>
      </c>
      <c r="J462" s="80">
        <f t="shared" ref="J462" si="213">+IFERROR(IF(I462="Creciente",IF(AND(G462&lt;0,E462&lt;0),1-(G462-E462)/E462,IF(G462&lt;0,G462/E462,IF(E462&lt;0,1+((G462-E462)/G462),G462/E462))),IF(AND(G462&lt;0,E462&lt;0),(E462*-1)/(G462*-1),IF(G462&lt;0,(G462-E462)/G462,IF(E462&lt;0,-1+(G462-E462)/E462,IF(I462="Decreciente",1+(E462-G462)/E462,G462/E462))))),"N/A")</f>
        <v>1.6519221861973137</v>
      </c>
      <c r="K462" s="517">
        <f t="shared" ref="K462" si="214">+IF(J462&lt;0,0%,IF(J462&gt;120%,120%,J462))</f>
        <v>1.2</v>
      </c>
      <c r="L462" s="483" t="str">
        <f t="shared" si="110"/>
        <v>Sobresaliente</v>
      </c>
    </row>
    <row r="463" spans="1:12" x14ac:dyDescent="0.25">
      <c r="A463" s="482" t="s">
        <v>357</v>
      </c>
      <c r="B463" s="476">
        <v>44681</v>
      </c>
      <c r="C463" s="285" t="s">
        <v>111</v>
      </c>
      <c r="D463" s="285" t="s">
        <v>110</v>
      </c>
      <c r="E463" s="494">
        <v>-3.9399999999999998E-2</v>
      </c>
      <c r="F463" s="534">
        <f t="shared" ref="F463" si="215">+E463*100</f>
        <v>-3.94</v>
      </c>
      <c r="G463" s="494">
        <v>0.1321</v>
      </c>
      <c r="H463" s="537">
        <f t="shared" ref="H463" si="216">+G463*100</f>
        <v>13.209999999999999</v>
      </c>
      <c r="I463" s="487" t="s">
        <v>114</v>
      </c>
      <c r="J463" s="80">
        <f t="shared" ref="J463" si="217">+IFERROR(IF(I463="Creciente",IF(AND(G463&lt;0,E463&lt;0),1-(G463-E463)/E463,IF(G463&lt;0,G463/E463,IF(E463&lt;0,1+((G463-E463)/G463),G463/E463))),IF(AND(G463&lt;0,E463&lt;0),(E463*-1)/(G463*-1),IF(G463&lt;0,(G463-E463)/G463,IF(E463&lt;0,-1+(G463-E463)/E463,IF(I463="Decreciente",1+(E463-G463)/E463,G463/E463))))),"N/A")</f>
        <v>2.2982588947766844</v>
      </c>
      <c r="K463" s="517">
        <f t="shared" ref="K463" si="218">+IF(J463&lt;0,0%,IF(J463&gt;120%,120%,J463))</f>
        <v>1.2</v>
      </c>
      <c r="L463" s="483" t="str">
        <f t="shared" si="110"/>
        <v>Sobresaliente</v>
      </c>
    </row>
    <row r="464" spans="1:12" x14ac:dyDescent="0.25">
      <c r="A464" s="482" t="s">
        <v>415</v>
      </c>
      <c r="B464" s="476">
        <v>44681</v>
      </c>
      <c r="C464" s="285" t="s">
        <v>111</v>
      </c>
      <c r="D464" s="285" t="s">
        <v>110</v>
      </c>
      <c r="E464" s="494">
        <v>1</v>
      </c>
      <c r="F464" s="534">
        <f t="shared" ref="F464" si="219">+E464*100</f>
        <v>100</v>
      </c>
      <c r="G464" s="494">
        <v>0.75729999999999997</v>
      </c>
      <c r="H464" s="537">
        <f t="shared" ref="H464" si="220">+G464*100</f>
        <v>75.73</v>
      </c>
      <c r="I464" s="487" t="s">
        <v>116</v>
      </c>
      <c r="J464" s="80">
        <f t="shared" ref="J464" si="221">+IFERROR(IF(I464="Creciente",IF(AND(G464&lt;0,E464&lt;0),1-(G464-E464)/E464,IF(G464&lt;0,G464/E464,IF(E464&lt;0,1+((G464-E464)/G464),G464/E464))),IF(AND(G464&lt;0,E464&lt;0),(E464*-1)/(G464*-1),IF(G464&lt;0,(G464-E464)/G464,IF(E464&lt;0,-1+(G464-E464)/E464,IF(I464="Decreciente",1+(E464-G464)/E464,G464/E464))))),"N/A")</f>
        <v>1.2427000000000001</v>
      </c>
      <c r="K464" s="517">
        <f t="shared" ref="K464" si="222">+IF(J464&lt;0,0%,IF(J464&gt;120%,120%,J464))</f>
        <v>1.2</v>
      </c>
      <c r="L464" s="483" t="str">
        <f t="shared" si="110"/>
        <v>Sobresaliente</v>
      </c>
    </row>
    <row r="465" spans="1:12" x14ac:dyDescent="0.25">
      <c r="A465" s="482" t="s">
        <v>423</v>
      </c>
      <c r="B465" s="476">
        <v>44681</v>
      </c>
      <c r="C465" s="285" t="s">
        <v>367</v>
      </c>
      <c r="D465" s="285" t="s">
        <v>110</v>
      </c>
      <c r="E465" s="283">
        <v>0.53010000000000002</v>
      </c>
      <c r="F465" s="534">
        <f t="shared" ref="F465" si="223">+E465*100</f>
        <v>53.010000000000005</v>
      </c>
      <c r="G465" s="494">
        <v>0.91390000000000005</v>
      </c>
      <c r="H465" s="537">
        <f t="shared" ref="H465" si="224">+G465*100</f>
        <v>91.39</v>
      </c>
      <c r="I465" s="487" t="s">
        <v>114</v>
      </c>
      <c r="J465" s="80">
        <f t="shared" ref="J465" si="225">+IFERROR(IF(I465="Creciente",IF(AND(G465&lt;0,E465&lt;0),1-(G465-E465)/E465,IF(G465&lt;0,G465/E465,IF(E465&lt;0,1+((G465-E465)/G465),G465/E465))),IF(AND(G465&lt;0,E465&lt;0),(E465*-1)/(G465*-1),IF(G465&lt;0,(G465-E465)/G465,IF(E465&lt;0,-1+(G465-E465)/E465,IF(I465="Decreciente",1+(E465-G465)/E465,G465/E465))))),"N/A")</f>
        <v>1.7240143369175627</v>
      </c>
      <c r="K465" s="517">
        <f t="shared" ref="K465" si="226">+IF(J465&lt;0,0%,IF(J465&gt;120%,120%,J465))</f>
        <v>1.2</v>
      </c>
      <c r="L465" s="483" t="str">
        <f t="shared" si="110"/>
        <v>Sobresaliente</v>
      </c>
    </row>
    <row r="466" spans="1:12" x14ac:dyDescent="0.25">
      <c r="A466" s="482" t="s">
        <v>415</v>
      </c>
      <c r="B466" s="476">
        <v>44681</v>
      </c>
      <c r="C466" s="285" t="s">
        <v>367</v>
      </c>
      <c r="D466" s="285" t="s">
        <v>110</v>
      </c>
      <c r="E466" s="494">
        <v>1</v>
      </c>
      <c r="F466" s="534">
        <f t="shared" ref="F466" si="227">+E466*100</f>
        <v>100</v>
      </c>
      <c r="G466" s="494">
        <v>0.76439999999999997</v>
      </c>
      <c r="H466" s="537">
        <f t="shared" ref="H466" si="228">+G466*100</f>
        <v>76.44</v>
      </c>
      <c r="I466" s="487" t="s">
        <v>116</v>
      </c>
      <c r="J466" s="80">
        <f t="shared" ref="J466" si="229">+IFERROR(IF(I466="Creciente",IF(AND(G466&lt;0,E466&lt;0),1-(G466-E466)/E466,IF(G466&lt;0,G466/E466,IF(E466&lt;0,1+((G466-E466)/G466),G466/E466))),IF(AND(G466&lt;0,E466&lt;0),(E466*-1)/(G466*-1),IF(G466&lt;0,(G466-E466)/G466,IF(E466&lt;0,-1+(G466-E466)/E466,IF(I466="Decreciente",1+(E466-G466)/E466,G466/E466))))),"N/A")</f>
        <v>1.2356</v>
      </c>
      <c r="K466" s="517">
        <f t="shared" ref="K466" si="230">+IF(J466&lt;0,0%,IF(J466&gt;120%,120%,J466))</f>
        <v>1.2</v>
      </c>
      <c r="L466" s="483" t="str">
        <f t="shared" si="110"/>
        <v>Sobresaliente</v>
      </c>
    </row>
    <row r="467" spans="1:12" x14ac:dyDescent="0.25">
      <c r="A467" s="482" t="s">
        <v>359</v>
      </c>
      <c r="B467" s="476">
        <v>44681</v>
      </c>
      <c r="C467" s="285" t="s">
        <v>367</v>
      </c>
      <c r="D467" s="285" t="s">
        <v>110</v>
      </c>
      <c r="E467" s="494">
        <v>0.24010000000000001</v>
      </c>
      <c r="F467" s="534">
        <f t="shared" ref="F467" si="231">+E467*100</f>
        <v>24.01</v>
      </c>
      <c r="G467" s="494">
        <v>0.16450000000000001</v>
      </c>
      <c r="H467" s="537">
        <f t="shared" ref="H467" si="232">+G467*100</f>
        <v>16.45</v>
      </c>
      <c r="I467" s="487" t="s">
        <v>116</v>
      </c>
      <c r="J467" s="80">
        <f t="shared" ref="J467" si="233">+IFERROR(IF(I467="Creciente",IF(AND(G467&lt;0,E467&lt;0),1-(G467-E467)/E467,IF(G467&lt;0,G467/E467,IF(E467&lt;0,1+((G467-E467)/G467),G467/E467))),IF(AND(G467&lt;0,E467&lt;0),(E467*-1)/(G467*-1),IF(G467&lt;0,(G467-E467)/G467,IF(E467&lt;0,-1+(G467-E467)/E467,IF(I467="Decreciente",1+(E467-G467)/E467,G467/E467))))),"N/A")</f>
        <v>1.314868804664723</v>
      </c>
      <c r="K467" s="517">
        <f t="shared" ref="K467" si="234">+IF(J467&lt;0,0%,IF(J467&gt;120%,120%,J467))</f>
        <v>1.2</v>
      </c>
      <c r="L467" s="483" t="str">
        <f t="shared" si="110"/>
        <v>Sobresaliente</v>
      </c>
    </row>
    <row r="468" spans="1:12" x14ac:dyDescent="0.25">
      <c r="A468" s="482" t="s">
        <v>360</v>
      </c>
      <c r="B468" s="476">
        <v>44681</v>
      </c>
      <c r="C468" s="285" t="s">
        <v>367</v>
      </c>
      <c r="D468" s="285" t="s">
        <v>110</v>
      </c>
      <c r="E468" s="287">
        <v>4.6500000000000004</v>
      </c>
      <c r="F468" s="535">
        <f>+E468</f>
        <v>4.6500000000000004</v>
      </c>
      <c r="G468" s="287">
        <v>4.53</v>
      </c>
      <c r="H468" s="538">
        <f>+G468</f>
        <v>4.53</v>
      </c>
      <c r="I468" s="487" t="s">
        <v>114</v>
      </c>
      <c r="J468" s="80">
        <f t="shared" ref="J468" si="235">+IFERROR(IF(I468="Creciente",IF(AND(G468&lt;0,E468&lt;0),1-(G468-E468)/E468,IF(G468&lt;0,G468/E468,IF(E468&lt;0,1+((G468-E468)/G468),G468/E468))),IF(AND(G468&lt;0,E468&lt;0),(E468*-1)/(G468*-1),IF(G468&lt;0,(G468-E468)/G468,IF(E468&lt;0,-1+(G468-E468)/E468,IF(I468="Decreciente",1+(E468-G468)/E468,G468/E468))))),"N/A")</f>
        <v>0.97419354838709671</v>
      </c>
      <c r="K468" s="517">
        <f t="shared" ref="K468" si="236">+IF(J468&lt;0,0%,IF(J468&gt;120%,120%,J468))</f>
        <v>0.97419354838709671</v>
      </c>
      <c r="L468" s="483" t="str">
        <f t="shared" si="110"/>
        <v>Satisfactorio</v>
      </c>
    </row>
    <row r="469" spans="1:12" x14ac:dyDescent="0.25">
      <c r="A469" s="482" t="s">
        <v>361</v>
      </c>
      <c r="B469" s="476">
        <v>44681</v>
      </c>
      <c r="C469" s="285" t="s">
        <v>367</v>
      </c>
      <c r="D469" s="285" t="s">
        <v>110</v>
      </c>
      <c r="E469" s="497">
        <v>0.54</v>
      </c>
      <c r="F469" s="535">
        <f t="shared" ref="F469" si="237">+E469*100</f>
        <v>54</v>
      </c>
      <c r="G469" s="497">
        <v>0.66069999999999995</v>
      </c>
      <c r="H469" s="538">
        <f t="shared" ref="H469" si="238">+G469*100</f>
        <v>66.069999999999993</v>
      </c>
      <c r="I469" s="487" t="s">
        <v>114</v>
      </c>
      <c r="J469" s="80">
        <f t="shared" ref="J469" si="239">+IFERROR(IF(I469="Creciente",IF(AND(G469&lt;0,E469&lt;0),1-(G469-E469)/E469,IF(G469&lt;0,G469/E469,IF(E469&lt;0,1+((G469-E469)/G469),G469/E469))),IF(AND(G469&lt;0,E469&lt;0),(E469*-1)/(G469*-1),IF(G469&lt;0,(G469-E469)/G469,IF(E469&lt;0,-1+(G469-E469)/E469,IF(I469="Decreciente",1+(E469-G469)/E469,G469/E469))))),"N/A")</f>
        <v>1.2235185185185184</v>
      </c>
      <c r="K469" s="517">
        <f t="shared" ref="K469" si="240">+IF(J469&lt;0,0%,IF(J469&gt;120%,120%,J469))</f>
        <v>1.2</v>
      </c>
      <c r="L469" s="483" t="str">
        <f t="shared" si="110"/>
        <v>Sobresaliente</v>
      </c>
    </row>
    <row r="470" spans="1:12" x14ac:dyDescent="0.25">
      <c r="A470" s="482" t="s">
        <v>362</v>
      </c>
      <c r="B470" s="476">
        <v>44681</v>
      </c>
      <c r="C470" s="285" t="s">
        <v>367</v>
      </c>
      <c r="D470" s="285" t="s">
        <v>110</v>
      </c>
      <c r="E470" s="494">
        <v>0.31769999999999998</v>
      </c>
      <c r="F470" s="534">
        <f t="shared" ref="F470" si="241">+E470*100</f>
        <v>31.77</v>
      </c>
      <c r="G470" s="494">
        <v>0.64419999999999999</v>
      </c>
      <c r="H470" s="537">
        <f t="shared" ref="H470" si="242">+G470*100</f>
        <v>64.42</v>
      </c>
      <c r="I470" s="487" t="s">
        <v>114</v>
      </c>
      <c r="J470" s="80">
        <f t="shared" ref="J470" si="243">+IFERROR(IF(I470="Creciente",IF(AND(G470&lt;0,E470&lt;0),1-(G470-E470)/E470,IF(G470&lt;0,G470/E470,IF(E470&lt;0,1+((G470-E470)/G470),G470/E470))),IF(AND(G470&lt;0,E470&lt;0),(E470*-1)/(G470*-1),IF(G470&lt;0,(G470-E470)/G470,IF(E470&lt;0,-1+(G470-E470)/E470,IF(I470="Decreciente",1+(E470-G470)/E470,G470/E470))))),"N/A")</f>
        <v>2.0276990871891725</v>
      </c>
      <c r="K470" s="517">
        <f t="shared" ref="K470" si="244">+IF(J470&lt;0,0%,IF(J470&gt;120%,120%,J470))</f>
        <v>1.2</v>
      </c>
      <c r="L470" s="483" t="str">
        <f t="shared" si="110"/>
        <v>Sobresaliente</v>
      </c>
    </row>
    <row r="471" spans="1:12" x14ac:dyDescent="0.25">
      <c r="A471" s="482" t="s">
        <v>424</v>
      </c>
      <c r="B471" s="476">
        <v>44681</v>
      </c>
      <c r="C471" s="285" t="s">
        <v>367</v>
      </c>
      <c r="D471" s="285" t="s">
        <v>110</v>
      </c>
      <c r="E471" s="494">
        <v>8.5800000000000001E-2</v>
      </c>
      <c r="F471" s="534">
        <f t="shared" ref="F471" si="245">+E471*100</f>
        <v>8.58</v>
      </c>
      <c r="G471" s="494">
        <v>0.14749999999999999</v>
      </c>
      <c r="H471" s="537">
        <f t="shared" ref="H471" si="246">+G471*100</f>
        <v>14.75</v>
      </c>
      <c r="I471" s="487" t="s">
        <v>114</v>
      </c>
      <c r="J471" s="80">
        <f t="shared" ref="J471" si="247">+IFERROR(IF(I471="Creciente",IF(AND(G471&lt;0,E471&lt;0),1-(G471-E471)/E471,IF(G471&lt;0,G471/E471,IF(E471&lt;0,1+((G471-E471)/G471),G471/E471))),IF(AND(G471&lt;0,E471&lt;0),(E471*-1)/(G471*-1),IF(G471&lt;0,(G471-E471)/G471,IF(E471&lt;0,-1+(G471-E471)/E471,IF(I471="Decreciente",1+(E471-G471)/E471,G471/E471))))),"N/A")</f>
        <v>1.719114219114219</v>
      </c>
      <c r="K471" s="517">
        <f t="shared" ref="K471" si="248">+IF(J471&lt;0,0%,IF(J471&gt;120%,120%,J471))</f>
        <v>1.2</v>
      </c>
      <c r="L471" s="483" t="str">
        <f t="shared" si="110"/>
        <v>Sobresaliente</v>
      </c>
    </row>
    <row r="472" spans="1:12" x14ac:dyDescent="0.25">
      <c r="A472" s="482" t="s">
        <v>423</v>
      </c>
      <c r="B472" s="476">
        <v>44681</v>
      </c>
      <c r="C472" s="285" t="s">
        <v>368</v>
      </c>
      <c r="D472" s="285" t="s">
        <v>369</v>
      </c>
      <c r="E472" s="494">
        <v>0.82730000000000004</v>
      </c>
      <c r="F472" s="534">
        <f t="shared" ref="F472" si="249">+E472*100</f>
        <v>82.73</v>
      </c>
      <c r="G472" s="494">
        <v>1.5137</v>
      </c>
      <c r="H472" s="537">
        <f t="shared" ref="H472" si="250">+G472*100</f>
        <v>151.37</v>
      </c>
      <c r="I472" s="487" t="s">
        <v>114</v>
      </c>
      <c r="J472" s="80">
        <f t="shared" ref="J472" si="251">+IFERROR(IF(I472="Creciente",IF(AND(G472&lt;0,E472&lt;0),1-(G472-E472)/E472,IF(G472&lt;0,G472/E472,IF(E472&lt;0,1+((G472-E472)/G472),G472/E472))),IF(AND(G472&lt;0,E472&lt;0),(E472*-1)/(G472*-1),IF(G472&lt;0,(G472-E472)/G472,IF(E472&lt;0,-1+(G472-E472)/E472,IF(I472="Decreciente",1+(E472-G472)/E472,G472/E472))))),"N/A")</f>
        <v>1.8296869333978001</v>
      </c>
      <c r="K472" s="517">
        <f t="shared" ref="K472" si="252">+IF(J472&lt;0,0%,IF(J472&gt;120%,120%,J472))</f>
        <v>1.2</v>
      </c>
      <c r="L472" s="483" t="str">
        <f t="shared" si="110"/>
        <v>Sobresaliente</v>
      </c>
    </row>
    <row r="473" spans="1:12" x14ac:dyDescent="0.25">
      <c r="A473" s="482" t="s">
        <v>415</v>
      </c>
      <c r="B473" s="476">
        <v>44681</v>
      </c>
      <c r="C473" s="285" t="s">
        <v>368</v>
      </c>
      <c r="D473" s="285" t="s">
        <v>369</v>
      </c>
      <c r="E473" s="494">
        <v>1</v>
      </c>
      <c r="F473" s="534">
        <f t="shared" ref="F473" si="253">+E473*100</f>
        <v>100</v>
      </c>
      <c r="G473" s="494">
        <v>0.90269999999999995</v>
      </c>
      <c r="H473" s="537">
        <f t="shared" ref="H473" si="254">+G473*100</f>
        <v>90.27</v>
      </c>
      <c r="I473" s="487" t="s">
        <v>116</v>
      </c>
      <c r="J473" s="80">
        <f t="shared" ref="J473" si="255">+IFERROR(IF(I473="Creciente",IF(AND(G473&lt;0,E473&lt;0),1-(G473-E473)/E473,IF(G473&lt;0,G473/E473,IF(E473&lt;0,1+((G473-E473)/G473),G473/E473))),IF(AND(G473&lt;0,E473&lt;0),(E473*-1)/(G473*-1),IF(G473&lt;0,(G473-E473)/G473,IF(E473&lt;0,-1+(G473-E473)/E473,IF(I473="Decreciente",1+(E473-G473)/E473,G473/E473))))),"N/A")</f>
        <v>1.0973000000000002</v>
      </c>
      <c r="K473" s="517">
        <f t="shared" ref="K473" si="256">+IF(J473&lt;0,0%,IF(J473&gt;120%,120%,J473))</f>
        <v>1.0973000000000002</v>
      </c>
      <c r="L473" s="483" t="str">
        <f t="shared" si="110"/>
        <v>Sobresaliente</v>
      </c>
    </row>
    <row r="474" spans="1:12" x14ac:dyDescent="0.25">
      <c r="A474" s="482" t="s">
        <v>359</v>
      </c>
      <c r="B474" s="476">
        <v>44681</v>
      </c>
      <c r="C474" s="285" t="s">
        <v>368</v>
      </c>
      <c r="D474" s="285" t="s">
        <v>369</v>
      </c>
      <c r="E474" s="494">
        <v>0.16450000000000001</v>
      </c>
      <c r="F474" s="534">
        <f t="shared" ref="F474" si="257">+E474*100</f>
        <v>16.45</v>
      </c>
      <c r="G474" s="494">
        <v>6.3100000000000003E-2</v>
      </c>
      <c r="H474" s="537">
        <f t="shared" ref="H474" si="258">+G474*100</f>
        <v>6.3100000000000005</v>
      </c>
      <c r="I474" s="487" t="s">
        <v>116</v>
      </c>
      <c r="J474" s="80">
        <f t="shared" ref="J474" si="259">+IFERROR(IF(I474="Creciente",IF(AND(G474&lt;0,E474&lt;0),1-(G474-E474)/E474,IF(G474&lt;0,G474/E474,IF(E474&lt;0,1+((G474-E474)/G474),G474/E474))),IF(AND(G474&lt;0,E474&lt;0),(E474*-1)/(G474*-1),IF(G474&lt;0,(G474-E474)/G474,IF(E474&lt;0,-1+(G474-E474)/E474,IF(I474="Decreciente",1+(E474-G474)/E474,G474/E474))))),"N/A")</f>
        <v>1.6164133738601825</v>
      </c>
      <c r="K474" s="517">
        <f t="shared" ref="K474" si="260">+IF(J474&lt;0,0%,IF(J474&gt;120%,120%,J474))</f>
        <v>1.2</v>
      </c>
      <c r="L474" s="483" t="str">
        <f t="shared" si="110"/>
        <v>Sobresaliente</v>
      </c>
    </row>
    <row r="475" spans="1:12" x14ac:dyDescent="0.25">
      <c r="A475" s="482" t="s">
        <v>360</v>
      </c>
      <c r="B475" s="476">
        <v>44681</v>
      </c>
      <c r="C475" s="285" t="s">
        <v>368</v>
      </c>
      <c r="D475" s="285" t="s">
        <v>369</v>
      </c>
      <c r="E475" s="287">
        <v>4.6500000000000004</v>
      </c>
      <c r="F475" s="535">
        <f>+E475</f>
        <v>4.6500000000000004</v>
      </c>
      <c r="G475" s="287">
        <v>4.7699999999999996</v>
      </c>
      <c r="H475" s="538">
        <f>+G475</f>
        <v>4.7699999999999996</v>
      </c>
      <c r="I475" s="487" t="s">
        <v>114</v>
      </c>
      <c r="J475" s="80">
        <f t="shared" ref="J475" si="261">+IFERROR(IF(I475="Creciente",IF(AND(G475&lt;0,E475&lt;0),1-(G475-E475)/E475,IF(G475&lt;0,G475/E475,IF(E475&lt;0,1+((G475-E475)/G475),G475/E475))),IF(AND(G475&lt;0,E475&lt;0),(E475*-1)/(G475*-1),IF(G475&lt;0,(G475-E475)/G475,IF(E475&lt;0,-1+(G475-E475)/E475,IF(I475="Decreciente",1+(E475-G475)/E475,G475/E475))))),"N/A")</f>
        <v>1.0258064516129031</v>
      </c>
      <c r="K475" s="517">
        <f t="shared" ref="K475" si="262">+IF(J475&lt;0,0%,IF(J475&gt;120%,120%,J475))</f>
        <v>1.0258064516129031</v>
      </c>
      <c r="L475" s="483" t="str">
        <f t="shared" si="110"/>
        <v>Sobresaliente</v>
      </c>
    </row>
    <row r="476" spans="1:12" x14ac:dyDescent="0.25">
      <c r="A476" s="482" t="s">
        <v>361</v>
      </c>
      <c r="B476" s="476">
        <v>44681</v>
      </c>
      <c r="C476" s="285" t="s">
        <v>368</v>
      </c>
      <c r="D476" s="285" t="s">
        <v>369</v>
      </c>
      <c r="E476" s="494">
        <v>0.54</v>
      </c>
      <c r="F476" s="534">
        <f t="shared" ref="F476:F481" si="263">+E476*100</f>
        <v>54</v>
      </c>
      <c r="G476" s="494">
        <v>0.72909999999999997</v>
      </c>
      <c r="H476" s="537">
        <f t="shared" ref="H476:H481" si="264">+G476*100</f>
        <v>72.91</v>
      </c>
      <c r="I476" s="487" t="s">
        <v>114</v>
      </c>
      <c r="J476" s="80">
        <f t="shared" ref="J476:J539" si="265">+IFERROR(IF(I476="Creciente",IF(AND(G476&lt;0,E476&lt;0),1-(G476-E476)/E476,IF(G476&lt;0,G476/E476,IF(E476&lt;0,1+((G476-E476)/G476),G476/E476))),IF(AND(G476&lt;0,E476&lt;0),(E476*-1)/(G476*-1),IF(G476&lt;0,(G476-E476)/G476,IF(E476&lt;0,-1+(G476-E476)/E476,IF(I476="Decreciente",1+(E476-G476)/E476,G476/E476))))),"N/A")</f>
        <v>1.3501851851851849</v>
      </c>
      <c r="K476" s="517">
        <f t="shared" ref="K476:K539" si="266">+IF(J476&lt;0,0%,IF(J476&gt;120%,120%,J476))</f>
        <v>1.2</v>
      </c>
      <c r="L476" s="483" t="str">
        <f t="shared" ref="L476:L539" si="267">+IF(J476&lt;79.99999%,"Incumple",IF(AND(J476&gt;=80%,J476&lt;94.999999%),"Tolerable",IF(AND(J476&gt;=95%,J476&lt;100%),"Satisfactorio","Sobresaliente")))</f>
        <v>Sobresaliente</v>
      </c>
    </row>
    <row r="477" spans="1:12" x14ac:dyDescent="0.25">
      <c r="A477" s="482" t="s">
        <v>362</v>
      </c>
      <c r="B477" s="476">
        <v>44681</v>
      </c>
      <c r="C477" s="285" t="s">
        <v>368</v>
      </c>
      <c r="D477" s="285" t="s">
        <v>369</v>
      </c>
      <c r="E477" s="494">
        <v>0.81100000000000005</v>
      </c>
      <c r="F477" s="534">
        <f t="shared" si="263"/>
        <v>81.100000000000009</v>
      </c>
      <c r="G477" s="494">
        <v>1.0136000000000001</v>
      </c>
      <c r="H477" s="537">
        <f t="shared" si="264"/>
        <v>101.36</v>
      </c>
      <c r="I477" s="487" t="s">
        <v>114</v>
      </c>
      <c r="J477" s="80">
        <f t="shared" si="265"/>
        <v>1.2498150431565969</v>
      </c>
      <c r="K477" s="517">
        <f t="shared" si="266"/>
        <v>1.2</v>
      </c>
      <c r="L477" s="483" t="str">
        <f t="shared" si="267"/>
        <v>Sobresaliente</v>
      </c>
    </row>
    <row r="478" spans="1:12" x14ac:dyDescent="0.25">
      <c r="A478" s="482" t="s">
        <v>424</v>
      </c>
      <c r="B478" s="476">
        <v>44681</v>
      </c>
      <c r="C478" s="285" t="s">
        <v>368</v>
      </c>
      <c r="D478" s="285" t="s">
        <v>369</v>
      </c>
      <c r="E478" s="494">
        <v>0.18729999999999999</v>
      </c>
      <c r="F478" s="534">
        <f t="shared" si="263"/>
        <v>18.73</v>
      </c>
      <c r="G478" s="494">
        <v>0.3236</v>
      </c>
      <c r="H478" s="537">
        <f t="shared" si="264"/>
        <v>32.36</v>
      </c>
      <c r="I478" s="487" t="s">
        <v>114</v>
      </c>
      <c r="J478" s="80">
        <f t="shared" si="265"/>
        <v>1.7277095568606513</v>
      </c>
      <c r="K478" s="517">
        <f t="shared" si="266"/>
        <v>1.2</v>
      </c>
      <c r="L478" s="483" t="str">
        <f t="shared" si="267"/>
        <v>Sobresaliente</v>
      </c>
    </row>
    <row r="479" spans="1:12" x14ac:dyDescent="0.25">
      <c r="A479" s="482" t="s">
        <v>423</v>
      </c>
      <c r="B479" s="476">
        <v>44681</v>
      </c>
      <c r="C479" s="285" t="s">
        <v>370</v>
      </c>
      <c r="D479" s="285" t="s">
        <v>369</v>
      </c>
      <c r="E479" s="520">
        <v>0</v>
      </c>
      <c r="F479" s="536">
        <f t="shared" si="263"/>
        <v>0</v>
      </c>
      <c r="G479" s="494">
        <v>0</v>
      </c>
      <c r="H479" s="534">
        <f t="shared" si="264"/>
        <v>0</v>
      </c>
      <c r="I479" s="285" t="s">
        <v>114</v>
      </c>
      <c r="J479" s="80" t="str">
        <f t="shared" si="265"/>
        <v>N/A</v>
      </c>
      <c r="K479" s="517">
        <f t="shared" si="266"/>
        <v>1.2</v>
      </c>
      <c r="L479" s="483" t="str">
        <f t="shared" si="267"/>
        <v>Sobresaliente</v>
      </c>
    </row>
    <row r="480" spans="1:12" x14ac:dyDescent="0.25">
      <c r="A480" s="482" t="s">
        <v>415</v>
      </c>
      <c r="B480" s="476">
        <v>44681</v>
      </c>
      <c r="C480" s="285" t="s">
        <v>370</v>
      </c>
      <c r="D480" s="285" t="s">
        <v>369</v>
      </c>
      <c r="E480" s="494">
        <v>0</v>
      </c>
      <c r="F480" s="534">
        <f t="shared" si="263"/>
        <v>0</v>
      </c>
      <c r="G480" s="494">
        <v>0</v>
      </c>
      <c r="H480" s="537">
        <f t="shared" si="264"/>
        <v>0</v>
      </c>
      <c r="I480" s="487" t="s">
        <v>116</v>
      </c>
      <c r="J480" s="80" t="str">
        <f t="shared" si="265"/>
        <v>N/A</v>
      </c>
      <c r="K480" s="517">
        <f t="shared" si="266"/>
        <v>1.2</v>
      </c>
      <c r="L480" s="483" t="str">
        <f t="shared" si="267"/>
        <v>Sobresaliente</v>
      </c>
    </row>
    <row r="481" spans="1:12" x14ac:dyDescent="0.25">
      <c r="A481" s="482" t="s">
        <v>359</v>
      </c>
      <c r="B481" s="476">
        <v>44681</v>
      </c>
      <c r="C481" s="285" t="s">
        <v>370</v>
      </c>
      <c r="D481" s="285" t="s">
        <v>369</v>
      </c>
      <c r="E481" s="519">
        <v>0</v>
      </c>
      <c r="F481" s="536">
        <f t="shared" si="263"/>
        <v>0</v>
      </c>
      <c r="G481" s="494">
        <v>0</v>
      </c>
      <c r="H481" s="537">
        <f t="shared" si="264"/>
        <v>0</v>
      </c>
      <c r="I481" s="487" t="s">
        <v>116</v>
      </c>
      <c r="J481" s="80" t="str">
        <f t="shared" si="265"/>
        <v>N/A</v>
      </c>
      <c r="K481" s="517">
        <f t="shared" si="266"/>
        <v>1.2</v>
      </c>
      <c r="L481" s="483" t="str">
        <f t="shared" si="267"/>
        <v>Sobresaliente</v>
      </c>
    </row>
    <row r="482" spans="1:12" x14ac:dyDescent="0.25">
      <c r="A482" s="482" t="s">
        <v>360</v>
      </c>
      <c r="B482" s="476">
        <v>44681</v>
      </c>
      <c r="C482" s="285" t="s">
        <v>370</v>
      </c>
      <c r="D482" s="285" t="s">
        <v>369</v>
      </c>
      <c r="E482" s="287">
        <v>0</v>
      </c>
      <c r="F482" s="535">
        <f>+E482</f>
        <v>0</v>
      </c>
      <c r="G482" s="494">
        <v>0</v>
      </c>
      <c r="H482" s="538">
        <f>+G482</f>
        <v>0</v>
      </c>
      <c r="I482" s="487" t="s">
        <v>114</v>
      </c>
      <c r="J482" s="80" t="str">
        <f t="shared" si="265"/>
        <v>N/A</v>
      </c>
      <c r="K482" s="517">
        <f t="shared" si="266"/>
        <v>1.2</v>
      </c>
      <c r="L482" s="483" t="str">
        <f t="shared" si="267"/>
        <v>Sobresaliente</v>
      </c>
    </row>
    <row r="483" spans="1:12" x14ac:dyDescent="0.25">
      <c r="A483" s="482" t="s">
        <v>361</v>
      </c>
      <c r="B483" s="476">
        <v>44681</v>
      </c>
      <c r="C483" s="285" t="s">
        <v>370</v>
      </c>
      <c r="D483" s="285" t="s">
        <v>369</v>
      </c>
      <c r="E483" s="494">
        <v>0</v>
      </c>
      <c r="F483" s="534">
        <f t="shared" ref="F483:F488" si="268">+E483*100</f>
        <v>0</v>
      </c>
      <c r="G483" s="494">
        <v>0</v>
      </c>
      <c r="H483" s="537">
        <f t="shared" ref="H483:H488" si="269">+G483*100</f>
        <v>0</v>
      </c>
      <c r="I483" s="487" t="s">
        <v>114</v>
      </c>
      <c r="J483" s="80" t="str">
        <f t="shared" si="265"/>
        <v>N/A</v>
      </c>
      <c r="K483" s="517">
        <f t="shared" si="266"/>
        <v>1.2</v>
      </c>
      <c r="L483" s="483" t="str">
        <f t="shared" si="267"/>
        <v>Sobresaliente</v>
      </c>
    </row>
    <row r="484" spans="1:12" x14ac:dyDescent="0.25">
      <c r="A484" s="482" t="s">
        <v>362</v>
      </c>
      <c r="B484" s="476">
        <v>44681</v>
      </c>
      <c r="C484" s="285" t="s">
        <v>370</v>
      </c>
      <c r="D484" s="285" t="s">
        <v>369</v>
      </c>
      <c r="E484" s="494">
        <v>0</v>
      </c>
      <c r="F484" s="534">
        <f t="shared" si="268"/>
        <v>0</v>
      </c>
      <c r="G484" s="494">
        <v>0</v>
      </c>
      <c r="H484" s="537">
        <f t="shared" si="269"/>
        <v>0</v>
      </c>
      <c r="I484" s="487" t="s">
        <v>114</v>
      </c>
      <c r="J484" s="80" t="str">
        <f t="shared" si="265"/>
        <v>N/A</v>
      </c>
      <c r="K484" s="517">
        <f t="shared" si="266"/>
        <v>1.2</v>
      </c>
      <c r="L484" s="483" t="str">
        <f t="shared" si="267"/>
        <v>Sobresaliente</v>
      </c>
    </row>
    <row r="485" spans="1:12" x14ac:dyDescent="0.25">
      <c r="A485" s="482" t="s">
        <v>424</v>
      </c>
      <c r="B485" s="476">
        <v>44681</v>
      </c>
      <c r="C485" s="285" t="s">
        <v>370</v>
      </c>
      <c r="D485" s="285" t="s">
        <v>369</v>
      </c>
      <c r="E485" s="519">
        <v>0</v>
      </c>
      <c r="F485" s="536">
        <f t="shared" si="268"/>
        <v>0</v>
      </c>
      <c r="G485" s="494">
        <v>0</v>
      </c>
      <c r="H485" s="534">
        <f t="shared" si="269"/>
        <v>0</v>
      </c>
      <c r="I485" s="285" t="s">
        <v>114</v>
      </c>
      <c r="J485" s="80" t="str">
        <f t="shared" si="265"/>
        <v>N/A</v>
      </c>
      <c r="K485" s="517">
        <f t="shared" si="266"/>
        <v>1.2</v>
      </c>
      <c r="L485" s="483" t="str">
        <f t="shared" si="267"/>
        <v>Sobresaliente</v>
      </c>
    </row>
    <row r="486" spans="1:12" x14ac:dyDescent="0.25">
      <c r="A486" s="482" t="s">
        <v>423</v>
      </c>
      <c r="B486" s="476">
        <v>44681</v>
      </c>
      <c r="C486" s="285" t="s">
        <v>22</v>
      </c>
      <c r="D486" s="285" t="s">
        <v>369</v>
      </c>
      <c r="E486" s="283">
        <v>0.87250000000000005</v>
      </c>
      <c r="F486" s="534">
        <f t="shared" si="268"/>
        <v>87.25</v>
      </c>
      <c r="G486" s="494">
        <v>1.9109</v>
      </c>
      <c r="H486" s="537">
        <f t="shared" si="269"/>
        <v>191.09</v>
      </c>
      <c r="I486" s="487" t="s">
        <v>114</v>
      </c>
      <c r="J486" s="80">
        <f t="shared" si="265"/>
        <v>2.1901432664756446</v>
      </c>
      <c r="K486" s="517">
        <f t="shared" si="266"/>
        <v>1.2</v>
      </c>
      <c r="L486" s="483" t="str">
        <f t="shared" si="267"/>
        <v>Sobresaliente</v>
      </c>
    </row>
    <row r="487" spans="1:12" x14ac:dyDescent="0.25">
      <c r="A487" s="482" t="s">
        <v>415</v>
      </c>
      <c r="B487" s="476">
        <v>44681</v>
      </c>
      <c r="C487" s="285" t="s">
        <v>22</v>
      </c>
      <c r="D487" s="285" t="s">
        <v>369</v>
      </c>
      <c r="E487" s="494">
        <v>1</v>
      </c>
      <c r="F487" s="534">
        <f t="shared" si="268"/>
        <v>100</v>
      </c>
      <c r="G487" s="494">
        <v>0.90959999999999996</v>
      </c>
      <c r="H487" s="537">
        <f t="shared" si="269"/>
        <v>90.96</v>
      </c>
      <c r="I487" s="487" t="s">
        <v>116</v>
      </c>
      <c r="J487" s="80">
        <f t="shared" si="265"/>
        <v>1.0904</v>
      </c>
      <c r="K487" s="517">
        <f t="shared" si="266"/>
        <v>1.0904</v>
      </c>
      <c r="L487" s="483" t="str">
        <f t="shared" si="267"/>
        <v>Sobresaliente</v>
      </c>
    </row>
    <row r="488" spans="1:12" x14ac:dyDescent="0.25">
      <c r="A488" s="482" t="s">
        <v>359</v>
      </c>
      <c r="B488" s="476">
        <v>44681</v>
      </c>
      <c r="C488" s="285" t="s">
        <v>22</v>
      </c>
      <c r="D488" s="285" t="s">
        <v>369</v>
      </c>
      <c r="E488" s="494">
        <v>0.21529999999999999</v>
      </c>
      <c r="F488" s="534">
        <f t="shared" si="268"/>
        <v>21.529999999999998</v>
      </c>
      <c r="G488" s="494">
        <v>0.10299999999999999</v>
      </c>
      <c r="H488" s="537">
        <f t="shared" si="269"/>
        <v>10.299999999999999</v>
      </c>
      <c r="I488" s="487" t="s">
        <v>116</v>
      </c>
      <c r="J488" s="80">
        <f t="shared" si="265"/>
        <v>1.5215977705527171</v>
      </c>
      <c r="K488" s="517">
        <f t="shared" si="266"/>
        <v>1.2</v>
      </c>
      <c r="L488" s="483" t="str">
        <f t="shared" si="267"/>
        <v>Sobresaliente</v>
      </c>
    </row>
    <row r="489" spans="1:12" x14ac:dyDescent="0.25">
      <c r="A489" s="482" t="s">
        <v>360</v>
      </c>
      <c r="B489" s="476">
        <v>44681</v>
      </c>
      <c r="C489" s="285" t="s">
        <v>22</v>
      </c>
      <c r="D489" s="285" t="s">
        <v>369</v>
      </c>
      <c r="E489" s="287">
        <v>4.6500000000000004</v>
      </c>
      <c r="F489" s="535">
        <f>+E489</f>
        <v>4.6500000000000004</v>
      </c>
      <c r="G489" s="287">
        <v>4.75</v>
      </c>
      <c r="H489" s="538">
        <f>+G489</f>
        <v>4.75</v>
      </c>
      <c r="I489" s="285" t="s">
        <v>114</v>
      </c>
      <c r="J489" s="80">
        <f t="shared" si="265"/>
        <v>1.021505376344086</v>
      </c>
      <c r="K489" s="517">
        <f t="shared" si="266"/>
        <v>1.021505376344086</v>
      </c>
      <c r="L489" s="483" t="str">
        <f t="shared" si="267"/>
        <v>Sobresaliente</v>
      </c>
    </row>
    <row r="490" spans="1:12" x14ac:dyDescent="0.25">
      <c r="A490" s="482" t="s">
        <v>361</v>
      </c>
      <c r="B490" s="476">
        <v>44681</v>
      </c>
      <c r="C490" s="285" t="s">
        <v>22</v>
      </c>
      <c r="D490" s="285" t="s">
        <v>369</v>
      </c>
      <c r="E490" s="494">
        <v>0.54</v>
      </c>
      <c r="F490" s="534">
        <f t="shared" ref="F490:F495" si="270">+E490*100</f>
        <v>54</v>
      </c>
      <c r="G490" s="494">
        <v>0.74829999999999997</v>
      </c>
      <c r="H490" s="534">
        <f t="shared" ref="H490:H495" si="271">+G490*100</f>
        <v>74.83</v>
      </c>
      <c r="I490" s="285" t="s">
        <v>114</v>
      </c>
      <c r="J490" s="80">
        <f t="shared" si="265"/>
        <v>1.3857407407407405</v>
      </c>
      <c r="K490" s="517">
        <f t="shared" si="266"/>
        <v>1.2</v>
      </c>
      <c r="L490" s="483" t="str">
        <f t="shared" si="267"/>
        <v>Sobresaliente</v>
      </c>
    </row>
    <row r="491" spans="1:12" x14ac:dyDescent="0.25">
      <c r="A491" s="482" t="s">
        <v>362</v>
      </c>
      <c r="B491" s="476">
        <v>44681</v>
      </c>
      <c r="C491" s="285" t="s">
        <v>22</v>
      </c>
      <c r="D491" s="285" t="s">
        <v>369</v>
      </c>
      <c r="E491" s="494">
        <v>0.9718</v>
      </c>
      <c r="F491" s="534">
        <f t="shared" si="270"/>
        <v>97.18</v>
      </c>
      <c r="G491" s="494">
        <v>1.052</v>
      </c>
      <c r="H491" s="534">
        <f t="shared" si="271"/>
        <v>105.2</v>
      </c>
      <c r="I491" s="285" t="s">
        <v>114</v>
      </c>
      <c r="J491" s="80">
        <f t="shared" si="265"/>
        <v>1.082527268985388</v>
      </c>
      <c r="K491" s="517">
        <f t="shared" si="266"/>
        <v>1.082527268985388</v>
      </c>
      <c r="L491" s="483" t="str">
        <f t="shared" si="267"/>
        <v>Sobresaliente</v>
      </c>
    </row>
    <row r="492" spans="1:12" x14ac:dyDescent="0.25">
      <c r="A492" s="482" t="s">
        <v>424</v>
      </c>
      <c r="B492" s="476">
        <v>44681</v>
      </c>
      <c r="C492" s="285" t="s">
        <v>22</v>
      </c>
      <c r="D492" s="285" t="s">
        <v>369</v>
      </c>
      <c r="E492" s="494">
        <v>0.33310000000000001</v>
      </c>
      <c r="F492" s="534">
        <f t="shared" si="270"/>
        <v>33.31</v>
      </c>
      <c r="G492" s="494">
        <v>0.38159999999999999</v>
      </c>
      <c r="H492" s="534">
        <f t="shared" si="271"/>
        <v>38.159999999999997</v>
      </c>
      <c r="I492" s="285" t="s">
        <v>114</v>
      </c>
      <c r="J492" s="80">
        <f t="shared" si="265"/>
        <v>1.1456019213449413</v>
      </c>
      <c r="K492" s="517">
        <f t="shared" si="266"/>
        <v>1.1456019213449413</v>
      </c>
      <c r="L492" s="483" t="str">
        <f t="shared" si="267"/>
        <v>Sobresaliente</v>
      </c>
    </row>
    <row r="493" spans="1:12" x14ac:dyDescent="0.25">
      <c r="A493" s="482" t="s">
        <v>423</v>
      </c>
      <c r="B493" s="476">
        <v>44681</v>
      </c>
      <c r="C493" s="285" t="s">
        <v>372</v>
      </c>
      <c r="D493" s="285" t="s">
        <v>369</v>
      </c>
      <c r="E493" s="494">
        <v>0.82509999999999994</v>
      </c>
      <c r="F493" s="534">
        <f t="shared" si="270"/>
        <v>82.509999999999991</v>
      </c>
      <c r="G493" s="494">
        <v>0.7006</v>
      </c>
      <c r="H493" s="534">
        <f t="shared" si="271"/>
        <v>70.06</v>
      </c>
      <c r="I493" s="285" t="s">
        <v>114</v>
      </c>
      <c r="J493" s="80">
        <f t="shared" si="265"/>
        <v>0.84910919888498371</v>
      </c>
      <c r="K493" s="517">
        <f t="shared" si="266"/>
        <v>0.84910919888498371</v>
      </c>
      <c r="L493" s="483" t="str">
        <f t="shared" si="267"/>
        <v>Tolerable</v>
      </c>
    </row>
    <row r="494" spans="1:12" x14ac:dyDescent="0.25">
      <c r="A494" s="482" t="s">
        <v>357</v>
      </c>
      <c r="B494" s="476">
        <v>44681</v>
      </c>
      <c r="C494" s="285" t="s">
        <v>372</v>
      </c>
      <c r="D494" s="285" t="s">
        <v>369</v>
      </c>
      <c r="E494" s="494">
        <v>-4.7000000000000002E-3</v>
      </c>
      <c r="F494" s="534">
        <f t="shared" si="270"/>
        <v>-0.47000000000000003</v>
      </c>
      <c r="G494" s="494">
        <v>0.13020000000000001</v>
      </c>
      <c r="H494" s="534">
        <f t="shared" si="271"/>
        <v>13.020000000000001</v>
      </c>
      <c r="I494" s="285" t="s">
        <v>114</v>
      </c>
      <c r="J494" s="80">
        <f t="shared" si="265"/>
        <v>2.0360983102918588</v>
      </c>
      <c r="K494" s="517">
        <f t="shared" si="266"/>
        <v>1.2</v>
      </c>
      <c r="L494" s="483" t="str">
        <f t="shared" si="267"/>
        <v>Sobresaliente</v>
      </c>
    </row>
    <row r="495" spans="1:12" x14ac:dyDescent="0.25">
      <c r="A495" s="482" t="s">
        <v>415</v>
      </c>
      <c r="B495" s="476">
        <v>44681</v>
      </c>
      <c r="C495" s="285" t="s">
        <v>372</v>
      </c>
      <c r="D495" s="285" t="s">
        <v>369</v>
      </c>
      <c r="E495" s="494">
        <v>1</v>
      </c>
      <c r="F495" s="534">
        <f t="shared" si="270"/>
        <v>100</v>
      </c>
      <c r="G495" s="494">
        <v>0.87639999999999996</v>
      </c>
      <c r="H495" s="534">
        <f t="shared" si="271"/>
        <v>87.64</v>
      </c>
      <c r="I495" s="285" t="s">
        <v>116</v>
      </c>
      <c r="J495" s="80">
        <f t="shared" si="265"/>
        <v>1.1236000000000002</v>
      </c>
      <c r="K495" s="517">
        <f t="shared" si="266"/>
        <v>1.1236000000000002</v>
      </c>
      <c r="L495" s="483" t="str">
        <f t="shared" si="267"/>
        <v>Sobresaliente</v>
      </c>
    </row>
    <row r="496" spans="1:12" x14ac:dyDescent="0.25">
      <c r="A496" s="482" t="s">
        <v>360</v>
      </c>
      <c r="B496" s="476">
        <v>44681</v>
      </c>
      <c r="C496" s="285" t="s">
        <v>372</v>
      </c>
      <c r="D496" s="285" t="s">
        <v>369</v>
      </c>
      <c r="E496" s="287">
        <v>4.6500000000000004</v>
      </c>
      <c r="F496" s="535">
        <f>+E496</f>
        <v>4.6500000000000004</v>
      </c>
      <c r="G496" s="287">
        <v>4.79</v>
      </c>
      <c r="H496" s="538">
        <f>+G496</f>
        <v>4.79</v>
      </c>
      <c r="I496" s="285" t="s">
        <v>114</v>
      </c>
      <c r="J496" s="80">
        <f t="shared" si="265"/>
        <v>1.0301075268817204</v>
      </c>
      <c r="K496" s="517">
        <f t="shared" si="266"/>
        <v>1.0301075268817204</v>
      </c>
      <c r="L496" s="483" t="str">
        <f t="shared" si="267"/>
        <v>Sobresaliente</v>
      </c>
    </row>
    <row r="497" spans="1:12" x14ac:dyDescent="0.25">
      <c r="A497" s="482" t="s">
        <v>361</v>
      </c>
      <c r="B497" s="476">
        <v>44681</v>
      </c>
      <c r="C497" s="285" t="s">
        <v>372</v>
      </c>
      <c r="D497" s="285" t="s">
        <v>369</v>
      </c>
      <c r="E497" s="494">
        <v>0.54</v>
      </c>
      <c r="F497" s="534">
        <f t="shared" ref="F497:F502" si="272">+E497*100</f>
        <v>54</v>
      </c>
      <c r="G497" s="494">
        <v>0.71230000000000004</v>
      </c>
      <c r="H497" s="534">
        <f t="shared" ref="H497:H502" si="273">+G497*100</f>
        <v>71.23</v>
      </c>
      <c r="I497" s="285" t="s">
        <v>114</v>
      </c>
      <c r="J497" s="80">
        <f t="shared" si="265"/>
        <v>1.3190740740740741</v>
      </c>
      <c r="K497" s="517">
        <f t="shared" si="266"/>
        <v>1.2</v>
      </c>
      <c r="L497" s="483" t="str">
        <f t="shared" si="267"/>
        <v>Sobresaliente</v>
      </c>
    </row>
    <row r="498" spans="1:12" x14ac:dyDescent="0.25">
      <c r="A498" s="482" t="s">
        <v>362</v>
      </c>
      <c r="B498" s="476">
        <v>44681</v>
      </c>
      <c r="C498" s="285" t="s">
        <v>372</v>
      </c>
      <c r="D498" s="285" t="s">
        <v>369</v>
      </c>
      <c r="E498" s="494">
        <v>0.80359999999999998</v>
      </c>
      <c r="F498" s="534">
        <f t="shared" si="272"/>
        <v>80.36</v>
      </c>
      <c r="G498" s="494">
        <v>1.5837000000000001</v>
      </c>
      <c r="H498" s="534">
        <f t="shared" si="273"/>
        <v>158.37</v>
      </c>
      <c r="I498" s="285" t="s">
        <v>114</v>
      </c>
      <c r="J498" s="80">
        <f t="shared" si="265"/>
        <v>1.9707565953210555</v>
      </c>
      <c r="K498" s="517">
        <f t="shared" si="266"/>
        <v>1.2</v>
      </c>
      <c r="L498" s="483" t="str">
        <f t="shared" si="267"/>
        <v>Sobresaliente</v>
      </c>
    </row>
    <row r="499" spans="1:12" x14ac:dyDescent="0.25">
      <c r="A499" s="482" t="s">
        <v>424</v>
      </c>
      <c r="B499" s="476">
        <v>44681</v>
      </c>
      <c r="C499" s="285" t="s">
        <v>372</v>
      </c>
      <c r="D499" s="285" t="s">
        <v>369</v>
      </c>
      <c r="E499" s="494">
        <v>0.18729999999999999</v>
      </c>
      <c r="F499" s="534">
        <f t="shared" si="272"/>
        <v>18.73</v>
      </c>
      <c r="G499" s="494">
        <v>0.12230000000000001</v>
      </c>
      <c r="H499" s="534">
        <f t="shared" si="273"/>
        <v>12.23</v>
      </c>
      <c r="I499" s="285" t="s">
        <v>114</v>
      </c>
      <c r="J499" s="80">
        <f t="shared" si="265"/>
        <v>0.6529631607047518</v>
      </c>
      <c r="K499" s="517">
        <f t="shared" si="266"/>
        <v>0.6529631607047518</v>
      </c>
      <c r="L499" s="483" t="str">
        <f t="shared" si="267"/>
        <v>Incumple</v>
      </c>
    </row>
    <row r="500" spans="1:12" x14ac:dyDescent="0.25">
      <c r="A500" s="482" t="s">
        <v>423</v>
      </c>
      <c r="B500" s="476">
        <v>44681</v>
      </c>
      <c r="C500" s="285" t="s">
        <v>373</v>
      </c>
      <c r="D500" s="285" t="s">
        <v>369</v>
      </c>
      <c r="E500" s="286">
        <v>-0.42780000000000001</v>
      </c>
      <c r="F500" s="534">
        <f t="shared" si="272"/>
        <v>-42.78</v>
      </c>
      <c r="G500" s="286">
        <v>0.80579999999999996</v>
      </c>
      <c r="H500" s="534">
        <f t="shared" si="273"/>
        <v>80.58</v>
      </c>
      <c r="I500" s="285" t="s">
        <v>114</v>
      </c>
      <c r="J500" s="80">
        <f t="shared" si="265"/>
        <v>2.5309009679821299</v>
      </c>
      <c r="K500" s="517">
        <f t="shared" si="266"/>
        <v>1.2</v>
      </c>
      <c r="L500" s="483" t="str">
        <f t="shared" si="267"/>
        <v>Sobresaliente</v>
      </c>
    </row>
    <row r="501" spans="1:12" x14ac:dyDescent="0.25">
      <c r="A501" s="482" t="s">
        <v>415</v>
      </c>
      <c r="B501" s="476">
        <v>44681</v>
      </c>
      <c r="C501" s="285" t="s">
        <v>373</v>
      </c>
      <c r="D501" s="285" t="s">
        <v>369</v>
      </c>
      <c r="E501" s="494">
        <v>1</v>
      </c>
      <c r="F501" s="534">
        <f t="shared" si="272"/>
        <v>100</v>
      </c>
      <c r="G501" s="494">
        <v>0.97360000000000002</v>
      </c>
      <c r="H501" s="537">
        <f t="shared" si="273"/>
        <v>97.36</v>
      </c>
      <c r="I501" s="487" t="s">
        <v>116</v>
      </c>
      <c r="J501" s="80">
        <f t="shared" si="265"/>
        <v>1.0264</v>
      </c>
      <c r="K501" s="517">
        <f t="shared" si="266"/>
        <v>1.0264</v>
      </c>
      <c r="L501" s="483" t="str">
        <f t="shared" si="267"/>
        <v>Sobresaliente</v>
      </c>
    </row>
    <row r="502" spans="1:12" x14ac:dyDescent="0.25">
      <c r="A502" s="482" t="s">
        <v>359</v>
      </c>
      <c r="B502" s="476">
        <v>44681</v>
      </c>
      <c r="C502" s="285" t="s">
        <v>373</v>
      </c>
      <c r="D502" s="285" t="s">
        <v>369</v>
      </c>
      <c r="E502" s="494">
        <v>0.94310000000000005</v>
      </c>
      <c r="F502" s="534">
        <f t="shared" si="272"/>
        <v>94.31</v>
      </c>
      <c r="G502" s="494">
        <v>0.81510000000000005</v>
      </c>
      <c r="H502" s="537">
        <f t="shared" si="273"/>
        <v>81.510000000000005</v>
      </c>
      <c r="I502" s="487" t="s">
        <v>116</v>
      </c>
      <c r="J502" s="80">
        <f t="shared" si="265"/>
        <v>1.1357226169017072</v>
      </c>
      <c r="K502" s="517">
        <f t="shared" si="266"/>
        <v>1.1357226169017072</v>
      </c>
      <c r="L502" s="483" t="str">
        <f t="shared" si="267"/>
        <v>Sobresaliente</v>
      </c>
    </row>
    <row r="503" spans="1:12" x14ac:dyDescent="0.25">
      <c r="A503" s="482" t="s">
        <v>360</v>
      </c>
      <c r="B503" s="476">
        <v>44681</v>
      </c>
      <c r="C503" s="285" t="s">
        <v>373</v>
      </c>
      <c r="D503" s="285" t="s">
        <v>369</v>
      </c>
      <c r="E503" s="287">
        <v>4.6500000000000004</v>
      </c>
      <c r="F503" s="535">
        <f>+E503</f>
        <v>4.6500000000000004</v>
      </c>
      <c r="G503" s="287">
        <v>4.79</v>
      </c>
      <c r="H503" s="538">
        <f>+G503</f>
        <v>4.79</v>
      </c>
      <c r="I503" s="285" t="s">
        <v>114</v>
      </c>
      <c r="J503" s="80">
        <f t="shared" si="265"/>
        <v>1.0301075268817204</v>
      </c>
      <c r="K503" s="517">
        <f t="shared" si="266"/>
        <v>1.0301075268817204</v>
      </c>
      <c r="L503" s="483" t="str">
        <f t="shared" si="267"/>
        <v>Sobresaliente</v>
      </c>
    </row>
    <row r="504" spans="1:12" x14ac:dyDescent="0.25">
      <c r="A504" s="482" t="s">
        <v>361</v>
      </c>
      <c r="B504" s="476">
        <v>44681</v>
      </c>
      <c r="C504" s="285" t="s">
        <v>373</v>
      </c>
      <c r="D504" s="285" t="s">
        <v>369</v>
      </c>
      <c r="E504" s="494">
        <v>0.54</v>
      </c>
      <c r="F504" s="534">
        <f t="shared" ref="F504:F509" si="274">+E504*100</f>
        <v>54</v>
      </c>
      <c r="G504" s="494">
        <v>0.75039999999999996</v>
      </c>
      <c r="H504" s="534">
        <f t="shared" ref="H504:H509" si="275">+G504*100</f>
        <v>75.039999999999992</v>
      </c>
      <c r="I504" s="285" t="s">
        <v>114</v>
      </c>
      <c r="J504" s="80">
        <f t="shared" si="265"/>
        <v>1.3896296296296295</v>
      </c>
      <c r="K504" s="517">
        <f t="shared" si="266"/>
        <v>1.2</v>
      </c>
      <c r="L504" s="483" t="str">
        <f t="shared" si="267"/>
        <v>Sobresaliente</v>
      </c>
    </row>
    <row r="505" spans="1:12" x14ac:dyDescent="0.25">
      <c r="A505" s="482" t="s">
        <v>362</v>
      </c>
      <c r="B505" s="476">
        <v>44681</v>
      </c>
      <c r="C505" s="285" t="s">
        <v>373</v>
      </c>
      <c r="D505" s="285" t="s">
        <v>369</v>
      </c>
      <c r="E505" s="494">
        <v>-0.02</v>
      </c>
      <c r="F505" s="534">
        <f t="shared" si="274"/>
        <v>-2</v>
      </c>
      <c r="G505" s="494">
        <v>1.14E-2</v>
      </c>
      <c r="H505" s="534">
        <f t="shared" si="275"/>
        <v>1.1400000000000001</v>
      </c>
      <c r="I505" s="285" t="s">
        <v>114</v>
      </c>
      <c r="J505" s="80">
        <f t="shared" si="265"/>
        <v>3.7543859649122804</v>
      </c>
      <c r="K505" s="517">
        <f t="shared" si="266"/>
        <v>1.2</v>
      </c>
      <c r="L505" s="483" t="str">
        <f t="shared" si="267"/>
        <v>Sobresaliente</v>
      </c>
    </row>
    <row r="506" spans="1:12" x14ac:dyDescent="0.25">
      <c r="A506" s="482" t="s">
        <v>424</v>
      </c>
      <c r="B506" s="476">
        <v>44681</v>
      </c>
      <c r="C506" s="285" t="s">
        <v>373</v>
      </c>
      <c r="D506" s="285" t="s">
        <v>369</v>
      </c>
      <c r="E506" s="494">
        <v>3.0000000000000001E-3</v>
      </c>
      <c r="F506" s="534">
        <f t="shared" si="274"/>
        <v>0.3</v>
      </c>
      <c r="G506" s="494">
        <v>5.4000000000000003E-3</v>
      </c>
      <c r="H506" s="534">
        <f t="shared" si="275"/>
        <v>0.54</v>
      </c>
      <c r="I506" s="285" t="s">
        <v>114</v>
      </c>
      <c r="J506" s="80">
        <f t="shared" si="265"/>
        <v>1.8</v>
      </c>
      <c r="K506" s="517">
        <f t="shared" si="266"/>
        <v>1.2</v>
      </c>
      <c r="L506" s="483" t="str">
        <f t="shared" si="267"/>
        <v>Sobresaliente</v>
      </c>
    </row>
    <row r="507" spans="1:12" x14ac:dyDescent="0.25">
      <c r="A507" s="482" t="s">
        <v>423</v>
      </c>
      <c r="B507" s="476">
        <v>44681</v>
      </c>
      <c r="C507" s="285" t="s">
        <v>374</v>
      </c>
      <c r="D507" s="285" t="s">
        <v>369</v>
      </c>
      <c r="E507" s="494">
        <v>-0.25490000000000002</v>
      </c>
      <c r="F507" s="534">
        <f t="shared" si="274"/>
        <v>-25.490000000000002</v>
      </c>
      <c r="G507" s="494">
        <v>8.8999999999999996E-2</v>
      </c>
      <c r="H507" s="534">
        <f t="shared" si="275"/>
        <v>8.9</v>
      </c>
      <c r="I507" s="285" t="s">
        <v>114</v>
      </c>
      <c r="J507" s="80">
        <f t="shared" si="265"/>
        <v>4.8640449438202253</v>
      </c>
      <c r="K507" s="517">
        <f t="shared" si="266"/>
        <v>1.2</v>
      </c>
      <c r="L507" s="483" t="str">
        <f t="shared" si="267"/>
        <v>Sobresaliente</v>
      </c>
    </row>
    <row r="508" spans="1:12" x14ac:dyDescent="0.25">
      <c r="A508" s="482" t="s">
        <v>415</v>
      </c>
      <c r="B508" s="476">
        <v>44681</v>
      </c>
      <c r="C508" s="285" t="s">
        <v>374</v>
      </c>
      <c r="D508" s="285" t="s">
        <v>369</v>
      </c>
      <c r="E508" s="494">
        <v>1</v>
      </c>
      <c r="F508" s="534">
        <f t="shared" si="274"/>
        <v>100</v>
      </c>
      <c r="G508" s="494">
        <v>0.76770000000000005</v>
      </c>
      <c r="H508" s="537">
        <f t="shared" si="275"/>
        <v>76.77000000000001</v>
      </c>
      <c r="I508" s="487" t="s">
        <v>116</v>
      </c>
      <c r="J508" s="80">
        <f t="shared" si="265"/>
        <v>1.2323</v>
      </c>
      <c r="K508" s="517">
        <f t="shared" si="266"/>
        <v>1.2</v>
      </c>
      <c r="L508" s="483" t="str">
        <f t="shared" si="267"/>
        <v>Sobresaliente</v>
      </c>
    </row>
    <row r="509" spans="1:12" x14ac:dyDescent="0.25">
      <c r="A509" s="482" t="s">
        <v>359</v>
      </c>
      <c r="B509" s="476">
        <v>44681</v>
      </c>
      <c r="C509" s="285" t="s">
        <v>374</v>
      </c>
      <c r="D509" s="285" t="s">
        <v>369</v>
      </c>
      <c r="E509" s="494">
        <v>0.97970000000000002</v>
      </c>
      <c r="F509" s="534">
        <f t="shared" si="274"/>
        <v>97.97</v>
      </c>
      <c r="G509" s="494">
        <v>0.96609999999999996</v>
      </c>
      <c r="H509" s="537">
        <f t="shared" si="275"/>
        <v>96.61</v>
      </c>
      <c r="I509" s="487" t="s">
        <v>116</v>
      </c>
      <c r="J509" s="80">
        <f t="shared" si="265"/>
        <v>1.0138818005511891</v>
      </c>
      <c r="K509" s="517">
        <f t="shared" si="266"/>
        <v>1.0138818005511891</v>
      </c>
      <c r="L509" s="483" t="str">
        <f t="shared" si="267"/>
        <v>Sobresaliente</v>
      </c>
    </row>
    <row r="510" spans="1:12" x14ac:dyDescent="0.25">
      <c r="A510" s="482" t="s">
        <v>360</v>
      </c>
      <c r="B510" s="476">
        <v>44681</v>
      </c>
      <c r="C510" s="285" t="s">
        <v>374</v>
      </c>
      <c r="D510" s="285" t="s">
        <v>369</v>
      </c>
      <c r="E510" s="287">
        <v>4.6500000000000004</v>
      </c>
      <c r="F510" s="535">
        <f>+E510</f>
        <v>4.6500000000000004</v>
      </c>
      <c r="G510" s="287">
        <v>4.79</v>
      </c>
      <c r="H510" s="538">
        <f>+G510</f>
        <v>4.79</v>
      </c>
      <c r="I510" s="285" t="s">
        <v>114</v>
      </c>
      <c r="J510" s="80">
        <f t="shared" si="265"/>
        <v>1.0301075268817204</v>
      </c>
      <c r="K510" s="517">
        <f t="shared" si="266"/>
        <v>1.0301075268817204</v>
      </c>
      <c r="L510" s="483" t="str">
        <f t="shared" si="267"/>
        <v>Sobresaliente</v>
      </c>
    </row>
    <row r="511" spans="1:12" x14ac:dyDescent="0.25">
      <c r="A511" s="482" t="s">
        <v>361</v>
      </c>
      <c r="B511" s="476">
        <v>44681</v>
      </c>
      <c r="C511" s="285" t="s">
        <v>374</v>
      </c>
      <c r="D511" s="285" t="s">
        <v>369</v>
      </c>
      <c r="E511" s="494">
        <v>0.54</v>
      </c>
      <c r="F511" s="534">
        <f t="shared" ref="F511:F516" si="276">+E511*100</f>
        <v>54</v>
      </c>
      <c r="G511" s="494">
        <v>0.72319999999999995</v>
      </c>
      <c r="H511" s="534">
        <f t="shared" ref="H511:H516" si="277">+G511*100</f>
        <v>72.319999999999993</v>
      </c>
      <c r="I511" s="285" t="s">
        <v>114</v>
      </c>
      <c r="J511" s="80">
        <f t="shared" si="265"/>
        <v>1.3392592592592591</v>
      </c>
      <c r="K511" s="517">
        <f t="shared" si="266"/>
        <v>1.2</v>
      </c>
      <c r="L511" s="483" t="str">
        <f t="shared" si="267"/>
        <v>Sobresaliente</v>
      </c>
    </row>
    <row r="512" spans="1:12" x14ac:dyDescent="0.25">
      <c r="A512" s="482" t="s">
        <v>362</v>
      </c>
      <c r="B512" s="476">
        <v>44681</v>
      </c>
      <c r="C512" s="285" t="s">
        <v>374</v>
      </c>
      <c r="D512" s="285" t="s">
        <v>369</v>
      </c>
      <c r="E512" s="494">
        <v>0.10100000000000001</v>
      </c>
      <c r="F512" s="534">
        <f t="shared" si="276"/>
        <v>10.100000000000001</v>
      </c>
      <c r="G512" s="494">
        <v>6.3399999999999998E-2</v>
      </c>
      <c r="H512" s="534">
        <f t="shared" si="277"/>
        <v>6.34</v>
      </c>
      <c r="I512" s="285" t="s">
        <v>114</v>
      </c>
      <c r="J512" s="80">
        <f t="shared" si="265"/>
        <v>0.62772277227722761</v>
      </c>
      <c r="K512" s="517">
        <f t="shared" si="266"/>
        <v>0.62772277227722761</v>
      </c>
      <c r="L512" s="483" t="str">
        <f t="shared" si="267"/>
        <v>Incumple</v>
      </c>
    </row>
    <row r="513" spans="1:12" x14ac:dyDescent="0.25">
      <c r="A513" s="482" t="s">
        <v>424</v>
      </c>
      <c r="B513" s="476">
        <v>44681</v>
      </c>
      <c r="C513" s="285" t="s">
        <v>374</v>
      </c>
      <c r="D513" s="285" t="s">
        <v>369</v>
      </c>
      <c r="E513" s="494">
        <v>1.9E-3</v>
      </c>
      <c r="F513" s="534">
        <f t="shared" si="276"/>
        <v>0.19</v>
      </c>
      <c r="G513" s="494">
        <v>4.4000000000000003E-3</v>
      </c>
      <c r="H513" s="534">
        <f t="shared" si="277"/>
        <v>0.44</v>
      </c>
      <c r="I513" s="285" t="s">
        <v>114</v>
      </c>
      <c r="J513" s="80">
        <f t="shared" si="265"/>
        <v>2.3157894736842106</v>
      </c>
      <c r="K513" s="517">
        <f t="shared" si="266"/>
        <v>1.2</v>
      </c>
      <c r="L513" s="483" t="str">
        <f t="shared" si="267"/>
        <v>Sobresaliente</v>
      </c>
    </row>
    <row r="514" spans="1:12" x14ac:dyDescent="0.25">
      <c r="A514" s="482" t="s">
        <v>423</v>
      </c>
      <c r="B514" s="476">
        <v>44681</v>
      </c>
      <c r="C514" s="285" t="s">
        <v>377</v>
      </c>
      <c r="D514" s="285" t="s">
        <v>369</v>
      </c>
      <c r="E514" s="494">
        <v>1.5452999999999999</v>
      </c>
      <c r="F514" s="534">
        <f t="shared" si="276"/>
        <v>154.53</v>
      </c>
      <c r="G514" s="494">
        <v>0.5786</v>
      </c>
      <c r="H514" s="534">
        <f t="shared" si="277"/>
        <v>57.86</v>
      </c>
      <c r="I514" s="285" t="s">
        <v>114</v>
      </c>
      <c r="J514" s="80">
        <f t="shared" si="265"/>
        <v>0.37442567786190384</v>
      </c>
      <c r="K514" s="517">
        <f t="shared" si="266"/>
        <v>0.37442567786190384</v>
      </c>
      <c r="L514" s="483" t="str">
        <f t="shared" si="267"/>
        <v>Incumple</v>
      </c>
    </row>
    <row r="515" spans="1:12" x14ac:dyDescent="0.25">
      <c r="A515" s="482" t="s">
        <v>415</v>
      </c>
      <c r="B515" s="476">
        <v>44681</v>
      </c>
      <c r="C515" s="285" t="s">
        <v>377</v>
      </c>
      <c r="D515" s="285" t="s">
        <v>369</v>
      </c>
      <c r="E515" s="494">
        <v>1</v>
      </c>
      <c r="F515" s="534">
        <f t="shared" si="276"/>
        <v>100</v>
      </c>
      <c r="G515" s="494">
        <v>0.93479999999999996</v>
      </c>
      <c r="H515" s="537">
        <f t="shared" si="277"/>
        <v>93.47999999999999</v>
      </c>
      <c r="I515" s="487" t="s">
        <v>116</v>
      </c>
      <c r="J515" s="80">
        <f t="shared" si="265"/>
        <v>1.0651999999999999</v>
      </c>
      <c r="K515" s="517">
        <f t="shared" si="266"/>
        <v>1.0651999999999999</v>
      </c>
      <c r="L515" s="483" t="str">
        <f t="shared" si="267"/>
        <v>Sobresaliente</v>
      </c>
    </row>
    <row r="516" spans="1:12" x14ac:dyDescent="0.25">
      <c r="A516" s="482" t="s">
        <v>359</v>
      </c>
      <c r="B516" s="476">
        <v>44681</v>
      </c>
      <c r="C516" s="285" t="s">
        <v>377</v>
      </c>
      <c r="D516" s="285" t="s">
        <v>369</v>
      </c>
      <c r="E516" s="494">
        <v>0.24829999999999999</v>
      </c>
      <c r="F516" s="534">
        <f t="shared" si="276"/>
        <v>24.83</v>
      </c>
      <c r="G516" s="494">
        <v>0.47660000000000002</v>
      </c>
      <c r="H516" s="537">
        <f t="shared" si="277"/>
        <v>47.660000000000004</v>
      </c>
      <c r="I516" s="487" t="s">
        <v>116</v>
      </c>
      <c r="J516" s="80">
        <f t="shared" si="265"/>
        <v>8.0547724526781939E-2</v>
      </c>
      <c r="K516" s="517">
        <f t="shared" si="266"/>
        <v>8.0547724526781939E-2</v>
      </c>
      <c r="L516" s="483" t="str">
        <f t="shared" si="267"/>
        <v>Incumple</v>
      </c>
    </row>
    <row r="517" spans="1:12" x14ac:dyDescent="0.25">
      <c r="A517" s="482" t="s">
        <v>360</v>
      </c>
      <c r="B517" s="476">
        <v>44681</v>
      </c>
      <c r="C517" s="285" t="s">
        <v>377</v>
      </c>
      <c r="D517" s="285" t="s">
        <v>369</v>
      </c>
      <c r="E517" s="287">
        <v>4.6500000000000004</v>
      </c>
      <c r="F517" s="535">
        <f>+E517</f>
        <v>4.6500000000000004</v>
      </c>
      <c r="G517" s="287">
        <v>4.79</v>
      </c>
      <c r="H517" s="538">
        <f>+G517</f>
        <v>4.79</v>
      </c>
      <c r="I517" s="285" t="s">
        <v>114</v>
      </c>
      <c r="J517" s="80">
        <f t="shared" si="265"/>
        <v>1.0301075268817204</v>
      </c>
      <c r="K517" s="517">
        <f t="shared" si="266"/>
        <v>1.0301075268817204</v>
      </c>
      <c r="L517" s="483" t="str">
        <f t="shared" si="267"/>
        <v>Sobresaliente</v>
      </c>
    </row>
    <row r="518" spans="1:12" x14ac:dyDescent="0.25">
      <c r="A518" s="482" t="s">
        <v>361</v>
      </c>
      <c r="B518" s="476">
        <v>44681</v>
      </c>
      <c r="C518" s="285" t="s">
        <v>377</v>
      </c>
      <c r="D518" s="285" t="s">
        <v>369</v>
      </c>
      <c r="E518" s="494">
        <v>0.54</v>
      </c>
      <c r="F518" s="534">
        <f t="shared" ref="F518:F521" si="278">+E518*100</f>
        <v>54</v>
      </c>
      <c r="G518" s="494">
        <v>0.75609999999999999</v>
      </c>
      <c r="H518" s="534">
        <f t="shared" ref="H518:H521" si="279">+G518*100</f>
        <v>75.61</v>
      </c>
      <c r="I518" s="285" t="s">
        <v>114</v>
      </c>
      <c r="J518" s="80">
        <f t="shared" si="265"/>
        <v>1.400185185185185</v>
      </c>
      <c r="K518" s="517">
        <f t="shared" si="266"/>
        <v>1.2</v>
      </c>
      <c r="L518" s="483" t="str">
        <f t="shared" si="267"/>
        <v>Sobresaliente</v>
      </c>
    </row>
    <row r="519" spans="1:12" x14ac:dyDescent="0.25">
      <c r="A519" s="482" t="s">
        <v>362</v>
      </c>
      <c r="B519" s="476">
        <v>44681</v>
      </c>
      <c r="C519" s="285" t="s">
        <v>377</v>
      </c>
      <c r="D519" s="285" t="s">
        <v>369</v>
      </c>
      <c r="E519" s="497">
        <v>1.8924000000000001</v>
      </c>
      <c r="F519" s="535">
        <f t="shared" si="278"/>
        <v>189.24</v>
      </c>
      <c r="G519" s="497">
        <v>1.5860000000000001</v>
      </c>
      <c r="H519" s="535">
        <f t="shared" si="279"/>
        <v>158.6</v>
      </c>
      <c r="I519" s="285" t="s">
        <v>114</v>
      </c>
      <c r="J519" s="80">
        <f t="shared" si="265"/>
        <v>0.83808919890086664</v>
      </c>
      <c r="K519" s="517">
        <f t="shared" si="266"/>
        <v>0.83808919890086664</v>
      </c>
      <c r="L519" s="483" t="str">
        <f t="shared" si="267"/>
        <v>Tolerable</v>
      </c>
    </row>
    <row r="520" spans="1:12" x14ac:dyDescent="0.25">
      <c r="A520" s="482" t="s">
        <v>424</v>
      </c>
      <c r="B520" s="476">
        <v>44681</v>
      </c>
      <c r="C520" s="285" t="s">
        <v>377</v>
      </c>
      <c r="D520" s="285" t="s">
        <v>369</v>
      </c>
      <c r="E520" s="494">
        <v>0.35970000000000002</v>
      </c>
      <c r="F520" s="534">
        <f t="shared" si="278"/>
        <v>35.97</v>
      </c>
      <c r="G520" s="494">
        <v>0.47189999999999999</v>
      </c>
      <c r="H520" s="534">
        <f t="shared" si="279"/>
        <v>47.19</v>
      </c>
      <c r="I520" s="285" t="s">
        <v>114</v>
      </c>
      <c r="J520" s="80">
        <f t="shared" si="265"/>
        <v>1.3119266055045871</v>
      </c>
      <c r="K520" s="517">
        <f t="shared" si="266"/>
        <v>1.2</v>
      </c>
      <c r="L520" s="483" t="str">
        <f t="shared" si="267"/>
        <v>Sobresaliente</v>
      </c>
    </row>
    <row r="521" spans="1:12" x14ac:dyDescent="0.25">
      <c r="A521" s="482" t="s">
        <v>361</v>
      </c>
      <c r="B521" s="476">
        <v>44681</v>
      </c>
      <c r="C521" s="285" t="s">
        <v>115</v>
      </c>
      <c r="D521" s="285" t="s">
        <v>369</v>
      </c>
      <c r="E521" s="494">
        <v>0.54</v>
      </c>
      <c r="F521" s="534">
        <f t="shared" si="278"/>
        <v>54</v>
      </c>
      <c r="G521" s="494">
        <v>0.69899999999999995</v>
      </c>
      <c r="H521" s="534">
        <f t="shared" si="279"/>
        <v>69.899999999999991</v>
      </c>
      <c r="I521" s="285" t="s">
        <v>114</v>
      </c>
      <c r="J521" s="80">
        <f t="shared" si="265"/>
        <v>1.2944444444444443</v>
      </c>
      <c r="K521" s="517">
        <f t="shared" si="266"/>
        <v>1.2</v>
      </c>
      <c r="L521" s="483" t="str">
        <f t="shared" si="267"/>
        <v>Sobresaliente</v>
      </c>
    </row>
    <row r="522" spans="1:12" x14ac:dyDescent="0.25">
      <c r="A522" s="482" t="s">
        <v>360</v>
      </c>
      <c r="B522" s="476">
        <v>44681</v>
      </c>
      <c r="C522" s="285" t="s">
        <v>115</v>
      </c>
      <c r="D522" s="285" t="s">
        <v>369</v>
      </c>
      <c r="E522" s="287">
        <v>4.6500000000000004</v>
      </c>
      <c r="F522" s="535">
        <f>+E522</f>
        <v>4.6500000000000004</v>
      </c>
      <c r="G522" s="287">
        <v>4.57</v>
      </c>
      <c r="H522" s="538">
        <f>+G522</f>
        <v>4.57</v>
      </c>
      <c r="I522" s="285" t="s">
        <v>114</v>
      </c>
      <c r="J522" s="80">
        <f t="shared" si="265"/>
        <v>0.98279569892473118</v>
      </c>
      <c r="K522" s="517">
        <f t="shared" si="266"/>
        <v>0.98279569892473118</v>
      </c>
      <c r="L522" s="483" t="str">
        <f t="shared" si="267"/>
        <v>Satisfactorio</v>
      </c>
    </row>
    <row r="523" spans="1:12" x14ac:dyDescent="0.25">
      <c r="A523" s="482" t="s">
        <v>362</v>
      </c>
      <c r="B523" s="476">
        <v>44681</v>
      </c>
      <c r="C523" s="285" t="s">
        <v>115</v>
      </c>
      <c r="D523" s="285" t="s">
        <v>369</v>
      </c>
      <c r="E523" s="494">
        <v>0</v>
      </c>
      <c r="F523" s="534">
        <f t="shared" ref="F523:F528" si="280">+E523*100</f>
        <v>0</v>
      </c>
      <c r="G523" s="494">
        <v>0</v>
      </c>
      <c r="H523" s="534">
        <f t="shared" ref="H523:H528" si="281">+G523*100</f>
        <v>0</v>
      </c>
      <c r="I523" s="285" t="s">
        <v>114</v>
      </c>
      <c r="J523" s="80" t="str">
        <f t="shared" si="265"/>
        <v>N/A</v>
      </c>
      <c r="K523" s="517">
        <f t="shared" si="266"/>
        <v>1.2</v>
      </c>
      <c r="L523" s="483" t="str">
        <f t="shared" si="267"/>
        <v>Sobresaliente</v>
      </c>
    </row>
    <row r="524" spans="1:12" x14ac:dyDescent="0.25">
      <c r="A524" s="482" t="s">
        <v>379</v>
      </c>
      <c r="B524" s="476">
        <v>44681</v>
      </c>
      <c r="C524" s="285" t="s">
        <v>115</v>
      </c>
      <c r="D524" s="285" t="s">
        <v>369</v>
      </c>
      <c r="E524" s="494">
        <v>0</v>
      </c>
      <c r="F524" s="534">
        <f t="shared" si="280"/>
        <v>0</v>
      </c>
      <c r="G524" s="494">
        <v>0</v>
      </c>
      <c r="H524" s="534">
        <f t="shared" si="281"/>
        <v>0</v>
      </c>
      <c r="I524" s="285" t="s">
        <v>114</v>
      </c>
      <c r="J524" s="80" t="str">
        <f t="shared" si="265"/>
        <v>N/A</v>
      </c>
      <c r="K524" s="517">
        <f t="shared" si="266"/>
        <v>1.2</v>
      </c>
      <c r="L524" s="483" t="str">
        <f t="shared" si="267"/>
        <v>Sobresaliente</v>
      </c>
    </row>
    <row r="525" spans="1:12" x14ac:dyDescent="0.25">
      <c r="A525" s="482" t="s">
        <v>404</v>
      </c>
      <c r="B525" s="476">
        <v>44681</v>
      </c>
      <c r="C525" s="285" t="s">
        <v>115</v>
      </c>
      <c r="D525" s="285" t="s">
        <v>369</v>
      </c>
      <c r="E525" s="494">
        <v>0</v>
      </c>
      <c r="F525" s="534">
        <f t="shared" si="280"/>
        <v>0</v>
      </c>
      <c r="G525" s="494">
        <v>0</v>
      </c>
      <c r="H525" s="534">
        <f t="shared" si="281"/>
        <v>0</v>
      </c>
      <c r="I525" s="285" t="s">
        <v>114</v>
      </c>
      <c r="J525" s="80" t="str">
        <f t="shared" si="265"/>
        <v>N/A</v>
      </c>
      <c r="K525" s="517">
        <f t="shared" si="266"/>
        <v>1.2</v>
      </c>
      <c r="L525" s="483" t="str">
        <f t="shared" si="267"/>
        <v>Sobresaliente</v>
      </c>
    </row>
    <row r="526" spans="1:12" x14ac:dyDescent="0.25">
      <c r="A526" s="482" t="s">
        <v>423</v>
      </c>
      <c r="B526" s="476">
        <v>44681</v>
      </c>
      <c r="C526" s="285" t="s">
        <v>380</v>
      </c>
      <c r="D526" s="285" t="s">
        <v>381</v>
      </c>
      <c r="E526" s="494">
        <v>-5.9299999999999999E-2</v>
      </c>
      <c r="F526" s="534">
        <f t="shared" si="280"/>
        <v>-5.93</v>
      </c>
      <c r="G526" s="494">
        <v>-0.1893</v>
      </c>
      <c r="H526" s="537">
        <f t="shared" si="281"/>
        <v>-18.93</v>
      </c>
      <c r="I526" s="487" t="s">
        <v>114</v>
      </c>
      <c r="J526" s="80">
        <f t="shared" si="265"/>
        <v>-1.1922428330522767</v>
      </c>
      <c r="K526" s="517">
        <f t="shared" si="266"/>
        <v>0</v>
      </c>
      <c r="L526" s="483" t="str">
        <f t="shared" si="267"/>
        <v>Incumple</v>
      </c>
    </row>
    <row r="527" spans="1:12" x14ac:dyDescent="0.25">
      <c r="A527" s="482" t="s">
        <v>357</v>
      </c>
      <c r="B527" s="476">
        <v>44681</v>
      </c>
      <c r="C527" s="285" t="s">
        <v>380</v>
      </c>
      <c r="D527" s="285" t="s">
        <v>381</v>
      </c>
      <c r="E527" s="494">
        <v>3.0599999999999999E-2</v>
      </c>
      <c r="F527" s="534">
        <f t="shared" si="280"/>
        <v>3.06</v>
      </c>
      <c r="G527" s="494">
        <v>-3.6299999999999999E-2</v>
      </c>
      <c r="H527" s="537">
        <f t="shared" si="281"/>
        <v>-3.63</v>
      </c>
      <c r="I527" s="487" t="s">
        <v>114</v>
      </c>
      <c r="J527" s="80">
        <f t="shared" si="265"/>
        <v>-1.1862745098039216</v>
      </c>
      <c r="K527" s="517">
        <f t="shared" si="266"/>
        <v>0</v>
      </c>
      <c r="L527" s="483" t="str">
        <f t="shared" si="267"/>
        <v>Incumple</v>
      </c>
    </row>
    <row r="528" spans="1:12" x14ac:dyDescent="0.25">
      <c r="A528" s="482" t="s">
        <v>415</v>
      </c>
      <c r="B528" s="476">
        <v>44681</v>
      </c>
      <c r="C528" s="285" t="s">
        <v>380</v>
      </c>
      <c r="D528" s="285" t="s">
        <v>381</v>
      </c>
      <c r="E528" s="494">
        <v>1</v>
      </c>
      <c r="F528" s="534">
        <f t="shared" si="280"/>
        <v>100</v>
      </c>
      <c r="G528" s="494">
        <v>0.88349999999999995</v>
      </c>
      <c r="H528" s="537">
        <f t="shared" si="281"/>
        <v>88.35</v>
      </c>
      <c r="I528" s="487" t="s">
        <v>116</v>
      </c>
      <c r="J528" s="80">
        <f t="shared" si="265"/>
        <v>1.1165</v>
      </c>
      <c r="K528" s="517">
        <f t="shared" si="266"/>
        <v>1.1165</v>
      </c>
      <c r="L528" s="483" t="str">
        <f t="shared" si="267"/>
        <v>Sobresaliente</v>
      </c>
    </row>
    <row r="529" spans="1:12" x14ac:dyDescent="0.25">
      <c r="A529" s="482" t="s">
        <v>360</v>
      </c>
      <c r="B529" s="476">
        <v>44681</v>
      </c>
      <c r="C529" s="285" t="s">
        <v>380</v>
      </c>
      <c r="D529" s="285" t="s">
        <v>381</v>
      </c>
      <c r="E529" s="496">
        <v>4.6500000000000004</v>
      </c>
      <c r="F529" s="535">
        <f>+E529</f>
        <v>4.6500000000000004</v>
      </c>
      <c r="G529" s="496">
        <v>4.5599999999999996</v>
      </c>
      <c r="H529" s="538">
        <f>+G529</f>
        <v>4.5599999999999996</v>
      </c>
      <c r="I529" s="487" t="s">
        <v>114</v>
      </c>
      <c r="J529" s="80">
        <f t="shared" si="265"/>
        <v>0.98064516129032242</v>
      </c>
      <c r="K529" s="517">
        <f t="shared" si="266"/>
        <v>0.98064516129032242</v>
      </c>
      <c r="L529" s="483" t="str">
        <f t="shared" si="267"/>
        <v>Satisfactorio</v>
      </c>
    </row>
    <row r="530" spans="1:12" x14ac:dyDescent="0.25">
      <c r="A530" s="482" t="s">
        <v>361</v>
      </c>
      <c r="B530" s="476">
        <v>44681</v>
      </c>
      <c r="C530" s="285" t="s">
        <v>380</v>
      </c>
      <c r="D530" s="285" t="s">
        <v>381</v>
      </c>
      <c r="E530" s="494">
        <v>0.54</v>
      </c>
      <c r="F530" s="534">
        <f t="shared" ref="F530:F535" si="282">+E530*100</f>
        <v>54</v>
      </c>
      <c r="G530" s="494">
        <v>0.75939999999999996</v>
      </c>
      <c r="H530" s="537">
        <f t="shared" ref="H530:H535" si="283">+G530*100</f>
        <v>75.94</v>
      </c>
      <c r="I530" s="487" t="s">
        <v>114</v>
      </c>
      <c r="J530" s="80">
        <f t="shared" si="265"/>
        <v>1.4062962962962962</v>
      </c>
      <c r="K530" s="517">
        <f t="shared" si="266"/>
        <v>1.2</v>
      </c>
      <c r="L530" s="483" t="str">
        <f t="shared" si="267"/>
        <v>Sobresaliente</v>
      </c>
    </row>
    <row r="531" spans="1:12" x14ac:dyDescent="0.25">
      <c r="A531" s="482" t="s">
        <v>362</v>
      </c>
      <c r="B531" s="476">
        <v>44681</v>
      </c>
      <c r="C531" s="285" t="s">
        <v>380</v>
      </c>
      <c r="D531" s="285" t="s">
        <v>381</v>
      </c>
      <c r="E531" s="494">
        <v>0.7157</v>
      </c>
      <c r="F531" s="534">
        <f t="shared" si="282"/>
        <v>71.569999999999993</v>
      </c>
      <c r="G531" s="494">
        <v>8.6300000000000002E-2</v>
      </c>
      <c r="H531" s="537">
        <f t="shared" si="283"/>
        <v>8.6300000000000008</v>
      </c>
      <c r="I531" s="487" t="s">
        <v>114</v>
      </c>
      <c r="J531" s="80">
        <f t="shared" si="265"/>
        <v>0.12058124912672907</v>
      </c>
      <c r="K531" s="517">
        <f t="shared" si="266"/>
        <v>0.12058124912672907</v>
      </c>
      <c r="L531" s="483" t="str">
        <f t="shared" si="267"/>
        <v>Incumple</v>
      </c>
    </row>
    <row r="532" spans="1:12" x14ac:dyDescent="0.25">
      <c r="A532" s="482" t="s">
        <v>424</v>
      </c>
      <c r="B532" s="476">
        <v>44681</v>
      </c>
      <c r="C532" s="285" t="s">
        <v>380</v>
      </c>
      <c r="D532" s="285" t="s">
        <v>381</v>
      </c>
      <c r="E532" s="494">
        <v>0.62719999999999998</v>
      </c>
      <c r="F532" s="534">
        <f t="shared" si="282"/>
        <v>62.72</v>
      </c>
      <c r="G532" s="494">
        <v>0.71499999999999997</v>
      </c>
      <c r="H532" s="537">
        <f t="shared" si="283"/>
        <v>71.5</v>
      </c>
      <c r="I532" s="487" t="s">
        <v>114</v>
      </c>
      <c r="J532" s="80">
        <f t="shared" si="265"/>
        <v>1.1399872448979591</v>
      </c>
      <c r="K532" s="517">
        <f t="shared" si="266"/>
        <v>1.1399872448979591</v>
      </c>
      <c r="L532" s="483" t="str">
        <f t="shared" si="267"/>
        <v>Sobresaliente</v>
      </c>
    </row>
    <row r="533" spans="1:12" x14ac:dyDescent="0.25">
      <c r="A533" s="482" t="s">
        <v>423</v>
      </c>
      <c r="B533" s="476">
        <v>44681</v>
      </c>
      <c r="C533" s="285" t="s">
        <v>382</v>
      </c>
      <c r="D533" s="285" t="s">
        <v>381</v>
      </c>
      <c r="E533" s="494">
        <v>0.2228</v>
      </c>
      <c r="F533" s="534">
        <f t="shared" si="282"/>
        <v>22.28</v>
      </c>
      <c r="G533" s="494">
        <v>0.20699999999999999</v>
      </c>
      <c r="H533" s="537">
        <f t="shared" si="283"/>
        <v>20.7</v>
      </c>
      <c r="I533" s="487" t="s">
        <v>114</v>
      </c>
      <c r="J533" s="80">
        <f t="shared" si="265"/>
        <v>0.92908438061041287</v>
      </c>
      <c r="K533" s="517">
        <f t="shared" si="266"/>
        <v>0.92908438061041287</v>
      </c>
      <c r="L533" s="483" t="str">
        <f t="shared" si="267"/>
        <v>Tolerable</v>
      </c>
    </row>
    <row r="534" spans="1:12" x14ac:dyDescent="0.25">
      <c r="A534" s="482" t="s">
        <v>357</v>
      </c>
      <c r="B534" s="476">
        <v>44681</v>
      </c>
      <c r="C534" s="285" t="s">
        <v>382</v>
      </c>
      <c r="D534" s="285" t="s">
        <v>381</v>
      </c>
      <c r="E534" s="494">
        <v>0.30570000000000003</v>
      </c>
      <c r="F534" s="534">
        <f t="shared" si="282"/>
        <v>30.570000000000004</v>
      </c>
      <c r="G534" s="494">
        <v>0.47589999999999999</v>
      </c>
      <c r="H534" s="537">
        <f t="shared" si="283"/>
        <v>47.589999999999996</v>
      </c>
      <c r="I534" s="487" t="s">
        <v>114</v>
      </c>
      <c r="J534" s="80">
        <f t="shared" si="265"/>
        <v>1.5567549885508667</v>
      </c>
      <c r="K534" s="517">
        <f t="shared" si="266"/>
        <v>1.2</v>
      </c>
      <c r="L534" s="483" t="str">
        <f t="shared" si="267"/>
        <v>Sobresaliente</v>
      </c>
    </row>
    <row r="535" spans="1:12" x14ac:dyDescent="0.25">
      <c r="A535" s="482" t="s">
        <v>415</v>
      </c>
      <c r="B535" s="476">
        <v>44681</v>
      </c>
      <c r="C535" s="285" t="s">
        <v>382</v>
      </c>
      <c r="D535" s="285" t="s">
        <v>381</v>
      </c>
      <c r="E535" s="494">
        <v>1</v>
      </c>
      <c r="F535" s="534">
        <f t="shared" si="282"/>
        <v>100</v>
      </c>
      <c r="G535" s="494">
        <v>0.67010000000000003</v>
      </c>
      <c r="H535" s="537">
        <f t="shared" si="283"/>
        <v>67.010000000000005</v>
      </c>
      <c r="I535" s="487" t="s">
        <v>116</v>
      </c>
      <c r="J535" s="80">
        <f t="shared" si="265"/>
        <v>1.3298999999999999</v>
      </c>
      <c r="K535" s="517">
        <f t="shared" si="266"/>
        <v>1.2</v>
      </c>
      <c r="L535" s="483" t="str">
        <f t="shared" si="267"/>
        <v>Sobresaliente</v>
      </c>
    </row>
    <row r="536" spans="1:12" x14ac:dyDescent="0.25">
      <c r="A536" s="482" t="s">
        <v>360</v>
      </c>
      <c r="B536" s="476">
        <v>44681</v>
      </c>
      <c r="C536" s="285" t="s">
        <v>382</v>
      </c>
      <c r="D536" s="285" t="s">
        <v>381</v>
      </c>
      <c r="E536" s="496">
        <v>4.6500000000000004</v>
      </c>
      <c r="F536" s="535">
        <f>+E536</f>
        <v>4.6500000000000004</v>
      </c>
      <c r="G536" s="496">
        <v>4.6100000000000003</v>
      </c>
      <c r="H536" s="538">
        <f>+G536</f>
        <v>4.6100000000000003</v>
      </c>
      <c r="I536" s="487" t="s">
        <v>114</v>
      </c>
      <c r="J536" s="80">
        <f t="shared" si="265"/>
        <v>0.99139784946236553</v>
      </c>
      <c r="K536" s="517">
        <f t="shared" si="266"/>
        <v>0.99139784946236553</v>
      </c>
      <c r="L536" s="483" t="str">
        <f t="shared" si="267"/>
        <v>Satisfactorio</v>
      </c>
    </row>
    <row r="537" spans="1:12" x14ac:dyDescent="0.25">
      <c r="A537" s="482" t="s">
        <v>361</v>
      </c>
      <c r="B537" s="476">
        <v>44681</v>
      </c>
      <c r="C537" s="285" t="s">
        <v>382</v>
      </c>
      <c r="D537" s="285" t="s">
        <v>381</v>
      </c>
      <c r="E537" s="494">
        <v>0.54</v>
      </c>
      <c r="F537" s="534">
        <f t="shared" ref="F537:F539" si="284">+E537*100</f>
        <v>54</v>
      </c>
      <c r="G537" s="494">
        <v>0.63890000000000002</v>
      </c>
      <c r="H537" s="537">
        <f t="shared" ref="H537:H539" si="285">+G537*100</f>
        <v>63.89</v>
      </c>
      <c r="I537" s="487" t="s">
        <v>114</v>
      </c>
      <c r="J537" s="80">
        <f t="shared" si="265"/>
        <v>1.1831481481481481</v>
      </c>
      <c r="K537" s="517">
        <f t="shared" si="266"/>
        <v>1.1831481481481481</v>
      </c>
      <c r="L537" s="483" t="str">
        <f t="shared" si="267"/>
        <v>Sobresaliente</v>
      </c>
    </row>
    <row r="538" spans="1:12" x14ac:dyDescent="0.25">
      <c r="A538" s="482" t="s">
        <v>362</v>
      </c>
      <c r="B538" s="476">
        <v>44681</v>
      </c>
      <c r="C538" s="285" t="s">
        <v>382</v>
      </c>
      <c r="D538" s="285" t="s">
        <v>381</v>
      </c>
      <c r="E538" s="494">
        <v>0.16819999999999999</v>
      </c>
      <c r="F538" s="534">
        <f t="shared" si="284"/>
        <v>16.82</v>
      </c>
      <c r="G538" s="494">
        <v>0.34420000000000001</v>
      </c>
      <c r="H538" s="537">
        <f t="shared" si="285"/>
        <v>34.42</v>
      </c>
      <c r="I538" s="487" t="s">
        <v>114</v>
      </c>
      <c r="J538" s="80">
        <f t="shared" si="265"/>
        <v>2.0463733650416174</v>
      </c>
      <c r="K538" s="517">
        <f t="shared" si="266"/>
        <v>1.2</v>
      </c>
      <c r="L538" s="483" t="str">
        <f t="shared" si="267"/>
        <v>Sobresaliente</v>
      </c>
    </row>
    <row r="539" spans="1:12" x14ac:dyDescent="0.25">
      <c r="A539" s="482" t="s">
        <v>424</v>
      </c>
      <c r="B539" s="476">
        <v>44681</v>
      </c>
      <c r="C539" s="285" t="s">
        <v>382</v>
      </c>
      <c r="D539" s="285" t="s">
        <v>381</v>
      </c>
      <c r="E539" s="494">
        <v>0.99270000000000003</v>
      </c>
      <c r="F539" s="534">
        <f t="shared" si="284"/>
        <v>99.27</v>
      </c>
      <c r="G539" s="494">
        <v>0.99160000000000004</v>
      </c>
      <c r="H539" s="537">
        <f t="shared" si="285"/>
        <v>99.16</v>
      </c>
      <c r="I539" s="487" t="s">
        <v>114</v>
      </c>
      <c r="J539" s="80">
        <f t="shared" si="265"/>
        <v>0.99889191094993457</v>
      </c>
      <c r="K539" s="517">
        <f t="shared" si="266"/>
        <v>0.99889191094993457</v>
      </c>
      <c r="L539" s="483" t="str">
        <f t="shared" si="267"/>
        <v>Satisfactorio</v>
      </c>
    </row>
  </sheetData>
  <mergeCells count="1">
    <mergeCell ref="N154:N160"/>
  </mergeCells>
  <conditionalFormatting sqref="J2:K216 J326:K386 J526:K539 J419:K493 J388:J437">
    <cfRule type="cellIs" dxfId="84" priority="61" operator="lessThan">
      <formula>0.79999999</formula>
    </cfRule>
    <cfRule type="cellIs" dxfId="83" priority="62" operator="greaterThan">
      <formula>0.999999</formula>
    </cfRule>
    <cfRule type="cellIs" dxfId="82" priority="63" operator="between">
      <formula>0.94999999</formula>
      <formula>0.9999999</formula>
    </cfRule>
    <cfRule type="cellIs" dxfId="81" priority="64" operator="between">
      <formula>0.8</formula>
      <formula>0.94999999</formula>
    </cfRule>
  </conditionalFormatting>
  <conditionalFormatting sqref="J388:K418 K387">
    <cfRule type="cellIs" dxfId="80" priority="21" operator="lessThan">
      <formula>0.79999999</formula>
    </cfRule>
    <cfRule type="cellIs" dxfId="79" priority="22" operator="greaterThan">
      <formula>0.999999</formula>
    </cfRule>
    <cfRule type="cellIs" dxfId="78" priority="23" operator="between">
      <formula>0.94999999</formula>
      <formula>0.9999999</formula>
    </cfRule>
    <cfRule type="cellIs" dxfId="77" priority="24" operator="between">
      <formula>0.8</formula>
      <formula>0.94999999</formula>
    </cfRule>
  </conditionalFormatting>
  <conditionalFormatting sqref="J387">
    <cfRule type="cellIs" dxfId="76" priority="17" operator="lessThan">
      <formula>0.79999999</formula>
    </cfRule>
    <cfRule type="cellIs" dxfId="75" priority="18" operator="greaterThan">
      <formula>0.999999</formula>
    </cfRule>
    <cfRule type="cellIs" dxfId="74" priority="19" operator="between">
      <formula>0.94999999</formula>
      <formula>0.9999999</formula>
    </cfRule>
    <cfRule type="cellIs" dxfId="73" priority="20" operator="between">
      <formula>0.8</formula>
      <formula>0.94999999</formula>
    </cfRule>
  </conditionalFormatting>
  <conditionalFormatting sqref="J217:K325">
    <cfRule type="cellIs" dxfId="72" priority="9" operator="lessThan">
      <formula>0.79999999</formula>
    </cfRule>
    <cfRule type="cellIs" dxfId="71" priority="10" operator="greaterThan">
      <formula>0.999999</formula>
    </cfRule>
    <cfRule type="cellIs" dxfId="70" priority="11" operator="between">
      <formula>0.94999999</formula>
      <formula>0.9999999</formula>
    </cfRule>
    <cfRule type="cellIs" dxfId="69" priority="12" operator="between">
      <formula>0.8</formula>
      <formula>0.94999999</formula>
    </cfRule>
  </conditionalFormatting>
  <conditionalFormatting sqref="J495:K525 K494 J526:J539">
    <cfRule type="cellIs" dxfId="68" priority="5" operator="lessThan">
      <formula>0.79999999</formula>
    </cfRule>
    <cfRule type="cellIs" dxfId="67" priority="6" operator="greaterThan">
      <formula>0.999999</formula>
    </cfRule>
    <cfRule type="cellIs" dxfId="66" priority="7" operator="between">
      <formula>0.94999999</formula>
      <formula>0.9999999</formula>
    </cfRule>
    <cfRule type="cellIs" dxfId="65" priority="8" operator="between">
      <formula>0.8</formula>
      <formula>0.94999999</formula>
    </cfRule>
  </conditionalFormatting>
  <conditionalFormatting sqref="J494">
    <cfRule type="cellIs" dxfId="64" priority="1" operator="lessThan">
      <formula>0.79999999</formula>
    </cfRule>
    <cfRule type="cellIs" dxfId="63" priority="2" operator="greaterThan">
      <formula>0.999999</formula>
    </cfRule>
    <cfRule type="cellIs" dxfId="62" priority="3" operator="between">
      <formula>0.94999999</formula>
      <formula>0.9999999</formula>
    </cfRule>
    <cfRule type="cellIs" dxfId="61" priority="4" operator="between">
      <formula>0.8</formula>
      <formula>0.94999999</formula>
    </cfRule>
  </conditionalFormatting>
  <dataValidations disablePrompts="1" count="1">
    <dataValidation type="list" allowBlank="1" showInputMessage="1" showErrorMessage="1" sqref="O2 I2:I539" xr:uid="{4EE032CD-3A4D-4977-A2CC-D372C20E9083}">
      <formula1>"Creciente,Decreciente"</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C83894B0FD43243AFDD48C482A1AA52" ma:contentTypeVersion="9" ma:contentTypeDescription="Crear nuevo documento." ma:contentTypeScope="" ma:versionID="fff879e40a921a5f33837bc4dde1ca2d">
  <xsd:schema xmlns:xsd="http://www.w3.org/2001/XMLSchema" xmlns:xs="http://www.w3.org/2001/XMLSchema" xmlns:p="http://schemas.microsoft.com/office/2006/metadata/properties" xmlns:ns2="bf3e4c2b-9e01-405a-89e7-28b5dff783ed" xmlns:ns3="877e223a-fc80-42f6-9686-435a584d9b90" targetNamespace="http://schemas.microsoft.com/office/2006/metadata/properties" ma:root="true" ma:fieldsID="3c03866741200162d205fe5d546cd7c9" ns2:_="" ns3:_="">
    <xsd:import namespace="bf3e4c2b-9e01-405a-89e7-28b5dff783ed"/>
    <xsd:import namespace="877e223a-fc80-42f6-9686-435a584d9b9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e4c2b-9e01-405a-89e7-28b5dff783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7e223a-fc80-42f6-9686-435a584d9b90"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7B81E7-4D23-488B-BFA4-A2A9144F898F}">
  <ds:schemaRefs>
    <ds:schemaRef ds:uri="http://purl.org/dc/terms/"/>
    <ds:schemaRef ds:uri="http://schemas.openxmlformats.org/package/2006/metadata/core-properties"/>
    <ds:schemaRef ds:uri="http://purl.org/dc/dcmitype/"/>
    <ds:schemaRef ds:uri="http://schemas.microsoft.com/office/infopath/2007/PartnerControls"/>
    <ds:schemaRef ds:uri="877e223a-fc80-42f6-9686-435a584d9b90"/>
    <ds:schemaRef ds:uri="http://purl.org/dc/elements/1.1/"/>
    <ds:schemaRef ds:uri="http://schemas.microsoft.com/office/2006/documentManagement/types"/>
    <ds:schemaRef ds:uri="bf3e4c2b-9e01-405a-89e7-28b5dff783ed"/>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CE4DC4D2-034A-4BDB-8AE7-BA4D167A3FD7}">
  <ds:schemaRefs>
    <ds:schemaRef ds:uri="http://schemas.microsoft.com/sharepoint/v3/contenttype/forms"/>
  </ds:schemaRefs>
</ds:datastoreItem>
</file>

<file path=customXml/itemProps3.xml><?xml version="1.0" encoding="utf-8"?>
<ds:datastoreItem xmlns:ds="http://schemas.openxmlformats.org/officeDocument/2006/customXml" ds:itemID="{5C6069CA-9AB9-40FE-B519-0136931838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e4c2b-9e01-405a-89e7-28b5dff783ed"/>
    <ds:schemaRef ds:uri="877e223a-fc80-42f6-9686-435a584d9b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Negocios</vt:lpstr>
      <vt:lpstr>Detalle Regiones</vt:lpstr>
      <vt:lpstr>Ruta de trabajo</vt:lpstr>
      <vt:lpstr>Maestro de indicadores</vt:lpstr>
      <vt:lpstr>Árbol de Visión Anual</vt:lpstr>
      <vt:lpstr>Dinam_Elem_Vis_Anual_</vt:lpstr>
      <vt:lpstr>Elem_Vis_Anual_Anali</vt:lpstr>
      <vt:lpstr>Dinam_Elem_Vis_Seguim</vt:lpstr>
      <vt:lpstr>Dinam_Neg_Segim</vt:lpstr>
      <vt:lpstr>Dinam_Reg_Segim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Jaime Alberto Berrio Alzate</dc:creator>
  <cp:keywords/>
  <dc:description/>
  <cp:lastModifiedBy>Jaime Alberto Berrio Alzate</cp:lastModifiedBy>
  <cp:revision/>
  <dcterms:created xsi:type="dcterms:W3CDTF">2022-02-10T19:03:45Z</dcterms:created>
  <dcterms:modified xsi:type="dcterms:W3CDTF">2022-05-26T21:03:03Z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0x010100BC83894B0FD43243AFDD48C482A1AA52</vt:lpwstr>
  </property>
</Properties>
</file>