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autoCompressPictures="0" defaultThemeVersion="124226"/>
  <mc:AlternateContent xmlns:mc="http://schemas.openxmlformats.org/markup-compatibility/2006">
    <mc:Choice Requires="x15">
      <x15ac:absPath xmlns:x15ac="http://schemas.microsoft.com/office/spreadsheetml/2010/11/ac" url="C:\Users\jblascosaz\Downloads\"/>
    </mc:Choice>
  </mc:AlternateContent>
  <xr:revisionPtr revIDLastSave="0" documentId="13_ncr:1_{6D38AA8C-D055-4A7D-8031-3402F390F6E7}" xr6:coauthVersionLast="47" xr6:coauthVersionMax="47" xr10:uidLastSave="{00000000-0000-0000-0000-000000000000}"/>
  <workbookProtection workbookAlgorithmName="SHA-512" workbookHashValue="VeMEc32LVdCF0ABwqzA6OnCQizlfWphqUd+0ERzFQg67smzDY2gJMg9jjxZgy03K+lV0o5B6h2upo4BqxU/16Q==" workbookSaltValue="25GfkAOPS7ENJpoiHBPgRg==" workbookSpinCount="100000" lockStructure="1"/>
  <bookViews>
    <workbookView xWindow="-108" yWindow="-108" windowWidth="23256" windowHeight="12456" tabRatio="749" firstSheet="1" activeTab="1" xr2:uid="{00000000-000D-0000-FFFF-FFFF00000000}"/>
  </bookViews>
  <sheets>
    <sheet name="Home" sheetId="30" state="hidden" r:id="rId1"/>
    <sheet name="EURO2024" sheetId="3" r:id="rId2"/>
    <sheet name="Jugadores" sheetId="38" state="hidden" r:id="rId3"/>
    <sheet name="Horarios" sheetId="32" state="veryHidden" r:id="rId4"/>
    <sheet name="Idiomas" sheetId="36" state="veryHidden" r:id="rId5"/>
    <sheet name="Pool" sheetId="31" r:id="rId6"/>
    <sheet name="Fixture" sheetId="35" r:id="rId7"/>
    <sheet name="Equipos" sheetId="6" state="veryHidden" r:id="rId8"/>
  </sheets>
  <definedNames>
    <definedName name="_xlnm._FilterDatabase" localSheetId="1" hidden="1">EURO2024!$CA$43:$CGP$88</definedName>
    <definedName name="_xlnm._FilterDatabase" localSheetId="3" hidden="1">Horarios!$Q$2:$Q$57</definedName>
    <definedName name="·······">Equipos!$A$2:$D$25</definedName>
    <definedName name="Jugador">#REF!</definedName>
    <definedName name="Nivell">Equipos!$C$2:$C$25</definedName>
    <definedName name="NombreEquipo">Equipos!$B$2:$B$25</definedName>
    <definedName name="OK">Equipos!$A$2:$A$25</definedName>
    <definedName name="Pais">#REF!</definedName>
    <definedName name="Rank">Equipos!$D$2:$D$25</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6" i="31" l="1"/>
  <c r="B2" i="36"/>
  <c r="D188" i="36" s="1"/>
  <c r="D9" i="36"/>
  <c r="D132" i="36"/>
  <c r="D135" i="36"/>
  <c r="K5" i="6" s="1"/>
  <c r="D136" i="36"/>
  <c r="D139" i="36"/>
  <c r="K9" i="6" s="1"/>
  <c r="D140" i="36"/>
  <c r="K10" i="6" s="1"/>
  <c r="D143" i="36"/>
  <c r="K13" i="6" s="1"/>
  <c r="D144" i="36"/>
  <c r="D147" i="36"/>
  <c r="K17" i="6" s="1"/>
  <c r="D148" i="36"/>
  <c r="D151" i="36"/>
  <c r="K21" i="6" s="1"/>
  <c r="D152" i="36"/>
  <c r="D154" i="36"/>
  <c r="K24" i="6" s="1"/>
  <c r="D156" i="36"/>
  <c r="K26" i="6"/>
  <c r="D157" i="36"/>
  <c r="K27" i="6" s="1"/>
  <c r="D158" i="36"/>
  <c r="K28" i="6" s="1"/>
  <c r="D160" i="36"/>
  <c r="K30" i="6"/>
  <c r="D161" i="36"/>
  <c r="K31" i="6" s="1"/>
  <c r="D162" i="36"/>
  <c r="D164" i="36"/>
  <c r="K34" i="6"/>
  <c r="D165" i="36"/>
  <c r="K35" i="6" s="1"/>
  <c r="D166" i="36"/>
  <c r="K36" i="6" s="1"/>
  <c r="D168" i="36"/>
  <c r="K38" i="6"/>
  <c r="D169" i="36"/>
  <c r="K39" i="6" s="1"/>
  <c r="D170" i="36"/>
  <c r="D172" i="36"/>
  <c r="K42" i="6"/>
  <c r="D173" i="36"/>
  <c r="K43" i="6" s="1"/>
  <c r="D174" i="36"/>
  <c r="K44" i="6" s="1"/>
  <c r="D176" i="36"/>
  <c r="K46" i="6"/>
  <c r="D177" i="36"/>
  <c r="K47" i="6" s="1"/>
  <c r="D178" i="36"/>
  <c r="D180" i="36"/>
  <c r="K50" i="6"/>
  <c r="D181" i="36"/>
  <c r="K51" i="6" s="1"/>
  <c r="D182" i="36"/>
  <c r="D184" i="36"/>
  <c r="K54" i="6"/>
  <c r="D185" i="36"/>
  <c r="H22" i="6" s="1"/>
  <c r="B22" i="6" s="1"/>
  <c r="D189" i="36"/>
  <c r="D187" i="36"/>
  <c r="H14" i="6"/>
  <c r="B14" i="6" s="1"/>
  <c r="AW13" i="3"/>
  <c r="D3" i="35"/>
  <c r="P10" i="35"/>
  <c r="D198" i="36"/>
  <c r="AW12" i="3"/>
  <c r="AW11" i="3"/>
  <c r="AW10" i="3"/>
  <c r="AW9" i="3"/>
  <c r="AW8" i="3"/>
  <c r="AW7" i="3"/>
  <c r="DM60" i="3"/>
  <c r="DN60" i="3"/>
  <c r="DO60" i="3"/>
  <c r="DP60" i="3"/>
  <c r="DQ60" i="3"/>
  <c r="DR60" i="3"/>
  <c r="DS60" i="3"/>
  <c r="DT60" i="3"/>
  <c r="DU60" i="3"/>
  <c r="DV60" i="3"/>
  <c r="DW60" i="3"/>
  <c r="DX60" i="3"/>
  <c r="DY60" i="3"/>
  <c r="DZ60" i="3"/>
  <c r="EA60" i="3"/>
  <c r="EB60" i="3"/>
  <c r="EC60" i="3"/>
  <c r="ED60" i="3"/>
  <c r="EE60" i="3"/>
  <c r="EF60" i="3"/>
  <c r="DL60" i="3"/>
  <c r="CW3" i="3"/>
  <c r="CX3" i="3"/>
  <c r="CY3" i="3"/>
  <c r="CZ3" i="3"/>
  <c r="DA3" i="3"/>
  <c r="DB3" i="3"/>
  <c r="DC3" i="3"/>
  <c r="DD3" i="3"/>
  <c r="DP9" i="3"/>
  <c r="DL9" i="3"/>
  <c r="DM9" i="3"/>
  <c r="DH9" i="3"/>
  <c r="DI9" i="3"/>
  <c r="DJ9" i="3"/>
  <c r="DK9" i="3"/>
  <c r="DN9" i="3"/>
  <c r="DO9" i="3"/>
  <c r="DG9" i="3"/>
  <c r="AW19" i="35"/>
  <c r="AW11" i="35"/>
  <c r="AW3" i="35"/>
  <c r="I19" i="35"/>
  <c r="I11" i="35"/>
  <c r="B3" i="36"/>
  <c r="O4" i="3"/>
  <c r="O6" i="3"/>
  <c r="O7" i="3"/>
  <c r="O8" i="3"/>
  <c r="O9" i="3"/>
  <c r="O14" i="3"/>
  <c r="O15" i="3"/>
  <c r="O5" i="3"/>
  <c r="O49" i="3"/>
  <c r="C28" i="3"/>
  <c r="C4" i="3"/>
  <c r="C12" i="3"/>
  <c r="C20" i="3"/>
  <c r="C36" i="3"/>
  <c r="C44" i="3"/>
  <c r="CD52" i="3"/>
  <c r="CE52" i="3"/>
  <c r="CF52" i="3"/>
  <c r="CG52" i="3"/>
  <c r="CH52" i="3"/>
  <c r="CI52" i="3"/>
  <c r="CJ52" i="3"/>
  <c r="CK52" i="3"/>
  <c r="CL52" i="3"/>
  <c r="CM52" i="3"/>
  <c r="CN52" i="3"/>
  <c r="CO52" i="3"/>
  <c r="CP52" i="3"/>
  <c r="CQ52" i="3"/>
  <c r="CR52" i="3"/>
  <c r="CS52" i="3"/>
  <c r="CT52" i="3"/>
  <c r="CU52" i="3"/>
  <c r="CV52" i="3"/>
  <c r="CW52" i="3"/>
  <c r="CX52" i="3"/>
  <c r="CY52" i="3"/>
  <c r="CZ52" i="3"/>
  <c r="DA52" i="3"/>
  <c r="DB52" i="3"/>
  <c r="DC52" i="3"/>
  <c r="DD52" i="3"/>
  <c r="DE52" i="3"/>
  <c r="DF52" i="3"/>
  <c r="DG52" i="3"/>
  <c r="DH52" i="3"/>
  <c r="DI52" i="3"/>
  <c r="AB14" i="35"/>
  <c r="AA14" i="35"/>
  <c r="AB13" i="35"/>
  <c r="AA13" i="35"/>
  <c r="AE14" i="35"/>
  <c r="AD14" i="35"/>
  <c r="AE13" i="35"/>
  <c r="AD13" i="35"/>
  <c r="X14" i="35"/>
  <c r="W14" i="35"/>
  <c r="X13" i="35"/>
  <c r="W13" i="35"/>
  <c r="AI7" i="35"/>
  <c r="AH7" i="35"/>
  <c r="AI6" i="35"/>
  <c r="AH6" i="35"/>
  <c r="AI21" i="35"/>
  <c r="AH21" i="35"/>
  <c r="AI20" i="35"/>
  <c r="AH20" i="35"/>
  <c r="T21" i="35"/>
  <c r="S21" i="35"/>
  <c r="T20" i="35"/>
  <c r="S20" i="35"/>
  <c r="T7" i="35"/>
  <c r="S7" i="35"/>
  <c r="T6" i="35"/>
  <c r="S6" i="35"/>
  <c r="AM4" i="35"/>
  <c r="AL4" i="35"/>
  <c r="AM3" i="35"/>
  <c r="AL3" i="35"/>
  <c r="AM10" i="35"/>
  <c r="AL10" i="35"/>
  <c r="AM9" i="35"/>
  <c r="AL9" i="35"/>
  <c r="AM24" i="35"/>
  <c r="AL24" i="35"/>
  <c r="AM23" i="35"/>
  <c r="AL23" i="35"/>
  <c r="AL18" i="35"/>
  <c r="AL17" i="35"/>
  <c r="AM18" i="35"/>
  <c r="AM17" i="35"/>
  <c r="O10" i="35"/>
  <c r="P9" i="35"/>
  <c r="O9" i="35"/>
  <c r="P4" i="35"/>
  <c r="O4" i="35"/>
  <c r="P3" i="35"/>
  <c r="O3" i="35"/>
  <c r="P24" i="35"/>
  <c r="O24" i="35"/>
  <c r="P23" i="35"/>
  <c r="O23" i="35"/>
  <c r="P18" i="35"/>
  <c r="P17" i="35"/>
  <c r="O18" i="35"/>
  <c r="O17" i="35"/>
  <c r="AS3" i="35"/>
  <c r="AR3" i="35"/>
  <c r="AR12" i="35"/>
  <c r="AS12" i="35"/>
  <c r="AR13" i="35"/>
  <c r="AS13" i="35"/>
  <c r="AR14" i="35"/>
  <c r="AS14" i="35"/>
  <c r="AR15" i="35"/>
  <c r="AS15" i="35"/>
  <c r="AR16" i="35"/>
  <c r="AS16" i="35"/>
  <c r="AS11" i="35"/>
  <c r="AR11" i="35"/>
  <c r="AR24" i="35"/>
  <c r="AS24" i="35"/>
  <c r="AR21" i="35"/>
  <c r="AS21" i="35"/>
  <c r="AR22" i="35"/>
  <c r="AS22" i="35"/>
  <c r="AR23" i="35"/>
  <c r="AS23" i="35"/>
  <c r="AS20" i="35"/>
  <c r="AR20" i="35"/>
  <c r="AS19" i="35"/>
  <c r="AR19" i="35"/>
  <c r="E24" i="35"/>
  <c r="D24" i="35"/>
  <c r="E23" i="35"/>
  <c r="D23" i="35"/>
  <c r="E22" i="35"/>
  <c r="D22" i="35"/>
  <c r="E21" i="35"/>
  <c r="D21" i="35"/>
  <c r="E20" i="35"/>
  <c r="D20" i="35"/>
  <c r="E19" i="35"/>
  <c r="D19" i="35"/>
  <c r="E16" i="35"/>
  <c r="D16" i="35"/>
  <c r="E15" i="35"/>
  <c r="D15" i="35"/>
  <c r="E14" i="35"/>
  <c r="D14" i="35"/>
  <c r="E13" i="35"/>
  <c r="D13" i="35"/>
  <c r="E12" i="35"/>
  <c r="D12" i="35"/>
  <c r="E11" i="35"/>
  <c r="D11" i="35"/>
  <c r="AS8" i="35"/>
  <c r="AR8" i="35"/>
  <c r="E8" i="35"/>
  <c r="D8" i="35"/>
  <c r="AS7" i="35"/>
  <c r="AR7" i="35"/>
  <c r="E7" i="35"/>
  <c r="D7" i="35"/>
  <c r="AS6" i="35"/>
  <c r="AR6" i="35"/>
  <c r="E6" i="35"/>
  <c r="D6" i="35"/>
  <c r="AS5" i="35"/>
  <c r="AR5" i="35"/>
  <c r="E5" i="35"/>
  <c r="D5" i="35"/>
  <c r="AS4" i="35"/>
  <c r="AR4" i="35"/>
  <c r="E4" i="35"/>
  <c r="D4" i="35"/>
  <c r="E3" i="35"/>
  <c r="AGU62" i="30" a="1"/>
  <c r="AGU62" i="30" s="1"/>
  <c r="AGT62" i="30" a="1"/>
  <c r="AGT62" i="30"/>
  <c r="AGB62" i="30" a="1"/>
  <c r="AGB62" i="30" s="1"/>
  <c r="AGB61" i="30" a="1"/>
  <c r="AGB61" i="30" s="1"/>
  <c r="AGB60" i="30" a="1"/>
  <c r="AGB60" i="30" s="1"/>
  <c r="AGB59" i="30" a="1"/>
  <c r="AGB59" i="30"/>
  <c r="AGB58" i="30" a="1"/>
  <c r="AGB58" i="30" s="1"/>
  <c r="AGB57" i="30" a="1"/>
  <c r="AGB57" i="30" s="1"/>
  <c r="AGA62" i="30" a="1"/>
  <c r="AGA62" i="30" s="1"/>
  <c r="AGA61" i="30" a="1"/>
  <c r="AGA61" i="30"/>
  <c r="AGA60" i="30" a="1"/>
  <c r="AGA60" i="30" s="1"/>
  <c r="AGA59" i="30" a="1"/>
  <c r="AGA59" i="30" s="1"/>
  <c r="AGA58" i="30" a="1"/>
  <c r="AGA58" i="30" s="1"/>
  <c r="AGA57" i="30" a="1"/>
  <c r="AGA57" i="30"/>
  <c r="AFZ57" i="30" a="1"/>
  <c r="AFZ57" i="30" s="1"/>
  <c r="AFZ58" i="30" a="1"/>
  <c r="AFZ58" i="30" s="1"/>
  <c r="AFZ59" i="30" a="1"/>
  <c r="AFZ59" i="30" s="1"/>
  <c r="AFZ60" i="30" a="1"/>
  <c r="AFZ60" i="30"/>
  <c r="AFZ61" i="30" a="1"/>
  <c r="AFZ61" i="30" s="1"/>
  <c r="AFZ62" i="30" a="1"/>
  <c r="AFZ62" i="30" s="1"/>
  <c r="AFW60" i="30" a="1"/>
  <c r="AFW60" i="30" s="1"/>
  <c r="AFW61" i="30" a="1"/>
  <c r="AFW61" i="30"/>
  <c r="AFW62" i="30" a="1"/>
  <c r="AFW62" i="30" s="1"/>
  <c r="AFV62" i="30" a="1"/>
  <c r="AFV62" i="30" s="1"/>
  <c r="AFV61" i="30" a="1"/>
  <c r="AFV61" i="30" s="1"/>
  <c r="AFV60" i="30" a="1"/>
  <c r="AFV60" i="30"/>
  <c r="JV62" i="30" a="1"/>
  <c r="JV62" i="30" s="1"/>
  <c r="JV61" i="30" a="1"/>
  <c r="JV61" i="30" s="1"/>
  <c r="JV60" i="30" a="1"/>
  <c r="JV60" i="30" s="1"/>
  <c r="JV59" i="30" a="1"/>
  <c r="JV59" i="30"/>
  <c r="C17" i="31"/>
  <c r="C28" i="31"/>
  <c r="C29" i="31"/>
  <c r="C40" i="31"/>
  <c r="C41" i="31"/>
  <c r="C16" i="31"/>
  <c r="C15" i="31"/>
  <c r="C26" i="31"/>
  <c r="C27" i="31"/>
  <c r="C38" i="31"/>
  <c r="C39" i="31"/>
  <c r="C14" i="31"/>
  <c r="C13" i="31"/>
  <c r="C24" i="31"/>
  <c r="C25" i="31"/>
  <c r="C36" i="31"/>
  <c r="C37" i="31"/>
  <c r="C12" i="31"/>
  <c r="O37" i="3"/>
  <c r="O48" i="3"/>
  <c r="O47" i="3"/>
  <c r="O46" i="3"/>
  <c r="O45" i="3"/>
  <c r="O44" i="3"/>
  <c r="O41" i="3"/>
  <c r="O40" i="3"/>
  <c r="O39" i="3"/>
  <c r="O38" i="3"/>
  <c r="O36" i="3"/>
  <c r="O33" i="3"/>
  <c r="O32" i="3"/>
  <c r="O31" i="3"/>
  <c r="O30" i="3"/>
  <c r="O29" i="3"/>
  <c r="O28" i="3"/>
  <c r="C11" i="31"/>
  <c r="C22" i="31"/>
  <c r="C23" i="31"/>
  <c r="C34" i="31"/>
  <c r="C35" i="31"/>
  <c r="C10" i="31"/>
  <c r="C9" i="31"/>
  <c r="C20" i="31"/>
  <c r="C21" i="31"/>
  <c r="C32" i="31"/>
  <c r="C33" i="31"/>
  <c r="C8" i="31"/>
  <c r="C7" i="31"/>
  <c r="C18" i="31"/>
  <c r="C19" i="31"/>
  <c r="C30" i="31"/>
  <c r="C31" i="31"/>
  <c r="O25" i="3"/>
  <c r="O24" i="3"/>
  <c r="O23" i="3"/>
  <c r="O22" i="3"/>
  <c r="O21" i="3"/>
  <c r="O20" i="3"/>
  <c r="O17" i="3"/>
  <c r="O16" i="3"/>
  <c r="O13" i="3"/>
  <c r="O12" i="3"/>
  <c r="D55" i="36"/>
  <c r="D195" i="36"/>
  <c r="D197" i="36"/>
  <c r="D196" i="36"/>
  <c r="R9" i="30"/>
  <c r="D56" i="36"/>
  <c r="D57" i="36"/>
  <c r="D8" i="36"/>
  <c r="D31" i="36"/>
  <c r="E93" i="3" s="1"/>
  <c r="B133" i="31" s="1"/>
  <c r="D78" i="36"/>
  <c r="E108" i="31" s="1"/>
  <c r="D35" i="36"/>
  <c r="E97" i="3" s="1"/>
  <c r="D70" i="36"/>
  <c r="E4" i="31"/>
  <c r="D88" i="36"/>
  <c r="B87" i="31" s="1"/>
  <c r="D34" i="36"/>
  <c r="D26" i="36"/>
  <c r="E80" i="3" s="1"/>
  <c r="D64" i="36"/>
  <c r="C1" i="31"/>
  <c r="D82" i="36"/>
  <c r="D6" i="31" s="1"/>
  <c r="D119" i="36"/>
  <c r="B67" i="31"/>
  <c r="D14" i="36"/>
  <c r="F3" i="3"/>
  <c r="F11" i="3" s="1"/>
  <c r="D38" i="36"/>
  <c r="S86" i="3"/>
  <c r="D74" i="36"/>
  <c r="E30" i="31" s="1"/>
  <c r="D92" i="36"/>
  <c r="B119" i="31" s="1"/>
  <c r="D15" i="36"/>
  <c r="G3" i="3" s="1"/>
  <c r="D28" i="36"/>
  <c r="I88" i="3" s="1"/>
  <c r="D40" i="36"/>
  <c r="S87" i="3" s="1"/>
  <c r="D67" i="36"/>
  <c r="C4" i="31" s="1"/>
  <c r="D75" i="36"/>
  <c r="E86" i="31" s="1"/>
  <c r="D84" i="36"/>
  <c r="D30" i="31" s="1"/>
  <c r="D93" i="36"/>
  <c r="B123" i="31" s="1"/>
  <c r="D111" i="36"/>
  <c r="B59" i="31" s="1"/>
  <c r="D5" i="36"/>
  <c r="D23" i="36"/>
  <c r="E53" i="3" s="1"/>
  <c r="D47" i="36"/>
  <c r="W5" i="3" s="1"/>
  <c r="D79" i="36"/>
  <c r="E120" i="31"/>
  <c r="D97" i="36"/>
  <c r="B45" i="31" s="1"/>
  <c r="D13" i="36"/>
  <c r="I1" i="3"/>
  <c r="D39" i="36"/>
  <c r="R87" i="3"/>
  <c r="D72" i="36"/>
  <c r="E6" i="31"/>
  <c r="D91" i="36"/>
  <c r="B113" i="31" s="1"/>
  <c r="D53" i="36"/>
  <c r="H8" i="3"/>
  <c r="D27" i="36"/>
  <c r="E84" i="3" s="1"/>
  <c r="D65" i="36"/>
  <c r="B2" i="31" s="1"/>
  <c r="D83" i="36"/>
  <c r="D18" i="31" s="1"/>
  <c r="D113" i="36"/>
  <c r="B61" i="31" s="1"/>
  <c r="D16" i="36"/>
  <c r="H3" i="3" s="1"/>
  <c r="H19" i="3" s="1"/>
  <c r="H35" i="3" s="1"/>
  <c r="D29" i="36"/>
  <c r="D41" i="36"/>
  <c r="Q5" i="3"/>
  <c r="D68" i="36"/>
  <c r="E1" i="31" s="1"/>
  <c r="D76" i="36"/>
  <c r="E87" i="31"/>
  <c r="D85" i="36"/>
  <c r="B5" i="31" s="1"/>
  <c r="D94" i="36"/>
  <c r="B127" i="31"/>
  <c r="D48" i="36"/>
  <c r="X5" i="3"/>
  <c r="X29" i="3" s="1"/>
  <c r="D110" i="36"/>
  <c r="B58" i="31" s="1"/>
  <c r="D22" i="36"/>
  <c r="P52" i="3" s="1"/>
  <c r="D21" i="36"/>
  <c r="AB3" i="3" s="1"/>
  <c r="D30" i="36"/>
  <c r="AG29" i="35" s="1"/>
  <c r="D45" i="36"/>
  <c r="U5" i="3"/>
  <c r="U45" i="3" s="1"/>
  <c r="D69" i="36"/>
  <c r="E3" i="31" s="1"/>
  <c r="D77" i="36"/>
  <c r="E88" i="31" s="1"/>
  <c r="D86" i="36"/>
  <c r="B43" i="31" s="1"/>
  <c r="D58" i="36"/>
  <c r="D50" i="36"/>
  <c r="Z5" i="3" s="1"/>
  <c r="D109" i="36"/>
  <c r="B57" i="31" s="1"/>
  <c r="D192" i="36"/>
  <c r="L2" i="32" s="1"/>
  <c r="D46" i="36"/>
  <c r="V5" i="3"/>
  <c r="D87" i="36"/>
  <c r="B69" i="31"/>
  <c r="D61" i="36"/>
  <c r="D102" i="36"/>
  <c r="B50" i="31" s="1"/>
  <c r="AA37" i="32"/>
  <c r="D24" i="36"/>
  <c r="E63" i="3" s="1"/>
  <c r="D37" i="36"/>
  <c r="R86" i="3" s="1"/>
  <c r="D49" i="36"/>
  <c r="Y5" i="3" s="1"/>
  <c r="Y45" i="3" s="1"/>
  <c r="D71" i="36"/>
  <c r="E5" i="31"/>
  <c r="D80" i="36"/>
  <c r="E128" i="31" s="1"/>
  <c r="D90" i="36"/>
  <c r="B107" i="31"/>
  <c r="D96" i="36"/>
  <c r="B44" i="31"/>
  <c r="D120" i="36"/>
  <c r="B70" i="31"/>
  <c r="B71" i="31"/>
  <c r="B72" i="31" s="1"/>
  <c r="B73" i="31" s="1"/>
  <c r="B74" i="31" s="1"/>
  <c r="B75" i="31" s="1"/>
  <c r="B76" i="31" s="1"/>
  <c r="B77" i="31" s="1"/>
  <c r="B78" i="31" s="1"/>
  <c r="B79" i="31" s="1"/>
  <c r="B80" i="31" s="1"/>
  <c r="B81" i="31" s="1"/>
  <c r="B82" i="31" s="1"/>
  <c r="B83" i="31" s="1"/>
  <c r="B84" i="31" s="1"/>
  <c r="B85" i="31" s="1"/>
  <c r="AA36" i="32"/>
  <c r="AD36" i="32"/>
  <c r="AW6" i="3"/>
  <c r="AW5" i="3"/>
  <c r="AW4" i="3"/>
  <c r="D36" i="36"/>
  <c r="C3" i="31" s="1"/>
  <c r="D112" i="36"/>
  <c r="B60" i="31" s="1"/>
  <c r="D101" i="36"/>
  <c r="B49" i="31" s="1"/>
  <c r="D44" i="36"/>
  <c r="T5" i="3" s="1"/>
  <c r="D105" i="36"/>
  <c r="B53" i="31"/>
  <c r="D121" i="36"/>
  <c r="B98" i="31" s="1"/>
  <c r="B99" i="31" s="1"/>
  <c r="B100" i="31"/>
  <c r="B101" i="31" s="1"/>
  <c r="B102" i="31" s="1"/>
  <c r="B103" i="31" s="1"/>
  <c r="B104" i="31"/>
  <c r="B105" i="31" s="1"/>
  <c r="D20" i="36"/>
  <c r="Q3" i="3" s="1"/>
  <c r="Q20" i="3" s="1"/>
  <c r="Q36" i="3"/>
  <c r="D25" i="36"/>
  <c r="D32" i="36"/>
  <c r="E94" i="3" s="1"/>
  <c r="B134" i="31" s="1"/>
  <c r="D43" i="36"/>
  <c r="S5" i="3" s="1"/>
  <c r="D66" i="36"/>
  <c r="B3" i="31" s="1"/>
  <c r="D73" i="36"/>
  <c r="E18" i="31" s="1"/>
  <c r="D81" i="36"/>
  <c r="E133" i="31"/>
  <c r="D89" i="36"/>
  <c r="B97" i="31" s="1"/>
  <c r="D59" i="36"/>
  <c r="D6" i="36"/>
  <c r="F7" i="30"/>
  <c r="D118" i="36"/>
  <c r="B66" i="31"/>
  <c r="D104" i="36"/>
  <c r="B52" i="31"/>
  <c r="D122" i="36"/>
  <c r="B114" i="31"/>
  <c r="B115" i="31" s="1"/>
  <c r="B116" i="31" s="1"/>
  <c r="B117" i="31" s="1"/>
  <c r="D60" i="36"/>
  <c r="D7" i="36"/>
  <c r="B7" i="30" s="1"/>
  <c r="D117" i="36"/>
  <c r="B65" i="31"/>
  <c r="D103" i="36"/>
  <c r="B51" i="31"/>
  <c r="D52" i="36"/>
  <c r="H6" i="3"/>
  <c r="H22" i="3"/>
  <c r="L3" i="35"/>
  <c r="D33" i="36"/>
  <c r="D116" i="36"/>
  <c r="B64" i="31" s="1"/>
  <c r="D108" i="36"/>
  <c r="B56" i="31"/>
  <c r="D100" i="36"/>
  <c r="B48" i="31" s="1"/>
  <c r="D19" i="36"/>
  <c r="N3" i="3" s="1"/>
  <c r="N11" i="3"/>
  <c r="N27" i="3" s="1"/>
  <c r="N43" i="3" s="1"/>
  <c r="D4" i="36"/>
  <c r="D115" i="36"/>
  <c r="B63" i="31"/>
  <c r="D107" i="36"/>
  <c r="B55" i="31"/>
  <c r="D99" i="36"/>
  <c r="B47" i="31"/>
  <c r="D123" i="36"/>
  <c r="B124" i="31"/>
  <c r="B125" i="31" s="1"/>
  <c r="D18" i="36"/>
  <c r="K3" i="3" s="1"/>
  <c r="K85" i="3" s="1"/>
  <c r="D42" i="36"/>
  <c r="R5" i="3" s="1"/>
  <c r="R37" i="3" s="1"/>
  <c r="D12" i="36"/>
  <c r="E1" i="3"/>
  <c r="D95" i="36"/>
  <c r="B130" i="31"/>
  <c r="D114" i="36"/>
  <c r="B62" i="31"/>
  <c r="D106" i="36"/>
  <c r="B54" i="31"/>
  <c r="D98" i="36"/>
  <c r="B46" i="31"/>
  <c r="D51" i="36"/>
  <c r="H4" i="3"/>
  <c r="D17" i="36"/>
  <c r="I3" i="3" s="1"/>
  <c r="AA45" i="32"/>
  <c r="G11" i="3"/>
  <c r="G27" i="3" s="1"/>
  <c r="G43" i="3"/>
  <c r="K20" i="30"/>
  <c r="AD60" i="32"/>
  <c r="AD76" i="32"/>
  <c r="AD92" i="32"/>
  <c r="AD58" i="32"/>
  <c r="AD90" i="32"/>
  <c r="AD69" i="32"/>
  <c r="AD85" i="32"/>
  <c r="AD87" i="32"/>
  <c r="AD65" i="32"/>
  <c r="AD59" i="32"/>
  <c r="AD70" i="32"/>
  <c r="AD86" i="32"/>
  <c r="AD74" i="32"/>
  <c r="AD67" i="32"/>
  <c r="AD71" i="32"/>
  <c r="AD82" i="32"/>
  <c r="AD64" i="32"/>
  <c r="AD72" i="32"/>
  <c r="AD80" i="32"/>
  <c r="R8" i="30"/>
  <c r="J20" i="30"/>
  <c r="I20" i="30"/>
  <c r="R6" i="30"/>
  <c r="Q29" i="35"/>
  <c r="E90" i="3"/>
  <c r="B132" i="31"/>
  <c r="E89" i="3"/>
  <c r="B131" i="31" s="1"/>
  <c r="AK29" i="35"/>
  <c r="AC29" i="35"/>
  <c r="E74" i="3"/>
  <c r="Y29" i="35"/>
  <c r="F27" i="3"/>
  <c r="F43" i="3" s="1"/>
  <c r="H33" i="3"/>
  <c r="F81" i="3"/>
  <c r="F85" i="3"/>
  <c r="H24" i="3"/>
  <c r="H41" i="3"/>
  <c r="H25" i="3"/>
  <c r="H48" i="3"/>
  <c r="H49" i="3"/>
  <c r="H16" i="3"/>
  <c r="V21" i="3"/>
  <c r="Q45" i="3"/>
  <c r="G64" i="3"/>
  <c r="E54" i="3"/>
  <c r="H11" i="3"/>
  <c r="H27" i="3" s="1"/>
  <c r="H43" i="3"/>
  <c r="G75" i="3"/>
  <c r="G81" i="3"/>
  <c r="X13" i="3"/>
  <c r="Q28" i="3"/>
  <c r="AY28" i="3"/>
  <c r="AA22" i="32"/>
  <c r="G54" i="3"/>
  <c r="U37" i="3"/>
  <c r="H29" i="3"/>
  <c r="H7" i="3"/>
  <c r="S13" i="3"/>
  <c r="I54" i="3"/>
  <c r="S45" i="3"/>
  <c r="H30" i="3"/>
  <c r="S29" i="3"/>
  <c r="O97" i="3"/>
  <c r="AZ11" i="35"/>
  <c r="Z21" i="3"/>
  <c r="Q44" i="3"/>
  <c r="AY44" i="3" s="1"/>
  <c r="Q4" i="3"/>
  <c r="AY4" i="3"/>
  <c r="H39" i="3"/>
  <c r="Q12" i="3"/>
  <c r="AY12" i="3" s="1"/>
  <c r="H45" i="3"/>
  <c r="AZ19" i="35"/>
  <c r="H20" i="3"/>
  <c r="H28" i="3"/>
  <c r="H15" i="3"/>
  <c r="H12" i="3"/>
  <c r="H5" i="3"/>
  <c r="R21" i="3"/>
  <c r="AA14" i="32"/>
  <c r="AD14" i="32" s="1"/>
  <c r="L3" i="3"/>
  <c r="N81" i="3"/>
  <c r="H17" i="6"/>
  <c r="Z37" i="3"/>
  <c r="H21" i="3"/>
  <c r="Z45" i="3"/>
  <c r="H37" i="3"/>
  <c r="H23" i="3"/>
  <c r="AY20" i="3"/>
  <c r="H14" i="3"/>
  <c r="H46" i="3"/>
  <c r="H5" i="6"/>
  <c r="AA44" i="32"/>
  <c r="AD44" i="32" s="1"/>
  <c r="H38" i="3"/>
  <c r="N19" i="3"/>
  <c r="N35" i="3" s="1"/>
  <c r="AA25" i="32"/>
  <c r="AD25" i="32" s="1"/>
  <c r="H3" i="35"/>
  <c r="AV3" i="35"/>
  <c r="N85" i="3"/>
  <c r="AA47" i="32"/>
  <c r="AD47" i="32"/>
  <c r="AA52" i="32"/>
  <c r="AD52" i="32" s="1"/>
  <c r="AA10" i="32"/>
  <c r="AD10" i="32"/>
  <c r="H10" i="6"/>
  <c r="R13" i="3"/>
  <c r="AA31" i="32"/>
  <c r="AA32" i="32"/>
  <c r="AD32" i="32" s="1"/>
  <c r="AA40" i="32"/>
  <c r="AD40" i="32" s="1"/>
  <c r="AA43" i="32"/>
  <c r="AD43" i="32"/>
  <c r="AA55" i="32"/>
  <c r="AD55" i="32" s="1"/>
  <c r="H7" i="6"/>
  <c r="AA39" i="32"/>
  <c r="AD39" i="32"/>
  <c r="AA18" i="32"/>
  <c r="AA27" i="32"/>
  <c r="AD27" i="32" s="1"/>
  <c r="H12" i="6"/>
  <c r="AA29" i="32"/>
  <c r="AA35" i="32"/>
  <c r="AD35" i="32"/>
  <c r="AA48" i="32"/>
  <c r="AD48" i="32"/>
  <c r="AA56" i="32"/>
  <c r="AD56" i="32"/>
  <c r="H24" i="6"/>
  <c r="AA51" i="32"/>
  <c r="AD51" i="32" s="1"/>
  <c r="AA6" i="32"/>
  <c r="AD6" i="32"/>
  <c r="AA28" i="32"/>
  <c r="AD28" i="32" s="1"/>
  <c r="H13" i="6"/>
  <c r="AA7" i="32"/>
  <c r="K11" i="3"/>
  <c r="K19" i="3"/>
  <c r="K35" i="3"/>
  <c r="K43" i="3"/>
  <c r="K75" i="3"/>
  <c r="H6" i="6"/>
  <c r="AA15" i="32"/>
  <c r="AD15" i="32"/>
  <c r="AA11" i="32"/>
  <c r="H4" i="6"/>
  <c r="H20" i="30"/>
  <c r="L81" i="3"/>
  <c r="L85" i="3"/>
  <c r="L64" i="3"/>
  <c r="L43" i="3"/>
  <c r="AH4" i="3"/>
  <c r="L27" i="3"/>
  <c r="AH12" i="3"/>
  <c r="AH20" i="3"/>
  <c r="B5" i="6"/>
  <c r="P33" i="35"/>
  <c r="P50" i="35"/>
  <c r="B7" i="6"/>
  <c r="P35" i="35"/>
  <c r="B12" i="6"/>
  <c r="P40" i="35" s="1"/>
  <c r="B13" i="6"/>
  <c r="P41" i="35" s="1"/>
  <c r="P42" i="35"/>
  <c r="B10" i="6"/>
  <c r="P38" i="35"/>
  <c r="B17" i="6"/>
  <c r="P45" i="35" s="1"/>
  <c r="L75" i="3"/>
  <c r="AH28" i="3"/>
  <c r="L35" i="3"/>
  <c r="AH44" i="3"/>
  <c r="L19" i="3"/>
  <c r="L11" i="3"/>
  <c r="AV11" i="35"/>
  <c r="H19" i="35"/>
  <c r="AV19" i="35"/>
  <c r="H11" i="35"/>
  <c r="B4" i="6"/>
  <c r="P32" i="35" s="1"/>
  <c r="B6" i="6"/>
  <c r="P34" i="35"/>
  <c r="A29" i="3" a="1"/>
  <c r="A21" i="3" a="1"/>
  <c r="A7" i="3" a="1"/>
  <c r="A8" i="3" a="1"/>
  <c r="A14" i="3" a="1"/>
  <c r="A24" i="3" a="1"/>
  <c r="A13" i="3" a="1"/>
  <c r="A45" i="3" a="1"/>
  <c r="A23" i="3" a="1"/>
  <c r="A32" i="3" a="1"/>
  <c r="AA3" i="32" l="1"/>
  <c r="K2" i="6"/>
  <c r="H9" i="6"/>
  <c r="AD37" i="32"/>
  <c r="W37" i="3"/>
  <c r="W21" i="3"/>
  <c r="W29" i="3"/>
  <c r="K54" i="3"/>
  <c r="W45" i="3"/>
  <c r="W13" i="3"/>
  <c r="I75" i="3"/>
  <c r="I85" i="3"/>
  <c r="I64" i="3"/>
  <c r="I81" i="3"/>
  <c r="I19" i="3"/>
  <c r="I35" i="3" s="1"/>
  <c r="I11" i="3"/>
  <c r="I27" i="3" s="1"/>
  <c r="I43" i="3" s="1"/>
  <c r="AD11" i="32"/>
  <c r="B24" i="6"/>
  <c r="AD29" i="32"/>
  <c r="AD31" i="32"/>
  <c r="J3" i="35"/>
  <c r="H54" i="3"/>
  <c r="T29" i="3"/>
  <c r="T21" i="3"/>
  <c r="T37" i="3"/>
  <c r="T45" i="3"/>
  <c r="T13" i="3"/>
  <c r="AD7" i="32"/>
  <c r="AD22" i="32"/>
  <c r="AY36" i="3"/>
  <c r="AH36" i="3"/>
  <c r="AD18" i="32"/>
  <c r="K56" i="6"/>
  <c r="AA57" i="32"/>
  <c r="H21" i="6"/>
  <c r="K48" i="6"/>
  <c r="AA49" i="32"/>
  <c r="H25" i="6"/>
  <c r="K40" i="6"/>
  <c r="AA41" i="32"/>
  <c r="K32" i="6"/>
  <c r="AA33" i="32"/>
  <c r="M54" i="3"/>
  <c r="Y13" i="3"/>
  <c r="Y29" i="3"/>
  <c r="Y37" i="3"/>
  <c r="V29" i="3"/>
  <c r="J54" i="3"/>
  <c r="V45" i="3"/>
  <c r="V13" i="3"/>
  <c r="V37" i="3"/>
  <c r="Y21" i="3"/>
  <c r="AD45" i="32"/>
  <c r="H44" i="3"/>
  <c r="H36" i="3"/>
  <c r="H13" i="3"/>
  <c r="P93" i="3"/>
  <c r="Q37" i="3"/>
  <c r="Q21" i="3"/>
  <c r="Q13" i="3"/>
  <c r="Q29" i="3"/>
  <c r="K22" i="6"/>
  <c r="AA23" i="32"/>
  <c r="L11" i="35"/>
  <c r="L19" i="35"/>
  <c r="AZ3" i="35"/>
  <c r="AD84" i="32"/>
  <c r="AD77" i="32"/>
  <c r="AD78" i="32"/>
  <c r="AD81" i="32"/>
  <c r="AD75" i="32"/>
  <c r="AD88" i="32"/>
  <c r="AD93" i="32"/>
  <c r="AD79" i="32"/>
  <c r="AD83" i="32"/>
  <c r="AD68" i="32"/>
  <c r="AD61" i="32"/>
  <c r="AD62" i="32"/>
  <c r="AD63" i="32"/>
  <c r="AD73" i="32"/>
  <c r="U29" i="3"/>
  <c r="U21" i="3"/>
  <c r="U13" i="3"/>
  <c r="P94" i="3"/>
  <c r="N75" i="3"/>
  <c r="N64" i="3"/>
  <c r="H47" i="3"/>
  <c r="H31" i="3"/>
  <c r="S21" i="3"/>
  <c r="S37" i="3"/>
  <c r="N54" i="3"/>
  <c r="K3" i="35"/>
  <c r="Z13" i="3"/>
  <c r="Z29" i="3"/>
  <c r="H32" i="3"/>
  <c r="H17" i="3"/>
  <c r="H40" i="3"/>
  <c r="H9" i="3"/>
  <c r="K52" i="6"/>
  <c r="AA53" i="32"/>
  <c r="AA19" i="32"/>
  <c r="K18" i="6"/>
  <c r="F54" i="3"/>
  <c r="U29" i="35"/>
  <c r="AD66" i="32"/>
  <c r="AD89" i="32"/>
  <c r="AD91" i="32"/>
  <c r="G19" i="3"/>
  <c r="G35" i="3" s="1"/>
  <c r="G85" i="3"/>
  <c r="K6" i="6"/>
  <c r="H16" i="6"/>
  <c r="R29" i="3"/>
  <c r="R45" i="3"/>
  <c r="K27" i="3"/>
  <c r="K81" i="3"/>
  <c r="K64" i="3"/>
  <c r="K14" i="6"/>
  <c r="H11" i="6"/>
  <c r="L54" i="3"/>
  <c r="D186" i="36"/>
  <c r="K55" i="6"/>
  <c r="D149" i="36"/>
  <c r="D145" i="36"/>
  <c r="D141" i="36"/>
  <c r="D137" i="36"/>
  <c r="D133" i="36"/>
  <c r="D10" i="36"/>
  <c r="X37" i="3"/>
  <c r="X45" i="3"/>
  <c r="X21" i="3"/>
  <c r="F75" i="3"/>
  <c r="D183" i="36"/>
  <c r="D179" i="36"/>
  <c r="D175" i="36"/>
  <c r="D171" i="36"/>
  <c r="D167" i="36"/>
  <c r="D163" i="36"/>
  <c r="D159" i="36"/>
  <c r="D155" i="36"/>
  <c r="D153" i="36"/>
  <c r="F64" i="3"/>
  <c r="F19" i="3"/>
  <c r="F35" i="3" s="1"/>
  <c r="D150" i="36"/>
  <c r="D146" i="36"/>
  <c r="D142" i="36"/>
  <c r="D138" i="36"/>
  <c r="D134" i="36"/>
  <c r="A21" i="3"/>
  <c r="A14" i="3"/>
  <c r="A45" i="3"/>
  <c r="A32" i="3"/>
  <c r="A7" i="3"/>
  <c r="A8" i="3"/>
  <c r="A23" i="3"/>
  <c r="A24" i="3"/>
  <c r="A13" i="3"/>
  <c r="A29" i="3"/>
  <c r="A47" i="3" a="1"/>
  <c r="A47" i="3" l="1"/>
  <c r="BV48" i="3" s="1"/>
  <c r="K7" i="6"/>
  <c r="AA8" i="32"/>
  <c r="AA12" i="32"/>
  <c r="K11" i="6"/>
  <c r="AD23" i="32"/>
  <c r="B21" i="6"/>
  <c r="K4" i="6"/>
  <c r="AA5" i="32"/>
  <c r="K25" i="6"/>
  <c r="AA26" i="32"/>
  <c r="K15" i="6"/>
  <c r="H3" i="6"/>
  <c r="AA16" i="32"/>
  <c r="S77" i="32" s="1"/>
  <c r="AD53" i="32"/>
  <c r="AY11" i="35"/>
  <c r="K11" i="35"/>
  <c r="AY19" i="35"/>
  <c r="AY3" i="35"/>
  <c r="K19" i="35"/>
  <c r="AD33" i="32"/>
  <c r="AD57" i="32"/>
  <c r="J19" i="35"/>
  <c r="J11" i="35"/>
  <c r="AX3" i="35"/>
  <c r="AX11" i="35"/>
  <c r="AX19" i="35"/>
  <c r="AA24" i="32"/>
  <c r="H23" i="6"/>
  <c r="K23" i="6"/>
  <c r="AD19" i="32"/>
  <c r="K8" i="6"/>
  <c r="AA9" i="32"/>
  <c r="AI56" i="32" s="1"/>
  <c r="H18" i="6"/>
  <c r="K29" i="6"/>
  <c r="AA30" i="32"/>
  <c r="AA20" i="32"/>
  <c r="K19" i="6"/>
  <c r="C134" i="31"/>
  <c r="O94" i="3"/>
  <c r="AA27" i="35" s="1"/>
  <c r="K49" i="6"/>
  <c r="AA50" i="32"/>
  <c r="H20" i="6"/>
  <c r="AA54" i="32"/>
  <c r="K53" i="6"/>
  <c r="K12" i="6"/>
  <c r="AA13" i="32"/>
  <c r="K33" i="6"/>
  <c r="AA34" i="32"/>
  <c r="H8" i="6"/>
  <c r="AD41" i="32"/>
  <c r="C133" i="31"/>
  <c r="O93" i="3"/>
  <c r="K16" i="6"/>
  <c r="AA17" i="32"/>
  <c r="H19" i="6"/>
  <c r="I9" i="6"/>
  <c r="B9" i="6"/>
  <c r="K37" i="6"/>
  <c r="AA38" i="32"/>
  <c r="K20" i="6"/>
  <c r="AA21" i="32"/>
  <c r="AA42" i="32"/>
  <c r="K41" i="6"/>
  <c r="B16" i="6"/>
  <c r="B25" i="6"/>
  <c r="I4" i="6"/>
  <c r="I14" i="6"/>
  <c r="I13" i="6"/>
  <c r="P52" i="35"/>
  <c r="K45" i="6"/>
  <c r="H15" i="6"/>
  <c r="AA46" i="32"/>
  <c r="K3" i="6"/>
  <c r="I25" i="6" s="1"/>
  <c r="AA4" i="32"/>
  <c r="AI19" i="32" s="1"/>
  <c r="H2" i="6"/>
  <c r="B11" i="6"/>
  <c r="AD49" i="32"/>
  <c r="AI49" i="32"/>
  <c r="S89" i="32"/>
  <c r="S66" i="32"/>
  <c r="T74" i="32"/>
  <c r="AD3" i="32"/>
  <c r="T81" i="32"/>
  <c r="AI6" i="32"/>
  <c r="S60" i="32"/>
  <c r="R65" i="32"/>
  <c r="T91" i="32"/>
  <c r="T89" i="32"/>
  <c r="S70" i="32"/>
  <c r="S85" i="32"/>
  <c r="T69" i="32"/>
  <c r="S76" i="32"/>
  <c r="S82" i="32"/>
  <c r="I30" i="3"/>
  <c r="AI30" i="3"/>
  <c r="CD30" i="3"/>
  <c r="BV30" i="3"/>
  <c r="N33" i="3"/>
  <c r="I28" i="3"/>
  <c r="I5" i="3"/>
  <c r="N9" i="3"/>
  <c r="BV8" i="3"/>
  <c r="AI8" i="3"/>
  <c r="CD8" i="3"/>
  <c r="N6" i="3"/>
  <c r="I15" i="3"/>
  <c r="I12" i="3"/>
  <c r="BV14" i="3"/>
  <c r="CD14" i="3"/>
  <c r="AI14" i="3"/>
  <c r="N16" i="3"/>
  <c r="N21" i="3"/>
  <c r="I24" i="3"/>
  <c r="N23" i="3"/>
  <c r="BV25" i="3"/>
  <c r="AI25" i="3"/>
  <c r="CD25" i="3"/>
  <c r="I33" i="3"/>
  <c r="N29" i="3"/>
  <c r="M29" i="3" s="1"/>
  <c r="BV33" i="3"/>
  <c r="N31" i="3"/>
  <c r="M31" i="3" s="1"/>
  <c r="AI33" i="3"/>
  <c r="CD33" i="3"/>
  <c r="I47" i="3"/>
  <c r="N49" i="3"/>
  <c r="I44" i="3"/>
  <c r="BV46" i="3"/>
  <c r="AI46" i="3"/>
  <c r="CD46" i="3"/>
  <c r="BV24" i="3"/>
  <c r="CD24" i="3"/>
  <c r="N22" i="3"/>
  <c r="I21" i="3"/>
  <c r="AI24" i="3"/>
  <c r="N25" i="3"/>
  <c r="I14" i="3"/>
  <c r="BV15" i="3"/>
  <c r="N12" i="3"/>
  <c r="CD15" i="3"/>
  <c r="AI15" i="3"/>
  <c r="I17" i="3"/>
  <c r="N7" i="3"/>
  <c r="CD9" i="3"/>
  <c r="BV9" i="3"/>
  <c r="AI9" i="3"/>
  <c r="N5" i="3"/>
  <c r="I8" i="3"/>
  <c r="I20" i="3"/>
  <c r="CD22" i="3"/>
  <c r="BV22" i="3"/>
  <c r="AI22" i="3"/>
  <c r="I22" i="3"/>
  <c r="N24" i="3"/>
  <c r="A16" i="3" a="1"/>
  <c r="A40" i="3" a="1"/>
  <c r="A31" i="3" a="1"/>
  <c r="A22" i="3" a="1"/>
  <c r="A48" i="3" a="1"/>
  <c r="N47" i="3" l="1"/>
  <c r="B29" i="31" s="1"/>
  <c r="CD48" i="3"/>
  <c r="I45" i="3"/>
  <c r="AQ20" i="35" s="1"/>
  <c r="AI48" i="3"/>
  <c r="AY48" i="3" s="1"/>
  <c r="N48" i="3"/>
  <c r="M48" i="3" s="1"/>
  <c r="A40" i="3"/>
  <c r="A31" i="3"/>
  <c r="A22" i="3"/>
  <c r="A48" i="3"/>
  <c r="A16" i="3"/>
  <c r="P49" i="35"/>
  <c r="AI10" i="32"/>
  <c r="R68" i="32"/>
  <c r="B19" i="6"/>
  <c r="I19" i="6"/>
  <c r="I3" i="6"/>
  <c r="B3" i="6"/>
  <c r="T82" i="32"/>
  <c r="R80" i="32"/>
  <c r="R75" i="32"/>
  <c r="T75" i="32"/>
  <c r="AI48" i="32"/>
  <c r="T60" i="32"/>
  <c r="AI36" i="32"/>
  <c r="R60" i="32"/>
  <c r="T72" i="32"/>
  <c r="R74" i="32"/>
  <c r="S86" i="32"/>
  <c r="T62" i="32"/>
  <c r="AI51" i="32"/>
  <c r="T70" i="32"/>
  <c r="S79" i="32"/>
  <c r="S71" i="32"/>
  <c r="I11" i="6"/>
  <c r="I12" i="6"/>
  <c r="AI42" i="32"/>
  <c r="AD42" i="32"/>
  <c r="AD17" i="32"/>
  <c r="AI17" i="32"/>
  <c r="P44" i="35"/>
  <c r="S69" i="32"/>
  <c r="R79" i="32"/>
  <c r="AI23" i="32"/>
  <c r="AI52" i="32"/>
  <c r="R82" i="32"/>
  <c r="T67" i="32"/>
  <c r="T61" i="32"/>
  <c r="S68" i="32"/>
  <c r="T80" i="32"/>
  <c r="R70" i="32"/>
  <c r="S74" i="32"/>
  <c r="S87" i="32"/>
  <c r="S88" i="32"/>
  <c r="R92" i="32"/>
  <c r="R62" i="32"/>
  <c r="R78" i="32"/>
  <c r="R69" i="32"/>
  <c r="T85" i="32"/>
  <c r="R81" i="32"/>
  <c r="P39" i="35"/>
  <c r="I6" i="6"/>
  <c r="I7" i="6"/>
  <c r="AD21" i="32"/>
  <c r="AI21" i="32"/>
  <c r="AI13" i="32"/>
  <c r="AD13" i="32"/>
  <c r="AI26" i="32"/>
  <c r="AD26" i="32"/>
  <c r="AI32" i="32"/>
  <c r="R88" i="32"/>
  <c r="S92" i="32"/>
  <c r="R66" i="32"/>
  <c r="R93" i="32"/>
  <c r="AI25" i="32"/>
  <c r="S63" i="32"/>
  <c r="AI3" i="32"/>
  <c r="T68" i="32"/>
  <c r="S93" i="32"/>
  <c r="R59" i="32"/>
  <c r="T65" i="32"/>
  <c r="S80" i="32"/>
  <c r="R87" i="32"/>
  <c r="R85" i="32"/>
  <c r="S73" i="32"/>
  <c r="R63" i="32"/>
  <c r="T93" i="32"/>
  <c r="B2" i="6"/>
  <c r="I2" i="6"/>
  <c r="I5" i="6"/>
  <c r="AA26" i="35"/>
  <c r="AD12" i="32"/>
  <c r="AI12" i="32"/>
  <c r="AD50" i="32"/>
  <c r="AI50" i="32"/>
  <c r="S59" i="32"/>
  <c r="R73" i="32"/>
  <c r="T58" i="32"/>
  <c r="AI44" i="32"/>
  <c r="T86" i="32"/>
  <c r="R90" i="32"/>
  <c r="R86" i="32"/>
  <c r="T73" i="32"/>
  <c r="R72" i="32"/>
  <c r="T77" i="32"/>
  <c r="S65" i="32"/>
  <c r="T78" i="32"/>
  <c r="T59" i="32"/>
  <c r="T79" i="32"/>
  <c r="AI35" i="32"/>
  <c r="S64" i="32"/>
  <c r="S61" i="32"/>
  <c r="S90" i="32"/>
  <c r="R71" i="32"/>
  <c r="AD4" i="32"/>
  <c r="AI4" i="32"/>
  <c r="AI40" i="32"/>
  <c r="AI45" i="32"/>
  <c r="AI37" i="32"/>
  <c r="AI29" i="32"/>
  <c r="AI18" i="32"/>
  <c r="AI15" i="32"/>
  <c r="AI31" i="32"/>
  <c r="AI7" i="32"/>
  <c r="AI28" i="32"/>
  <c r="AI11" i="32"/>
  <c r="AI22" i="32"/>
  <c r="I17" i="6"/>
  <c r="AI38" i="32"/>
  <c r="AD38" i="32"/>
  <c r="AD20" i="32"/>
  <c r="AI20" i="32"/>
  <c r="AD5" i="32"/>
  <c r="AI5" i="32"/>
  <c r="AI8" i="32"/>
  <c r="AD8" i="32"/>
  <c r="I8" i="6"/>
  <c r="B8" i="6"/>
  <c r="AI16" i="32"/>
  <c r="AD16" i="32"/>
  <c r="T66" i="32"/>
  <c r="AI55" i="32"/>
  <c r="AD34" i="32"/>
  <c r="AI34" i="32"/>
  <c r="R67" i="32"/>
  <c r="S91" i="32"/>
  <c r="S78" i="32"/>
  <c r="T88" i="32"/>
  <c r="AI47" i="32"/>
  <c r="T87" i="32"/>
  <c r="T84" i="32"/>
  <c r="T63" i="32"/>
  <c r="T64" i="32"/>
  <c r="AI39" i="32"/>
  <c r="AI43" i="32"/>
  <c r="AI27" i="32"/>
  <c r="T92" i="32"/>
  <c r="R84" i="32"/>
  <c r="R89" i="32"/>
  <c r="AI14" i="32"/>
  <c r="I24" i="6"/>
  <c r="I10" i="6"/>
  <c r="P53" i="35"/>
  <c r="AI41" i="32"/>
  <c r="AD54" i="32"/>
  <c r="AI54" i="32"/>
  <c r="AD30" i="32"/>
  <c r="AI30" i="32"/>
  <c r="B23" i="6"/>
  <c r="I23" i="6"/>
  <c r="AI57" i="32"/>
  <c r="AI53" i="32"/>
  <c r="B15" i="6"/>
  <c r="I15" i="6"/>
  <c r="I18" i="6"/>
  <c r="B18" i="6"/>
  <c r="S81" i="32"/>
  <c r="S72" i="32"/>
  <c r="T90" i="32"/>
  <c r="AD9" i="32"/>
  <c r="AI9" i="32"/>
  <c r="M33" i="3"/>
  <c r="S58" i="32"/>
  <c r="T76" i="32"/>
  <c r="T71" i="32"/>
  <c r="S84" i="32"/>
  <c r="R76" i="32"/>
  <c r="R91" i="32"/>
  <c r="R64" i="32"/>
  <c r="S67" i="32"/>
  <c r="R83" i="32"/>
  <c r="S62" i="32"/>
  <c r="R77" i="32"/>
  <c r="R61" i="32"/>
  <c r="S83" i="32"/>
  <c r="S75" i="32"/>
  <c r="R58" i="32"/>
  <c r="T83" i="32"/>
  <c r="AD46" i="32"/>
  <c r="AI46" i="32"/>
  <c r="I22" i="6"/>
  <c r="I16" i="6"/>
  <c r="P37" i="35"/>
  <c r="B20" i="6"/>
  <c r="I20" i="6"/>
  <c r="AD24" i="32"/>
  <c r="AI24" i="32"/>
  <c r="AI33" i="32"/>
  <c r="I21" i="6"/>
  <c r="C7" i="35"/>
  <c r="J8" i="3"/>
  <c r="M25" i="3"/>
  <c r="F24" i="35"/>
  <c r="M16" i="3"/>
  <c r="F15" i="35"/>
  <c r="AY8" i="3"/>
  <c r="F4" i="35"/>
  <c r="M5" i="3"/>
  <c r="C13" i="35"/>
  <c r="J14" i="3"/>
  <c r="AY24" i="3"/>
  <c r="AQ19" i="35"/>
  <c r="J44" i="3"/>
  <c r="AY33" i="3"/>
  <c r="F22" i="35"/>
  <c r="M23" i="3"/>
  <c r="AY14" i="3"/>
  <c r="F23" i="35"/>
  <c r="M24" i="3"/>
  <c r="AY9" i="3"/>
  <c r="C20" i="35"/>
  <c r="B11" i="31"/>
  <c r="J21" i="3"/>
  <c r="M49" i="3"/>
  <c r="AT24" i="35"/>
  <c r="B34" i="31"/>
  <c r="C23" i="35"/>
  <c r="J24" i="3"/>
  <c r="M9" i="3"/>
  <c r="F8" i="35"/>
  <c r="AQ3" i="35"/>
  <c r="J28" i="3"/>
  <c r="C21" i="35"/>
  <c r="J22" i="3"/>
  <c r="B22" i="31"/>
  <c r="F21" i="35"/>
  <c r="M22" i="3"/>
  <c r="J47" i="3"/>
  <c r="AQ22" i="35"/>
  <c r="M21" i="3"/>
  <c r="F20" i="35"/>
  <c r="B7" i="31"/>
  <c r="C4" i="35"/>
  <c r="J5" i="3"/>
  <c r="AY22" i="3"/>
  <c r="C16" i="35"/>
  <c r="J17" i="3"/>
  <c r="C11" i="35"/>
  <c r="B8" i="31"/>
  <c r="J12" i="3"/>
  <c r="F6" i="35"/>
  <c r="M7" i="3"/>
  <c r="AY15" i="3"/>
  <c r="B37" i="31"/>
  <c r="J33" i="3"/>
  <c r="C14" i="35"/>
  <c r="J15" i="3"/>
  <c r="M6" i="3"/>
  <c r="F5" i="35"/>
  <c r="AY30" i="3"/>
  <c r="C19" i="35"/>
  <c r="J20" i="3"/>
  <c r="F11" i="35"/>
  <c r="M12" i="3"/>
  <c r="AY46" i="3"/>
  <c r="AY25" i="3"/>
  <c r="J30" i="3"/>
  <c r="A39" i="3" a="1"/>
  <c r="A15" i="3" a="1"/>
  <c r="A30" i="3" a="1"/>
  <c r="A6" i="3" a="1"/>
  <c r="A38" i="3" a="1"/>
  <c r="A46" i="3" a="1"/>
  <c r="A5" i="3" a="1"/>
  <c r="A37" i="3" a="1"/>
  <c r="J45" i="3" l="1"/>
  <c r="AT22" i="35"/>
  <c r="M47" i="3"/>
  <c r="AT23" i="35"/>
  <c r="A15" i="3"/>
  <c r="A6" i="3"/>
  <c r="A46" i="3"/>
  <c r="A37" i="3"/>
  <c r="A5" i="3"/>
  <c r="A38" i="3"/>
  <c r="A30" i="3"/>
  <c r="A39" i="3"/>
  <c r="P36" i="35"/>
  <c r="P31" i="35"/>
  <c r="P51" i="35"/>
  <c r="P46" i="35"/>
  <c r="P30" i="35"/>
  <c r="N13" i="3"/>
  <c r="I16" i="3"/>
  <c r="AI17" i="3"/>
  <c r="N14" i="3"/>
  <c r="CD17" i="3"/>
  <c r="BV17" i="3"/>
  <c r="P47" i="35"/>
  <c r="N46" i="3"/>
  <c r="CD49" i="3"/>
  <c r="BV49" i="3"/>
  <c r="I49" i="3"/>
  <c r="N45" i="3"/>
  <c r="AI49" i="3"/>
  <c r="P43" i="35"/>
  <c r="AI23" i="3"/>
  <c r="I23" i="3"/>
  <c r="N20" i="3"/>
  <c r="BV23" i="3"/>
  <c r="I25" i="3"/>
  <c r="CD23" i="3"/>
  <c r="P48" i="35"/>
  <c r="Q50" i="32"/>
  <c r="Q43" i="32"/>
  <c r="Q28" i="32"/>
  <c r="Q33" i="32"/>
  <c r="Q14" i="32"/>
  <c r="Q22" i="32"/>
  <c r="Q48" i="32"/>
  <c r="Q10" i="32"/>
  <c r="Q49" i="32"/>
  <c r="Q32" i="32"/>
  <c r="Q52" i="32"/>
  <c r="Q21" i="32"/>
  <c r="Q39" i="32"/>
  <c r="Q8" i="32"/>
  <c r="Q18" i="32"/>
  <c r="Q11" i="32"/>
  <c r="Q41" i="32"/>
  <c r="Q6" i="32"/>
  <c r="Q29" i="32"/>
  <c r="Q40" i="32"/>
  <c r="Q9" i="32"/>
  <c r="Q42" i="32"/>
  <c r="Q4" i="32"/>
  <c r="Q5" i="32"/>
  <c r="Q25" i="32"/>
  <c r="Q3" i="32"/>
  <c r="Q12" i="32"/>
  <c r="Q13" i="32"/>
  <c r="Q57" i="32"/>
  <c r="Q16" i="32"/>
  <c r="Q20" i="32"/>
  <c r="Q37" i="32"/>
  <c r="Q54" i="32"/>
  <c r="Q19" i="32"/>
  <c r="Q36" i="32"/>
  <c r="Q45" i="32"/>
  <c r="Q55" i="32"/>
  <c r="Q35" i="32"/>
  <c r="Q38" i="32"/>
  <c r="Q30" i="32"/>
  <c r="Q15" i="32"/>
  <c r="Q26" i="32"/>
  <c r="Q51" i="32"/>
  <c r="Q47" i="32"/>
  <c r="Q46" i="32"/>
  <c r="Q31" i="32"/>
  <c r="Q53" i="32"/>
  <c r="Q56" i="32"/>
  <c r="Q7" i="32"/>
  <c r="Q34" i="32"/>
  <c r="Q17" i="32"/>
  <c r="Q23" i="32"/>
  <c r="Q44" i="32"/>
  <c r="Q24" i="32"/>
  <c r="Q27" i="32"/>
  <c r="CD32" i="3"/>
  <c r="AI32" i="3"/>
  <c r="BV32" i="3"/>
  <c r="I29" i="3"/>
  <c r="N30" i="3"/>
  <c r="N32" i="3"/>
  <c r="M32" i="3" s="1"/>
  <c r="I41" i="3"/>
  <c r="N38" i="3"/>
  <c r="AI41" i="3"/>
  <c r="CD41" i="3"/>
  <c r="BV41" i="3"/>
  <c r="N36" i="3"/>
  <c r="BD29" i="3"/>
  <c r="BE13" i="3"/>
  <c r="BD45" i="3"/>
  <c r="BF5" i="3"/>
  <c r="BG21" i="3"/>
  <c r="BF45" i="3"/>
  <c r="BF21" i="3"/>
  <c r="BG29" i="3"/>
  <c r="BG5" i="3"/>
  <c r="BD13" i="3"/>
  <c r="BD21" i="3"/>
  <c r="BD25" i="3" l="1" a="1"/>
  <c r="BD25" i="3" s="1"/>
  <c r="T34" i="32"/>
  <c r="R34" i="32"/>
  <c r="S34" i="32"/>
  <c r="S43" i="32"/>
  <c r="T43" i="32"/>
  <c r="R43" i="32"/>
  <c r="R7" i="32"/>
  <c r="S7" i="32"/>
  <c r="T7" i="32"/>
  <c r="S15" i="32"/>
  <c r="T15" i="32"/>
  <c r="R15" i="32"/>
  <c r="T50" i="32"/>
  <c r="R50" i="32"/>
  <c r="S50" i="32"/>
  <c r="C15" i="35"/>
  <c r="B32" i="31"/>
  <c r="J16" i="3"/>
  <c r="AI31" i="3"/>
  <c r="I31" i="3"/>
  <c r="CD31" i="3"/>
  <c r="I32" i="3"/>
  <c r="BV31" i="3"/>
  <c r="N28" i="3"/>
  <c r="AY41" i="3"/>
  <c r="BG37" i="3" s="1"/>
  <c r="BM37" i="3" s="1"/>
  <c r="R56" i="32"/>
  <c r="S56" i="32"/>
  <c r="T56" i="32"/>
  <c r="R30" i="32"/>
  <c r="S30" i="32"/>
  <c r="T30" i="32"/>
  <c r="R37" i="32"/>
  <c r="S37" i="32"/>
  <c r="T37" i="32"/>
  <c r="R5" i="32"/>
  <c r="S5" i="32"/>
  <c r="T5" i="32"/>
  <c r="T11" i="32"/>
  <c r="R11" i="32"/>
  <c r="S11" i="32"/>
  <c r="R10" i="32"/>
  <c r="S10" i="32"/>
  <c r="T10" i="32"/>
  <c r="M13" i="3"/>
  <c r="F12" i="35"/>
  <c r="CD39" i="3"/>
  <c r="I40" i="3"/>
  <c r="BV39" i="3"/>
  <c r="AI39" i="3"/>
  <c r="N37" i="3"/>
  <c r="I38" i="3"/>
  <c r="S26" i="32"/>
  <c r="R26" i="32"/>
  <c r="T26" i="32"/>
  <c r="J49" i="3"/>
  <c r="AQ24" i="35"/>
  <c r="B41" i="31"/>
  <c r="T41" i="32"/>
  <c r="S41" i="32"/>
  <c r="R41" i="32"/>
  <c r="AT5" i="35"/>
  <c r="AT13" i="35"/>
  <c r="M38" i="3"/>
  <c r="R27" i="32"/>
  <c r="S27" i="32"/>
  <c r="T27" i="32"/>
  <c r="R53" i="32"/>
  <c r="T53" i="32"/>
  <c r="S53" i="32"/>
  <c r="T38" i="32"/>
  <c r="R38" i="32"/>
  <c r="S38" i="32"/>
  <c r="T20" i="32"/>
  <c r="R20" i="32"/>
  <c r="S20" i="32"/>
  <c r="T4" i="32"/>
  <c r="S4" i="32"/>
  <c r="R4" i="32"/>
  <c r="S18" i="32"/>
  <c r="R18" i="32"/>
  <c r="T18" i="32"/>
  <c r="R48" i="32"/>
  <c r="S48" i="32"/>
  <c r="T48" i="32"/>
  <c r="M46" i="3"/>
  <c r="AT21" i="35"/>
  <c r="I4" i="3"/>
  <c r="AI6" i="3"/>
  <c r="BV6" i="3"/>
  <c r="I6" i="3"/>
  <c r="N8" i="3"/>
  <c r="CD6" i="3"/>
  <c r="S6" i="32"/>
  <c r="T6" i="32"/>
  <c r="R6" i="32"/>
  <c r="AY17" i="3"/>
  <c r="BG13" i="3" s="1"/>
  <c r="BS13" i="3" s="1"/>
  <c r="AY32" i="3"/>
  <c r="S25" i="32"/>
  <c r="T25" i="32"/>
  <c r="R25" i="32"/>
  <c r="J41" i="3"/>
  <c r="AQ8" i="35"/>
  <c r="AQ16" i="35"/>
  <c r="T24" i="32"/>
  <c r="R24" i="32"/>
  <c r="S24" i="32"/>
  <c r="T31" i="32"/>
  <c r="R31" i="32"/>
  <c r="S31" i="32"/>
  <c r="S35" i="32"/>
  <c r="R35" i="32"/>
  <c r="T35" i="32"/>
  <c r="T16" i="32"/>
  <c r="S16" i="32"/>
  <c r="R16" i="32"/>
  <c r="R42" i="32"/>
  <c r="S42" i="32"/>
  <c r="T42" i="32"/>
  <c r="T8" i="32"/>
  <c r="S8" i="32"/>
  <c r="R8" i="32"/>
  <c r="T22" i="32"/>
  <c r="R22" i="32"/>
  <c r="S22" i="32"/>
  <c r="B35" i="31"/>
  <c r="C24" i="35"/>
  <c r="J25" i="3"/>
  <c r="I37" i="3"/>
  <c r="I39" i="3"/>
  <c r="N41" i="3"/>
  <c r="B39" i="31" s="1"/>
  <c r="BV38" i="3"/>
  <c r="CD38" i="3"/>
  <c r="AI38" i="3"/>
  <c r="S32" i="32"/>
  <c r="T32" i="32"/>
  <c r="R32" i="32"/>
  <c r="AI40" i="3"/>
  <c r="N39" i="3"/>
  <c r="BV40" i="3"/>
  <c r="N40" i="3"/>
  <c r="CD40" i="3"/>
  <c r="I36" i="3"/>
  <c r="R54" i="32"/>
  <c r="S54" i="32"/>
  <c r="T54" i="32"/>
  <c r="S44" i="32"/>
  <c r="T44" i="32"/>
  <c r="R44" i="32"/>
  <c r="R46" i="32"/>
  <c r="S46" i="32"/>
  <c r="T46" i="32"/>
  <c r="T55" i="32"/>
  <c r="R55" i="32"/>
  <c r="S55" i="32"/>
  <c r="R57" i="32"/>
  <c r="S57" i="32"/>
  <c r="T57" i="32"/>
  <c r="S9" i="32"/>
  <c r="T9" i="32"/>
  <c r="R9" i="32"/>
  <c r="R39" i="32"/>
  <c r="T39" i="32"/>
  <c r="S39" i="32"/>
  <c r="R14" i="32"/>
  <c r="S14" i="32"/>
  <c r="T14" i="32"/>
  <c r="I48" i="3"/>
  <c r="AI47" i="3"/>
  <c r="CD47" i="3"/>
  <c r="N44" i="3"/>
  <c r="BV47" i="3"/>
  <c r="I46" i="3"/>
  <c r="N2" i="32"/>
  <c r="C3" i="32"/>
  <c r="S3" i="32"/>
  <c r="T3" i="32"/>
  <c r="M2" i="32"/>
  <c r="R3" i="32"/>
  <c r="M30" i="3"/>
  <c r="B24" i="31"/>
  <c r="T23" i="32"/>
  <c r="S23" i="32"/>
  <c r="R23" i="32"/>
  <c r="T47" i="32"/>
  <c r="S47" i="32"/>
  <c r="R47" i="32"/>
  <c r="R45" i="32"/>
  <c r="S45" i="32"/>
  <c r="T45" i="32"/>
  <c r="S13" i="32"/>
  <c r="R13" i="32"/>
  <c r="T13" i="32"/>
  <c r="R40" i="32"/>
  <c r="S40" i="32"/>
  <c r="T40" i="32"/>
  <c r="T21" i="32"/>
  <c r="R21" i="32"/>
  <c r="S21" i="32"/>
  <c r="R33" i="32"/>
  <c r="T33" i="32"/>
  <c r="S33" i="32"/>
  <c r="F19" i="35"/>
  <c r="B10" i="31"/>
  <c r="M20" i="3"/>
  <c r="AY49" i="3"/>
  <c r="I7" i="3"/>
  <c r="N4" i="3"/>
  <c r="BV7" i="3"/>
  <c r="AI7" i="3"/>
  <c r="I9" i="3"/>
  <c r="CD7" i="3"/>
  <c r="S19" i="32"/>
  <c r="T19" i="32"/>
  <c r="R19" i="32"/>
  <c r="AY23" i="3"/>
  <c r="BE21" i="3" s="1"/>
  <c r="BE24" i="3" s="1" a="1"/>
  <c r="BE24" i="3" s="1"/>
  <c r="T49" i="32"/>
  <c r="R49" i="32"/>
  <c r="S49" i="32"/>
  <c r="AT11" i="35"/>
  <c r="M36" i="3"/>
  <c r="J29" i="3"/>
  <c r="B13" i="31"/>
  <c r="S17" i="32"/>
  <c r="T17" i="32"/>
  <c r="R17" i="32"/>
  <c r="T51" i="32"/>
  <c r="R51" i="32"/>
  <c r="S51" i="32"/>
  <c r="T36" i="32"/>
  <c r="R36" i="32"/>
  <c r="S36" i="32"/>
  <c r="R12" i="32"/>
  <c r="S12" i="32"/>
  <c r="T12" i="32"/>
  <c r="S29" i="32"/>
  <c r="T29" i="32"/>
  <c r="R29" i="32"/>
  <c r="R52" i="32"/>
  <c r="S52" i="32"/>
  <c r="T52" i="32"/>
  <c r="S28" i="32"/>
  <c r="R28" i="32"/>
  <c r="T28" i="32"/>
  <c r="J23" i="3"/>
  <c r="B23" i="31"/>
  <c r="C22" i="35"/>
  <c r="M45" i="3"/>
  <c r="AT20" i="35"/>
  <c r="B17" i="31"/>
  <c r="M14" i="3"/>
  <c r="F13" i="35"/>
  <c r="B20" i="31"/>
  <c r="N17" i="3"/>
  <c r="BV16" i="3"/>
  <c r="CD16" i="3"/>
  <c r="AI16" i="3"/>
  <c r="I13" i="3"/>
  <c r="N15" i="3"/>
  <c r="BF22" i="3" a="1"/>
  <c r="BF22" i="3" s="1"/>
  <c r="BG24" i="3" a="1"/>
  <c r="BG24" i="3" s="1"/>
  <c r="BG22" i="3" a="1"/>
  <c r="BG22" i="3" s="1"/>
  <c r="BP29" i="3"/>
  <c r="BJ29" i="3"/>
  <c r="BL45" i="3"/>
  <c r="BR45" i="3"/>
  <c r="BR5" i="3"/>
  <c r="BL5" i="3"/>
  <c r="BP13" i="3"/>
  <c r="BJ13" i="3"/>
  <c r="BM5" i="3"/>
  <c r="BS5" i="3"/>
  <c r="BM29" i="3"/>
  <c r="BS29" i="3"/>
  <c r="BL21" i="3"/>
  <c r="BR21" i="3"/>
  <c r="BS21" i="3"/>
  <c r="BM21" i="3"/>
  <c r="BP45" i="3"/>
  <c r="BJ45" i="3"/>
  <c r="BD24" i="3" a="1"/>
  <c r="BD24" i="3" s="1"/>
  <c r="BQ13" i="3"/>
  <c r="BK13" i="3"/>
  <c r="BJ21" i="3"/>
  <c r="BP21" i="3"/>
  <c r="BF25" i="3" a="1"/>
  <c r="BF25" i="3" s="1"/>
  <c r="BD15" i="3" l="1" a="1"/>
  <c r="BD15" i="3" s="1"/>
  <c r="BJ25" i="3"/>
  <c r="BS37" i="3"/>
  <c r="BM13" i="3"/>
  <c r="BF9" i="3" a="1"/>
  <c r="BF9" i="3" s="1"/>
  <c r="AO23" i="3" a="1"/>
  <c r="AO23" i="3" s="1"/>
  <c r="BG30" i="3" a="1"/>
  <c r="BG30" i="3" s="1"/>
  <c r="BD23" i="3" a="1"/>
  <c r="BD23" i="3" s="1"/>
  <c r="AL17" i="3" a="1"/>
  <c r="AL17" i="3" s="1"/>
  <c r="BJ24" i="3"/>
  <c r="AO49" i="3" a="1"/>
  <c r="AO49" i="3" s="1"/>
  <c r="AL49" i="3" a="1"/>
  <c r="AL49" i="3" s="1"/>
  <c r="BG8" i="3" a="1"/>
  <c r="BG8" i="3" s="1"/>
  <c r="BE17" i="3" a="1"/>
  <c r="BE17" i="3" s="1"/>
  <c r="BD17" i="3" a="1"/>
  <c r="BD17" i="3" s="1"/>
  <c r="BK21" i="3"/>
  <c r="BQ21" i="3"/>
  <c r="BQ24" i="3" s="1" a="1"/>
  <c r="BQ24" i="3" s="1"/>
  <c r="AM32" i="3" a="1"/>
  <c r="AM32" i="3" s="1"/>
  <c r="BG45" i="3"/>
  <c r="BF49" i="3" a="1"/>
  <c r="BF49" i="3" s="1"/>
  <c r="BD49" i="3" a="1"/>
  <c r="BD49" i="3" s="1"/>
  <c r="B25" i="31"/>
  <c r="J31" i="3"/>
  <c r="BG32" i="3" a="1"/>
  <c r="BG32" i="3" s="1"/>
  <c r="BD32" i="3" a="1"/>
  <c r="BD32" i="3" s="1"/>
  <c r="BD33" i="3" a="1"/>
  <c r="BD33" i="3" s="1"/>
  <c r="AQ21" i="35"/>
  <c r="J46" i="3"/>
  <c r="B28" i="31"/>
  <c r="BD48" i="3" a="1"/>
  <c r="BD48" i="3" s="1"/>
  <c r="BF46" i="3" a="1"/>
  <c r="BF46" i="3" s="1"/>
  <c r="AK32" i="3"/>
  <c r="AL41" i="3" a="1"/>
  <c r="AL41" i="3" s="1"/>
  <c r="AN7" i="3" a="1"/>
  <c r="AN7" i="3" s="1"/>
  <c r="AM7" i="3" a="1"/>
  <c r="AM7" i="3" s="1"/>
  <c r="AK7" i="3"/>
  <c r="AL7" i="3" a="1"/>
  <c r="AL7" i="3" s="1"/>
  <c r="AO7" i="3" a="1"/>
  <c r="AO7" i="3" s="1"/>
  <c r="AP7" i="3" a="1"/>
  <c r="AP7" i="3" s="1"/>
  <c r="AY7" i="3"/>
  <c r="BR7" i="3" s="1" a="1"/>
  <c r="BR7" i="3" s="1"/>
  <c r="AY38" i="3"/>
  <c r="BG38" i="3" s="1" a="1"/>
  <c r="BG38" i="3" s="1"/>
  <c r="AK38" i="3"/>
  <c r="AP38" i="3" a="1"/>
  <c r="AP38" i="3" s="1"/>
  <c r="AM38" i="3" a="1"/>
  <c r="AM38" i="3" s="1"/>
  <c r="AN38" i="3" a="1"/>
  <c r="AN38" i="3" s="1"/>
  <c r="AL38" i="3" a="1"/>
  <c r="AL38" i="3" s="1"/>
  <c r="AO38" i="3" a="1"/>
  <c r="AO38" i="3" s="1"/>
  <c r="AM17" i="3" a="1"/>
  <c r="AM17" i="3" s="1"/>
  <c r="F14" i="35"/>
  <c r="M15" i="3"/>
  <c r="B21" i="31"/>
  <c r="AP41" i="3" a="1"/>
  <c r="AP41" i="3" s="1"/>
  <c r="AO41" i="3" a="1"/>
  <c r="AO41" i="3" s="1"/>
  <c r="AT6" i="35"/>
  <c r="AT14" i="35"/>
  <c r="M39" i="3"/>
  <c r="AL23" i="3" a="1"/>
  <c r="AL23" i="3" s="1"/>
  <c r="AP30" i="3" a="1"/>
  <c r="AP30" i="3" s="1"/>
  <c r="AP25" i="3" a="1"/>
  <c r="AP25" i="3" s="1"/>
  <c r="AP33" i="3" a="1"/>
  <c r="AP33" i="3" s="1"/>
  <c r="AP9" i="3" a="1"/>
  <c r="AP9" i="3" s="1"/>
  <c r="AP22" i="3" a="1"/>
  <c r="AP22" i="3" s="1"/>
  <c r="AP46" i="3" a="1"/>
  <c r="AP46" i="3" s="1"/>
  <c r="AP24" i="3" a="1"/>
  <c r="AP24" i="3" s="1"/>
  <c r="M4" i="3"/>
  <c r="AP14" i="3" a="1"/>
  <c r="AP14" i="3" s="1"/>
  <c r="AP48" i="3" a="1"/>
  <c r="AP48" i="3" s="1"/>
  <c r="F3" i="35"/>
  <c r="AP15" i="3" a="1"/>
  <c r="AP15" i="3" s="1"/>
  <c r="AP8" i="3" a="1"/>
  <c r="AP8" i="3" s="1"/>
  <c r="AL40" i="3" a="1"/>
  <c r="AL40" i="3" s="1"/>
  <c r="AO40" i="3" a="1"/>
  <c r="AO40" i="3" s="1"/>
  <c r="AM40" i="3" a="1"/>
  <c r="AM40" i="3" s="1"/>
  <c r="AP40" i="3" a="1"/>
  <c r="AP40" i="3" s="1"/>
  <c r="AK40" i="3"/>
  <c r="AN40" i="3" a="1"/>
  <c r="AN40" i="3" s="1"/>
  <c r="AY40" i="3"/>
  <c r="AP32" i="3" a="1"/>
  <c r="AP32" i="3" s="1"/>
  <c r="BG15" i="3" a="1"/>
  <c r="BG15" i="3" s="1"/>
  <c r="M8" i="3"/>
  <c r="F7" i="35"/>
  <c r="B30" i="31"/>
  <c r="AQ13" i="35"/>
  <c r="AQ5" i="35"/>
  <c r="B26" i="31"/>
  <c r="J38" i="3"/>
  <c r="AM41" i="3" a="1"/>
  <c r="AM41" i="3" s="1"/>
  <c r="AK31" i="3"/>
  <c r="AL31" i="3" a="1"/>
  <c r="AL31" i="3" s="1"/>
  <c r="AP31" i="3" a="1"/>
  <c r="AP31" i="3" s="1"/>
  <c r="AO31" i="3" a="1"/>
  <c r="AO31" i="3" s="1"/>
  <c r="AM31" i="3" a="1"/>
  <c r="AM31" i="3" s="1"/>
  <c r="AY31" i="3"/>
  <c r="BS31" i="3" s="1" a="1"/>
  <c r="BS31" i="3" s="1"/>
  <c r="AN31" i="3" a="1"/>
  <c r="AN31" i="3" s="1"/>
  <c r="C12" i="35"/>
  <c r="J13" i="3"/>
  <c r="B9" i="31"/>
  <c r="AM23" i="3" a="1"/>
  <c r="AM23" i="3" s="1"/>
  <c r="B19" i="31"/>
  <c r="J7" i="3"/>
  <c r="C6" i="35"/>
  <c r="BF23" i="3" a="1"/>
  <c r="BF23" i="3" s="1"/>
  <c r="BK24" i="3" s="1"/>
  <c r="B16" i="31"/>
  <c r="M44" i="3"/>
  <c r="AT19" i="35"/>
  <c r="J6" i="3"/>
  <c r="B18" i="31"/>
  <c r="C5" i="35"/>
  <c r="M37" i="3"/>
  <c r="AT12" i="35"/>
  <c r="AT4" i="35"/>
  <c r="AN41" i="3" a="1"/>
  <c r="AN41" i="3" s="1"/>
  <c r="BG14" i="3" a="1"/>
  <c r="BG14" i="3" s="1"/>
  <c r="AL16" i="3" a="1"/>
  <c r="AL16" i="3" s="1"/>
  <c r="AN16" i="3" a="1"/>
  <c r="AN16" i="3" s="1"/>
  <c r="AM16" i="3" a="1"/>
  <c r="AM16" i="3" s="1"/>
  <c r="AO16" i="3" a="1"/>
  <c r="AO16" i="3" s="1"/>
  <c r="AK16" i="3"/>
  <c r="AP16" i="3" a="1"/>
  <c r="AP16" i="3" s="1"/>
  <c r="AY16" i="3"/>
  <c r="BP16" i="3" s="1" a="1"/>
  <c r="BP16" i="3" s="1"/>
  <c r="BE25" i="3" a="1"/>
  <c r="BE25" i="3" s="1"/>
  <c r="BE22" i="3" a="1"/>
  <c r="BE22" i="3" s="1"/>
  <c r="AM49" i="3" a="1"/>
  <c r="AM49" i="3" s="1"/>
  <c r="AG22" i="32"/>
  <c r="W22" i="32" s="1"/>
  <c r="AG44" i="32"/>
  <c r="W44" i="32" s="1"/>
  <c r="AE42" i="32"/>
  <c r="AG6" i="32"/>
  <c r="W6" i="32" s="1"/>
  <c r="AG21" i="32"/>
  <c r="W21" i="32" s="1"/>
  <c r="AG49" i="32"/>
  <c r="W49" i="32" s="1"/>
  <c r="AG91" i="32"/>
  <c r="W91" i="32" s="1"/>
  <c r="AG27" i="32"/>
  <c r="W27" i="32" s="1"/>
  <c r="AG23" i="32"/>
  <c r="W23" i="32" s="1"/>
  <c r="AG18" i="32"/>
  <c r="W18" i="32" s="1"/>
  <c r="AG52" i="32"/>
  <c r="W52" i="32" s="1"/>
  <c r="AG51" i="32"/>
  <c r="W51" i="32" s="1"/>
  <c r="AG46" i="32"/>
  <c r="W46" i="32" s="1"/>
  <c r="AG57" i="32"/>
  <c r="W57" i="32" s="1"/>
  <c r="AG90" i="32"/>
  <c r="W90" i="32" s="1"/>
  <c r="AE71" i="32"/>
  <c r="AE35" i="32"/>
  <c r="AE40" i="32"/>
  <c r="AE64" i="32"/>
  <c r="AG36" i="32"/>
  <c r="W36" i="32" s="1"/>
  <c r="AG42" i="32"/>
  <c r="W42" i="32" s="1"/>
  <c r="AG31" i="32"/>
  <c r="W31" i="32" s="1"/>
  <c r="AG74" i="32"/>
  <c r="W74" i="32" s="1"/>
  <c r="AG66" i="32"/>
  <c r="W66" i="32" s="1"/>
  <c r="AE45" i="32"/>
  <c r="AE65" i="32"/>
  <c r="AE59" i="32"/>
  <c r="AG47" i="32"/>
  <c r="W47" i="32" s="1"/>
  <c r="AE18" i="32"/>
  <c r="AE62" i="32"/>
  <c r="AG87" i="32"/>
  <c r="W87" i="32" s="1"/>
  <c r="AE3" i="32"/>
  <c r="AE55" i="32"/>
  <c r="AG65" i="32"/>
  <c r="W65" i="32" s="1"/>
  <c r="AE32" i="32"/>
  <c r="AG78" i="32"/>
  <c r="W78" i="32" s="1"/>
  <c r="AE20" i="32"/>
  <c r="AG60" i="32"/>
  <c r="W60" i="32" s="1"/>
  <c r="AE37" i="32"/>
  <c r="AE57" i="32"/>
  <c r="AE68" i="32"/>
  <c r="AE15" i="32"/>
  <c r="AG67" i="32"/>
  <c r="W67" i="32" s="1"/>
  <c r="AG34" i="32"/>
  <c r="W34" i="32" s="1"/>
  <c r="AG75" i="32"/>
  <c r="W75" i="32" s="1"/>
  <c r="AE90" i="32"/>
  <c r="AE61" i="32"/>
  <c r="AG33" i="32"/>
  <c r="W33" i="32" s="1"/>
  <c r="AE36" i="32"/>
  <c r="AE9" i="32"/>
  <c r="AE58" i="32"/>
  <c r="AG54" i="32"/>
  <c r="W54" i="32" s="1"/>
  <c r="AG39" i="32"/>
  <c r="W39" i="32" s="1"/>
  <c r="AG25" i="32"/>
  <c r="W25" i="32" s="1"/>
  <c r="AE82" i="32"/>
  <c r="AG29" i="32"/>
  <c r="W29" i="32" s="1"/>
  <c r="AE91" i="32"/>
  <c r="AG92" i="32"/>
  <c r="W92" i="32" s="1"/>
  <c r="AG24" i="32"/>
  <c r="W24" i="32" s="1"/>
  <c r="AE51" i="32"/>
  <c r="AE92" i="32"/>
  <c r="AE56" i="32"/>
  <c r="AE52" i="32"/>
  <c r="AG71" i="32"/>
  <c r="W71" i="32" s="1"/>
  <c r="AG13" i="32"/>
  <c r="W13" i="32" s="1"/>
  <c r="AG19" i="32"/>
  <c r="W19" i="32" s="1"/>
  <c r="AG72" i="32"/>
  <c r="W72" i="32" s="1"/>
  <c r="AE63" i="32"/>
  <c r="AE85" i="32"/>
  <c r="AG58" i="32"/>
  <c r="W58" i="32" s="1"/>
  <c r="AG76" i="32"/>
  <c r="W76" i="32" s="1"/>
  <c r="AG16" i="32"/>
  <c r="W16" i="32" s="1"/>
  <c r="AG20" i="32"/>
  <c r="W20" i="32" s="1"/>
  <c r="AE38" i="32"/>
  <c r="AG30" i="32"/>
  <c r="W30" i="32" s="1"/>
  <c r="AG48" i="32"/>
  <c r="W48" i="32" s="1"/>
  <c r="AE48" i="32"/>
  <c r="AG43" i="32"/>
  <c r="W43" i="32" s="1"/>
  <c r="AE31" i="32"/>
  <c r="AG61" i="32"/>
  <c r="W61" i="32" s="1"/>
  <c r="AE26" i="32"/>
  <c r="AG15" i="32"/>
  <c r="W15" i="32" s="1"/>
  <c r="AE69" i="32"/>
  <c r="AE6" i="32"/>
  <c r="AG53" i="32"/>
  <c r="W53" i="32" s="1"/>
  <c r="AE30" i="32"/>
  <c r="AE49" i="32"/>
  <c r="AE21" i="32"/>
  <c r="AG93" i="32"/>
  <c r="W93" i="32" s="1"/>
  <c r="AE72" i="32"/>
  <c r="AG73" i="32"/>
  <c r="W73" i="32" s="1"/>
  <c r="AE84" i="32"/>
  <c r="AG37" i="32"/>
  <c r="W37" i="32" s="1"/>
  <c r="AE53" i="32"/>
  <c r="AE41" i="32"/>
  <c r="AG63" i="32"/>
  <c r="W63" i="32" s="1"/>
  <c r="AE39" i="32"/>
  <c r="AG69" i="32"/>
  <c r="W69" i="32" s="1"/>
  <c r="AG85" i="32"/>
  <c r="W85" i="32" s="1"/>
  <c r="AE75" i="32"/>
  <c r="AG86" i="32"/>
  <c r="W86" i="32" s="1"/>
  <c r="AE86" i="32"/>
  <c r="AE34" i="32"/>
  <c r="AG80" i="32"/>
  <c r="W80" i="32" s="1"/>
  <c r="AE28" i="32"/>
  <c r="AG77" i="32"/>
  <c r="W77" i="32" s="1"/>
  <c r="AE5" i="32"/>
  <c r="AE16" i="32"/>
  <c r="AE54" i="32"/>
  <c r="AE81" i="32"/>
  <c r="AG89" i="32"/>
  <c r="W89" i="32" s="1"/>
  <c r="AE79" i="32"/>
  <c r="AE88" i="32"/>
  <c r="AE74" i="32"/>
  <c r="AE50" i="32"/>
  <c r="AG12" i="32"/>
  <c r="W12" i="32" s="1"/>
  <c r="AG83" i="32"/>
  <c r="W83" i="32" s="1"/>
  <c r="AG28" i="32"/>
  <c r="W28" i="32" s="1"/>
  <c r="AE24" i="32"/>
  <c r="AE67" i="32"/>
  <c r="AE22" i="32"/>
  <c r="AE23" i="32"/>
  <c r="AG81" i="32"/>
  <c r="W81" i="32" s="1"/>
  <c r="AE13" i="32"/>
  <c r="AG64" i="32"/>
  <c r="W64" i="32" s="1"/>
  <c r="AG38" i="32"/>
  <c r="W38" i="32" s="1"/>
  <c r="AE14" i="32"/>
  <c r="AG14" i="32"/>
  <c r="W14" i="32" s="1"/>
  <c r="AE7" i="32"/>
  <c r="AE43" i="32"/>
  <c r="AE17" i="32"/>
  <c r="AE29" i="32"/>
  <c r="AE60" i="32"/>
  <c r="AE66" i="32"/>
  <c r="AE46" i="32"/>
  <c r="AG84" i="32"/>
  <c r="W84" i="32" s="1"/>
  <c r="AG26" i="32"/>
  <c r="W26" i="32" s="1"/>
  <c r="AG70" i="32"/>
  <c r="W70" i="32" s="1"/>
  <c r="AG56" i="32"/>
  <c r="W56" i="32" s="1"/>
  <c r="AE93" i="32"/>
  <c r="AE25" i="32"/>
  <c r="AG35" i="32"/>
  <c r="W35" i="32" s="1"/>
  <c r="AG10" i="32"/>
  <c r="W10" i="32" s="1"/>
  <c r="AG9" i="32"/>
  <c r="W9" i="32" s="1"/>
  <c r="AE77" i="32"/>
  <c r="AE73" i="32"/>
  <c r="AE44" i="32"/>
  <c r="AG68" i="32"/>
  <c r="W68" i="32" s="1"/>
  <c r="AG40" i="32"/>
  <c r="W40" i="32" s="1"/>
  <c r="AE4" i="32"/>
  <c r="AE76" i="32"/>
  <c r="AE27" i="32"/>
  <c r="AG45" i="32"/>
  <c r="W45" i="32" s="1"/>
  <c r="AG41" i="32"/>
  <c r="W41" i="32" s="1"/>
  <c r="AG59" i="32"/>
  <c r="W59" i="32" s="1"/>
  <c r="AG32" i="32"/>
  <c r="W32" i="32" s="1"/>
  <c r="AG11" i="32"/>
  <c r="W11" i="32" s="1"/>
  <c r="AG50" i="32"/>
  <c r="W50" i="32" s="1"/>
  <c r="AE80" i="32"/>
  <c r="AE89" i="32"/>
  <c r="AG8" i="32"/>
  <c r="W8" i="32" s="1"/>
  <c r="AG82" i="32"/>
  <c r="W82" i="32" s="1"/>
  <c r="AE33" i="32"/>
  <c r="AG88" i="32"/>
  <c r="W88" i="32" s="1"/>
  <c r="AG17" i="32"/>
  <c r="W17" i="32" s="1"/>
  <c r="AE83" i="32"/>
  <c r="AG4" i="32"/>
  <c r="W4" i="32" s="1"/>
  <c r="AE70" i="32"/>
  <c r="AG7" i="32"/>
  <c r="W7" i="32" s="1"/>
  <c r="AG62" i="32"/>
  <c r="W62" i="32" s="1"/>
  <c r="AE78" i="32"/>
  <c r="AE87" i="32"/>
  <c r="AE10" i="32"/>
  <c r="AE19" i="32"/>
  <c r="AG79" i="32"/>
  <c r="W79" i="32" s="1"/>
  <c r="AE12" i="32"/>
  <c r="AG55" i="32"/>
  <c r="W55" i="32" s="1"/>
  <c r="AE11" i="32"/>
  <c r="AE47" i="32"/>
  <c r="AE8" i="32"/>
  <c r="AG5" i="32"/>
  <c r="W5" i="32" s="1"/>
  <c r="AG3" i="32"/>
  <c r="W3" i="32" s="1"/>
  <c r="M41" i="3"/>
  <c r="AT16" i="35"/>
  <c r="AT8" i="35"/>
  <c r="BE14" i="3" a="1"/>
  <c r="BE14" i="3" s="1"/>
  <c r="AO32" i="3" a="1"/>
  <c r="AO32" i="3" s="1"/>
  <c r="AO17" i="3" a="1"/>
  <c r="AO17" i="3" s="1"/>
  <c r="AK39" i="3"/>
  <c r="AN39" i="3" a="1"/>
  <c r="AN39" i="3" s="1"/>
  <c r="AL39" i="3" a="1"/>
  <c r="AL39" i="3" s="1"/>
  <c r="AY39" i="3"/>
  <c r="BS39" i="3" s="1" a="1"/>
  <c r="BS39" i="3" s="1"/>
  <c r="AM39" i="3" a="1"/>
  <c r="AM39" i="3" s="1"/>
  <c r="AP39" i="3" a="1"/>
  <c r="AP39" i="3" s="1"/>
  <c r="AO39" i="3" a="1"/>
  <c r="AO39" i="3" s="1"/>
  <c r="AP23" i="3" a="1"/>
  <c r="AP23" i="3" s="1"/>
  <c r="AP49" i="3" a="1"/>
  <c r="AP49" i="3" s="1"/>
  <c r="AM47" i="3" a="1"/>
  <c r="AM47" i="3" s="1"/>
  <c r="AL47" i="3" a="1"/>
  <c r="AL47" i="3" s="1"/>
  <c r="AN47" i="3" a="1"/>
  <c r="AN47" i="3" s="1"/>
  <c r="AY47" i="3"/>
  <c r="BP47" i="3" s="1" a="1"/>
  <c r="BP47" i="3" s="1"/>
  <c r="AP47" i="3" a="1"/>
  <c r="AP47" i="3" s="1"/>
  <c r="AK47" i="3"/>
  <c r="AO47" i="3" a="1"/>
  <c r="AO47" i="3" s="1"/>
  <c r="AQ11" i="35"/>
  <c r="B14" i="31"/>
  <c r="J36" i="3"/>
  <c r="J39" i="3"/>
  <c r="AQ14" i="35"/>
  <c r="B27" i="31"/>
  <c r="AQ6" i="35"/>
  <c r="BG23" i="3" a="1"/>
  <c r="BG23" i="3" s="1"/>
  <c r="AL32" i="3" a="1"/>
  <c r="AL32" i="3" s="1"/>
  <c r="AP17" i="3" a="1"/>
  <c r="AP17" i="3" s="1"/>
  <c r="AM6" i="3" a="1"/>
  <c r="AM6" i="3" s="1"/>
  <c r="AL6" i="3" a="1"/>
  <c r="AL6" i="3" s="1"/>
  <c r="AO6" i="3" a="1"/>
  <c r="AO6" i="3" s="1"/>
  <c r="AN6" i="3" a="1"/>
  <c r="AN6" i="3" s="1"/>
  <c r="AK6" i="3"/>
  <c r="AY6" i="3"/>
  <c r="BR6" i="3" s="1" a="1"/>
  <c r="BR6" i="3" s="1"/>
  <c r="AP6" i="3" a="1"/>
  <c r="AP6" i="3" s="1"/>
  <c r="M28" i="3"/>
  <c r="AT3" i="35"/>
  <c r="B12" i="31"/>
  <c r="AN23" i="3" a="1"/>
  <c r="AN23" i="3" s="1"/>
  <c r="AQ23" i="35"/>
  <c r="B40" i="31"/>
  <c r="J48" i="3"/>
  <c r="AQ12" i="35"/>
  <c r="B15" i="31"/>
  <c r="J37" i="3"/>
  <c r="AQ4" i="35"/>
  <c r="AN32" i="3" a="1"/>
  <c r="AN32" i="3" s="1"/>
  <c r="AN17" i="3" a="1"/>
  <c r="AN17" i="3" s="1"/>
  <c r="AL48" i="3" a="1"/>
  <c r="AL48" i="3" s="1"/>
  <c r="AM8" i="3" a="1"/>
  <c r="AM8" i="3" s="1"/>
  <c r="AL14" i="3" a="1"/>
  <c r="AL14" i="3" s="1"/>
  <c r="AL9" i="3" a="1"/>
  <c r="AL9" i="3" s="1"/>
  <c r="C3" i="35"/>
  <c r="AO22" i="3" a="1"/>
  <c r="AO22" i="3" s="1"/>
  <c r="AO15" i="3" a="1"/>
  <c r="AO15" i="3" s="1"/>
  <c r="AO8" i="3" a="1"/>
  <c r="AO8" i="3" s="1"/>
  <c r="AO14" i="3" a="1"/>
  <c r="AO14" i="3" s="1"/>
  <c r="J4" i="3"/>
  <c r="AN15" i="3" a="1"/>
  <c r="AN15" i="3" s="1"/>
  <c r="AL30" i="3" a="1"/>
  <c r="AL30" i="3" s="1"/>
  <c r="AO46" i="3" a="1"/>
  <c r="AO46" i="3" s="1"/>
  <c r="AK25" i="3"/>
  <c r="AK30" i="3"/>
  <c r="AL25" i="3" a="1"/>
  <c r="AL25" i="3" s="1"/>
  <c r="AO48" i="3" a="1"/>
  <c r="AO48" i="3" s="1"/>
  <c r="AM48" i="3" a="1"/>
  <c r="AM48" i="3" s="1"/>
  <c r="AM33" i="3" a="1"/>
  <c r="AM33" i="3" s="1"/>
  <c r="AK14" i="3"/>
  <c r="AM9" i="3" a="1"/>
  <c r="AM9" i="3" s="1"/>
  <c r="AL22" i="3" a="1"/>
  <c r="AL22" i="3" s="1"/>
  <c r="AM15" i="3" a="1"/>
  <c r="AM15" i="3" s="1"/>
  <c r="AL46" i="3" a="1"/>
  <c r="AL46" i="3" s="1"/>
  <c r="AO25" i="3" a="1"/>
  <c r="AO25" i="3" s="1"/>
  <c r="AN14" i="3" a="1"/>
  <c r="AN14" i="3" s="1"/>
  <c r="AK22" i="3"/>
  <c r="AO33" i="3" a="1"/>
  <c r="AO33" i="3" s="1"/>
  <c r="AK9" i="3"/>
  <c r="B6" i="31"/>
  <c r="AK15" i="3"/>
  <c r="AK8" i="3"/>
  <c r="AM24" i="3" a="1"/>
  <c r="AM24" i="3" s="1"/>
  <c r="AL33" i="3" a="1"/>
  <c r="AL33" i="3" s="1"/>
  <c r="AM22" i="3" a="1"/>
  <c r="AM22" i="3" s="1"/>
  <c r="AL15" i="3" a="1"/>
  <c r="AL15" i="3" s="1"/>
  <c r="AN30" i="3" a="1"/>
  <c r="AN30" i="3" s="1"/>
  <c r="AK46" i="3"/>
  <c r="AO24" i="3" a="1"/>
  <c r="AO24" i="3" s="1"/>
  <c r="AN33" i="3" a="1"/>
  <c r="AN33" i="3" s="1"/>
  <c r="AO9" i="3" a="1"/>
  <c r="AO9" i="3" s="1"/>
  <c r="AN9" i="3" a="1"/>
  <c r="AN9" i="3" s="1"/>
  <c r="AM30" i="3" a="1"/>
  <c r="AM30" i="3" s="1"/>
  <c r="AN8" i="3" a="1"/>
  <c r="AN8" i="3" s="1"/>
  <c r="AK24" i="3"/>
  <c r="AK33" i="3"/>
  <c r="AN22" i="3" a="1"/>
  <c r="AN22" i="3" s="1"/>
  <c r="AO30" i="3" a="1"/>
  <c r="AO30" i="3" s="1"/>
  <c r="AM46" i="3" a="1"/>
  <c r="AM46" i="3" s="1"/>
  <c r="AM25" i="3" a="1"/>
  <c r="AM25" i="3" s="1"/>
  <c r="AL8" i="3" a="1"/>
  <c r="AL8" i="3" s="1"/>
  <c r="AM14" i="3" a="1"/>
  <c r="AM14" i="3" s="1"/>
  <c r="AN46" i="3" a="1"/>
  <c r="AN46" i="3" s="1"/>
  <c r="AN48" i="3" a="1"/>
  <c r="AN48" i="3" s="1"/>
  <c r="AN24" i="3" a="1"/>
  <c r="AN24" i="3" s="1"/>
  <c r="AN25" i="3" a="1"/>
  <c r="AN25" i="3" s="1"/>
  <c r="AK48" i="3"/>
  <c r="AL24" i="3" a="1"/>
  <c r="AL24" i="3" s="1"/>
  <c r="AQ7" i="35"/>
  <c r="J40" i="3"/>
  <c r="B38" i="31"/>
  <c r="AQ15" i="35"/>
  <c r="AN49" i="3" a="1"/>
  <c r="AN49" i="3" s="1"/>
  <c r="M17" i="3"/>
  <c r="F16" i="35"/>
  <c r="B33" i="31"/>
  <c r="AK23" i="3"/>
  <c r="J9" i="3"/>
  <c r="B31" i="31"/>
  <c r="C8" i="35"/>
  <c r="AK49" i="3"/>
  <c r="AT7" i="35"/>
  <c r="AT15" i="35"/>
  <c r="M40" i="3"/>
  <c r="BF29" i="3"/>
  <c r="AK17" i="3"/>
  <c r="AK41" i="3"/>
  <c r="J32" i="3"/>
  <c r="B36" i="31"/>
  <c r="BL25" i="3"/>
  <c r="BM22" i="3"/>
  <c r="BM24" i="3"/>
  <c r="BL22" i="3"/>
  <c r="BR9" i="3" a="1"/>
  <c r="BR9" i="3" s="1"/>
  <c r="BP49" i="3" a="1"/>
  <c r="BP49" i="3" s="1"/>
  <c r="BP48" i="3" a="1"/>
  <c r="BP48" i="3" s="1"/>
  <c r="BR23" i="3" a="1"/>
  <c r="BR23" i="3" s="1"/>
  <c r="BR22" i="3" a="1"/>
  <c r="BR22" i="3" s="1"/>
  <c r="BR25" i="3" a="1"/>
  <c r="BR25" i="3" s="1"/>
  <c r="BS32" i="3" a="1"/>
  <c r="BS32" i="3" s="1"/>
  <c r="BS30" i="3" a="1"/>
  <c r="BS30" i="3" s="1"/>
  <c r="BR49" i="3" a="1"/>
  <c r="BR49" i="3" s="1"/>
  <c r="BR46" i="3" a="1"/>
  <c r="BR46" i="3" s="1"/>
  <c r="BS14" i="3" a="1"/>
  <c r="BS14" i="3" s="1"/>
  <c r="BS15" i="3" a="1"/>
  <c r="BS15" i="3" s="1"/>
  <c r="BQ14" i="3" a="1"/>
  <c r="BQ14" i="3" s="1"/>
  <c r="BQ17" i="3" a="1"/>
  <c r="BQ17" i="3" s="1"/>
  <c r="BS23" i="3" a="1"/>
  <c r="BS23" i="3" s="1"/>
  <c r="BS24" i="3" a="1"/>
  <c r="BS24" i="3" s="1"/>
  <c r="BS22" i="3" a="1"/>
  <c r="BS22" i="3" s="1"/>
  <c r="BS8" i="3" a="1"/>
  <c r="BS8" i="3" s="1"/>
  <c r="BP25" i="3" a="1"/>
  <c r="BP25" i="3" s="1"/>
  <c r="BP23" i="3" a="1"/>
  <c r="BP23" i="3" s="1"/>
  <c r="BP24" i="3" a="1"/>
  <c r="BP24" i="3" s="1"/>
  <c r="BP32" i="3" a="1"/>
  <c r="BP32" i="3" s="1"/>
  <c r="BP33" i="3" a="1"/>
  <c r="BP33" i="3" s="1"/>
  <c r="BP17" i="3" a="1"/>
  <c r="BP17" i="3" s="1"/>
  <c r="BP15" i="3" a="1"/>
  <c r="BP15" i="3" s="1"/>
  <c r="AQ32" i="3" l="1"/>
  <c r="BJ15" i="3"/>
  <c r="AQ23" i="3"/>
  <c r="BM8" i="3"/>
  <c r="BS40" i="3" a="1"/>
  <c r="BS40" i="3" s="1"/>
  <c r="BJ48" i="3"/>
  <c r="BS6" i="3" a="1"/>
  <c r="BS6" i="3" s="1"/>
  <c r="AQ46" i="3"/>
  <c r="BJ17" i="3"/>
  <c r="BP31" i="3" a="1"/>
  <c r="BP31" i="3" s="1"/>
  <c r="BM14" i="3"/>
  <c r="BQ22" i="3" a="1"/>
  <c r="BQ22" i="3" s="1"/>
  <c r="BQ25" i="3" a="1"/>
  <c r="BQ25" i="3" s="1"/>
  <c r="BM30" i="3"/>
  <c r="BJ23" i="3"/>
  <c r="AJ8" i="3"/>
  <c r="BJ33" i="3"/>
  <c r="AQ14" i="3"/>
  <c r="BR47" i="3" a="1"/>
  <c r="BR47" i="3" s="1"/>
  <c r="AQ49" i="3"/>
  <c r="AQ33" i="3"/>
  <c r="AJ32" i="3"/>
  <c r="AQ15" i="3"/>
  <c r="BL9" i="3"/>
  <c r="BK14" i="3"/>
  <c r="AQ9" i="3"/>
  <c r="AQ7" i="3"/>
  <c r="BM15" i="3"/>
  <c r="AJ14" i="3"/>
  <c r="BM23" i="3"/>
  <c r="AQ47" i="3"/>
  <c r="BK17" i="3"/>
  <c r="AQ30" i="3"/>
  <c r="AQ8" i="3"/>
  <c r="BL23" i="3"/>
  <c r="AQ22" i="3"/>
  <c r="AJ24" i="3"/>
  <c r="BQ16" i="3" a="1"/>
  <c r="BQ16" i="3" s="1"/>
  <c r="BS7" i="3" a="1"/>
  <c r="BS7" i="3" s="1"/>
  <c r="BL46" i="3"/>
  <c r="AQ24" i="3"/>
  <c r="AJ47" i="3"/>
  <c r="AJ39" i="3"/>
  <c r="AJ16" i="3"/>
  <c r="AJ31" i="3"/>
  <c r="AJ23" i="3"/>
  <c r="BK22" i="3"/>
  <c r="BS16" i="3" a="1"/>
  <c r="BS16" i="3" s="1"/>
  <c r="AJ17" i="3"/>
  <c r="BS38" i="3" a="1"/>
  <c r="BS38" i="3" s="1"/>
  <c r="AQ25" i="3"/>
  <c r="AQ48" i="3"/>
  <c r="AQ39" i="3"/>
  <c r="AJ49" i="3"/>
  <c r="AJ15" i="3"/>
  <c r="AJ30" i="3"/>
  <c r="AJ9" i="3"/>
  <c r="AF19" i="32"/>
  <c r="V19" i="32" s="1"/>
  <c r="U19" i="32"/>
  <c r="AF83" i="32"/>
  <c r="V83" i="32" s="1"/>
  <c r="U83" i="32"/>
  <c r="AF4" i="32"/>
  <c r="V4" i="32" s="1"/>
  <c r="U4" i="32"/>
  <c r="AF66" i="32"/>
  <c r="V66" i="32" s="1"/>
  <c r="U66" i="32"/>
  <c r="AF81" i="32"/>
  <c r="V81" i="32" s="1"/>
  <c r="U81" i="32"/>
  <c r="AF86" i="32"/>
  <c r="V86" i="32" s="1"/>
  <c r="U86" i="32"/>
  <c r="AF53" i="32"/>
  <c r="V53" i="32" s="1"/>
  <c r="U53" i="32"/>
  <c r="AF30" i="32"/>
  <c r="V30" i="32" s="1"/>
  <c r="U30" i="32"/>
  <c r="AF56" i="32"/>
  <c r="V56" i="32" s="1"/>
  <c r="U56" i="32"/>
  <c r="AF90" i="32"/>
  <c r="V90" i="32" s="1"/>
  <c r="U90" i="32"/>
  <c r="AF62" i="32"/>
  <c r="V62" i="32" s="1"/>
  <c r="U62" i="32"/>
  <c r="BK25" i="3"/>
  <c r="AJ7" i="3"/>
  <c r="AF10" i="32"/>
  <c r="V10" i="32" s="1"/>
  <c r="U10" i="32"/>
  <c r="AF25" i="32"/>
  <c r="V25" i="32" s="1"/>
  <c r="U25" i="32"/>
  <c r="AF60" i="32"/>
  <c r="V60" i="32" s="1"/>
  <c r="U60" i="32"/>
  <c r="AF54" i="32"/>
  <c r="V54" i="32" s="1"/>
  <c r="U54" i="32"/>
  <c r="AF48" i="32"/>
  <c r="V48" i="32" s="1"/>
  <c r="U48" i="32"/>
  <c r="AF85" i="32"/>
  <c r="V85" i="32" s="1"/>
  <c r="U85" i="32"/>
  <c r="AF92" i="32"/>
  <c r="V92" i="32" s="1"/>
  <c r="U92" i="32"/>
  <c r="AF20" i="32"/>
  <c r="V20" i="32" s="1"/>
  <c r="U20" i="32"/>
  <c r="AF18" i="32"/>
  <c r="V18" i="32" s="1"/>
  <c r="U18" i="32"/>
  <c r="BF13" i="3"/>
  <c r="BE16" i="3" a="1"/>
  <c r="BE16" i="3" s="1"/>
  <c r="BD16" i="3" a="1"/>
  <c r="BD16" i="3" s="1"/>
  <c r="BG16" i="3" a="1"/>
  <c r="BG16" i="3" s="1"/>
  <c r="AJ33" i="3"/>
  <c r="BD5" i="3"/>
  <c r="BD7" i="3" s="1" a="1"/>
  <c r="BD7" i="3" s="1"/>
  <c r="BG6" i="3" a="1"/>
  <c r="BG6" i="3" s="1"/>
  <c r="BF6" i="3" a="1"/>
  <c r="BF6" i="3" s="1"/>
  <c r="AQ17" i="3"/>
  <c r="AF8" i="32"/>
  <c r="V8" i="32" s="1"/>
  <c r="U8" i="32"/>
  <c r="AF87" i="32"/>
  <c r="V87" i="32" s="1"/>
  <c r="U87" i="32"/>
  <c r="AF93" i="32"/>
  <c r="V93" i="32" s="1"/>
  <c r="U93" i="32"/>
  <c r="AF29" i="32"/>
  <c r="V29" i="32" s="1"/>
  <c r="U29" i="32"/>
  <c r="AF13" i="32"/>
  <c r="V13" i="32" s="1"/>
  <c r="U13" i="32"/>
  <c r="AF16" i="32"/>
  <c r="V16" i="32" s="1"/>
  <c r="U16" i="32"/>
  <c r="AF75" i="32"/>
  <c r="V75" i="32" s="1"/>
  <c r="U75" i="32"/>
  <c r="AF84" i="32"/>
  <c r="V84" i="32" s="1"/>
  <c r="U84" i="32"/>
  <c r="AF6" i="32"/>
  <c r="V6" i="32" s="1"/>
  <c r="U6" i="32"/>
  <c r="AF63" i="32"/>
  <c r="V63" i="32" s="1"/>
  <c r="U63" i="32"/>
  <c r="AF51" i="32"/>
  <c r="V51" i="32" s="1"/>
  <c r="U51" i="32"/>
  <c r="AQ40" i="3"/>
  <c r="AJ48" i="3"/>
  <c r="AH65" i="3"/>
  <c r="AF47" i="32"/>
  <c r="V47" i="32" s="1"/>
  <c r="U47" i="32"/>
  <c r="AF78" i="32"/>
  <c r="V78" i="32" s="1"/>
  <c r="U78" i="32"/>
  <c r="AF33" i="32"/>
  <c r="V33" i="32" s="1"/>
  <c r="U33" i="32"/>
  <c r="AF44" i="32"/>
  <c r="V44" i="32" s="1"/>
  <c r="U44" i="32"/>
  <c r="AF17" i="32"/>
  <c r="V17" i="32" s="1"/>
  <c r="U17" i="32"/>
  <c r="AF50" i="32"/>
  <c r="V50" i="32" s="1"/>
  <c r="U50" i="32"/>
  <c r="AF5" i="32"/>
  <c r="V5" i="32" s="1"/>
  <c r="U5" i="32"/>
  <c r="AF69" i="32"/>
  <c r="V69" i="32" s="1"/>
  <c r="U69" i="32"/>
  <c r="AF58" i="32"/>
  <c r="V58" i="32" s="1"/>
  <c r="U58" i="32"/>
  <c r="AF32" i="32"/>
  <c r="V32" i="32" s="1"/>
  <c r="U32" i="32"/>
  <c r="AF59" i="32"/>
  <c r="V59" i="32" s="1"/>
  <c r="U59" i="32"/>
  <c r="AF64" i="32"/>
  <c r="V64" i="32" s="1"/>
  <c r="U64" i="32"/>
  <c r="AF42" i="32"/>
  <c r="V42" i="32" s="1"/>
  <c r="U42" i="32"/>
  <c r="AJ40" i="3"/>
  <c r="BR29" i="3"/>
  <c r="BF30" i="3" a="1"/>
  <c r="BF30" i="3" s="1"/>
  <c r="BF33" i="3" a="1"/>
  <c r="BF33" i="3" s="1"/>
  <c r="BL29" i="3"/>
  <c r="AJ46" i="3"/>
  <c r="AJ25" i="3"/>
  <c r="AF11" i="32"/>
  <c r="V11" i="32" s="1"/>
  <c r="U11" i="32"/>
  <c r="AF73" i="32"/>
  <c r="V73" i="32" s="1"/>
  <c r="U73" i="32"/>
  <c r="AF43" i="32"/>
  <c r="V43" i="32" s="1"/>
  <c r="U43" i="32"/>
  <c r="AF23" i="32"/>
  <c r="V23" i="32" s="1"/>
  <c r="U23" i="32"/>
  <c r="AF74" i="32"/>
  <c r="V74" i="32" s="1"/>
  <c r="U74" i="32"/>
  <c r="AF72" i="32"/>
  <c r="V72" i="32" s="1"/>
  <c r="U72" i="32"/>
  <c r="AF38" i="32"/>
  <c r="V38" i="32" s="1"/>
  <c r="U38" i="32"/>
  <c r="AF9" i="32"/>
  <c r="V9" i="32" s="1"/>
  <c r="U9" i="32"/>
  <c r="AF15" i="32"/>
  <c r="V15" i="32" s="1"/>
  <c r="U15" i="32"/>
  <c r="AF65" i="32"/>
  <c r="V65" i="32" s="1"/>
  <c r="U65" i="32"/>
  <c r="AF40" i="32"/>
  <c r="V40" i="32" s="1"/>
  <c r="U40" i="32"/>
  <c r="AQ16" i="3"/>
  <c r="BD37" i="3"/>
  <c r="BD40" i="3" s="1" a="1"/>
  <c r="BD40" i="3" s="1"/>
  <c r="AQ6" i="3"/>
  <c r="BE45" i="3"/>
  <c r="BG47" i="3" a="1"/>
  <c r="BG47" i="3" s="1"/>
  <c r="BD47" i="3" a="1"/>
  <c r="BD47" i="3" s="1"/>
  <c r="BF47" i="3" a="1"/>
  <c r="BF47" i="3" s="1"/>
  <c r="AF77" i="32"/>
  <c r="V77" i="32" s="1"/>
  <c r="U77" i="32"/>
  <c r="AF7" i="32"/>
  <c r="V7" i="32" s="1"/>
  <c r="U7" i="32"/>
  <c r="AF22" i="32"/>
  <c r="V22" i="32" s="1"/>
  <c r="U22" i="32"/>
  <c r="AF88" i="32"/>
  <c r="V88" i="32" s="1"/>
  <c r="U88" i="32"/>
  <c r="AF28" i="32"/>
  <c r="V28" i="32" s="1"/>
  <c r="U28" i="32"/>
  <c r="AF39" i="32"/>
  <c r="V39" i="32" s="1"/>
  <c r="U39" i="32"/>
  <c r="AF26" i="32"/>
  <c r="V26" i="32" s="1"/>
  <c r="U26" i="32"/>
  <c r="AF91" i="32"/>
  <c r="V91" i="32" s="1"/>
  <c r="U91" i="32"/>
  <c r="AF36" i="32"/>
  <c r="V36" i="32" s="1"/>
  <c r="U36" i="32"/>
  <c r="AF68" i="32"/>
  <c r="V68" i="32" s="1"/>
  <c r="U68" i="32"/>
  <c r="AF55" i="32"/>
  <c r="V55" i="32" s="1"/>
  <c r="U55" i="32"/>
  <c r="AF45" i="32"/>
  <c r="V45" i="32" s="1"/>
  <c r="U45" i="32"/>
  <c r="AF35" i="32"/>
  <c r="V35" i="32" s="1"/>
  <c r="U35" i="32"/>
  <c r="BE29" i="3"/>
  <c r="BD31" i="3" a="1"/>
  <c r="BD31" i="3" s="1"/>
  <c r="BF31" i="3" a="1"/>
  <c r="BF31" i="3" s="1"/>
  <c r="BG31" i="3" a="1"/>
  <c r="BG31" i="3" s="1"/>
  <c r="BF37" i="3"/>
  <c r="BF38" i="3" s="1" a="1"/>
  <c r="BF38" i="3" s="1"/>
  <c r="BG40" i="3" a="1"/>
  <c r="BG40" i="3" s="1"/>
  <c r="AQ41" i="3"/>
  <c r="BE5" i="3"/>
  <c r="BG7" i="3" a="1"/>
  <c r="BG7" i="3" s="1"/>
  <c r="BF7" i="3" a="1"/>
  <c r="BF7" i="3" s="1"/>
  <c r="AJ41" i="3"/>
  <c r="BG46" i="3" a="1"/>
  <c r="BG46" i="3" s="1"/>
  <c r="BM46" i="3" s="1"/>
  <c r="BS45" i="3"/>
  <c r="BG48" i="3" a="1"/>
  <c r="BG48" i="3" s="1"/>
  <c r="BM45" i="3"/>
  <c r="AJ22" i="3"/>
  <c r="AJ6" i="3"/>
  <c r="BE37" i="3"/>
  <c r="BG39" i="3" a="1"/>
  <c r="BG39" i="3" s="1"/>
  <c r="AF12" i="32"/>
  <c r="V12" i="32" s="1"/>
  <c r="U12" i="32"/>
  <c r="AF70" i="32"/>
  <c r="V70" i="32" s="1"/>
  <c r="U70" i="32"/>
  <c r="AF89" i="32"/>
  <c r="V89" i="32" s="1"/>
  <c r="U89" i="32"/>
  <c r="AF27" i="32"/>
  <c r="V27" i="32" s="1"/>
  <c r="U27" i="32"/>
  <c r="AF67" i="32"/>
  <c r="V67" i="32" s="1"/>
  <c r="U67" i="32"/>
  <c r="AF79" i="32"/>
  <c r="V79" i="32" s="1"/>
  <c r="U79" i="32"/>
  <c r="AF21" i="32"/>
  <c r="V21" i="32" s="1"/>
  <c r="U21" i="32"/>
  <c r="AF57" i="32"/>
  <c r="V57" i="32" s="1"/>
  <c r="U57" i="32"/>
  <c r="AF3" i="32"/>
  <c r="V3" i="32" s="1"/>
  <c r="U3" i="32"/>
  <c r="AF71" i="32"/>
  <c r="V71" i="32" s="1"/>
  <c r="U71" i="32"/>
  <c r="AQ38" i="3"/>
  <c r="AF80" i="32"/>
  <c r="V80" i="32" s="1"/>
  <c r="U80" i="32"/>
  <c r="AF76" i="32"/>
  <c r="V76" i="32" s="1"/>
  <c r="U76" i="32"/>
  <c r="AF46" i="32"/>
  <c r="V46" i="32" s="1"/>
  <c r="U46" i="32"/>
  <c r="AF14" i="32"/>
  <c r="V14" i="32" s="1"/>
  <c r="U14" i="32"/>
  <c r="AF24" i="32"/>
  <c r="V24" i="32" s="1"/>
  <c r="U24" i="32"/>
  <c r="AF34" i="32"/>
  <c r="V34" i="32" s="1"/>
  <c r="U34" i="32"/>
  <c r="AF41" i="32"/>
  <c r="V41" i="32" s="1"/>
  <c r="U41" i="32"/>
  <c r="AF49" i="32"/>
  <c r="V49" i="32" s="1"/>
  <c r="U49" i="32"/>
  <c r="AF31" i="32"/>
  <c r="V31" i="32" s="1"/>
  <c r="U31" i="32"/>
  <c r="AF52" i="32"/>
  <c r="V52" i="32" s="1"/>
  <c r="U52" i="32"/>
  <c r="AF82" i="32"/>
  <c r="V82" i="32" s="1"/>
  <c r="U82" i="32"/>
  <c r="AF61" i="32"/>
  <c r="V61" i="32" s="1"/>
  <c r="U61" i="32"/>
  <c r="AF37" i="32"/>
  <c r="V37" i="32" s="1"/>
  <c r="U37" i="32"/>
  <c r="AQ31" i="3"/>
  <c r="AJ38" i="3"/>
  <c r="AZ16" i="3" l="1"/>
  <c r="BO25" i="3"/>
  <c r="AZ14" i="3"/>
  <c r="BO16" i="3"/>
  <c r="BI22" i="3"/>
  <c r="BO24" i="3"/>
  <c r="BO23" i="3"/>
  <c r="AZ47" i="3"/>
  <c r="AZ31" i="3"/>
  <c r="AZ32" i="3"/>
  <c r="BL38" i="3"/>
  <c r="BO22" i="3"/>
  <c r="BI23" i="3"/>
  <c r="AZ49" i="3"/>
  <c r="BL30" i="3"/>
  <c r="BJ32" i="3"/>
  <c r="AZ40" i="3"/>
  <c r="AZ48" i="3"/>
  <c r="BC47" i="3"/>
  <c r="BD8" i="3" a="1"/>
  <c r="BD8" i="3" s="1"/>
  <c r="BJ8" i="3" s="1"/>
  <c r="BP5" i="3"/>
  <c r="BD9" i="3" a="1"/>
  <c r="BD9" i="3" s="1"/>
  <c r="BJ9" i="3" s="1"/>
  <c r="BJ5" i="3"/>
  <c r="BF14" i="3" a="1"/>
  <c r="BF14" i="3" s="1"/>
  <c r="BL14" i="3" s="1"/>
  <c r="BI14" i="3" s="1"/>
  <c r="BF15" i="3" a="1"/>
  <c r="BF15" i="3" s="1"/>
  <c r="BL15" i="3" s="1"/>
  <c r="BI15" i="3" s="1"/>
  <c r="BF17" i="3" a="1"/>
  <c r="BF17" i="3" s="1"/>
  <c r="BL17" i="3" s="1"/>
  <c r="BI17" i="3" s="1"/>
  <c r="BR13" i="3"/>
  <c r="BL13" i="3"/>
  <c r="AZ30" i="3"/>
  <c r="BF39" i="3" a="1"/>
  <c r="BF39" i="3" s="1"/>
  <c r="AZ22" i="3"/>
  <c r="BC22" i="3"/>
  <c r="BE49" i="3" a="1"/>
  <c r="BE49" i="3" s="1"/>
  <c r="BK49" i="3" s="1"/>
  <c r="BQ45" i="3"/>
  <c r="BK45" i="3"/>
  <c r="BE48" i="3" a="1"/>
  <c r="BE48" i="3" s="1"/>
  <c r="BK48" i="3" s="1"/>
  <c r="BE46" i="3" a="1"/>
  <c r="BE46" i="3" s="1"/>
  <c r="BK46" i="3" s="1"/>
  <c r="BI46" i="3" s="1"/>
  <c r="BR30" i="3" a="1"/>
  <c r="BR30" i="3" s="1"/>
  <c r="BR33" i="3" a="1"/>
  <c r="BR33" i="3" s="1"/>
  <c r="BR31" i="3" a="1"/>
  <c r="BR31" i="3" s="1"/>
  <c r="BO31" i="3" s="1"/>
  <c r="AZ33" i="3"/>
  <c r="BC31" i="3"/>
  <c r="AZ39" i="3"/>
  <c r="BI25" i="3"/>
  <c r="BE8" i="3" a="1"/>
  <c r="BE8" i="3" s="1"/>
  <c r="BK8" i="3" s="1"/>
  <c r="BE9" i="3" a="1"/>
  <c r="BE9" i="3" s="1"/>
  <c r="BK9" i="3" s="1"/>
  <c r="BK5" i="3"/>
  <c r="BQ5" i="3"/>
  <c r="AZ24" i="3"/>
  <c r="BI24" i="3"/>
  <c r="BE38" i="3" a="1"/>
  <c r="BE38" i="3" s="1"/>
  <c r="BK37" i="3"/>
  <c r="BE41" i="3" a="1"/>
  <c r="BE41" i="3" s="1"/>
  <c r="BK41" i="3" s="1"/>
  <c r="BQ37" i="3"/>
  <c r="BL49" i="3"/>
  <c r="BM48" i="3"/>
  <c r="BE30" i="3" a="1"/>
  <c r="BE30" i="3" s="1"/>
  <c r="BK30" i="3" s="1"/>
  <c r="BE33" i="3" a="1"/>
  <c r="BE33" i="3" s="1"/>
  <c r="BK33" i="3" s="1"/>
  <c r="BK29" i="3"/>
  <c r="BQ29" i="3"/>
  <c r="BE32" i="3" a="1"/>
  <c r="BE32" i="3" s="1"/>
  <c r="BK32" i="3" s="1"/>
  <c r="BJ49" i="3"/>
  <c r="AZ23" i="3"/>
  <c r="AZ6" i="3"/>
  <c r="BS48" i="3" a="1"/>
  <c r="BS48" i="3" s="1"/>
  <c r="BS46" i="3" a="1"/>
  <c r="BS46" i="3" s="1"/>
  <c r="BS47" i="3" a="1"/>
  <c r="BS47" i="3" s="1"/>
  <c r="BO47" i="3" s="1"/>
  <c r="BJ40" i="3"/>
  <c r="BD39" i="3" a="1"/>
  <c r="BD39" i="3" s="1"/>
  <c r="BP37" i="3"/>
  <c r="BD41" i="3" a="1"/>
  <c r="BD41" i="3" s="1"/>
  <c r="BJ37" i="3"/>
  <c r="AZ25" i="3"/>
  <c r="BC23" i="3"/>
  <c r="BC25" i="3"/>
  <c r="BC24" i="3"/>
  <c r="BE40" i="3" a="1"/>
  <c r="BE40" i="3" s="1"/>
  <c r="AZ46" i="3"/>
  <c r="BE6" i="3" a="1"/>
  <c r="BE6" i="3" s="1"/>
  <c r="BK6" i="3" s="1"/>
  <c r="AZ15" i="3"/>
  <c r="BC16" i="3"/>
  <c r="AZ41" i="3"/>
  <c r="AZ8" i="3"/>
  <c r="C17" i="32" a="1"/>
  <c r="C17" i="32" s="1"/>
  <c r="C4" i="32" a="1"/>
  <c r="C4" i="32" s="1"/>
  <c r="C40" i="32" a="1"/>
  <c r="C40" i="32" s="1"/>
  <c r="C16" i="32" a="1"/>
  <c r="C16" i="32" s="1"/>
  <c r="C78" i="32" a="1"/>
  <c r="C78" i="32" s="1"/>
  <c r="C65" i="32" a="1"/>
  <c r="C65" i="32" s="1"/>
  <c r="C38" i="32" a="1"/>
  <c r="C38" i="32" s="1"/>
  <c r="C67" i="32" a="1"/>
  <c r="C67" i="32" s="1"/>
  <c r="C9" i="32" a="1"/>
  <c r="C9" i="32" s="1"/>
  <c r="C13" i="32" a="1"/>
  <c r="C13" i="32" s="1"/>
  <c r="C8" i="32" a="1"/>
  <c r="C8" i="32" s="1"/>
  <c r="C72" i="32" a="1"/>
  <c r="C72" i="32" s="1"/>
  <c r="C6" i="32" a="1"/>
  <c r="C6" i="32" s="1"/>
  <c r="C82" i="32" a="1"/>
  <c r="C82" i="32" s="1"/>
  <c r="C37" i="32" a="1"/>
  <c r="C37" i="32" s="1"/>
  <c r="C39" i="32" a="1"/>
  <c r="C39" i="32" s="1"/>
  <c r="C45" i="32" a="1"/>
  <c r="C45" i="32" s="1"/>
  <c r="C7" i="32" a="1"/>
  <c r="C7" i="32" s="1"/>
  <c r="C33" i="32" a="1"/>
  <c r="C33" i="32" s="1"/>
  <c r="C44" i="32" a="1"/>
  <c r="C44" i="32" s="1"/>
  <c r="C70" i="32" a="1"/>
  <c r="C70" i="32" s="1"/>
  <c r="C77" i="32" a="1"/>
  <c r="C77" i="32" s="1"/>
  <c r="C23" i="32" a="1"/>
  <c r="C23" i="32" s="1"/>
  <c r="C29" i="32" a="1"/>
  <c r="C29" i="32" s="1"/>
  <c r="C32" i="32" a="1"/>
  <c r="C32" i="32" s="1"/>
  <c r="C47" i="32" a="1"/>
  <c r="C47" i="32" s="1"/>
  <c r="C15" i="32" a="1"/>
  <c r="C15" i="32" s="1"/>
  <c r="C46" i="32" a="1"/>
  <c r="C46" i="32" s="1"/>
  <c r="C68" i="32" a="1"/>
  <c r="C68" i="32" s="1"/>
  <c r="C5" i="32" a="1"/>
  <c r="C5" i="32" s="1"/>
  <c r="C41" i="32" a="1"/>
  <c r="C41" i="32" s="1"/>
  <c r="C71" i="32" a="1"/>
  <c r="C71" i="32" s="1"/>
  <c r="C48" i="32" a="1"/>
  <c r="C48" i="32" s="1"/>
  <c r="C30" i="32" a="1"/>
  <c r="C30" i="32" s="1"/>
  <c r="C12" i="32" a="1"/>
  <c r="C12" i="32" s="1"/>
  <c r="C14" i="32" a="1"/>
  <c r="C14" i="32" s="1"/>
  <c r="C49" i="32" a="1"/>
  <c r="C49" i="32" s="1"/>
  <c r="C31" i="32" a="1"/>
  <c r="C31" i="32" s="1"/>
  <c r="C25" i="32" a="1"/>
  <c r="C25" i="32" s="1"/>
  <c r="C83" i="32" a="1"/>
  <c r="C83" i="32" s="1"/>
  <c r="C86" i="32" a="1"/>
  <c r="C86" i="32" s="1"/>
  <c r="C76" i="32" a="1"/>
  <c r="C76" i="32" s="1"/>
  <c r="C28" i="32" a="1"/>
  <c r="C28" i="32" s="1"/>
  <c r="C24" i="32" a="1"/>
  <c r="C24" i="32" s="1"/>
  <c r="C22" i="32" a="1"/>
  <c r="C22" i="32" s="1"/>
  <c r="C20" i="32" a="1"/>
  <c r="C20" i="32" s="1"/>
  <c r="C21" i="32" a="1"/>
  <c r="C21" i="32" s="1"/>
  <c r="C36" i="32" a="1"/>
  <c r="C36" i="32" s="1"/>
  <c r="C66" i="32" a="1"/>
  <c r="C66" i="32" s="1"/>
  <c r="C79" i="32" a="1"/>
  <c r="C79" i="32" s="1"/>
  <c r="C69" i="32" a="1"/>
  <c r="C69" i="32" s="1"/>
  <c r="AZ38" i="3"/>
  <c r="BF41" i="3" a="1"/>
  <c r="BF41" i="3" s="1"/>
  <c r="BL41" i="3" s="1"/>
  <c r="BL37" i="3"/>
  <c r="BR37" i="3"/>
  <c r="BL33" i="3"/>
  <c r="BM32" i="3"/>
  <c r="AZ7" i="3"/>
  <c r="BC7" i="3"/>
  <c r="AZ9" i="3"/>
  <c r="AZ17" i="3"/>
  <c r="BC14" i="3" l="1"/>
  <c r="BC49" i="3"/>
  <c r="BK16" i="3"/>
  <c r="BC15" i="3"/>
  <c r="BM6" i="3"/>
  <c r="BK40" i="3"/>
  <c r="BJ16" i="3"/>
  <c r="BL47" i="3"/>
  <c r="BN25" i="3"/>
  <c r="BM16" i="3"/>
  <c r="BN22" i="3"/>
  <c r="BC32" i="3"/>
  <c r="BI30" i="3"/>
  <c r="BN24" i="3"/>
  <c r="BI8" i="3"/>
  <c r="BN23" i="3"/>
  <c r="BL6" i="3"/>
  <c r="EH24" i="3"/>
  <c r="BI32" i="3"/>
  <c r="BC41" i="3"/>
  <c r="BI49" i="3"/>
  <c r="EL22" i="3"/>
  <c r="BC8" i="3"/>
  <c r="BL7" i="3"/>
  <c r="BI48" i="3"/>
  <c r="BM40" i="3"/>
  <c r="EJ22" i="3"/>
  <c r="EL25" i="3"/>
  <c r="EH22" i="3"/>
  <c r="BJ47" i="3"/>
  <c r="BC46" i="3"/>
  <c r="BH25" i="3"/>
  <c r="BC33" i="3"/>
  <c r="EL24" i="3"/>
  <c r="BC17" i="3"/>
  <c r="EJ25" i="3"/>
  <c r="BJ39" i="3"/>
  <c r="BB24" i="3"/>
  <c r="EH25" i="3"/>
  <c r="G4" i="3"/>
  <c r="F4" i="3"/>
  <c r="F13" i="3"/>
  <c r="G13" i="3"/>
  <c r="F79" i="3"/>
  <c r="G79" i="3"/>
  <c r="F47" i="3"/>
  <c r="G47" i="3"/>
  <c r="F7" i="3"/>
  <c r="G7" i="3"/>
  <c r="G30" i="3"/>
  <c r="F30" i="3"/>
  <c r="F76" i="3"/>
  <c r="G76" i="3"/>
  <c r="BM39" i="3"/>
  <c r="BP7" i="3" a="1"/>
  <c r="BP7" i="3" s="1"/>
  <c r="BO7" i="3" s="1"/>
  <c r="BP8" i="3" a="1"/>
  <c r="BP8" i="3" s="1"/>
  <c r="BP9" i="3" a="1"/>
  <c r="BP9" i="3" s="1"/>
  <c r="BC40" i="3"/>
  <c r="BM31" i="3"/>
  <c r="F41" i="3"/>
  <c r="G41" i="3"/>
  <c r="F38" i="3"/>
  <c r="G38" i="3"/>
  <c r="BB23" i="3"/>
  <c r="BH24" i="3"/>
  <c r="BH22" i="3"/>
  <c r="G31" i="3"/>
  <c r="F31" i="3"/>
  <c r="G77" i="3"/>
  <c r="F77" i="3"/>
  <c r="F65" i="3"/>
  <c r="G65" i="3"/>
  <c r="EH23" i="3"/>
  <c r="BH23" i="3"/>
  <c r="BC9" i="3"/>
  <c r="G22" i="3"/>
  <c r="F22" i="3"/>
  <c r="F49" i="3"/>
  <c r="G49" i="3"/>
  <c r="F68" i="3"/>
  <c r="G68" i="3"/>
  <c r="G70" i="3"/>
  <c r="F70" i="3"/>
  <c r="F6" i="3"/>
  <c r="G6" i="3"/>
  <c r="G78" i="3"/>
  <c r="F78" i="3"/>
  <c r="BC6" i="3"/>
  <c r="BQ41" i="3" a="1"/>
  <c r="BQ41" i="3" s="1"/>
  <c r="BQ38" i="3" a="1"/>
  <c r="BQ38" i="3" s="1"/>
  <c r="BQ40" i="3" a="1"/>
  <c r="BQ40" i="3" s="1"/>
  <c r="BL31" i="3"/>
  <c r="BR14" i="3" a="1"/>
  <c r="BR14" i="3" s="1"/>
  <c r="BO14" i="3" s="1"/>
  <c r="BR15" i="3" a="1"/>
  <c r="BR15" i="3" s="1"/>
  <c r="BO15" i="3" s="1"/>
  <c r="BR17" i="3" a="1"/>
  <c r="BR17" i="3" s="1"/>
  <c r="BO17" i="3" s="1"/>
  <c r="BJ7" i="3"/>
  <c r="EJ23" i="3"/>
  <c r="BR38" i="3" a="1"/>
  <c r="BR38" i="3" s="1"/>
  <c r="BR41" i="3" a="1"/>
  <c r="BR41" i="3" s="1"/>
  <c r="BR39" i="3" a="1"/>
  <c r="BR39" i="3" s="1"/>
  <c r="F25" i="3"/>
  <c r="G25" i="3"/>
  <c r="F37" i="3"/>
  <c r="G37" i="3"/>
  <c r="G24" i="3"/>
  <c r="F24" i="3"/>
  <c r="F14" i="3"/>
  <c r="G14" i="3"/>
  <c r="G46" i="3"/>
  <c r="F46" i="3"/>
  <c r="F44" i="3"/>
  <c r="G44" i="3"/>
  <c r="G72" i="3"/>
  <c r="F72" i="3"/>
  <c r="G16" i="3"/>
  <c r="F16" i="3"/>
  <c r="BJ41" i="3"/>
  <c r="BI41" i="3" s="1"/>
  <c r="BM38" i="3"/>
  <c r="BM7" i="3"/>
  <c r="G36" i="3"/>
  <c r="F36" i="3"/>
  <c r="F83" i="3"/>
  <c r="G83" i="3"/>
  <c r="G29" i="3"/>
  <c r="F29" i="3"/>
  <c r="G39" i="3"/>
  <c r="F39" i="3"/>
  <c r="F67" i="3"/>
  <c r="G67" i="3"/>
  <c r="BB25" i="3"/>
  <c r="BC30" i="3"/>
  <c r="EJ24" i="3"/>
  <c r="G21" i="3"/>
  <c r="F21" i="3"/>
  <c r="G23" i="3"/>
  <c r="F23" i="3"/>
  <c r="F20" i="3"/>
  <c r="G20" i="3"/>
  <c r="G5" i="3"/>
  <c r="F5" i="3"/>
  <c r="F82" i="3"/>
  <c r="G82" i="3"/>
  <c r="EL23" i="3"/>
  <c r="G69" i="3"/>
  <c r="F69" i="3"/>
  <c r="G28" i="3"/>
  <c r="F28" i="3"/>
  <c r="G12" i="3"/>
  <c r="F12" i="3"/>
  <c r="G15" i="3"/>
  <c r="F15" i="3"/>
  <c r="F33" i="3"/>
  <c r="G33" i="3"/>
  <c r="F8" i="3"/>
  <c r="G8" i="3"/>
  <c r="F40" i="3"/>
  <c r="G40" i="3"/>
  <c r="BP40" i="3" a="1"/>
  <c r="BP40" i="3" s="1"/>
  <c r="BP41" i="3" a="1"/>
  <c r="BP41" i="3" s="1"/>
  <c r="BP39" i="3" a="1"/>
  <c r="BP39" i="3" s="1"/>
  <c r="BQ33" i="3" a="1"/>
  <c r="BQ33" i="3" s="1"/>
  <c r="BO33" i="3" s="1"/>
  <c r="BQ30" i="3" a="1"/>
  <c r="BQ30" i="3" s="1"/>
  <c r="BO30" i="3" s="1"/>
  <c r="BQ32" i="3" a="1"/>
  <c r="BQ32" i="3" s="1"/>
  <c r="BO32" i="3" s="1"/>
  <c r="BJ31" i="3"/>
  <c r="BK38" i="3"/>
  <c r="BQ9" i="3" a="1"/>
  <c r="BQ9" i="3" s="1"/>
  <c r="BQ6" i="3" a="1"/>
  <c r="BQ6" i="3" s="1"/>
  <c r="BO6" i="3" s="1"/>
  <c r="BQ8" i="3" a="1"/>
  <c r="BQ8" i="3" s="1"/>
  <c r="BC48" i="3"/>
  <c r="G66" i="3"/>
  <c r="F66" i="3"/>
  <c r="G86" i="3"/>
  <c r="F86" i="3"/>
  <c r="G48" i="3"/>
  <c r="F48" i="3"/>
  <c r="G32" i="3"/>
  <c r="F32" i="3"/>
  <c r="F45" i="3"/>
  <c r="G45" i="3"/>
  <c r="G9" i="3"/>
  <c r="F9" i="3"/>
  <c r="F17" i="3"/>
  <c r="G17" i="3"/>
  <c r="BI33" i="3"/>
  <c r="BB22" i="3"/>
  <c r="BC38" i="3"/>
  <c r="G71" i="3"/>
  <c r="F71" i="3"/>
  <c r="BQ48" i="3" a="1"/>
  <c r="BQ48" i="3" s="1"/>
  <c r="BO48" i="3" s="1"/>
  <c r="BQ49" i="3" a="1"/>
  <c r="BQ49" i="3" s="1"/>
  <c r="BO49" i="3" s="1"/>
  <c r="BQ46" i="3" a="1"/>
  <c r="BQ46" i="3" s="1"/>
  <c r="BO46" i="3" s="1"/>
  <c r="BL39" i="3"/>
  <c r="BI9" i="3"/>
  <c r="BC39" i="3"/>
  <c r="BM47" i="3"/>
  <c r="BI6" i="3" l="1"/>
  <c r="BI47" i="3"/>
  <c r="EL46" i="3" s="1"/>
  <c r="BB17" i="3"/>
  <c r="BI16" i="3"/>
  <c r="EH17" i="3" s="1"/>
  <c r="BI40" i="3"/>
  <c r="BB15" i="3"/>
  <c r="BB14" i="3"/>
  <c r="BB16" i="3"/>
  <c r="EG24" i="3"/>
  <c r="EG23" i="3"/>
  <c r="BB33" i="3"/>
  <c r="BO40" i="3"/>
  <c r="EG25" i="3"/>
  <c r="BB46" i="3"/>
  <c r="EI23" i="3"/>
  <c r="EG22" i="3"/>
  <c r="EI24" i="3"/>
  <c r="BB7" i="3"/>
  <c r="EK23" i="3"/>
  <c r="BI38" i="3"/>
  <c r="BB41" i="3"/>
  <c r="EK24" i="3"/>
  <c r="EK25" i="3"/>
  <c r="EI25" i="3"/>
  <c r="BB8" i="3"/>
  <c r="BN48" i="3"/>
  <c r="BB49" i="3"/>
  <c r="BN15" i="3"/>
  <c r="EK22" i="3"/>
  <c r="EI22" i="3"/>
  <c r="BB47" i="3"/>
  <c r="BB32" i="3"/>
  <c r="BB31" i="3"/>
  <c r="BN33" i="3"/>
  <c r="BN49" i="3"/>
  <c r="BO41" i="3"/>
  <c r="BI7" i="3"/>
  <c r="BN17" i="3"/>
  <c r="BB6" i="3"/>
  <c r="BN46" i="3"/>
  <c r="BB39" i="3"/>
  <c r="BB38" i="3"/>
  <c r="BB48" i="3"/>
  <c r="BB30" i="3"/>
  <c r="BN47" i="3"/>
  <c r="BN32" i="3"/>
  <c r="BN14" i="3"/>
  <c r="BN16" i="3"/>
  <c r="BB40" i="3"/>
  <c r="BN30" i="3"/>
  <c r="BN31" i="3"/>
  <c r="BO9" i="3"/>
  <c r="BO39" i="3"/>
  <c r="BI31" i="3"/>
  <c r="BH33" i="3" s="1"/>
  <c r="BO8" i="3"/>
  <c r="BB9" i="3"/>
  <c r="BO38" i="3"/>
  <c r="BI39" i="3"/>
  <c r="BH7" i="3" l="1"/>
  <c r="EL49" i="3"/>
  <c r="BH49" i="3"/>
  <c r="EH47" i="3"/>
  <c r="BH17" i="3"/>
  <c r="EH48" i="3"/>
  <c r="EJ46" i="3"/>
  <c r="BH46" i="3"/>
  <c r="EL48" i="3"/>
  <c r="EH49" i="3"/>
  <c r="EJ49" i="3"/>
  <c r="BH48" i="3"/>
  <c r="EL47" i="3"/>
  <c r="BH47" i="3"/>
  <c r="EJ47" i="3"/>
  <c r="EH46" i="3"/>
  <c r="EJ48" i="3"/>
  <c r="BH14" i="3"/>
  <c r="EL17" i="3"/>
  <c r="EL16" i="3"/>
  <c r="EJ16" i="3"/>
  <c r="EJ15" i="3"/>
  <c r="EL14" i="3"/>
  <c r="BH15" i="3"/>
  <c r="EH15" i="3"/>
  <c r="EH16" i="3"/>
  <c r="EL15" i="3"/>
  <c r="BH16" i="3"/>
  <c r="EH14" i="3"/>
  <c r="EJ17" i="3"/>
  <c r="EJ14" i="3"/>
  <c r="BA23" i="3"/>
  <c r="BH39" i="3"/>
  <c r="BA24" i="3"/>
  <c r="EJ32" i="3"/>
  <c r="BA25" i="3"/>
  <c r="EL8" i="3"/>
  <c r="BA22" i="3"/>
  <c r="BN7" i="3"/>
  <c r="EH9" i="3"/>
  <c r="BN8" i="3"/>
  <c r="EH8" i="3"/>
  <c r="BH9" i="3"/>
  <c r="EJ9" i="3"/>
  <c r="EL9" i="3"/>
  <c r="EH33" i="3"/>
  <c r="EL33" i="3"/>
  <c r="BH38" i="3"/>
  <c r="BH8" i="3"/>
  <c r="EL32" i="3"/>
  <c r="BN38" i="3"/>
  <c r="BN41" i="3"/>
  <c r="EH40" i="3"/>
  <c r="EJ33" i="3"/>
  <c r="BH40" i="3"/>
  <c r="BH6" i="3"/>
  <c r="EH39" i="3"/>
  <c r="EL40" i="3"/>
  <c r="EJ39" i="3"/>
  <c r="EJ8" i="3"/>
  <c r="BH31" i="3"/>
  <c r="EL31" i="3"/>
  <c r="EJ31" i="3"/>
  <c r="EH31" i="3"/>
  <c r="BH30" i="3"/>
  <c r="BH32" i="3"/>
  <c r="BN9" i="3"/>
  <c r="BN6" i="3"/>
  <c r="EJ30" i="3"/>
  <c r="EH41" i="3"/>
  <c r="EL39" i="3"/>
  <c r="EL6" i="3"/>
  <c r="EH38" i="3"/>
  <c r="EH32" i="3"/>
  <c r="EH30" i="3"/>
  <c r="EJ38" i="3"/>
  <c r="EJ6" i="3"/>
  <c r="EL41" i="3"/>
  <c r="BN39" i="3"/>
  <c r="EJ40" i="3"/>
  <c r="EL30" i="3"/>
  <c r="EL38" i="3"/>
  <c r="EH6" i="3"/>
  <c r="BN40" i="3"/>
  <c r="EL7" i="3"/>
  <c r="EH7" i="3"/>
  <c r="EJ7" i="3"/>
  <c r="EJ41" i="3"/>
  <c r="BH41" i="3"/>
  <c r="EK47" i="3" l="1"/>
  <c r="AR24" i="3"/>
  <c r="CE24" i="3"/>
  <c r="BW24" i="3"/>
  <c r="CF24" i="3"/>
  <c r="CE25" i="3"/>
  <c r="AR25" i="3"/>
  <c r="CF25" i="3"/>
  <c r="BW25" i="3"/>
  <c r="AR23" i="3"/>
  <c r="CF23" i="3"/>
  <c r="CE23" i="3"/>
  <c r="BW23" i="3"/>
  <c r="EK46" i="3"/>
  <c r="CF22" i="3"/>
  <c r="AR22" i="3"/>
  <c r="CE22" i="3"/>
  <c r="BW22" i="3"/>
  <c r="EK49" i="3"/>
  <c r="EK14" i="3"/>
  <c r="EI47" i="3"/>
  <c r="EG46" i="3"/>
  <c r="EK48" i="3"/>
  <c r="EI48" i="3"/>
  <c r="EG47" i="3"/>
  <c r="EG48" i="3"/>
  <c r="EI49" i="3"/>
  <c r="EG49" i="3"/>
  <c r="EK15" i="3"/>
  <c r="EI46" i="3"/>
  <c r="EG14" i="3"/>
  <c r="EG15" i="3"/>
  <c r="EK16" i="3"/>
  <c r="EI15" i="3"/>
  <c r="EK17" i="3"/>
  <c r="EG17" i="3"/>
  <c r="EG16" i="3"/>
  <c r="EI17" i="3"/>
  <c r="EI16" i="3"/>
  <c r="EI14" i="3"/>
  <c r="EK7" i="3"/>
  <c r="EI7" i="3"/>
  <c r="EK30" i="3"/>
  <c r="EG30" i="3"/>
  <c r="EG7" i="3"/>
  <c r="EI31" i="3"/>
  <c r="EK38" i="3"/>
  <c r="EG38" i="3"/>
  <c r="EK8" i="3"/>
  <c r="EI40" i="3"/>
  <c r="EG41" i="3"/>
  <c r="EI32" i="3"/>
  <c r="EG32" i="3"/>
  <c r="EI8" i="3"/>
  <c r="EG9" i="3"/>
  <c r="EK6" i="3"/>
  <c r="EI39" i="3"/>
  <c r="EK40" i="3"/>
  <c r="EK32" i="3"/>
  <c r="EI6" i="3"/>
  <c r="EK9" i="3"/>
  <c r="EK39" i="3"/>
  <c r="EK33" i="3"/>
  <c r="EI38" i="3"/>
  <c r="EG31" i="3"/>
  <c r="EG6" i="3"/>
  <c r="EI41" i="3"/>
  <c r="EI9" i="3"/>
  <c r="EG8" i="3"/>
  <c r="EK41" i="3"/>
  <c r="EG33" i="3"/>
  <c r="EI30" i="3"/>
  <c r="EK31" i="3"/>
  <c r="EG39" i="3"/>
  <c r="EI33" i="3"/>
  <c r="EG40" i="3"/>
  <c r="BA46" i="3" l="1"/>
  <c r="BA16" i="3"/>
  <c r="BW16" i="3" s="1"/>
  <c r="CC22" i="3"/>
  <c r="BU25" i="3"/>
  <c r="AH22" i="3"/>
  <c r="AH25" i="3"/>
  <c r="AS25" i="3" s="1"/>
  <c r="CC23" i="3"/>
  <c r="BU24" i="3"/>
  <c r="BU23" i="3"/>
  <c r="CC24" i="3"/>
  <c r="CC25" i="3"/>
  <c r="BU22" i="3"/>
  <c r="AH23" i="3"/>
  <c r="AS23" i="3" s="1"/>
  <c r="AH24" i="3"/>
  <c r="AS24" i="3" s="1"/>
  <c r="BA15" i="3"/>
  <c r="BA49" i="3"/>
  <c r="BA47" i="3"/>
  <c r="BA48" i="3"/>
  <c r="BA14" i="3"/>
  <c r="BA17" i="3"/>
  <c r="BA8" i="3"/>
  <c r="BA7" i="3"/>
  <c r="BA6" i="3"/>
  <c r="BA30" i="3"/>
  <c r="BA38" i="3"/>
  <c r="BA32" i="3"/>
  <c r="BA31" i="3"/>
  <c r="BA9" i="3"/>
  <c r="BA39" i="3"/>
  <c r="BA40" i="3"/>
  <c r="BA33" i="3"/>
  <c r="BA41" i="3"/>
  <c r="CI23" i="3" l="1"/>
  <c r="AR16" i="3"/>
  <c r="CE16" i="3"/>
  <c r="BW46" i="3"/>
  <c r="CF46" i="3"/>
  <c r="AR46" i="3"/>
  <c r="CE46" i="3"/>
  <c r="CF16" i="3"/>
  <c r="AR47" i="3"/>
  <c r="BW47" i="3"/>
  <c r="CF47" i="3"/>
  <c r="CE47" i="3"/>
  <c r="BW48" i="3"/>
  <c r="CE48" i="3"/>
  <c r="AR48" i="3"/>
  <c r="CF48" i="3"/>
  <c r="AR49" i="3"/>
  <c r="BW49" i="3"/>
  <c r="CF49" i="3"/>
  <c r="CE49" i="3"/>
  <c r="BW38" i="3"/>
  <c r="CE38" i="3"/>
  <c r="CF38" i="3"/>
  <c r="AR38" i="3"/>
  <c r="CE41" i="3"/>
  <c r="AR41" i="3"/>
  <c r="BW41" i="3"/>
  <c r="CF41" i="3"/>
  <c r="CF40" i="3"/>
  <c r="BW40" i="3"/>
  <c r="AR40" i="3"/>
  <c r="CE40" i="3"/>
  <c r="BW39" i="3"/>
  <c r="CE39" i="3"/>
  <c r="CF39" i="3"/>
  <c r="AR39" i="3"/>
  <c r="CI22" i="3"/>
  <c r="BW31" i="3"/>
  <c r="AR31" i="3"/>
  <c r="CE31" i="3"/>
  <c r="CF31" i="3"/>
  <c r="CH23" i="3"/>
  <c r="BW32" i="3"/>
  <c r="AR32" i="3"/>
  <c r="CF32" i="3"/>
  <c r="CE32" i="3"/>
  <c r="CF30" i="3"/>
  <c r="BW30" i="3"/>
  <c r="AR30" i="3"/>
  <c r="CE30" i="3"/>
  <c r="CE33" i="3"/>
  <c r="CF33" i="3"/>
  <c r="BW33" i="3"/>
  <c r="AR33" i="3"/>
  <c r="CI24" i="3"/>
  <c r="CH25" i="3"/>
  <c r="CH22" i="3"/>
  <c r="CI25" i="3"/>
  <c r="CH24" i="3"/>
  <c r="AS22" i="3"/>
  <c r="BX23" i="3"/>
  <c r="BY23" i="3" s="1"/>
  <c r="BX24" i="3"/>
  <c r="BY24" i="3" s="1"/>
  <c r="BX22" i="3"/>
  <c r="BY22" i="3" s="1"/>
  <c r="BX25" i="3"/>
  <c r="BY25" i="3" s="1"/>
  <c r="AR15" i="3"/>
  <c r="BW15" i="3"/>
  <c r="CF15" i="3"/>
  <c r="CE15" i="3"/>
  <c r="BW17" i="3"/>
  <c r="CF17" i="3"/>
  <c r="CE17" i="3"/>
  <c r="AR17" i="3"/>
  <c r="CF14" i="3"/>
  <c r="BW14" i="3"/>
  <c r="CE14" i="3"/>
  <c r="AR14" i="3"/>
  <c r="CE8" i="3"/>
  <c r="BW8" i="3"/>
  <c r="AR8" i="3"/>
  <c r="CF8" i="3"/>
  <c r="CE9" i="3"/>
  <c r="BW9" i="3"/>
  <c r="CF9" i="3"/>
  <c r="AR9" i="3"/>
  <c r="AR6" i="3"/>
  <c r="CE6" i="3"/>
  <c r="CF6" i="3"/>
  <c r="BW6" i="3"/>
  <c r="AR7" i="3"/>
  <c r="BW7" i="3"/>
  <c r="CE7" i="3"/>
  <c r="CF7" i="3"/>
  <c r="CC46" i="3" l="1"/>
  <c r="BU17" i="3"/>
  <c r="AA24" i="3"/>
  <c r="AB24" i="3" s="1"/>
  <c r="BU48" i="3"/>
  <c r="AH14" i="3"/>
  <c r="AS14" i="3" s="1"/>
  <c r="BU49" i="3"/>
  <c r="BU47" i="3"/>
  <c r="CC41" i="3"/>
  <c r="AH49" i="3"/>
  <c r="AS49" i="3" s="1"/>
  <c r="AH47" i="3"/>
  <c r="AS47" i="3" s="1"/>
  <c r="BU41" i="3"/>
  <c r="AH48" i="3"/>
  <c r="AS48" i="3" s="1"/>
  <c r="CC48" i="3"/>
  <c r="AH46" i="3"/>
  <c r="CC49" i="3"/>
  <c r="CC47" i="3"/>
  <c r="BU46" i="3"/>
  <c r="CC39" i="3"/>
  <c r="AH41" i="3"/>
  <c r="AS41" i="3" s="1"/>
  <c r="AH39" i="3"/>
  <c r="AS39" i="3" s="1"/>
  <c r="CC40" i="3"/>
  <c r="AH38" i="3"/>
  <c r="BU39" i="3"/>
  <c r="CJ22" i="3"/>
  <c r="AH40" i="3"/>
  <c r="AS40" i="3" s="1"/>
  <c r="CC32" i="3"/>
  <c r="BU31" i="3"/>
  <c r="BU40" i="3"/>
  <c r="CC38" i="3"/>
  <c r="BU38" i="3"/>
  <c r="CJ23" i="3"/>
  <c r="CC33" i="3"/>
  <c r="BU32" i="3"/>
  <c r="AH33" i="3"/>
  <c r="AS33" i="3" s="1"/>
  <c r="AH32" i="3"/>
  <c r="AS32" i="3" s="1"/>
  <c r="CJ25" i="3"/>
  <c r="CC30" i="3"/>
  <c r="BU33" i="3"/>
  <c r="AH30" i="3"/>
  <c r="CC14" i="3"/>
  <c r="AA25" i="3"/>
  <c r="AB25" i="3" s="1"/>
  <c r="BU30" i="3"/>
  <c r="CC31" i="3"/>
  <c r="AH31" i="3"/>
  <c r="AS31" i="3" s="1"/>
  <c r="CC15" i="3"/>
  <c r="BU16" i="3"/>
  <c r="CC16" i="3"/>
  <c r="CC17" i="3"/>
  <c r="AA23" i="3"/>
  <c r="AB23" i="3" s="1"/>
  <c r="AA22" i="3"/>
  <c r="CJ24" i="3"/>
  <c r="BU14" i="3"/>
  <c r="AH16" i="3"/>
  <c r="AS16" i="3" s="1"/>
  <c r="AH17" i="3"/>
  <c r="AS17" i="3" s="1"/>
  <c r="BU15" i="3"/>
  <c r="AH15" i="3"/>
  <c r="AS15" i="3" s="1"/>
  <c r="BU7" i="3"/>
  <c r="CC7" i="3"/>
  <c r="AH7" i="3"/>
  <c r="AS7" i="3" s="1"/>
  <c r="BU6" i="3"/>
  <c r="BU8" i="3"/>
  <c r="BU9" i="3"/>
  <c r="CC8" i="3"/>
  <c r="CC6" i="3"/>
  <c r="CC9" i="3"/>
  <c r="AH9" i="3"/>
  <c r="AS9" i="3" s="1"/>
  <c r="AH6" i="3"/>
  <c r="AH8" i="3"/>
  <c r="AS8" i="3" s="1"/>
  <c r="CI47" i="3" l="1"/>
  <c r="CH16" i="3"/>
  <c r="CI46" i="3"/>
  <c r="CI17" i="3"/>
  <c r="CH14" i="3"/>
  <c r="CI16" i="3"/>
  <c r="CH47" i="3"/>
  <c r="CI48" i="3"/>
  <c r="BX16" i="3"/>
  <c r="BY16" i="3" s="1"/>
  <c r="CH46" i="3"/>
  <c r="CI49" i="3"/>
  <c r="CH49" i="3"/>
  <c r="AS46" i="3"/>
  <c r="BX49" i="3"/>
  <c r="BY49" i="3" s="1"/>
  <c r="BX46" i="3"/>
  <c r="BY46" i="3" s="1"/>
  <c r="BX47" i="3"/>
  <c r="BY47" i="3" s="1"/>
  <c r="BX48" i="3"/>
  <c r="BY48" i="3" s="1"/>
  <c r="CH48" i="3"/>
  <c r="CH15" i="3"/>
  <c r="CI41" i="3"/>
  <c r="CI39" i="3"/>
  <c r="CI40" i="3"/>
  <c r="CH38" i="3"/>
  <c r="CH39" i="3"/>
  <c r="CH40" i="3"/>
  <c r="CH41" i="3"/>
  <c r="CI38" i="3"/>
  <c r="AS38" i="3"/>
  <c r="BX39" i="3"/>
  <c r="BY39" i="3" s="1"/>
  <c r="BX40" i="3"/>
  <c r="BY40" i="3" s="1"/>
  <c r="BX41" i="3"/>
  <c r="BY41" i="3" s="1"/>
  <c r="BX38" i="3"/>
  <c r="BY38" i="3" s="1"/>
  <c r="CK22" i="3"/>
  <c r="CL22" i="3" s="1"/>
  <c r="CN23" i="3" s="1"/>
  <c r="CQ22" i="3" s="1" a="1"/>
  <c r="CQ22" i="3" s="1"/>
  <c r="CI14" i="3"/>
  <c r="CI15" i="3"/>
  <c r="BX33" i="3"/>
  <c r="BY33" i="3" s="1"/>
  <c r="BX30" i="3"/>
  <c r="BY30" i="3" s="1"/>
  <c r="AS30" i="3"/>
  <c r="BX32" i="3"/>
  <c r="BY32" i="3" s="1"/>
  <c r="BX31" i="3"/>
  <c r="BY31" i="3" s="1"/>
  <c r="CH32" i="3"/>
  <c r="CI33" i="3"/>
  <c r="CH33" i="3"/>
  <c r="CH31" i="3"/>
  <c r="CI32" i="3"/>
  <c r="CI31" i="3"/>
  <c r="CI30" i="3"/>
  <c r="CH30" i="3"/>
  <c r="BX14" i="3"/>
  <c r="BY14" i="3" s="1"/>
  <c r="CH17" i="3"/>
  <c r="AA21" i="3"/>
  <c r="AB20" i="3" s="1"/>
  <c r="AB22" i="3"/>
  <c r="BX15" i="3"/>
  <c r="BY15" i="3" s="1"/>
  <c r="BX17" i="3"/>
  <c r="BY17" i="3" s="1"/>
  <c r="CH8" i="3"/>
  <c r="CH6" i="3"/>
  <c r="CI6" i="3"/>
  <c r="CH9" i="3"/>
  <c r="CI7" i="3"/>
  <c r="CI9" i="3"/>
  <c r="CH7" i="3"/>
  <c r="CI8" i="3"/>
  <c r="BX6" i="3"/>
  <c r="BY6" i="3" s="1"/>
  <c r="BX7" i="3"/>
  <c r="BY7" i="3" s="1"/>
  <c r="BX9" i="3"/>
  <c r="BY9" i="3" s="1"/>
  <c r="AS6" i="3"/>
  <c r="BX8" i="3"/>
  <c r="BY8" i="3" s="1"/>
  <c r="AA17" i="3" l="1"/>
  <c r="AB17" i="3" s="1"/>
  <c r="CJ16" i="3"/>
  <c r="CJ49" i="3"/>
  <c r="CN24" i="3"/>
  <c r="CR22" i="3" s="1" a="1"/>
  <c r="CR22" i="3" s="1"/>
  <c r="AA41" i="3"/>
  <c r="AB41" i="3" s="1"/>
  <c r="CN25" i="3"/>
  <c r="CS22" i="3" s="1" a="1"/>
  <c r="CS22" i="3" s="1"/>
  <c r="CN22" i="3"/>
  <c r="CP22" i="3" s="1" a="1"/>
  <c r="CP22" i="3" s="1"/>
  <c r="CJ41" i="3"/>
  <c r="CJ47" i="3"/>
  <c r="AA49" i="3"/>
  <c r="AB49" i="3" s="1"/>
  <c r="AA48" i="3"/>
  <c r="AB48" i="3" s="1"/>
  <c r="CJ46" i="3"/>
  <c r="AA46" i="3"/>
  <c r="AA47" i="3"/>
  <c r="AB47" i="3" s="1"/>
  <c r="CJ48" i="3"/>
  <c r="CJ33" i="3"/>
  <c r="CJ14" i="3"/>
  <c r="CJ15" i="3"/>
  <c r="AA32" i="3"/>
  <c r="AB32" i="3" s="1"/>
  <c r="AA38" i="3"/>
  <c r="AA39" i="3"/>
  <c r="AB39" i="3" s="1"/>
  <c r="AA33" i="3"/>
  <c r="AB33" i="3" s="1"/>
  <c r="CJ40" i="3"/>
  <c r="AA40" i="3"/>
  <c r="AB40" i="3" s="1"/>
  <c r="CJ39" i="3"/>
  <c r="CJ38" i="3"/>
  <c r="CJ30" i="3"/>
  <c r="CJ31" i="3"/>
  <c r="CJ17" i="3"/>
  <c r="CJ32" i="3"/>
  <c r="AA31" i="3"/>
  <c r="AB31" i="3" s="1"/>
  <c r="AA30" i="3"/>
  <c r="AA16" i="3"/>
  <c r="AB16" i="3" s="1"/>
  <c r="AU25" i="3"/>
  <c r="AU24" i="3"/>
  <c r="AU22" i="3"/>
  <c r="AU23" i="3"/>
  <c r="AA15" i="3"/>
  <c r="AB15" i="3" s="1"/>
  <c r="AA14" i="3"/>
  <c r="CJ8" i="3"/>
  <c r="AA9" i="3"/>
  <c r="AB9" i="3" s="1"/>
  <c r="AA8" i="3"/>
  <c r="AB8" i="3" s="1"/>
  <c r="CJ9" i="3"/>
  <c r="AA6" i="3"/>
  <c r="AA7" i="3"/>
  <c r="AB7" i="3" s="1"/>
  <c r="CJ7" i="3"/>
  <c r="CJ6" i="3"/>
  <c r="CK14" i="3" l="1"/>
  <c r="CL14" i="3" s="1"/>
  <c r="CN16" i="3" s="1"/>
  <c r="CR14" i="3" s="1" a="1"/>
  <c r="CR14" i="3" s="1"/>
  <c r="AB46" i="3"/>
  <c r="AA45" i="3"/>
  <c r="AB44" i="3" s="1"/>
  <c r="CK46" i="3"/>
  <c r="CL46" i="3" s="1"/>
  <c r="AA37" i="3"/>
  <c r="AB36" i="3" s="1"/>
  <c r="AB38" i="3"/>
  <c r="CK30" i="3"/>
  <c r="CL30" i="3" s="1"/>
  <c r="CN30" i="3" s="1"/>
  <c r="CP30" i="3" s="1" a="1"/>
  <c r="CP30" i="3" s="1"/>
  <c r="CK38" i="3"/>
  <c r="CL38" i="3" s="1"/>
  <c r="AA29" i="3"/>
  <c r="AB28" i="3" s="1"/>
  <c r="AB30" i="3"/>
  <c r="AG22" i="3"/>
  <c r="AG24" i="3"/>
  <c r="AG23" i="3"/>
  <c r="AG25" i="3"/>
  <c r="AA13" i="3"/>
  <c r="AB12" i="3" s="1"/>
  <c r="AB14" i="3"/>
  <c r="AB6" i="3"/>
  <c r="AA5" i="3"/>
  <c r="AB4" i="3" s="1"/>
  <c r="CK6" i="3"/>
  <c r="CL6" i="3" s="1"/>
  <c r="CN9" i="3" s="1"/>
  <c r="CS6" i="3" s="1" a="1"/>
  <c r="CS6" i="3" s="1"/>
  <c r="N66" i="3" l="1"/>
  <c r="N10" i="35" s="1"/>
  <c r="CN15" i="3"/>
  <c r="CQ14" i="3" s="1" a="1"/>
  <c r="CQ14" i="3" s="1"/>
  <c r="CN17" i="3"/>
  <c r="CS14" i="3" s="1" a="1"/>
  <c r="CS14" i="3" s="1"/>
  <c r="CN14" i="3"/>
  <c r="CP14" i="3" s="1" a="1"/>
  <c r="CP14" i="3" s="1"/>
  <c r="R23" i="3"/>
  <c r="X23" i="3" s="1"/>
  <c r="L21" i="35" s="1"/>
  <c r="CN33" i="3"/>
  <c r="CS30" i="3" s="1" a="1"/>
  <c r="CS30" i="3" s="1"/>
  <c r="CN32" i="3"/>
  <c r="CR30" i="3" s="1" a="1"/>
  <c r="CR30" i="3" s="1"/>
  <c r="CN31" i="3"/>
  <c r="CQ30" i="3" s="1" a="1"/>
  <c r="CQ30" i="3" s="1"/>
  <c r="CN47" i="3"/>
  <c r="CQ46" i="3" s="1" a="1"/>
  <c r="CQ46" i="3" s="1"/>
  <c r="CN46" i="3"/>
  <c r="CP46" i="3" s="1" a="1"/>
  <c r="CP46" i="3" s="1"/>
  <c r="CN49" i="3"/>
  <c r="CS46" i="3" s="1" a="1"/>
  <c r="CS46" i="3" s="1"/>
  <c r="CN48" i="3"/>
  <c r="CR46" i="3" s="1" a="1"/>
  <c r="CR46" i="3" s="1"/>
  <c r="AP68" i="3"/>
  <c r="AJ57" i="3"/>
  <c r="AN68" i="3"/>
  <c r="AM57" i="3"/>
  <c r="BA57" i="3"/>
  <c r="AO68" i="3"/>
  <c r="AO57" i="3"/>
  <c r="AQ68" i="3"/>
  <c r="AI57" i="3"/>
  <c r="AL68" i="3"/>
  <c r="AL57" i="3"/>
  <c r="AI68" i="3"/>
  <c r="AM68" i="3"/>
  <c r="AJ68" i="3"/>
  <c r="AK68" i="3"/>
  <c r="AQ57" i="3"/>
  <c r="AP57" i="3"/>
  <c r="AN57" i="3"/>
  <c r="AK57" i="3"/>
  <c r="AU47" i="3"/>
  <c r="AU49" i="3"/>
  <c r="AU46" i="3"/>
  <c r="AU48" i="3"/>
  <c r="CN40" i="3"/>
  <c r="CR38" i="3" s="1" a="1"/>
  <c r="CR38" i="3" s="1"/>
  <c r="CN41" i="3"/>
  <c r="CS38" i="3" s="1" a="1"/>
  <c r="CS38" i="3" s="1"/>
  <c r="CN38" i="3"/>
  <c r="CP38" i="3" s="1" a="1"/>
  <c r="CP38" i="3" s="1"/>
  <c r="CN39" i="3"/>
  <c r="CQ38" i="3" s="1" a="1"/>
  <c r="CQ38" i="3" s="1"/>
  <c r="AU41" i="3"/>
  <c r="AU40" i="3"/>
  <c r="AU39" i="3"/>
  <c r="AU38" i="3"/>
  <c r="R25" i="3"/>
  <c r="U25" i="3" s="1"/>
  <c r="AU30" i="3"/>
  <c r="AU31" i="3"/>
  <c r="AU32" i="3"/>
  <c r="AU33" i="3"/>
  <c r="I67" i="3"/>
  <c r="R22" i="3"/>
  <c r="R24" i="3"/>
  <c r="AU14" i="3"/>
  <c r="AU16" i="3"/>
  <c r="AU17" i="3"/>
  <c r="AU15" i="3"/>
  <c r="CN7" i="3"/>
  <c r="CQ6" i="3" s="1" a="1"/>
  <c r="CQ6" i="3" s="1"/>
  <c r="CN6" i="3"/>
  <c r="CP6" i="3" s="1" a="1"/>
  <c r="CP6" i="3" s="1"/>
  <c r="CN8" i="3"/>
  <c r="CR6" i="3" s="1" a="1"/>
  <c r="CR6" i="3" s="1"/>
  <c r="AU9" i="3"/>
  <c r="AU8" i="3"/>
  <c r="AU6" i="3"/>
  <c r="AU7" i="3"/>
  <c r="Y23" i="3" l="1"/>
  <c r="C79" i="31"/>
  <c r="H21" i="35"/>
  <c r="U23" i="3"/>
  <c r="Z23" i="3"/>
  <c r="K21" i="35" s="1"/>
  <c r="T23" i="3"/>
  <c r="J21" i="35" s="1"/>
  <c r="W23" i="3"/>
  <c r="V23" i="3"/>
  <c r="S23" i="3"/>
  <c r="I21" i="35" s="1"/>
  <c r="AG46" i="3"/>
  <c r="BW57" i="3"/>
  <c r="AG38" i="3"/>
  <c r="AG48" i="3"/>
  <c r="S25" i="3"/>
  <c r="I23" i="35" s="1"/>
  <c r="AG49" i="3"/>
  <c r="AG47" i="3"/>
  <c r="BA76" i="3"/>
  <c r="BA66" i="3"/>
  <c r="AZ74" i="3"/>
  <c r="AZ72" i="3"/>
  <c r="AZ77" i="3"/>
  <c r="AZ78" i="3"/>
  <c r="BA80" i="3"/>
  <c r="AZ73" i="3"/>
  <c r="BA67" i="3"/>
  <c r="BA68" i="3"/>
  <c r="BC57" i="3"/>
  <c r="AR57" i="3"/>
  <c r="BB57" i="3"/>
  <c r="X25" i="3"/>
  <c r="L23" i="35" s="1"/>
  <c r="AG39" i="3"/>
  <c r="H23" i="35"/>
  <c r="V25" i="3"/>
  <c r="Z25" i="3"/>
  <c r="K23" i="35" s="1"/>
  <c r="AG40" i="3"/>
  <c r="T25" i="3"/>
  <c r="J23" i="35" s="1"/>
  <c r="AG33" i="3"/>
  <c r="AG41" i="3"/>
  <c r="Y25" i="3"/>
  <c r="W25" i="3"/>
  <c r="AG32" i="3"/>
  <c r="AG31" i="3"/>
  <c r="AG30" i="3"/>
  <c r="W24" i="3"/>
  <c r="A57" i="3"/>
  <c r="BV57" i="3" s="1"/>
  <c r="Z24" i="3"/>
  <c r="K22" i="35" s="1"/>
  <c r="Y24" i="3"/>
  <c r="T24" i="3"/>
  <c r="J22" i="35" s="1"/>
  <c r="S24" i="3"/>
  <c r="I22" i="35" s="1"/>
  <c r="U24" i="3"/>
  <c r="V24" i="3"/>
  <c r="H22" i="35"/>
  <c r="X24" i="3"/>
  <c r="L22" i="35" s="1"/>
  <c r="AG15" i="3"/>
  <c r="V22" i="3"/>
  <c r="U22" i="3"/>
  <c r="Y22" i="3"/>
  <c r="T22" i="3"/>
  <c r="X22" i="3"/>
  <c r="L20" i="35" s="1"/>
  <c r="H20" i="35"/>
  <c r="S22" i="3"/>
  <c r="I20" i="35" s="1"/>
  <c r="W22" i="3"/>
  <c r="Z22" i="3"/>
  <c r="K20" i="35" s="1"/>
  <c r="AN17" i="35"/>
  <c r="C72" i="31"/>
  <c r="AG17" i="3"/>
  <c r="AG16" i="3"/>
  <c r="AG14" i="3"/>
  <c r="AG8" i="3"/>
  <c r="AG9" i="3"/>
  <c r="AG7" i="3"/>
  <c r="AG6" i="3"/>
  <c r="R41" i="3" l="1"/>
  <c r="T41" i="3" s="1"/>
  <c r="AX15" i="35" s="1"/>
  <c r="R38" i="3"/>
  <c r="Z38" i="3" s="1"/>
  <c r="AY12" i="35" s="1"/>
  <c r="I71" i="3"/>
  <c r="AN3" i="35" s="1"/>
  <c r="R40" i="3"/>
  <c r="Y40" i="3" s="1"/>
  <c r="BA60" i="3"/>
  <c r="N69" i="3"/>
  <c r="AK71" i="3"/>
  <c r="R47" i="3"/>
  <c r="U47" i="3" s="1"/>
  <c r="N72" i="3"/>
  <c r="C85" i="31" s="1"/>
  <c r="AL71" i="3"/>
  <c r="AO71" i="3"/>
  <c r="AI71" i="3"/>
  <c r="AO60" i="3"/>
  <c r="AK60" i="3"/>
  <c r="AQ69" i="3"/>
  <c r="AM58" i="3"/>
  <c r="AI58" i="3"/>
  <c r="AL69" i="3"/>
  <c r="AO58" i="3"/>
  <c r="AJ58" i="3"/>
  <c r="AJ69" i="3"/>
  <c r="AL58" i="3"/>
  <c r="AN58" i="3"/>
  <c r="AQ58" i="3"/>
  <c r="AN69" i="3"/>
  <c r="AI69" i="3"/>
  <c r="AK58" i="3"/>
  <c r="BA58" i="3"/>
  <c r="AO69" i="3"/>
  <c r="AP58" i="3"/>
  <c r="AP69" i="3"/>
  <c r="AK69" i="3"/>
  <c r="AM69" i="3"/>
  <c r="AJ71" i="3"/>
  <c r="AP60" i="3"/>
  <c r="AM71" i="3"/>
  <c r="AP66" i="3"/>
  <c r="AJ55" i="3"/>
  <c r="AQ55" i="3"/>
  <c r="AO66" i="3"/>
  <c r="AJ66" i="3"/>
  <c r="AM66" i="3"/>
  <c r="AL55" i="3"/>
  <c r="AP55" i="3"/>
  <c r="AN66" i="3"/>
  <c r="AK55" i="3"/>
  <c r="AM55" i="3"/>
  <c r="AO55" i="3"/>
  <c r="AI55" i="3"/>
  <c r="BA55" i="3"/>
  <c r="AQ66" i="3"/>
  <c r="AL66" i="3"/>
  <c r="AK66" i="3"/>
  <c r="AN55" i="3"/>
  <c r="AI66" i="3"/>
  <c r="AJ60" i="3"/>
  <c r="AM60" i="3"/>
  <c r="AQ71" i="3"/>
  <c r="AN71" i="3"/>
  <c r="I70" i="3"/>
  <c r="R48" i="3"/>
  <c r="AN60" i="3"/>
  <c r="AQ60" i="3"/>
  <c r="R46" i="3"/>
  <c r="R39" i="3"/>
  <c r="AV13" i="35" s="1"/>
  <c r="AI60" i="3"/>
  <c r="AL60" i="3"/>
  <c r="AI67" i="3"/>
  <c r="AQ67" i="3"/>
  <c r="AQ56" i="3"/>
  <c r="AK56" i="3"/>
  <c r="AN56" i="3"/>
  <c r="AO67" i="3"/>
  <c r="AN67" i="3"/>
  <c r="AM56" i="3"/>
  <c r="AL56" i="3"/>
  <c r="AL67" i="3"/>
  <c r="AJ56" i="3"/>
  <c r="AI56" i="3"/>
  <c r="AJ67" i="3"/>
  <c r="AM67" i="3"/>
  <c r="AP67" i="3"/>
  <c r="AK67" i="3"/>
  <c r="BA56" i="3"/>
  <c r="AO56" i="3"/>
  <c r="AP56" i="3"/>
  <c r="R49" i="3"/>
  <c r="AP71" i="3"/>
  <c r="AM70" i="3"/>
  <c r="AP59" i="3"/>
  <c r="AJ59" i="3"/>
  <c r="AO59" i="3"/>
  <c r="AO70" i="3"/>
  <c r="AN59" i="3"/>
  <c r="AJ70" i="3"/>
  <c r="AQ70" i="3"/>
  <c r="AP70" i="3"/>
  <c r="AQ59" i="3"/>
  <c r="AK70" i="3"/>
  <c r="AI59" i="3"/>
  <c r="AI70" i="3"/>
  <c r="AM59" i="3"/>
  <c r="BA59" i="3"/>
  <c r="AL59" i="3"/>
  <c r="AN70" i="3"/>
  <c r="AK59" i="3"/>
  <c r="AL70" i="3"/>
  <c r="A59" i="3"/>
  <c r="BV59" i="3" s="1"/>
  <c r="I69" i="3"/>
  <c r="I72" i="3"/>
  <c r="R32" i="3"/>
  <c r="R31" i="3"/>
  <c r="R33" i="3"/>
  <c r="R30" i="3"/>
  <c r="J20" i="35"/>
  <c r="C53" i="31"/>
  <c r="C55" i="31"/>
  <c r="C52" i="31"/>
  <c r="C54" i="31"/>
  <c r="R14" i="3"/>
  <c r="N65" i="3"/>
  <c r="I68" i="3"/>
  <c r="R17" i="3"/>
  <c r="R15" i="3"/>
  <c r="R16" i="3"/>
  <c r="I66" i="3"/>
  <c r="N76" i="3" s="1"/>
  <c r="I65" i="3"/>
  <c r="R7" i="3"/>
  <c r="R9" i="3"/>
  <c r="R8" i="3"/>
  <c r="R6" i="3"/>
  <c r="X40" i="3" l="1"/>
  <c r="AZ14" i="35" s="1"/>
  <c r="N78" i="3"/>
  <c r="O65" i="3" s="1"/>
  <c r="C76" i="31"/>
  <c r="V40" i="3"/>
  <c r="W40" i="3"/>
  <c r="N79" i="3"/>
  <c r="O72" i="3" s="1"/>
  <c r="N77" i="3"/>
  <c r="R21" i="35" s="1"/>
  <c r="S41" i="3"/>
  <c r="AW15" i="35" s="1"/>
  <c r="Y38" i="3"/>
  <c r="AV12" i="35"/>
  <c r="S38" i="3"/>
  <c r="AW12" i="35" s="1"/>
  <c r="V38" i="3"/>
  <c r="U41" i="3"/>
  <c r="Z41" i="3"/>
  <c r="AY15" i="35" s="1"/>
  <c r="S47" i="3"/>
  <c r="AW21" i="35" s="1"/>
  <c r="Y41" i="3"/>
  <c r="X41" i="3"/>
  <c r="AZ15" i="35" s="1"/>
  <c r="V41" i="3"/>
  <c r="W47" i="3"/>
  <c r="W41" i="3"/>
  <c r="AV15" i="35"/>
  <c r="Y47" i="3"/>
  <c r="Z40" i="3"/>
  <c r="AY14" i="35" s="1"/>
  <c r="U38" i="3"/>
  <c r="AV14" i="35"/>
  <c r="T38" i="3"/>
  <c r="S40" i="3"/>
  <c r="AW14" i="35" s="1"/>
  <c r="W38" i="3"/>
  <c r="T40" i="3"/>
  <c r="AX14" i="35" s="1"/>
  <c r="X38" i="3"/>
  <c r="AZ12" i="35" s="1"/>
  <c r="U40" i="3"/>
  <c r="Y39" i="3"/>
  <c r="X39" i="3"/>
  <c r="AZ13" i="35" s="1"/>
  <c r="AN10" i="35"/>
  <c r="V39" i="3"/>
  <c r="W39" i="3"/>
  <c r="T39" i="3"/>
  <c r="AX13" i="35" s="1"/>
  <c r="C82" i="31"/>
  <c r="N24" i="35"/>
  <c r="S39" i="3"/>
  <c r="AW13" i="35" s="1"/>
  <c r="T47" i="3"/>
  <c r="AX21" i="35" s="1"/>
  <c r="Z39" i="3"/>
  <c r="AY13" i="35" s="1"/>
  <c r="X47" i="3"/>
  <c r="AZ21" i="35" s="1"/>
  <c r="U39" i="3"/>
  <c r="V47" i="3"/>
  <c r="AV21" i="35"/>
  <c r="Z47" i="3"/>
  <c r="AY21" i="35" s="1"/>
  <c r="BW59" i="3"/>
  <c r="C102" i="31"/>
  <c r="O66" i="3"/>
  <c r="R7" i="35"/>
  <c r="BA70" i="3"/>
  <c r="AZ68" i="3"/>
  <c r="AZ71" i="3"/>
  <c r="BA77" i="3"/>
  <c r="AZ66" i="3"/>
  <c r="BA79" i="3"/>
  <c r="AZ76" i="3"/>
  <c r="AZ67" i="3"/>
  <c r="BA78" i="3"/>
  <c r="BA69" i="3"/>
  <c r="Z48" i="3"/>
  <c r="AY22" i="35" s="1"/>
  <c r="A60" i="3"/>
  <c r="BV60" i="3" s="1"/>
  <c r="Y48" i="3"/>
  <c r="T48" i="3"/>
  <c r="AX22" i="35" s="1"/>
  <c r="X48" i="3"/>
  <c r="AZ22" i="35" s="1"/>
  <c r="U48" i="3"/>
  <c r="AV22" i="35"/>
  <c r="V48" i="3"/>
  <c r="W48" i="3"/>
  <c r="S48" i="3"/>
  <c r="AW22" i="35" s="1"/>
  <c r="AZ79" i="3"/>
  <c r="AY66" i="3"/>
  <c r="AY76" i="3"/>
  <c r="AY72" i="3"/>
  <c r="AZ75" i="3"/>
  <c r="AZ80" i="3"/>
  <c r="AY77" i="3"/>
  <c r="AY73" i="3"/>
  <c r="AX69" i="3"/>
  <c r="AX70" i="3"/>
  <c r="BB59" i="3"/>
  <c r="BC59" i="3"/>
  <c r="AR59" i="3"/>
  <c r="BW60" i="3"/>
  <c r="AX76" i="3"/>
  <c r="AY69" i="3"/>
  <c r="AX75" i="3"/>
  <c r="AY80" i="3"/>
  <c r="AY79" i="3"/>
  <c r="AY78" i="3"/>
  <c r="AY67" i="3"/>
  <c r="AX74" i="3"/>
  <c r="AX72" i="3"/>
  <c r="AX71" i="3"/>
  <c r="C75" i="31"/>
  <c r="N17" i="35"/>
  <c r="BA71" i="3"/>
  <c r="BA73" i="3"/>
  <c r="BA74" i="3"/>
  <c r="AZ70" i="3"/>
  <c r="AX67" i="3"/>
  <c r="AX68" i="3"/>
  <c r="BA72" i="3"/>
  <c r="AZ69" i="3"/>
  <c r="BA75" i="3"/>
  <c r="AX66" i="3"/>
  <c r="BB55" i="3"/>
  <c r="BC55" i="3"/>
  <c r="AR55" i="3"/>
  <c r="BW55" i="3"/>
  <c r="BB60" i="3"/>
  <c r="AR60" i="3"/>
  <c r="BC60" i="3"/>
  <c r="Z49" i="3"/>
  <c r="AY23" i="35" s="1"/>
  <c r="S49" i="3"/>
  <c r="AW23" i="35" s="1"/>
  <c r="Y49" i="3"/>
  <c r="X49" i="3"/>
  <c r="AZ23" i="35" s="1"/>
  <c r="T49" i="3"/>
  <c r="AX23" i="35" s="1"/>
  <c r="V49" i="3"/>
  <c r="U49" i="3"/>
  <c r="AV23" i="35"/>
  <c r="W49" i="3"/>
  <c r="BB56" i="3"/>
  <c r="BC56" i="3"/>
  <c r="AR56" i="3"/>
  <c r="Y46" i="3"/>
  <c r="V46" i="3"/>
  <c r="U46" i="3"/>
  <c r="T46" i="3"/>
  <c r="S46" i="3"/>
  <c r="AW20" i="35" s="1"/>
  <c r="AV20" i="35"/>
  <c r="Z46" i="3"/>
  <c r="AY20" i="35" s="1"/>
  <c r="X46" i="3"/>
  <c r="AZ20" i="35" s="1"/>
  <c r="W46" i="3"/>
  <c r="BC58" i="3"/>
  <c r="BB58" i="3"/>
  <c r="AR58" i="3"/>
  <c r="BW56" i="3"/>
  <c r="BW58" i="3"/>
  <c r="AX77" i="3"/>
  <c r="AX80" i="3"/>
  <c r="AY74" i="3"/>
  <c r="AY70" i="3"/>
  <c r="AX78" i="3"/>
  <c r="AY71" i="3"/>
  <c r="AY75" i="3"/>
  <c r="AY68" i="3"/>
  <c r="AX73" i="3"/>
  <c r="AX79" i="3"/>
  <c r="X30" i="3"/>
  <c r="AZ4" i="35" s="1"/>
  <c r="AV4" i="35"/>
  <c r="T30" i="3"/>
  <c r="Z30" i="3"/>
  <c r="AY4" i="35" s="1"/>
  <c r="S30" i="3"/>
  <c r="AW4" i="35" s="1"/>
  <c r="Y30" i="3"/>
  <c r="W30" i="3"/>
  <c r="U30" i="3"/>
  <c r="V30" i="3"/>
  <c r="AV7" i="35"/>
  <c r="Z33" i="3"/>
  <c r="AY7" i="35" s="1"/>
  <c r="X33" i="3"/>
  <c r="AZ7" i="35" s="1"/>
  <c r="W33" i="3"/>
  <c r="Y33" i="3"/>
  <c r="T33" i="3"/>
  <c r="AX7" i="35" s="1"/>
  <c r="S33" i="3"/>
  <c r="AW7" i="35" s="1"/>
  <c r="V33" i="3"/>
  <c r="U33" i="3"/>
  <c r="U31" i="3"/>
  <c r="W31" i="3"/>
  <c r="X31" i="3"/>
  <c r="AZ5" i="35" s="1"/>
  <c r="T31" i="3"/>
  <c r="AX5" i="35" s="1"/>
  <c r="V31" i="3"/>
  <c r="Z31" i="3"/>
  <c r="AY5" i="35" s="1"/>
  <c r="Y31" i="3"/>
  <c r="AV5" i="35"/>
  <c r="S31" i="3"/>
  <c r="AW5" i="35" s="1"/>
  <c r="A58" i="3"/>
  <c r="BV58" i="3" s="1"/>
  <c r="AV6" i="35"/>
  <c r="W32" i="3"/>
  <c r="Y32" i="3"/>
  <c r="V32" i="3"/>
  <c r="U32" i="3"/>
  <c r="S32" i="3"/>
  <c r="AW6" i="35" s="1"/>
  <c r="X32" i="3"/>
  <c r="AZ6" i="35" s="1"/>
  <c r="T32" i="3"/>
  <c r="AX6" i="35" s="1"/>
  <c r="Z32" i="3"/>
  <c r="AY6" i="35" s="1"/>
  <c r="C77" i="31"/>
  <c r="C95" i="31"/>
  <c r="B95" i="31"/>
  <c r="AN9" i="35"/>
  <c r="N23" i="35"/>
  <c r="C92" i="31"/>
  <c r="B92" i="31"/>
  <c r="C74" i="31"/>
  <c r="Z16" i="3"/>
  <c r="K14" i="35" s="1"/>
  <c r="A56" i="3"/>
  <c r="BV56" i="3" s="1"/>
  <c r="V16" i="3"/>
  <c r="U16" i="3"/>
  <c r="W16" i="3"/>
  <c r="Y16" i="3"/>
  <c r="H14" i="35"/>
  <c r="T16" i="3"/>
  <c r="J14" i="35" s="1"/>
  <c r="S16" i="3"/>
  <c r="I14" i="35" s="1"/>
  <c r="X16" i="3"/>
  <c r="L14" i="35" s="1"/>
  <c r="T17" i="3"/>
  <c r="J15" i="35" s="1"/>
  <c r="H15" i="35"/>
  <c r="V17" i="3"/>
  <c r="Z17" i="3"/>
  <c r="K15" i="35" s="1"/>
  <c r="Y17" i="3"/>
  <c r="U17" i="3"/>
  <c r="X17" i="3"/>
  <c r="L15" i="35" s="1"/>
  <c r="S17" i="3"/>
  <c r="I15" i="35" s="1"/>
  <c r="W17" i="3"/>
  <c r="N3" i="35"/>
  <c r="C73" i="31"/>
  <c r="C78" i="31"/>
  <c r="AN24" i="35"/>
  <c r="X15" i="3"/>
  <c r="L13" i="35" s="1"/>
  <c r="S15" i="3"/>
  <c r="I13" i="35" s="1"/>
  <c r="Z15" i="3"/>
  <c r="K13" i="35" s="1"/>
  <c r="W15" i="3"/>
  <c r="H13" i="35"/>
  <c r="U15" i="3"/>
  <c r="T15" i="3"/>
  <c r="J13" i="35" s="1"/>
  <c r="V15" i="3"/>
  <c r="Y15" i="3"/>
  <c r="X14" i="3"/>
  <c r="L12" i="35" s="1"/>
  <c r="V14" i="3"/>
  <c r="T14" i="3"/>
  <c r="H12" i="35"/>
  <c r="W14" i="3"/>
  <c r="Y14" i="3"/>
  <c r="S14" i="3"/>
  <c r="I12" i="35" s="1"/>
  <c r="Z14" i="3"/>
  <c r="K12" i="35" s="1"/>
  <c r="U14" i="3"/>
  <c r="Y9" i="3"/>
  <c r="W9" i="3"/>
  <c r="U9" i="3"/>
  <c r="X9" i="3"/>
  <c r="L7" i="35" s="1"/>
  <c r="V9" i="3"/>
  <c r="S9" i="3"/>
  <c r="I7" i="35" s="1"/>
  <c r="H7" i="35"/>
  <c r="T9" i="3"/>
  <c r="J7" i="35" s="1"/>
  <c r="Z9" i="3"/>
  <c r="K7" i="35" s="1"/>
  <c r="X7" i="3"/>
  <c r="L5" i="35" s="1"/>
  <c r="U7" i="3"/>
  <c r="V7" i="3"/>
  <c r="T7" i="3"/>
  <c r="J5" i="35" s="1"/>
  <c r="Y7" i="3"/>
  <c r="W7" i="3"/>
  <c r="S7" i="3"/>
  <c r="I5" i="35" s="1"/>
  <c r="Z7" i="3"/>
  <c r="K5" i="35" s="1"/>
  <c r="H5" i="35"/>
  <c r="C88" i="31"/>
  <c r="C70" i="31"/>
  <c r="B88" i="31"/>
  <c r="AN23" i="35"/>
  <c r="W6" i="3"/>
  <c r="Z6" i="3"/>
  <c r="K4" i="35" s="1"/>
  <c r="H4" i="35"/>
  <c r="V6" i="3"/>
  <c r="X6" i="3"/>
  <c r="L4" i="35" s="1"/>
  <c r="S6" i="3"/>
  <c r="I4" i="35" s="1"/>
  <c r="Y6" i="3"/>
  <c r="U6" i="3"/>
  <c r="T6" i="3"/>
  <c r="A55" i="3"/>
  <c r="BV55" i="3" s="1"/>
  <c r="Y8" i="3"/>
  <c r="T8" i="3"/>
  <c r="J6" i="35" s="1"/>
  <c r="W8" i="3"/>
  <c r="X8" i="3"/>
  <c r="L6" i="35" s="1"/>
  <c r="U8" i="3"/>
  <c r="V8" i="3"/>
  <c r="S8" i="3"/>
  <c r="I6" i="35" s="1"/>
  <c r="H6" i="35"/>
  <c r="Z8" i="3"/>
  <c r="K6" i="35" s="1"/>
  <c r="B89" i="31"/>
  <c r="C71" i="31"/>
  <c r="N9" i="35"/>
  <c r="C89" i="31"/>
  <c r="AJ21" i="35" l="1"/>
  <c r="C104" i="31"/>
  <c r="O69" i="3"/>
  <c r="C103" i="31"/>
  <c r="C105" i="31"/>
  <c r="AJ7" i="35"/>
  <c r="C62" i="31"/>
  <c r="AX12" i="35"/>
  <c r="C63" i="31"/>
  <c r="C60" i="31"/>
  <c r="C61" i="31"/>
  <c r="AZ58" i="3"/>
  <c r="BU60" i="3"/>
  <c r="BU55" i="3"/>
  <c r="BU58" i="3"/>
  <c r="AH56" i="3"/>
  <c r="AS56" i="3" s="1"/>
  <c r="BU59" i="3"/>
  <c r="BU57" i="3"/>
  <c r="AZ56" i="3"/>
  <c r="AH55" i="3"/>
  <c r="AH57" i="3"/>
  <c r="AS57" i="3" s="1"/>
  <c r="AH58" i="3"/>
  <c r="AS58" i="3" s="1"/>
  <c r="AX20" i="35"/>
  <c r="C64" i="31"/>
  <c r="C65" i="31"/>
  <c r="C66" i="31"/>
  <c r="C67" i="31"/>
  <c r="AH59" i="3"/>
  <c r="AS59" i="3" s="1"/>
  <c r="BU56" i="3"/>
  <c r="AH60" i="3"/>
  <c r="AS60" i="3" s="1"/>
  <c r="AZ60" i="3"/>
  <c r="AZ55" i="3"/>
  <c r="AZ57" i="3"/>
  <c r="AZ59" i="3"/>
  <c r="C57" i="31"/>
  <c r="C59" i="31"/>
  <c r="C56" i="31"/>
  <c r="C58" i="31"/>
  <c r="AX4" i="35"/>
  <c r="J12" i="35"/>
  <c r="C49" i="31"/>
  <c r="C50" i="31"/>
  <c r="C51" i="31"/>
  <c r="C48" i="31"/>
  <c r="C44" i="31"/>
  <c r="C45" i="31"/>
  <c r="C46" i="31"/>
  <c r="C47" i="31"/>
  <c r="J4" i="35"/>
  <c r="BX55" i="3" l="1"/>
  <c r="BY55" i="3" s="1"/>
  <c r="BX56" i="3"/>
  <c r="BY56" i="3" s="1"/>
  <c r="BX59" i="3"/>
  <c r="BY59" i="3" s="1"/>
  <c r="AS55" i="3"/>
  <c r="BX57" i="3"/>
  <c r="BY57" i="3" s="1"/>
  <c r="BX58" i="3"/>
  <c r="BY58" i="3" s="1"/>
  <c r="BX60" i="3"/>
  <c r="BY60" i="3" s="1"/>
  <c r="BF57" i="3"/>
  <c r="BF60" i="3"/>
  <c r="BE58" i="3"/>
  <c r="BE57" i="3"/>
  <c r="BE56" i="3"/>
  <c r="BE59" i="3"/>
  <c r="BF58" i="3"/>
  <c r="BF59" i="3"/>
  <c r="BE55" i="3"/>
  <c r="BE60" i="3"/>
  <c r="BF56" i="3"/>
  <c r="BF55" i="3"/>
  <c r="BG55" i="3" l="1"/>
  <c r="BG59" i="3"/>
  <c r="BG57" i="3"/>
  <c r="O58" i="3"/>
  <c r="P58" i="3" s="1"/>
  <c r="O59" i="3"/>
  <c r="P59" i="3" s="1"/>
  <c r="BG58" i="3"/>
  <c r="O60" i="3"/>
  <c r="P60" i="3" s="1"/>
  <c r="BG56" i="3"/>
  <c r="O57" i="3"/>
  <c r="P57" i="3" s="1"/>
  <c r="BG60" i="3"/>
  <c r="O56" i="3"/>
  <c r="P56" i="3" s="1"/>
  <c r="O55" i="3"/>
  <c r="BH55" i="3" l="1"/>
  <c r="BJ55" i="3" s="1"/>
  <c r="BL57" i="3" s="1"/>
  <c r="EQ53" i="3" s="1" a="1"/>
  <c r="EQ53" i="3" s="1"/>
  <c r="P55" i="3"/>
  <c r="O54" i="3"/>
  <c r="P53" i="3" s="1"/>
  <c r="BL55" i="3" l="1"/>
  <c r="EO53" i="3" s="1" a="1"/>
  <c r="EO53" i="3" s="1"/>
  <c r="BL58" i="3"/>
  <c r="ER53" i="3" s="1" a="1"/>
  <c r="ER53" i="3" s="1"/>
  <c r="BL59" i="3"/>
  <c r="ES53" i="3" s="1" a="1"/>
  <c r="ES53" i="3" s="1"/>
  <c r="BL56" i="3"/>
  <c r="EP53" i="3" s="1" a="1"/>
  <c r="EP53" i="3" s="1"/>
  <c r="BL54" i="3"/>
  <c r="EN53" i="3" s="1" a="1"/>
  <c r="EN53" i="3" s="1"/>
  <c r="AU59" i="3"/>
  <c r="AU57" i="3"/>
  <c r="AU56" i="3"/>
  <c r="AU58" i="3"/>
  <c r="AU60" i="3"/>
  <c r="AU55" i="3"/>
  <c r="AG59" i="3" l="1"/>
  <c r="AR70" i="3"/>
  <c r="AG55" i="3"/>
  <c r="AR66" i="3"/>
  <c r="AG60" i="3"/>
  <c r="AR71" i="3"/>
  <c r="AG56" i="3"/>
  <c r="AR67" i="3"/>
  <c r="AG58" i="3"/>
  <c r="AR69" i="3"/>
  <c r="AG57" i="3"/>
  <c r="AR68" i="3"/>
  <c r="AS67" i="3" l="1"/>
  <c r="AG67" i="3"/>
  <c r="AG71" i="3"/>
  <c r="AS71" i="3"/>
  <c r="AG69" i="3"/>
  <c r="AS69" i="3"/>
  <c r="AS66" i="3"/>
  <c r="AG66" i="3"/>
  <c r="AG68" i="3"/>
  <c r="AS68" i="3"/>
  <c r="F57" i="3"/>
  <c r="F56" i="3"/>
  <c r="F55" i="3"/>
  <c r="F58" i="3"/>
  <c r="F60" i="3"/>
  <c r="F59" i="3"/>
  <c r="AS70" i="3"/>
  <c r="AG70" i="3"/>
  <c r="J60" i="3" l="1"/>
  <c r="L60" i="3"/>
  <c r="I60" i="3"/>
  <c r="N60" i="3"/>
  <c r="M60" i="3"/>
  <c r="H60" i="3"/>
  <c r="G60" i="3"/>
  <c r="K60" i="3"/>
  <c r="H58" i="3"/>
  <c r="M58" i="3"/>
  <c r="L58" i="3"/>
  <c r="N58" i="3"/>
  <c r="K58" i="3"/>
  <c r="J58" i="3"/>
  <c r="I58" i="3"/>
  <c r="G58" i="3"/>
  <c r="M55" i="3"/>
  <c r="G55" i="3"/>
  <c r="K55" i="3"/>
  <c r="L55" i="3"/>
  <c r="H55" i="3"/>
  <c r="I55" i="3"/>
  <c r="N55" i="3"/>
  <c r="J55" i="3"/>
  <c r="K59" i="3"/>
  <c r="J59" i="3"/>
  <c r="N59" i="3"/>
  <c r="L59" i="3"/>
  <c r="G59" i="3"/>
  <c r="H59" i="3"/>
  <c r="I59" i="3"/>
  <c r="M59" i="3"/>
  <c r="AI76" i="3"/>
  <c r="AI74" i="3"/>
  <c r="AH74" i="3"/>
  <c r="AI73" i="3"/>
  <c r="AI75" i="3"/>
  <c r="AH73" i="3"/>
  <c r="AH75" i="3"/>
  <c r="AH76" i="3"/>
  <c r="L57" i="3"/>
  <c r="I57" i="3"/>
  <c r="M57" i="3"/>
  <c r="J57" i="3"/>
  <c r="K57" i="3"/>
  <c r="H57" i="3"/>
  <c r="G57" i="3"/>
  <c r="N57" i="3"/>
  <c r="K56" i="3"/>
  <c r="J56" i="3"/>
  <c r="I56" i="3"/>
  <c r="N56" i="3"/>
  <c r="H56" i="3"/>
  <c r="L56" i="3"/>
  <c r="G56" i="3"/>
  <c r="M56" i="3"/>
  <c r="AJ75" i="3" l="1"/>
  <c r="AJ73" i="3"/>
  <c r="AJ74" i="3"/>
  <c r="AJ76" i="3"/>
  <c r="AH81" i="3" l="1"/>
  <c r="AH79" i="3"/>
  <c r="AH80" i="3"/>
  <c r="AH78" i="3"/>
  <c r="AG83" i="3" l="1"/>
  <c r="AW79" i="3" s="1"/>
  <c r="AW67" i="3" l="1"/>
  <c r="AW70" i="3"/>
  <c r="AW73" i="3"/>
  <c r="AW80" i="3"/>
  <c r="AW72" i="3"/>
  <c r="AW69" i="3"/>
  <c r="AW76" i="3"/>
  <c r="AW78" i="3"/>
  <c r="AW74" i="3"/>
  <c r="AW68" i="3"/>
  <c r="AW71" i="3"/>
  <c r="AW77" i="3"/>
  <c r="AW75" i="3"/>
  <c r="AW66" i="3"/>
  <c r="N70" i="3" l="1"/>
  <c r="I77" i="3" s="1"/>
  <c r="N67" i="3"/>
  <c r="I78" i="3" s="1"/>
  <c r="N83" i="3" s="1"/>
  <c r="O79" i="3" s="1"/>
  <c r="N68" i="3"/>
  <c r="N71" i="3"/>
  <c r="I79" i="3" s="1"/>
  <c r="I83" i="3" s="1"/>
  <c r="N86" i="3" l="1"/>
  <c r="O83" i="3" s="1"/>
  <c r="C109" i="31"/>
  <c r="N82" i="3"/>
  <c r="N4" i="35"/>
  <c r="I76" i="3"/>
  <c r="I82" i="3" s="1"/>
  <c r="R20" i="35"/>
  <c r="B93" i="31"/>
  <c r="C99" i="31"/>
  <c r="C93" i="31"/>
  <c r="O70" i="3"/>
  <c r="C83" i="31"/>
  <c r="B109" i="31"/>
  <c r="N18" i="35"/>
  <c r="B90" i="31"/>
  <c r="C80" i="31"/>
  <c r="AN18" i="35"/>
  <c r="C90" i="31"/>
  <c r="B110" i="31"/>
  <c r="C110" i="31"/>
  <c r="O67" i="3"/>
  <c r="C100" i="31"/>
  <c r="AJ20" i="35"/>
  <c r="C117" i="31"/>
  <c r="AF14" i="35"/>
  <c r="B91" i="31"/>
  <c r="B94" i="31"/>
  <c r="C94" i="31"/>
  <c r="C91" i="31"/>
  <c r="C111" i="31"/>
  <c r="B121" i="31"/>
  <c r="AN4" i="35"/>
  <c r="C81" i="31"/>
  <c r="O71" i="3"/>
  <c r="C121" i="31"/>
  <c r="C84" i="31"/>
  <c r="C101" i="31"/>
  <c r="AF13" i="35"/>
  <c r="B111" i="31"/>
  <c r="C115" i="31"/>
  <c r="AJ6" i="35"/>
  <c r="O78" i="3"/>
  <c r="Z14" i="35" l="1"/>
  <c r="C125" i="31"/>
  <c r="V13" i="35"/>
  <c r="C114" i="31"/>
  <c r="O76" i="3"/>
  <c r="O77" i="3"/>
  <c r="C116" i="31"/>
  <c r="V14" i="35"/>
  <c r="I86" i="3"/>
  <c r="I89" i="3" s="1"/>
  <c r="B120" i="31"/>
  <c r="C120" i="31"/>
  <c r="C98" i="31"/>
  <c r="C108" i="31"/>
  <c r="B108" i="31"/>
  <c r="R6" i="35"/>
  <c r="O68" i="3"/>
  <c r="C131" i="31" l="1"/>
  <c r="O86" i="3"/>
  <c r="O89" i="3"/>
  <c r="Z21" i="35"/>
  <c r="I90" i="3"/>
  <c r="Z13" i="35"/>
  <c r="C124" i="31"/>
  <c r="O82" i="3"/>
  <c r="C128" i="31"/>
  <c r="B128" i="31"/>
  <c r="AK45" i="35" l="1"/>
  <c r="AK34" i="35"/>
  <c r="AK43" i="35"/>
  <c r="AK38" i="35"/>
  <c r="AK33" i="35"/>
  <c r="AK35" i="35"/>
  <c r="AK49" i="35"/>
  <c r="AK51" i="35"/>
  <c r="AK32" i="35"/>
  <c r="AK53" i="35"/>
  <c r="AK30" i="35"/>
  <c r="AK36" i="35"/>
  <c r="AK31" i="35"/>
  <c r="AK42" i="35"/>
  <c r="AK44" i="35"/>
  <c r="AK48" i="35"/>
  <c r="AK52" i="35"/>
  <c r="AK39" i="35"/>
  <c r="AK50" i="35"/>
  <c r="AK37" i="35"/>
  <c r="AK46" i="35"/>
  <c r="AK41" i="35"/>
  <c r="AK40" i="35"/>
  <c r="AK47" i="35"/>
  <c r="O90" i="3"/>
  <c r="Q89" i="3" s="1"/>
  <c r="AB22" i="35"/>
  <c r="C132" i="31"/>
  <c r="Q92" i="3" l="1"/>
  <c r="AG40" i="35"/>
  <c r="AC40" i="35" s="1"/>
  <c r="Y40" i="35" s="1"/>
  <c r="U40" i="35" s="1"/>
  <c r="Q40" i="35" s="1"/>
  <c r="AG37" i="35"/>
  <c r="AC37" i="35" s="1"/>
  <c r="Y37" i="35" s="1"/>
  <c r="U37" i="35" s="1"/>
  <c r="Q37" i="35" s="1"/>
  <c r="AG48" i="35"/>
  <c r="AC48" i="35" s="1"/>
  <c r="Y48" i="35" s="1"/>
  <c r="U48" i="35" s="1"/>
  <c r="Q48" i="35" s="1"/>
  <c r="AG41" i="35"/>
  <c r="AC41" i="35" s="1"/>
  <c r="Y41" i="35" s="1"/>
  <c r="U41" i="35" s="1"/>
  <c r="Q41" i="35" s="1"/>
  <c r="AG50" i="35"/>
  <c r="AC50" i="35" s="1"/>
  <c r="Y50" i="35" s="1"/>
  <c r="U50" i="35" s="1"/>
  <c r="Q50" i="35" s="1"/>
  <c r="AG49" i="35"/>
  <c r="AC49" i="35" s="1"/>
  <c r="Y49" i="35" s="1"/>
  <c r="U49" i="35" s="1"/>
  <c r="Q49" i="35" s="1"/>
  <c r="AG47" i="35"/>
  <c r="AC47" i="35" s="1"/>
  <c r="Y47" i="35" s="1"/>
  <c r="U47" i="35" s="1"/>
  <c r="Q47" i="35" s="1"/>
  <c r="AG38" i="35"/>
  <c r="AC38" i="35" s="1"/>
  <c r="Y38" i="35" s="1"/>
  <c r="U38" i="35" s="1"/>
  <c r="Q38" i="35" s="1"/>
  <c r="AG45" i="35"/>
  <c r="AC45" i="35" s="1"/>
  <c r="Y45" i="35" s="1"/>
  <c r="U45" i="35" s="1"/>
  <c r="Q45" i="35" s="1"/>
  <c r="AG46" i="35"/>
  <c r="AC46" i="35" s="1"/>
  <c r="Y46" i="35" s="1"/>
  <c r="U46" i="35" s="1"/>
  <c r="Q46" i="35" s="1"/>
  <c r="AG42" i="35"/>
  <c r="AC42" i="35" s="1"/>
  <c r="Y42" i="35" s="1"/>
  <c r="U42" i="35" s="1"/>
  <c r="Q42" i="35" s="1"/>
  <c r="AG32" i="35"/>
  <c r="AC32" i="35" s="1"/>
  <c r="Y32" i="35" s="1"/>
  <c r="U32" i="35" s="1"/>
  <c r="Q32" i="35" s="1"/>
  <c r="AG43" i="35"/>
  <c r="AC43" i="35" s="1"/>
  <c r="Y43" i="35" s="1"/>
  <c r="U43" i="35" s="1"/>
  <c r="Q43" i="35" s="1"/>
  <c r="AG39" i="35"/>
  <c r="AC39" i="35" s="1"/>
  <c r="Y39" i="35" s="1"/>
  <c r="U39" i="35" s="1"/>
  <c r="Q39" i="35" s="1"/>
  <c r="AG33" i="35"/>
  <c r="AC33" i="35" s="1"/>
  <c r="Y33" i="35" s="1"/>
  <c r="U33" i="35" s="1"/>
  <c r="Q33" i="35" s="1"/>
  <c r="AG52" i="35"/>
  <c r="AC52" i="35" s="1"/>
  <c r="Y52" i="35" s="1"/>
  <c r="U52" i="35" s="1"/>
  <c r="Q52" i="35" s="1"/>
  <c r="AG31" i="35"/>
  <c r="AC31" i="35" s="1"/>
  <c r="Y31" i="35" s="1"/>
  <c r="U31" i="35" s="1"/>
  <c r="Q31" i="35" s="1"/>
  <c r="AG34" i="35"/>
  <c r="AC34" i="35" s="1"/>
  <c r="Y34" i="35" s="1"/>
  <c r="U34" i="35" s="1"/>
  <c r="Q34" i="35" s="1"/>
  <c r="AG53" i="35"/>
  <c r="AC53" i="35" s="1"/>
  <c r="Y53" i="35" s="1"/>
  <c r="U53" i="35" s="1"/>
  <c r="Q53" i="35" s="1"/>
  <c r="AG51" i="35"/>
  <c r="AC51" i="35" s="1"/>
  <c r="Y51" i="35" s="1"/>
  <c r="U51" i="35" s="1"/>
  <c r="Q51" i="35" s="1"/>
  <c r="AG36" i="35"/>
  <c r="AC36" i="35" s="1"/>
  <c r="Y36" i="35" s="1"/>
  <c r="U36" i="35" s="1"/>
  <c r="Q36" i="35" s="1"/>
  <c r="AG35" i="35"/>
  <c r="AC35" i="35" s="1"/>
  <c r="Y35" i="35" s="1"/>
  <c r="U35" i="35" s="1"/>
  <c r="Q35" i="35" s="1"/>
  <c r="AG44" i="35"/>
  <c r="AC44" i="35" s="1"/>
  <c r="Y44" i="35" s="1"/>
  <c r="U44" i="35" s="1"/>
  <c r="Q44" i="35" s="1"/>
  <c r="AG30" i="35"/>
  <c r="AC30" i="35" s="1"/>
  <c r="Y30" i="35" s="1"/>
  <c r="U30" i="35" s="1"/>
  <c r="Q30" i="3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<sst xmlns="http://schemas.openxmlformats.org/spreadsheetml/2006/main" count="2006" uniqueCount="1364">
  <si>
    <t>Español</t>
  </si>
  <si>
    <t>España</t>
  </si>
  <si>
    <t>AUXILIARES</t>
  </si>
  <si>
    <t>TOPIC</t>
  </si>
  <si>
    <t>VALUE</t>
  </si>
  <si>
    <t>TEXTO</t>
  </si>
  <si>
    <t>OP1</t>
  </si>
  <si>
    <t>OP2</t>
  </si>
  <si>
    <t>OP3</t>
  </si>
  <si>
    <t>OP4</t>
  </si>
  <si>
    <t>OP5</t>
  </si>
  <si>
    <t>OP6</t>
  </si>
  <si>
    <t>OP7</t>
  </si>
  <si>
    <t>OP8</t>
  </si>
  <si>
    <t>OP9</t>
  </si>
  <si>
    <t>OP10</t>
  </si>
  <si>
    <t>matejero</t>
  </si>
  <si>
    <t>NombreEquipo</t>
  </si>
  <si>
    <t>A</t>
  </si>
  <si>
    <t>NR</t>
  </si>
  <si>
    <t>SIN EMPEZAR</t>
  </si>
  <si>
    <t>Goles - Partidos Cruzados</t>
  </si>
  <si>
    <t>Diferencia de Goles - Partidos Cruzados</t>
  </si>
  <si>
    <t>Puntos - Partidos Cruzados</t>
  </si>
  <si>
    <t>esta celda esparte de la tabla de la derecha</t>
  </si>
  <si>
    <t>Puesto</t>
  </si>
  <si>
    <t>Equipo</t>
  </si>
  <si>
    <t>Ptos</t>
  </si>
  <si>
    <t>J</t>
  </si>
  <si>
    <t>G</t>
  </si>
  <si>
    <t>E</t>
  </si>
  <si>
    <t>P</t>
  </si>
  <si>
    <t>GF</t>
  </si>
  <si>
    <t>GC</t>
  </si>
  <si>
    <t>Dif</t>
  </si>
  <si>
    <t>Rank</t>
  </si>
  <si>
    <t>MÁS PUNTOS General</t>
  </si>
  <si>
    <t>NEquipEqual</t>
  </si>
  <si>
    <t>PUNTOS</t>
  </si>
  <si>
    <t>Ranking Inv</t>
  </si>
  <si>
    <t>Entre Iguales</t>
  </si>
  <si>
    <t>Inicio</t>
  </si>
  <si>
    <t>=AR</t>
  </si>
  <si>
    <t>1R</t>
  </si>
  <si>
    <t>Puesto de siempre inicial</t>
  </si>
  <si>
    <t>Equipos A</t>
  </si>
  <si>
    <t>RANK de siempre inicial</t>
  </si>
  <si>
    <t>Rank nuevo inicial</t>
  </si>
  <si>
    <t>Clas (orden normal)</t>
  </si>
  <si>
    <t>Equipo (ant)</t>
  </si>
  <si>
    <t>ENTRE IGUALES 2 Goles</t>
  </si>
  <si>
    <t>ENTRE IGUALES 2 Diferencia Goles</t>
  </si>
  <si>
    <t>ENTRE IGUALES 2 Puntos</t>
  </si>
  <si>
    <t>P part</t>
  </si>
  <si>
    <t>DG Part</t>
  </si>
  <si>
    <t>G Part</t>
  </si>
  <si>
    <t>P part 2</t>
  </si>
  <si>
    <t>contar</t>
  </si>
  <si>
    <t>DG Part 2</t>
  </si>
  <si>
    <t>G Part 2</t>
  </si>
  <si>
    <t>B</t>
  </si>
  <si>
    <t>DG X</t>
  </si>
  <si>
    <t>G X</t>
  </si>
  <si>
    <t>Equipos B</t>
  </si>
  <si>
    <t>Victorias</t>
  </si>
  <si>
    <t>BOMBO</t>
  </si>
  <si>
    <t>C</t>
  </si>
  <si>
    <t>Equipos C</t>
  </si>
  <si>
    <t>D</t>
  </si>
  <si>
    <t>Equipos D</t>
  </si>
  <si>
    <t>Equipos E</t>
  </si>
  <si>
    <t>F</t>
  </si>
  <si>
    <t>Equipos F</t>
  </si>
  <si>
    <t>OP11</t>
  </si>
  <si>
    <t>OP12</t>
  </si>
  <si>
    <t>OP13</t>
  </si>
  <si>
    <t>OP14</t>
  </si>
  <si>
    <t>OP15</t>
  </si>
  <si>
    <t>OP16</t>
  </si>
  <si>
    <t>OP17</t>
  </si>
  <si>
    <t>OP18</t>
  </si>
  <si>
    <t>OP19</t>
  </si>
  <si>
    <t>OP20</t>
  </si>
  <si>
    <t>OP21</t>
  </si>
  <si>
    <t>Auxiliar Terceros</t>
  </si>
  <si>
    <t>Final Rank</t>
  </si>
  <si>
    <t>Equipos 3º</t>
  </si>
  <si>
    <t>X</t>
  </si>
  <si>
    <t>1/8</t>
  </si>
  <si>
    <t>Pos</t>
  </si>
  <si>
    <t>Orden</t>
  </si>
  <si>
    <t>V/F</t>
  </si>
  <si>
    <t>ABCD</t>
  </si>
  <si>
    <t>ABCE</t>
  </si>
  <si>
    <t>ABCF</t>
  </si>
  <si>
    <t>ABDE</t>
  </si>
  <si>
    <t>123&gt;4&gt;56</t>
  </si>
  <si>
    <t>ABDF</t>
  </si>
  <si>
    <t>12&gt;3 5&gt;6</t>
  </si>
  <si>
    <t>12&gt;34&gt;56</t>
  </si>
  <si>
    <t>ABEF</t>
  </si>
  <si>
    <t>12345&gt;6</t>
  </si>
  <si>
    <t>12&gt;3456</t>
  </si>
  <si>
    <t>Los 4 mejores terceros son…</t>
  </si>
  <si>
    <t>ACDE</t>
  </si>
  <si>
    <t>12  - 3&gt;4 - 5&gt;6</t>
  </si>
  <si>
    <t>12 - 3&gt;4&gt;56</t>
  </si>
  <si>
    <t>1234&gt;56</t>
  </si>
  <si>
    <t>ACDF</t>
  </si>
  <si>
    <t>1234&gt;5</t>
  </si>
  <si>
    <t>12&gt;3&gt;4- 5&gt;6</t>
  </si>
  <si>
    <t>ACEF</t>
  </si>
  <si>
    <t>ADEF</t>
  </si>
  <si>
    <t>ce</t>
  </si>
  <si>
    <t>cc</t>
  </si>
  <si>
    <t>1/4</t>
  </si>
  <si>
    <t>BCDE</t>
  </si>
  <si>
    <t>cf</t>
  </si>
  <si>
    <t>Por orden alfabetico</t>
  </si>
  <si>
    <t>BCDF</t>
  </si>
  <si>
    <t>cg</t>
  </si>
  <si>
    <t>BCEF</t>
  </si>
  <si>
    <t>BDEF</t>
  </si>
  <si>
    <t>CDEF</t>
  </si>
  <si>
    <t>1/2</t>
  </si>
  <si>
    <t>Corresponde a los grupos…</t>
  </si>
  <si>
    <t>mat</t>
  </si>
  <si>
    <t>Albania | Agolli (Defensa)</t>
  </si>
  <si>
    <t>Albania | Ajeti (Defensa)</t>
  </si>
  <si>
    <t>Albania | Andi Lila (Defensa)</t>
  </si>
  <si>
    <t>Albania | Azdren Llullaku (Delantero)</t>
  </si>
  <si>
    <t>Albania | Balliu (Centrocampista)</t>
  </si>
  <si>
    <t>Albania | Basha (Centrocampista)</t>
  </si>
  <si>
    <t>Albania | Berisha (Portero)</t>
  </si>
  <si>
    <t>Albania | Cikalleshi (Delantero)</t>
  </si>
  <si>
    <t>Albania | Djimsiti (Defensa)</t>
  </si>
  <si>
    <t>Albania | Emanuele Ndoj (Centrocampista)</t>
  </si>
  <si>
    <t>Albania | Ergys Kace (Centrocampista)</t>
  </si>
  <si>
    <t>Albania | Eros Grezda (Centrocampista)</t>
  </si>
  <si>
    <t>Albania | Heysen Memolla (Defensa)</t>
  </si>
  <si>
    <t>Albania | Hoxha (Portero)</t>
  </si>
  <si>
    <t>Albania | Hysaj (Centrocampista)</t>
  </si>
  <si>
    <t>Albania | Kukeli (Centrocampista)</t>
  </si>
  <si>
    <t>Albania | Lenjani (Centrocampista)</t>
  </si>
  <si>
    <t>Albania | Liridon Latifi (Centrocampista)</t>
  </si>
  <si>
    <t>Albania | Mavraj (Defensa)</t>
  </si>
  <si>
    <t>Albania | Memushaj (Centrocampista)</t>
  </si>
  <si>
    <t>Albania | Roshi (Centrocampista)</t>
  </si>
  <si>
    <t>Albania | Sadiku (Centrocampista)</t>
  </si>
  <si>
    <t>Albania | Taulant Xhaka (Centrocampista)</t>
  </si>
  <si>
    <t>Albania | Thomas Strakosha (Portero)</t>
  </si>
  <si>
    <t>Albania | Valon Ahmedi (Centrocampista)</t>
  </si>
  <si>
    <t>Albania | Veseli (Defensa)</t>
  </si>
  <si>
    <t>Alemania | Emre Can (Centrocampista)</t>
  </si>
  <si>
    <t>Alemania | Florian Neuhaus (Centrocampista)</t>
  </si>
  <si>
    <t>Alemania | Ginter (Defensa)</t>
  </si>
  <si>
    <t>Alemania | Gnabry (Delantero)</t>
  </si>
  <si>
    <t>Alemania | Gündogan (Centrocampista)</t>
  </si>
  <si>
    <t>Alemania | Günter (Centrocampista)</t>
  </si>
  <si>
    <t>Alemania | Hummels (Defensa)</t>
  </si>
  <si>
    <t>Alemania | Jamal Musiala (Centrocampista)</t>
  </si>
  <si>
    <t>Alemania | Jonas Hofmann (Centrocampista)</t>
  </si>
  <si>
    <t>Alemania | Joshua Kimmich (Centrocampista)</t>
  </si>
  <si>
    <t>Alemania | Kai Havertz (Centrocampista)</t>
  </si>
  <si>
    <t>Alemania | Kroos (Centrocampista)</t>
  </si>
  <si>
    <t>Alemania | Leno (Portero)</t>
  </si>
  <si>
    <t>Alemania | Leon Goretzka (Centrocampista)</t>
  </si>
  <si>
    <t>Alemania | Lukas Klostermann (Defensa)</t>
  </si>
  <si>
    <t>Alemania | Marcel Halstenberg (Centrocampista)</t>
  </si>
  <si>
    <t>Alemania | Müller (Centrocampista)</t>
  </si>
  <si>
    <t>Alemania | Neuer (Portero)</t>
  </si>
  <si>
    <t>Alemania | Niklas Süle (Defensa)</t>
  </si>
  <si>
    <t>Alemania | Robin Gosens (Centrocampista)</t>
  </si>
  <si>
    <t>Alemania | Robin Koch (Defensa)</t>
  </si>
  <si>
    <t>Alemania | Rüdiger (Defensa)</t>
  </si>
  <si>
    <t>Alemania | Sane (Delantero)</t>
  </si>
  <si>
    <t>Alemania | Timo Werner (Delantero)</t>
  </si>
  <si>
    <t>Alemania | Trapp (Portero)</t>
  </si>
  <si>
    <t>Alemania | Volland (Delantero)</t>
  </si>
  <si>
    <t>Austria | Alaba (Defensa)</t>
  </si>
  <si>
    <t>Austria | Alexander Schlager (Portero)</t>
  </si>
  <si>
    <t>Austria | Arnautovic (Delantero)</t>
  </si>
  <si>
    <t>Austria | Bachmann (Portero)</t>
  </si>
  <si>
    <t>Austria | Baumgartlinger (Centrocampista)</t>
  </si>
  <si>
    <t>Austria | Christoph Baumgartner (Centrocampista)</t>
  </si>
  <si>
    <t>Austria | Dragovic (Centrocampista)</t>
  </si>
  <si>
    <t>Austria | Florian Grillitsch (Centrocampista)</t>
  </si>
  <si>
    <t>Austria | Gregoritsch (Delantero)</t>
  </si>
  <si>
    <t>Austria | Hinteregger (Defensa)</t>
  </si>
  <si>
    <t>Austria | Karim Onisiwo (Delantero)</t>
  </si>
  <si>
    <t>Austria | Laimer (Centrocampista)</t>
  </si>
  <si>
    <t>Austria | Lazaro (Centrocampista)</t>
  </si>
  <si>
    <t>Austria | Lienhart (Defensa)</t>
  </si>
  <si>
    <t>Austria | M. Sabitzer (Centrocampista)</t>
  </si>
  <si>
    <t>Austria | Marco Friedl (Centrocampista)</t>
  </si>
  <si>
    <t>Austria | Pavao Pervan (Portero)</t>
  </si>
  <si>
    <t>Austria | S. Ilsanker (Centrocampista)</t>
  </si>
  <si>
    <t>Austria | Sasa Kalajdzic (Delantero)</t>
  </si>
  <si>
    <t>Austria | Schaub (Centrocampista)</t>
  </si>
  <si>
    <t>Austria | Schopf (Delantero)</t>
  </si>
  <si>
    <t>Austria | Stefan Lainer (Centrocampista)</t>
  </si>
  <si>
    <t>Austria | Stefan Posch (Defensa)</t>
  </si>
  <si>
    <t>Austria | Trimmel (Centrocampista)</t>
  </si>
  <si>
    <t>Austria | Ulmer (Defensa)</t>
  </si>
  <si>
    <t>Austria | Xavier Schlager (Centrocampista)</t>
  </si>
  <si>
    <t>Belgica | Alderweireld (Defensa)</t>
  </si>
  <si>
    <t>Belgica | Batshuayi (Delantero)</t>
  </si>
  <si>
    <t>Belgica | Benteke (Delantero)</t>
  </si>
  <si>
    <t>Belgica | Boyata (Centrocampista)</t>
  </si>
  <si>
    <t>Belgica | Carrasco (Delantero)</t>
  </si>
  <si>
    <t>Belgica | Castagne (Centrocampista)</t>
  </si>
  <si>
    <t>Belgica | Chadli (Delantero)</t>
  </si>
  <si>
    <t>Belgica | Courtois (Portero)</t>
  </si>
  <si>
    <t>Belgica | De Bruyne (Centrocampista)</t>
  </si>
  <si>
    <t>Belgica | Hazard (Centrocampista)</t>
  </si>
  <si>
    <t>Belgica | J. Denayer (Defensa)</t>
  </si>
  <si>
    <t>Belgica | Jeremy Doku (Delantero)</t>
  </si>
  <si>
    <t>Belgica | Leander Dendoncker (Centrocampista)</t>
  </si>
  <si>
    <t>Belgica | Lukaku (Delantero)</t>
  </si>
  <si>
    <t>Belgica | Matz Sels (Portero)</t>
  </si>
  <si>
    <t>Belgica | Mertens (Delantero)</t>
  </si>
  <si>
    <t>Belgica | Meunier (Centrocampista)</t>
  </si>
  <si>
    <t>Belgica | Mignolet (Portero)</t>
  </si>
  <si>
    <t>Belgica | Praet (Centrocampista)</t>
  </si>
  <si>
    <t>Belgica | T. Hazard (Delantero)</t>
  </si>
  <si>
    <t>Belgica | Tielemans (Centrocampista)</t>
  </si>
  <si>
    <t>Belgica | Trossard (Centrocampista)</t>
  </si>
  <si>
    <t>Belgica | Vanaken (Centrocampista)</t>
  </si>
  <si>
    <t>Belgica | Vermaelen (Defensa)</t>
  </si>
  <si>
    <t>Belgica | Vertonghen (Centrocampista)</t>
  </si>
  <si>
    <t>Belgica | Witsel (Centrocampista)</t>
  </si>
  <si>
    <t>Croacia | Ante Budimir (Delantero)</t>
  </si>
  <si>
    <t>Croacia | Borna Barisic (Centrocampista)</t>
  </si>
  <si>
    <t>Croacia | Borna Sosa (Centrocampista)</t>
  </si>
  <si>
    <t>Croacia | Brozovic (Centrocampista)</t>
  </si>
  <si>
    <t>Croacia | Dominik Livakovic (Portero)</t>
  </si>
  <si>
    <t>Croacia | Gvardiol (Centrocampista)</t>
  </si>
  <si>
    <t>Croacia | Ivica Ivusic (Portero)</t>
  </si>
  <si>
    <t>Croacia | Ivo Grbic (Portero)</t>
  </si>
  <si>
    <t>Croacia | Josip Stanisic (Defensa)</t>
  </si>
  <si>
    <t>Croacia | Josip Sutalo (Centrocampista)</t>
  </si>
  <si>
    <t>Croacia | Juranovic (Centrocampista)</t>
  </si>
  <si>
    <t>Croacia | Kovacic (Centrocampista)</t>
  </si>
  <si>
    <t>Croacia | Kramaric (Delantero)</t>
  </si>
  <si>
    <t>Croacia | Kristijan Jakic (Centrocampista)</t>
  </si>
  <si>
    <t>Croacia | Livaja (Delantero)</t>
  </si>
  <si>
    <t>Croacia | Lovren (Defensa)</t>
  </si>
  <si>
    <t>Croacia | Lovro Majer (Centrocampista)</t>
  </si>
  <si>
    <t>Croacia | Luka Sucic (Centrocampista)</t>
  </si>
  <si>
    <t>Croacia | Martin Erlic (Defensa)</t>
  </si>
  <si>
    <t>Croacia | Mislav Orsic (Delantero)</t>
  </si>
  <si>
    <t>Croacia | Modric (Centrocampista)</t>
  </si>
  <si>
    <t>Croacia | Nikola Vlasic (Centrocampista)</t>
  </si>
  <si>
    <t>Croacia | Pasalic (Centrocampista)</t>
  </si>
  <si>
    <t>Croacia | Perisic (Centrocampista)</t>
  </si>
  <si>
    <t>Croacia | Petkovic (Delantero)</t>
  </si>
  <si>
    <t>Croacia | Vida (Centrocampista)</t>
  </si>
  <si>
    <t>Dinamarca | A. Christensen (Defensa)</t>
  </si>
  <si>
    <t>Dinamarca | Anders Christiansen (Centrocampista)</t>
  </si>
  <si>
    <t>Dinamarca | Andreas Skov Olsen (Delantero)</t>
  </si>
  <si>
    <t>Dinamarca | Boilesen (Centrocampista)</t>
  </si>
  <si>
    <t>Dinamarca | Braithwaite (Delantero)</t>
  </si>
  <si>
    <t>Dinamarca | Christian Nørgaard (Centrocampista)</t>
  </si>
  <si>
    <t>Dinamarca | Cornelius (Delantero)</t>
  </si>
  <si>
    <t>Dinamarca | Delaney (Centrocampista)</t>
  </si>
  <si>
    <t>Dinamarca | Eriksen (Centrocampista)</t>
  </si>
  <si>
    <t>Dinamarca | F. Ronnow (Portero)</t>
  </si>
  <si>
    <t>Dinamarca | Hojbjerg (Centrocampista)</t>
  </si>
  <si>
    <t>Dinamarca | Jens Stryger Larsen (Centrocampista)</t>
  </si>
  <si>
    <t>Dinamarca | Joachim Andersen (Defensa)</t>
  </si>
  <si>
    <t>Dinamarca | Joakim Maehle (Centrocampista)</t>
  </si>
  <si>
    <t>Dinamarca | Jonas Wind (Delantero)</t>
  </si>
  <si>
    <t>Dinamarca | Kasper Dolberg (Centrocampista)</t>
  </si>
  <si>
    <t>Dinamarca | Kjaer (Defensa)</t>
  </si>
  <si>
    <t>Dinamarca | Lössl (Portero)</t>
  </si>
  <si>
    <t>Dinamarca | Mathias Jensen (Centrocampista)</t>
  </si>
  <si>
    <t>Dinamarca | Mikkel Damsgaard (Centrocampista)</t>
  </si>
  <si>
    <t>Dinamarca | Schmeichel (Portero)</t>
  </si>
  <si>
    <t>Dinamarca | Skov (Delantero)</t>
  </si>
  <si>
    <t>Dinamarca | Vestergaard (Defensa)</t>
  </si>
  <si>
    <t>Dinamarca | Wass (Centrocampista)</t>
  </si>
  <si>
    <t>Dinamarca | Yussuf Poulsen (Delantero)</t>
  </si>
  <si>
    <t>Dinamarca | Zanka (Defensa)</t>
  </si>
  <si>
    <t>Escocia | A. Robertson (Centrocampista)</t>
  </si>
  <si>
    <t>Escocia | Armstrong (Delantero)</t>
  </si>
  <si>
    <t>Escocia | Che Adams (Delantero)</t>
  </si>
  <si>
    <t>Escocia | Cooper (Defensa)</t>
  </si>
  <si>
    <t>Escocia | Dykes (Delantero)</t>
  </si>
  <si>
    <t>Escocia | Forrest (Delantero)</t>
  </si>
  <si>
    <t>Escocia | Fraser (Delantero)</t>
  </si>
  <si>
    <t>Escocia | Gallagher (Defensa)</t>
  </si>
  <si>
    <t>Escocia | Gilmour (Centrocampista)</t>
  </si>
  <si>
    <t>Escocia | Gordon (Portero)</t>
  </si>
  <si>
    <t>Escocia | Greg Taylor (Centrocampista)</t>
  </si>
  <si>
    <t>Escocia | Hanley (Defensa)</t>
  </si>
  <si>
    <t>Escocia | Hendry (Defensa)</t>
  </si>
  <si>
    <t>Escocia | J. Fleck (Centrocampista)</t>
  </si>
  <si>
    <t>Escocia | Marshall (Portero)</t>
  </si>
  <si>
    <t>Escocia | McGinn (Centrocampista)</t>
  </si>
  <si>
    <t>Escocia | McGregor (Centrocampista)</t>
  </si>
  <si>
    <t>Escocia | McLaughlan (Portero)</t>
  </si>
  <si>
    <t>Escocia | McTominay (Centrocampista)</t>
  </si>
  <si>
    <t>Escocia | Nisbet (Delantero)</t>
  </si>
  <si>
    <t>Escocia | O'Donnell (Centrocampista)</t>
  </si>
  <si>
    <t>Escocia | Patterson (Centrocampista)</t>
  </si>
  <si>
    <t>Escocia | Ryan Christie (Centrocampista)</t>
  </si>
  <si>
    <t>Escocia | Scott McKenna (Defensa)</t>
  </si>
  <si>
    <t>Escocia | Tierney (Centrocampista)</t>
  </si>
  <si>
    <t>Escocia | Turnbull (Centrocampista)</t>
  </si>
  <si>
    <t>Eslovaquia | Bénes (Centrocampista)</t>
  </si>
  <si>
    <t>Eslovaquia | Bozenik (Delantero)</t>
  </si>
  <si>
    <t>Eslovaquia | Duda (Centrocampista)</t>
  </si>
  <si>
    <t>Eslovaquia | Duris (Delantero)</t>
  </si>
  <si>
    <t>Eslovaquia | Gregus (Centrocampista)</t>
  </si>
  <si>
    <t>Eslovaquia | Hamsik (Centrocampista)</t>
  </si>
  <si>
    <t>Eslovaquia | Hancko (Centrocampista)</t>
  </si>
  <si>
    <t>Eslovaquia | Haraslin (Delantero)</t>
  </si>
  <si>
    <t>Eslovaquia | Hromada (Centrocampista)</t>
  </si>
  <si>
    <t>Eslovaquia | Hrosovsky (Centrocampista)</t>
  </si>
  <si>
    <t>Eslovaquia | Hubocan (Defensa)</t>
  </si>
  <si>
    <t>Eslovaquia | Koscelnik (Centrocampista)</t>
  </si>
  <si>
    <t>Eslovaquia | Kuciak (Portero)</t>
  </si>
  <si>
    <t>Eslovaquia | Kucka (Centrocampista)</t>
  </si>
  <si>
    <t>Eslovaquia | Lobotka (Centrocampista)</t>
  </si>
  <si>
    <t>Eslovaquia | Mak (Centrocampista)</t>
  </si>
  <si>
    <t>Eslovaquia | Martin Dubravka (Portero)</t>
  </si>
  <si>
    <t>Eslovaquia | Pekarík (Centrocampista)</t>
  </si>
  <si>
    <t>Eslovaquia | Rodak (Portero)</t>
  </si>
  <si>
    <t>Eslovaquia | Satka (Defensa)</t>
  </si>
  <si>
    <t>Eslovaquia | Schranz (Centrocampista)</t>
  </si>
  <si>
    <t>Eslovaquia | Skriniar (Defensa)</t>
  </si>
  <si>
    <t>Eslovaquia | Suslov (Centrocampista)</t>
  </si>
  <si>
    <t>Eslovaquia | Valjent (Defensa)</t>
  </si>
  <si>
    <t>Eslovaquia | Vavro (Defensa)</t>
  </si>
  <si>
    <t>Eslovaquia | Weiss (Delantero)</t>
  </si>
  <si>
    <t>Eslovenia | Antonio Mlinar Dalamea (Defensa)</t>
  </si>
  <si>
    <t>Eslovenia | Bezjak (Delantero)</t>
  </si>
  <si>
    <t>Eslovenia | Birsa (Centrocampista)</t>
  </si>
  <si>
    <t>Eslovenia | Cesar (Defensa)</t>
  </si>
  <si>
    <t>Eslovenia | D. Bohar (Delantero)</t>
  </si>
  <si>
    <t>Eslovenia | Jan Repas (Centrocampista)</t>
  </si>
  <si>
    <t>Eslovenia | Jokic (Defensa)</t>
  </si>
  <si>
    <t>Eslovenia | Josip Ilicic (Centrocampista)</t>
  </si>
  <si>
    <t>Eslovenia | Koprivec (Portero)</t>
  </si>
  <si>
    <t>Eslovenia | Krhin (Centrocampista)</t>
  </si>
  <si>
    <t>Eslovenia | Kurtic (Centrocampista)</t>
  </si>
  <si>
    <t>Eslovenia | Matavz (Centrocampista)</t>
  </si>
  <si>
    <t>Eslovenia | Matija Sirok (Defensa)</t>
  </si>
  <si>
    <t>Eslovenia | Mevlja (Defensa)</t>
  </si>
  <si>
    <t>Eslovenia | Nejc Skubic (Defensa)</t>
  </si>
  <si>
    <t>Eslovenia | Oblak (Portero)</t>
  </si>
  <si>
    <t>Eslovenia | Rajko Rotman (Centrocampista)</t>
  </si>
  <si>
    <t>Eslovenia | Samardzic (Defensa)</t>
  </si>
  <si>
    <t>Eslovenia | Sporar (Delantero)</t>
  </si>
  <si>
    <t>Eslovenia | Struna (Defensa)</t>
  </si>
  <si>
    <t>Eslovenia | Verbic (Delantero)</t>
  </si>
  <si>
    <t>Eslovenia | Vetrih (Centrocampista)</t>
  </si>
  <si>
    <t>Eslovenia | Vid (Portero)</t>
  </si>
  <si>
    <t>Eslovenia | Viler (Defensa)</t>
  </si>
  <si>
    <t>España | Alba (Centrocampista)</t>
  </si>
  <si>
    <t>España | Alex Balde (Centrocampista)</t>
  </si>
  <si>
    <t>España | Ansu Fati (Delantero)</t>
  </si>
  <si>
    <t>España | Azpilicueta (Centrocampista)</t>
  </si>
  <si>
    <t>España | Busquets (Centrocampista)</t>
  </si>
  <si>
    <t>España | Carlos Soler (Centrocampista)</t>
  </si>
  <si>
    <t>España | Dani Carvajal (Centrocampista)</t>
  </si>
  <si>
    <t>España | Dani Olmo (Centrocampista)</t>
  </si>
  <si>
    <t>España | David Raya (Portero)</t>
  </si>
  <si>
    <t>España | Eric Garcia (Defensa)</t>
  </si>
  <si>
    <t>España | Ferrán Torres (Centrocampista)</t>
  </si>
  <si>
    <t>España | Gavi (Centrocampista)</t>
  </si>
  <si>
    <t>España | Hugo Guillamón (Defensa)</t>
  </si>
  <si>
    <t>España | Koke (Centrocampista)</t>
  </si>
  <si>
    <t>España | Laporte (Defensa)</t>
  </si>
  <si>
    <t>España | Marco Asensio (Delantero)</t>
  </si>
  <si>
    <t>España | Marcos Llorente (Centrocampista)</t>
  </si>
  <si>
    <t>España | Morata (Delantero)</t>
  </si>
  <si>
    <t>España | Nico Williams (Delantero)</t>
  </si>
  <si>
    <t>España | Pau Torres (Defensa)</t>
  </si>
  <si>
    <t>España | Pedri (Delantero)</t>
  </si>
  <si>
    <t>España | Robert Sánchez (Portero)</t>
  </si>
  <si>
    <t>España | Rodrigo (Centrocampista)</t>
  </si>
  <si>
    <t>España | Sarabia (Centrocampista)</t>
  </si>
  <si>
    <t>España | Unai Simón (Portero)</t>
  </si>
  <si>
    <t>España | Yeremy Pino (Centrocampista)</t>
  </si>
  <si>
    <t>Francia | Areola (Portero)</t>
  </si>
  <si>
    <t>Francia | Aurelien Tchouameni (Centrocampista)</t>
  </si>
  <si>
    <t>Francia | Axel Disasi (Defensa)</t>
  </si>
  <si>
    <t>Francia | Benjamin Pavard (Defensa)</t>
  </si>
  <si>
    <t>Francia | Camavinga (Centrocampista)</t>
  </si>
  <si>
    <t>Francia | Dayotchanculle Upamecano (Defensa)</t>
  </si>
  <si>
    <t>Francia | Giroud (Delantero)</t>
  </si>
  <si>
    <t>Francia | Griezmann (Centrocampista)</t>
  </si>
  <si>
    <t>Francia | Ibrahima Konate (Defensa)</t>
  </si>
  <si>
    <t>Francia | Kingsley Coman (Delantero)</t>
  </si>
  <si>
    <t>Francia | Koundé (Defensa)</t>
  </si>
  <si>
    <t>Francia | Kylian Mbappe (Delantero)</t>
  </si>
  <si>
    <t>Francia | Lloris (Portero)</t>
  </si>
  <si>
    <t>Francia | Lucas (Defensa)</t>
  </si>
  <si>
    <t>Francia | Mandanda (Portero)</t>
  </si>
  <si>
    <t>Francia | Marcus Thuram (Delantero)</t>
  </si>
  <si>
    <t>Francia | Matteo Guendouzi (Centrocampista)</t>
  </si>
  <si>
    <t>Francia | Ousmane Dembélé (Delantero)</t>
  </si>
  <si>
    <t>Francia | Rabiot (Centrocampista)</t>
  </si>
  <si>
    <t>Francia | Randal Kolo Muani (Delantero)</t>
  </si>
  <si>
    <t>Francia | Theo Hernández (Centrocampista)</t>
  </si>
  <si>
    <t>Francia | Varane (Defensa)</t>
  </si>
  <si>
    <t>Francia | Veretout (Centrocampista)</t>
  </si>
  <si>
    <t>Francia | William Saliba (Defensa)</t>
  </si>
  <si>
    <t>Francia | Youssouf Fofana (Centrocampista)</t>
  </si>
  <si>
    <t>Georgia | Arabidze (Delantero)</t>
  </si>
  <si>
    <t>Georgia | Chanturia (Centrocampista)</t>
  </si>
  <si>
    <t>Georgia | Daushvili (Centrocampista)</t>
  </si>
  <si>
    <t>Georgia | Davit Khocholova (Centrocampista)</t>
  </si>
  <si>
    <t>Georgia | Dvalishvili (Delantero)</t>
  </si>
  <si>
    <t>Georgia | Giorgi Aburjania (Centrocampista)</t>
  </si>
  <si>
    <t>Georgia | Irakli Sikharulidze (Delantero)</t>
  </si>
  <si>
    <t>Georgia | Jano (Centrocampista)</t>
  </si>
  <si>
    <t>Georgia | Jighauri (Centrocampista)</t>
  </si>
  <si>
    <t>Georgia | Jimmy Tabidze (Defensa)</t>
  </si>
  <si>
    <t>Georgia | Kakabadze (Centrocampista)</t>
  </si>
  <si>
    <t>Georgia | Kankava (Centrocampista)</t>
  </si>
  <si>
    <t>Georgia | Kashia (Defensa)</t>
  </si>
  <si>
    <t>Georgia | Katcharava (Delantero)</t>
  </si>
  <si>
    <t>Georgia | Kazaishvili (Centrocampista)</t>
  </si>
  <si>
    <t>Georgia | Kvaskhvadze (Portero)</t>
  </si>
  <si>
    <t>Georgia | Kvekveskiri (Centrocampista)</t>
  </si>
  <si>
    <t>Georgia | Kvilitaia (Delantero)</t>
  </si>
  <si>
    <t>Georgia | Kvirkvelia (Defensa)</t>
  </si>
  <si>
    <t>Georgia | Lasha Shergelashvili (Defensa)</t>
  </si>
  <si>
    <t>Georgia | Lobzhanidze (Defensa)</t>
  </si>
  <si>
    <t>Georgia | Loria (Portero)</t>
  </si>
  <si>
    <t>Georgia | Makaridze (Portero)</t>
  </si>
  <si>
    <t>Georgia | Merebashvilli (Centrocampista)</t>
  </si>
  <si>
    <t>Georgia | Navalovski (Defensa)</t>
  </si>
  <si>
    <t>Georgia | Revishvili (Portero)</t>
  </si>
  <si>
    <t>Georgia | Valeriane Hviliia (Centrocampista)</t>
  </si>
  <si>
    <t>Hungria | Ádám Lang (Centrocampista)</t>
  </si>
  <si>
    <t>Hungria | Adam Nagy (Centrocampista)</t>
  </si>
  <si>
    <t>Hungria | Akos Kecskes (Defensa)</t>
  </si>
  <si>
    <t>Hungria | Andras Schafer (Centrocampista)</t>
  </si>
  <si>
    <t>Hungria | Attila Fiola (Centrocampista)</t>
  </si>
  <si>
    <t>Hungria | Attila Szalai (Defensa)</t>
  </si>
  <si>
    <t>Hungria | Bendeguz Bolla (Centrocampista)</t>
  </si>
  <si>
    <t>Hungria | Bogdan (Centrocampista)</t>
  </si>
  <si>
    <t>Hungria | Daniel Gazdag (Centrocampista)</t>
  </si>
  <si>
    <t>Hungria | Dávid Sigér (Centrocampista)</t>
  </si>
  <si>
    <t>Hungria | Dibusz (Portero)</t>
  </si>
  <si>
    <t>Hungria | Endre Botka (Centrocampista)</t>
  </si>
  <si>
    <t>Hungria | Filip Holender (Centrocampista)</t>
  </si>
  <si>
    <t>Hungria | Gergö Lovrencsics (Centrocampista)</t>
  </si>
  <si>
    <t>Hungria | Gulacsi (Portero)</t>
  </si>
  <si>
    <t>Hungria | János Hahn (Delantero)</t>
  </si>
  <si>
    <t>Hungria | Kevin Varga (Centrocampista)</t>
  </si>
  <si>
    <t>Hungria | Kleinheisler (Centrocampista)</t>
  </si>
  <si>
    <t>Hungria | Nego (Centrocampista)</t>
  </si>
  <si>
    <t>Hungria | Nikolić (Centrocampista)</t>
  </si>
  <si>
    <t>Hungria | Roland Sallai (Delantero)</t>
  </si>
  <si>
    <t>Hungria | Roland Varga (Centrocampista)</t>
  </si>
  <si>
    <t>Hungria | Schon (Centrocampista)</t>
  </si>
  <si>
    <t>Hungria | Szalai (Delantero)</t>
  </si>
  <si>
    <t>Hungria | Tamas Cseri (Centrocampista)</t>
  </si>
  <si>
    <t>Hungria | Willi Orban (Defensa)</t>
  </si>
  <si>
    <t>Inglaterra | Aaron Ramsdale (Portero)</t>
  </si>
  <si>
    <t>Inglaterra | Ben White (Defensa)</t>
  </si>
  <si>
    <t>Inglaterra | Bukayo Saka (Delantero)</t>
  </si>
  <si>
    <t>Inglaterra | Callum Wilson (Delantero)</t>
  </si>
  <si>
    <t>Inglaterra | Coady (Defensa)</t>
  </si>
  <si>
    <t>Inglaterra | Conor Gallagher (Centrocampista)</t>
  </si>
  <si>
    <t>Inglaterra | Declan Rice (Centrocampista)</t>
  </si>
  <si>
    <t>Inglaterra | Eric Dier (Defensa)</t>
  </si>
  <si>
    <t>Inglaterra | Foden (Centrocampista)</t>
  </si>
  <si>
    <t>Inglaterra | Grealish (Centrocampista)</t>
  </si>
  <si>
    <t>Inglaterra | Harry Maguire (Defensa)</t>
  </si>
  <si>
    <t>Inglaterra | Henderson (Centrocampista)</t>
  </si>
  <si>
    <t>Inglaterra | James Maddison (Centrocampista)</t>
  </si>
  <si>
    <t>Inglaterra | John Stones (Defensa)</t>
  </si>
  <si>
    <t>Inglaterra | Jordan Pickford (Portero)</t>
  </si>
  <si>
    <t>Inglaterra | Jude Bellingham (Centrocampista)</t>
  </si>
  <si>
    <t>Inglaterra | Kalvin Phillips (Centrocampista)</t>
  </si>
  <si>
    <t>Inglaterra | Kane (Delantero)</t>
  </si>
  <si>
    <t>Inglaterra | Mason Mount (Centrocampista)</t>
  </si>
  <si>
    <t>Inglaterra | Nick Pope (Portero)</t>
  </si>
  <si>
    <t>Inglaterra | Rashford (Centrocampista)</t>
  </si>
  <si>
    <t>Inglaterra | Shaw (Centrocampista)</t>
  </si>
  <si>
    <t>Inglaterra | Sterling (Centrocampista)</t>
  </si>
  <si>
    <t>Inglaterra | Trent Alexander-Arnold (Centrocampista)</t>
  </si>
  <si>
    <t>Inglaterra | Trippier (Centrocampista)</t>
  </si>
  <si>
    <t>Inglaterra | Walker (Centrocampista)</t>
  </si>
  <si>
    <t>Italia | Acerbi (Defensa)</t>
  </si>
  <si>
    <t>Italia | Alessandro Bastoni (Defensa)</t>
  </si>
  <si>
    <t>Italia | Alex Meret (Portero)</t>
  </si>
  <si>
    <t>Italia | Barella (Centrocampista)</t>
  </si>
  <si>
    <t>Italia | Belotti (Delantero)</t>
  </si>
  <si>
    <t>Italia | Berardi (Centrocampista)</t>
  </si>
  <si>
    <t>Italia | Bernardeschi (Centrocampista)</t>
  </si>
  <si>
    <t>Italia | Bonucci (Defensa)</t>
  </si>
  <si>
    <t>Italia | Chiellini (Defensa)</t>
  </si>
  <si>
    <t>Italia | Cristante (Centrocampista)</t>
  </si>
  <si>
    <t>Italia | Di Lorenzo (Centrocampista)</t>
  </si>
  <si>
    <t>Italia | Donnarumma (Portero)</t>
  </si>
  <si>
    <t>Italia | Emerson (Centrocampista)</t>
  </si>
  <si>
    <t>Italia | Federico Chiesa (Centrocampista)</t>
  </si>
  <si>
    <t>Italia | Florenzi (Centrocampista)</t>
  </si>
  <si>
    <t>Italia | Giacomo Raspadori (Delantero)</t>
  </si>
  <si>
    <t>Italia | Immobile (Delantero)</t>
  </si>
  <si>
    <t>Italia | Insigne (Centrocampista)</t>
  </si>
  <si>
    <t>Italia | Jorginho (Centrocampista)</t>
  </si>
  <si>
    <t>Italia | Leonardo Spinazzola (Defensa)</t>
  </si>
  <si>
    <t>Italia | Lorenzo Pellegrini (Centrocampista)</t>
  </si>
  <si>
    <t>Italia | Manuel Locatelli (Centrocampista)</t>
  </si>
  <si>
    <t>Italia | Rafael Tolói (Defensa)</t>
  </si>
  <si>
    <t>Italia | Sirigu (Portero)</t>
  </si>
  <si>
    <t>Italia | Stefano Sensi (Centrocampista)</t>
  </si>
  <si>
    <t>Italia | Verratti (Centrocampista)</t>
  </si>
  <si>
    <t>Paises Bajos | Aké (Defensa)</t>
  </si>
  <si>
    <t>Paises Bajos | Andries Noppert (Centrocampista)</t>
  </si>
  <si>
    <t>Paises Bajos | Berghuis (Centrocampista)</t>
  </si>
  <si>
    <t>Paises Bajos | Bijlow (Portero)</t>
  </si>
  <si>
    <t>Paises Bajos | Daley Blind (Centrocampista)</t>
  </si>
  <si>
    <t>Paises Bajos | de Vrij (Defensa)</t>
  </si>
  <si>
    <t>Paises Bajos | Denzel Dumfries (Centrocampista)</t>
  </si>
  <si>
    <t>Paises Bajos | Depay (Delantero)</t>
  </si>
  <si>
    <t>Paises Bajos | Frenkie De Jong (Centrocampista)</t>
  </si>
  <si>
    <t>Paises Bajos | Gakpo (Delantero)</t>
  </si>
  <si>
    <t>Paises Bajos | Jeremie Frimpong (Delantero)</t>
  </si>
  <si>
    <t>Paises Bajos | Jurrien Maduro (Defensa)</t>
  </si>
  <si>
    <t>Paises Bajos | Kenneth Taylor (Centrocampista)</t>
  </si>
  <si>
    <t>Paises Bajos | Klaassen (Centrocampista)</t>
  </si>
  <si>
    <t>Paises Bajos | Luuk de Jong (Delantero)</t>
  </si>
  <si>
    <t>Paises Bajos | Marten de Roon (Centrocampista)</t>
  </si>
  <si>
    <t>Paises Bajos | Matthijs de Ligt (Defensa)</t>
  </si>
  <si>
    <t>Paises Bajos | Noa Lang (Centrocampista)</t>
  </si>
  <si>
    <t>Paises Bajos | Pasveer (Centrocampista)</t>
  </si>
  <si>
    <t>Paises Bajos | Steven Bergwijn (Delantero)</t>
  </si>
  <si>
    <t>Paises Bajos | Teun Koopmeiners (Centrocampista)</t>
  </si>
  <si>
    <t>Paises Bajos | Tyrell Malacia (Centrocampista)</t>
  </si>
  <si>
    <t>Paises Bajos | Vincent Janssen (Centrocampista)</t>
  </si>
  <si>
    <t>Paises Bajos | Virgil Van Dijk (Defensa)</t>
  </si>
  <si>
    <t>Paises Bajos | Wouter Weghorst (Delantero)</t>
  </si>
  <si>
    <t>Paises Bajos | Xavi Simons (Centrocampista)</t>
  </si>
  <si>
    <t>Polonia | Bednarek (Defensa)</t>
  </si>
  <si>
    <t>Polonia | Bereszynski (Centrocampista)</t>
  </si>
  <si>
    <t>Polonia | Bielik (Centrocampista)</t>
  </si>
  <si>
    <t>Polonia | Damian Szymański (Centrocampista)</t>
  </si>
  <si>
    <t>Polonia | Frankowski (Delantero)</t>
  </si>
  <si>
    <t>Polonia | Glik (Defensa)</t>
  </si>
  <si>
    <t>Polonia | Grosicki (Delantero)</t>
  </si>
  <si>
    <t>Polonia | Jakub Kaminski (Centrocampista)</t>
  </si>
  <si>
    <t>Polonia | Jakub Kiwior (Defensa)</t>
  </si>
  <si>
    <t>Polonia | Jedrzejczyk (Centrocampista)</t>
  </si>
  <si>
    <t>Polonia | Kamil Grabara (Portero)</t>
  </si>
  <si>
    <t>Polonia | Krychowiak (Centrocampista)</t>
  </si>
  <si>
    <t>Polonia | Krzysztof Piatek (Delantero)</t>
  </si>
  <si>
    <t>Polonia | Lewandowski (Delantero)</t>
  </si>
  <si>
    <t>Polonia | Matthew Cash (Centrocampista)</t>
  </si>
  <si>
    <t>Polonia | Michal Skoras (Centrocampista)</t>
  </si>
  <si>
    <t>Polonia | Milik (Delantero)</t>
  </si>
  <si>
    <t>Polonia | Nicola Zalewski (Delantero)</t>
  </si>
  <si>
    <t>Polonia | Robert Gumny (Centrocampista)</t>
  </si>
  <si>
    <t>Polonia | Sebastian Szymanski (Centrocampista)</t>
  </si>
  <si>
    <t>Polonia | Skorupski (Portero)</t>
  </si>
  <si>
    <t>Polonia | Swiderski (Delantero)</t>
  </si>
  <si>
    <t>Polonia | Szczesny (Portero)</t>
  </si>
  <si>
    <t>Polonia | Szymon Zurkowski (Centrocampista)</t>
  </si>
  <si>
    <t>Polonia | Wieteska (Defensa)</t>
  </si>
  <si>
    <t>Polonia | Zielinski (Centrocampista)</t>
  </si>
  <si>
    <t>Portugal | André Silva (Delantero)</t>
  </si>
  <si>
    <t>Portugal | Antonio Tavares Da Sila (Defensa)</t>
  </si>
  <si>
    <t>Portugal | Bernardo Silva (Centrocampista)</t>
  </si>
  <si>
    <t>Portugal | Bruno Fernandes (Centrocampista)</t>
  </si>
  <si>
    <t>Portugal | Cancelo (Centrocampista)</t>
  </si>
  <si>
    <t>Portugal | Cristiano (Delantero)</t>
  </si>
  <si>
    <t>Portugal | Danilo Pereira (Centrocampista)</t>
  </si>
  <si>
    <t>Portugal | Diogo Costa (Portero)</t>
  </si>
  <si>
    <t>Portugal | Diogo Dalot (Centrocampista)</t>
  </si>
  <si>
    <t>Portugal | Goncalo Ramos (Delantero)</t>
  </si>
  <si>
    <t>Portugal | Horta (Delantero)</t>
  </si>
  <si>
    <t>Portugal | João Félix (Centrocampista)</t>
  </si>
  <si>
    <t>Portugal | João Mário (Centrocampista)</t>
  </si>
  <si>
    <t>Portugal | João Palhinha (Centrocampista)</t>
  </si>
  <si>
    <t>Portugal | José Sá (Portero)</t>
  </si>
  <si>
    <t>Portugal | Matheus (Centrocampista)</t>
  </si>
  <si>
    <t>Portugal | Nuno Mendes (Centrocampista)</t>
  </si>
  <si>
    <t>Portugal | Otavinho (Centrocampista)</t>
  </si>
  <si>
    <t>Portugal | Pepe (Defensa)</t>
  </si>
  <si>
    <t>Portugal | Rafael Leao (Delantero)</t>
  </si>
  <si>
    <t>Portugal | Raphael Guerreiro (Defensa)</t>
  </si>
  <si>
    <t>Portugal | Rúben Dias (Defensa)</t>
  </si>
  <si>
    <t>Portugal | Ruben Neves (Centrocampista)</t>
  </si>
  <si>
    <t>Portugal | Rui Patrício (Portero)</t>
  </si>
  <si>
    <t>Portugal | Vitor Ferreira (Centrocampista)</t>
  </si>
  <si>
    <t>Portugal | William Carvalho (Centrocampista)</t>
  </si>
  <si>
    <t>Republica Checa | Adam Hlozek (Delantero)</t>
  </si>
  <si>
    <t>Republica Checa | Ales Mandous (Centrocampista)</t>
  </si>
  <si>
    <t>Republica Checa | Ales Mateju (Centrocampista)</t>
  </si>
  <si>
    <t>Republica Checa | Alex Kral (Centrocampista)</t>
  </si>
  <si>
    <t>Republica Checa | Antonin Barak (Centrocampista)</t>
  </si>
  <si>
    <t>Republica Checa | Brabec (Defensa)</t>
  </si>
  <si>
    <t>Republica Checa | Celustka (Centrocampista)</t>
  </si>
  <si>
    <t>Republica Checa | Coufal (Centrocampista)</t>
  </si>
  <si>
    <t>Republica Checa | Darida (Centrocampista)</t>
  </si>
  <si>
    <t>Republica Checa | David Zima (Defensa)</t>
  </si>
  <si>
    <t>Republica Checa | Jan Boril (Centrocampista)</t>
  </si>
  <si>
    <t>Republica Checa | Jankto (Centrocampista)</t>
  </si>
  <si>
    <t>Republica Checa | Jiri Pavlenka (Portero)</t>
  </si>
  <si>
    <t>Republica Checa | Kaderabek (Defensa)</t>
  </si>
  <si>
    <t>Republica Checa | Lukas Masopust (Centrocampista)</t>
  </si>
  <si>
    <t>Republica Checa | Michal Krmencik (Centrocampista)</t>
  </si>
  <si>
    <t>Republica Checa | Michal Sadilek (Centrocampista)</t>
  </si>
  <si>
    <t>Republica Checa | Pekhart (Centrocampista)</t>
  </si>
  <si>
    <t>Republica Checa | Pesek (Centrocampista)</t>
  </si>
  <si>
    <t>Republica Checa | Petr Sevcik (Centrocampista)</t>
  </si>
  <si>
    <t>Republica Checa | Schick (Delantero)</t>
  </si>
  <si>
    <t>Republica Checa | Tomas Holes (Centrocampista)</t>
  </si>
  <si>
    <t>Republica Checa | Tomas Kalas (Centrocampista)</t>
  </si>
  <si>
    <t>Republica Checa | Tomas Soucek (Centrocampista)</t>
  </si>
  <si>
    <t>Republica Checa | Vaclik (Centrocampista)</t>
  </si>
  <si>
    <t>Republica Checa | Vydra (Delantero)</t>
  </si>
  <si>
    <t>Rumania | Alexandru Baluta (Centrocampista)</t>
  </si>
  <si>
    <t>Rumania | Bicfalvi (Centrocampista)</t>
  </si>
  <si>
    <t>Rumania | Bogdan Ionut Tiru (Centrocampista)</t>
  </si>
  <si>
    <t>Rumania | Chipciu (Centrocampista)</t>
  </si>
  <si>
    <t>Rumania | Chiriches (Defensa)</t>
  </si>
  <si>
    <t>Rumania | Denis Alibec (Delantero)</t>
  </si>
  <si>
    <t>Rumania | Dorin Rotaru (Centrocampista)</t>
  </si>
  <si>
    <t>Rumania | Florin Andone (Delantero)</t>
  </si>
  <si>
    <t>Rumania | Ganea (Delantero)</t>
  </si>
  <si>
    <t>Rumania | Gardos (Defensa)</t>
  </si>
  <si>
    <t>Rumania | Grigore (Portero)</t>
  </si>
  <si>
    <t>Rumania | Grozav (Delantero)</t>
  </si>
  <si>
    <t>Rumania | Ivan (Delantero)</t>
  </si>
  <si>
    <t>Rumania | Latovlevici (Defensa)</t>
  </si>
  <si>
    <t>Rumania | Lung Jr. (Portero)</t>
  </si>
  <si>
    <t>Rumania | Moti (Defensa)</t>
  </si>
  <si>
    <t>Rumania | Nita (Portero)</t>
  </si>
  <si>
    <t>Rumania | Pantilimon (Portero)</t>
  </si>
  <si>
    <t>Rumania | Pintilii (Centrocampista)</t>
  </si>
  <si>
    <t>Rumania | Razvan Marin (Centrocampista)</t>
  </si>
  <si>
    <t>Rumania | Romario Benzar (Defensa)</t>
  </si>
  <si>
    <t>Rumania | Sapunaru (Defensa)</t>
  </si>
  <si>
    <t>Rumania | Sergiu Hanca (Centrocampista)</t>
  </si>
  <si>
    <t>Rumania | Stancioiu (Portero)</t>
  </si>
  <si>
    <t>Rumania | Stancu (Delantero)</t>
  </si>
  <si>
    <t>Rumania | Tatarusanu (Portero)</t>
  </si>
  <si>
    <t>Rumania | Tosca (Defensa)</t>
  </si>
  <si>
    <t>Serbia | Andrija Zivkovic (Centrocampista)</t>
  </si>
  <si>
    <t>Serbia | Dmitrovic (Portero)</t>
  </si>
  <si>
    <t>Serbia | Filip Kostic (Delantero)</t>
  </si>
  <si>
    <t>Serbia | Ivanovic (Defensa)</t>
  </si>
  <si>
    <t>Serbia | Jovic (Delantero)</t>
  </si>
  <si>
    <t>Serbia | Kolarov (Centrocampista)</t>
  </si>
  <si>
    <t>Serbia | Ljajic (Centrocampista)</t>
  </si>
  <si>
    <t>Serbia | Marko Grujic (Centrocampista)</t>
  </si>
  <si>
    <t>Serbia | Matic (Centrocampista)</t>
  </si>
  <si>
    <t>Serbia | Milan Rodic (Centrocampista)</t>
  </si>
  <si>
    <t>Serbia | Milinkovic-Savic (Centrocampista)</t>
  </si>
  <si>
    <t>Serbia | Milivojevic (Centrocampista)</t>
  </si>
  <si>
    <t>Serbia | Mitrovic (Delantero)</t>
  </si>
  <si>
    <t>Serbia | Nikola Milenkovic (Defensa)</t>
  </si>
  <si>
    <t>Serbia | Predrag Rajkovic (Portero)</t>
  </si>
  <si>
    <t>Serbia | Prijovic (Delantero)</t>
  </si>
  <si>
    <t>Serbia | Radonjic (Delantero)</t>
  </si>
  <si>
    <t>Serbia | Rukavina (Defensa)</t>
  </si>
  <si>
    <t>Serbia | Stojkovic (Portero)</t>
  </si>
  <si>
    <t>Serbia | Tadic (Centrocampista)</t>
  </si>
  <si>
    <t>Serbia | Tosic (Defensa)</t>
  </si>
  <si>
    <t>Serbia | Uros Spajic (Defensa)</t>
  </si>
  <si>
    <t>Serbia | Veljkovic (Defensa)</t>
  </si>
  <si>
    <t>Suiza | Djibril Sow (Centrocampista)</t>
  </si>
  <si>
    <t>Suiza | Edimilson Fernandes (Centrocampista)</t>
  </si>
  <si>
    <t>Suiza | Elvedi (Defensa)</t>
  </si>
  <si>
    <t>Suiza | Embolo (Delantero)</t>
  </si>
  <si>
    <t>Suiza | Eray Cömert (Defensa)</t>
  </si>
  <si>
    <t>Suiza | Fassnacht (Centrocampista)</t>
  </si>
  <si>
    <t>Suiza | Freuler (Centrocampista)</t>
  </si>
  <si>
    <t>Suiza | Gavranovic (Centrocampista)</t>
  </si>
  <si>
    <t>Suiza | Jonas Omlin (Portero)</t>
  </si>
  <si>
    <t>Suiza | Loris Benito (Centrocampista)</t>
  </si>
  <si>
    <t>Suiza | Manuel Akanji (Defensa)</t>
  </si>
  <si>
    <t>Suiza | Mbabu (Centrocampista)</t>
  </si>
  <si>
    <t>Suiza | Mehmedi (Centrocampista)</t>
  </si>
  <si>
    <t>Suiza | Mvogo (Portero)</t>
  </si>
  <si>
    <t>Suiza | Mvula Lotomba (Centrocampista)</t>
  </si>
  <si>
    <t>Suiza | Omeragic (Defensa)</t>
  </si>
  <si>
    <t>Suiza | Ricardo Rodríguez (Centrocampista)</t>
  </si>
  <si>
    <t>Suiza | Ruben Vargas (Centrocampista)</t>
  </si>
  <si>
    <t>Suiza | Schar (Defensa)</t>
  </si>
  <si>
    <t>Suiza | Seferovic (Delantero)</t>
  </si>
  <si>
    <t>Suiza | Shaqiri (Delantero)</t>
  </si>
  <si>
    <t>Suiza | Sommer (Portero)</t>
  </si>
  <si>
    <t>Suiza | Widmer (Centrocampista)</t>
  </si>
  <si>
    <t>Suiza | Xhaka (Centrocampista)</t>
  </si>
  <si>
    <t>Suiza | Zakaria (Centrocampista)</t>
  </si>
  <si>
    <t>Suiza | Zuber (Defensa)</t>
  </si>
  <si>
    <t>Turquia | Abdulkadir Omur (Centrocampista)</t>
  </si>
  <si>
    <t>Turquia | Altay Bayindir (Portero)</t>
  </si>
  <si>
    <t>Turquia | Antalyali (Centrocampista)</t>
  </si>
  <si>
    <t>Turquia | Calhanoglu (Centrocampista)</t>
  </si>
  <si>
    <t>Turquia | Cengiz Ünder (Centrocampista)</t>
  </si>
  <si>
    <t>Turquia | Demiral (Defensa)</t>
  </si>
  <si>
    <t>Turquia | Dervisoglu (Delantero)</t>
  </si>
  <si>
    <t>Turquia | Enes Ünal (Delantero)</t>
  </si>
  <si>
    <t>Turquia | Kaan Ayhan (Defensa)</t>
  </si>
  <si>
    <t>Turquia | Kahveci (Centrocampista)</t>
  </si>
  <si>
    <t>Turquia | Karaman (Delantero)</t>
  </si>
  <si>
    <t>Turquia | Kerem Akturkoglu (Delantero)</t>
  </si>
  <si>
    <t>Turquia | Mert Günok (Portero)</t>
  </si>
  <si>
    <t>Turquia | Müldür (Centrocampista)</t>
  </si>
  <si>
    <t>Turquia | Okay Yokuslu (Centrocampista)</t>
  </si>
  <si>
    <t>Turquia | Orkun Kokcu (Centrocampista)</t>
  </si>
  <si>
    <t>Turquia | Ozan Kabak (Defensa)</t>
  </si>
  <si>
    <t>Turquia | Ozan Tufan (Centrocampista)</t>
  </si>
  <si>
    <t>Turquia | Soyuncu (Defensa)</t>
  </si>
  <si>
    <t>Turquia | Tokoz (Centrocampista)</t>
  </si>
  <si>
    <t>Turquia | Ugurcan Cakir (Portero)</t>
  </si>
  <si>
    <t>Turquia | Umut Meras (Centrocampista)</t>
  </si>
  <si>
    <t>Turquia | Yazici (Centrocampista)</t>
  </si>
  <si>
    <t>Turquia | Yilmaz (Delantero)</t>
  </si>
  <si>
    <t>Turquia | Yılmaz (Centrocampista)</t>
  </si>
  <si>
    <t>Turquia | Zeki Celik (Centrocampista)</t>
  </si>
  <si>
    <t>Ucrania | Anatolii Trubin (Portero)</t>
  </si>
  <si>
    <t>Ucrania | Besedin (Delantero)</t>
  </si>
  <si>
    <t>Ucrania | Bezus (Centrocampista)</t>
  </si>
  <si>
    <t>Ucrania | Bushchan (Portero)</t>
  </si>
  <si>
    <t>Ucrania | Denys Popov (Defensa)</t>
  </si>
  <si>
    <t>Ucrania | Dovbyk (Delantero)</t>
  </si>
  <si>
    <t>Ucrania | E. Makarenko (Centrocampista)</t>
  </si>
  <si>
    <t>Ucrania | Illia Zabarnyi (Defensa)</t>
  </si>
  <si>
    <t>Ucrania | Karavaev (Centrocampista)</t>
  </si>
  <si>
    <t>Ucrania | Kryvtsov (Defensa)</t>
  </si>
  <si>
    <t>Ucrania | Malinovsky (Centrocampista)</t>
  </si>
  <si>
    <t>Ucrania | Marlos (Centrocampista)</t>
  </si>
  <si>
    <t>Ucrania | Matvyenko (Centrocampista)</t>
  </si>
  <si>
    <t>Ucrania | Mykolenko (Centrocampista)</t>
  </si>
  <si>
    <t>Ucrania | Pyatov (Portero)</t>
  </si>
  <si>
    <t>Ucrania | S. Sydorchuk (Centrocampista)</t>
  </si>
  <si>
    <t>Ucrania | Shaparenko (Centrocampista)</t>
  </si>
  <si>
    <t>Ucrania | Sobol (Centrocampista)</t>
  </si>
  <si>
    <t>Ucrania | Stepanenko (Centrocampista)</t>
  </si>
  <si>
    <t>Ucrania | Sudakov (Centrocampista)</t>
  </si>
  <si>
    <t>Ucrania | Tsygankov (Delantero)</t>
  </si>
  <si>
    <t>Ucrania | Tymchyk (Centrocampista)</t>
  </si>
  <si>
    <t>Ucrania | Yaremchuk (Delantero)</t>
  </si>
  <si>
    <t>Ucrania | Yarmolenko (Delantero)</t>
  </si>
  <si>
    <t>Ucrania | Zinchenko (Centrocampista)</t>
  </si>
  <si>
    <t>Ucrania | Zubkov (Centrocampista)</t>
  </si>
  <si>
    <t>Escribir el pais en idiomas</t>
  </si>
  <si>
    <t>País</t>
  </si>
  <si>
    <t>UTC</t>
  </si>
  <si>
    <t>en horas</t>
  </si>
  <si>
    <t>Organizador:</t>
  </si>
  <si>
    <t>Num</t>
  </si>
  <si>
    <t>UTC (Verano)</t>
  </si>
  <si>
    <t>UTC en horas</t>
  </si>
  <si>
    <t>Organizador</t>
  </si>
  <si>
    <t>Dif c/ org</t>
  </si>
  <si>
    <t>Dif  en horas</t>
  </si>
  <si>
    <t>+/-</t>
  </si>
  <si>
    <t>Paises</t>
  </si>
  <si>
    <t>Invierno</t>
  </si>
  <si>
    <t>GA</t>
  </si>
  <si>
    <t>https://www.zeitverschiebung.net/es/country/vn</t>
  </si>
  <si>
    <t>GB</t>
  </si>
  <si>
    <t>GD</t>
  </si>
  <si>
    <t>GE</t>
  </si>
  <si>
    <t>UTC -12</t>
  </si>
  <si>
    <t>UTC -11</t>
  </si>
  <si>
    <t>UTC -10</t>
  </si>
  <si>
    <t>UTC -9</t>
  </si>
  <si>
    <t>UTC -8</t>
  </si>
  <si>
    <t>UTC -7</t>
  </si>
  <si>
    <t>OCTAVOS</t>
  </si>
  <si>
    <t>UTC -6</t>
  </si>
  <si>
    <t>UTC -5</t>
  </si>
  <si>
    <t>UTC -4</t>
  </si>
  <si>
    <t>UTC -3:30</t>
  </si>
  <si>
    <t>UTC -3</t>
  </si>
  <si>
    <t>UTC -2</t>
  </si>
  <si>
    <t>UTC -1</t>
  </si>
  <si>
    <t>UTC +1</t>
  </si>
  <si>
    <t>UTC +2</t>
  </si>
  <si>
    <t>UTC +3</t>
  </si>
  <si>
    <t>CUARTOS</t>
  </si>
  <si>
    <t>UTC +3:30</t>
  </si>
  <si>
    <t>UTC +4</t>
  </si>
  <si>
    <t>UTC +4:30</t>
  </si>
  <si>
    <t>UTC +5</t>
  </si>
  <si>
    <t>UTC +5:30</t>
  </si>
  <si>
    <t>UTC +5:45</t>
  </si>
  <si>
    <t>SF</t>
  </si>
  <si>
    <t>UTC +6</t>
  </si>
  <si>
    <t>UTC +6:30</t>
  </si>
  <si>
    <t>UTC +7</t>
  </si>
  <si>
    <t>UTC +8</t>
  </si>
  <si>
    <t>UTC +9</t>
  </si>
  <si>
    <t>UTC +9:30</t>
  </si>
  <si>
    <t>UTC +10</t>
  </si>
  <si>
    <t>UTC +10:30</t>
  </si>
  <si>
    <t>UTC +11</t>
  </si>
  <si>
    <t>UTC +12</t>
  </si>
  <si>
    <t>UTC +12:45</t>
  </si>
  <si>
    <t>UTC +13</t>
  </si>
  <si>
    <t>UTC +14</t>
  </si>
  <si>
    <t>English</t>
  </si>
  <si>
    <t>HOJA</t>
  </si>
  <si>
    <t>Celda</t>
  </si>
  <si>
    <t>Inglés</t>
  </si>
  <si>
    <t>G4</t>
  </si>
  <si>
    <t>Introducir resultados</t>
  </si>
  <si>
    <t>Introduce Results</t>
  </si>
  <si>
    <t>L5</t>
  </si>
  <si>
    <t>Si quieres organizar una porra (quiniela) con tu grupo puedes descargar el archivo para administrarla desde el enlace de abajo</t>
  </si>
  <si>
    <t>If you want to organize a pool (betting game) with your group, you can download the file to manage it from the link below.</t>
  </si>
  <si>
    <t>F12</t>
  </si>
  <si>
    <t>Selecciona idioma: -&gt;</t>
  </si>
  <si>
    <t>Select languaje: -&gt;</t>
  </si>
  <si>
    <t>B7</t>
  </si>
  <si>
    <t>XVII Eurocopa Alemania 2024</t>
  </si>
  <si>
    <t>XVII Eurocup Germany 2024</t>
  </si>
  <si>
    <t>Video Instrucciones</t>
  </si>
  <si>
    <t>Video Instructions</t>
  </si>
  <si>
    <t>L11</t>
  </si>
  <si>
    <t>Descargar Excel Administrador Porra</t>
  </si>
  <si>
    <t>Download Adminstrator Excel File</t>
  </si>
  <si>
    <t>L12</t>
  </si>
  <si>
    <t>https://matejero.es/download/admin-excel-eurocopa-2024/?ref=esheet</t>
  </si>
  <si>
    <t>https://matejero.com/download/admin-excel-euro-2024/?ref=esheet</t>
  </si>
  <si>
    <t>EUROCOPA</t>
  </si>
  <si>
    <t>E1</t>
  </si>
  <si>
    <t>Selecciona Horario:</t>
  </si>
  <si>
    <t>Select timetable</t>
  </si>
  <si>
    <t>I1</t>
  </si>
  <si>
    <t>Rellenar los cuadros grises</t>
  </si>
  <si>
    <t>Fill in the grey cells</t>
  </si>
  <si>
    <t>F3</t>
  </si>
  <si>
    <t>Fecha</t>
  </si>
  <si>
    <t>Date</t>
  </si>
  <si>
    <t>G3</t>
  </si>
  <si>
    <t>Hora</t>
  </si>
  <si>
    <t>Hour</t>
  </si>
  <si>
    <t>H3</t>
  </si>
  <si>
    <t>Jor.</t>
  </si>
  <si>
    <t>R</t>
  </si>
  <si>
    <t>I3</t>
  </si>
  <si>
    <t>Casa</t>
  </si>
  <si>
    <t>Home</t>
  </si>
  <si>
    <t>K3</t>
  </si>
  <si>
    <t>Gol</t>
  </si>
  <si>
    <t>Goal</t>
  </si>
  <si>
    <t>N3</t>
  </si>
  <si>
    <t>Fuera</t>
  </si>
  <si>
    <t>Away</t>
  </si>
  <si>
    <t>Q3</t>
  </si>
  <si>
    <t>Grupo</t>
  </si>
  <si>
    <t>Group</t>
  </si>
  <si>
    <t>AB3</t>
  </si>
  <si>
    <t>¡EMPATE! Puedes seleccionar el orden de los empatados.</t>
  </si>
  <si>
    <t>IT'S A DRAW! Choose the order of the Nations to determine their rankings.</t>
  </si>
  <si>
    <t>P52</t>
  </si>
  <si>
    <t>¡EMPATE! Puedes seleccionar el orden de los empatados entre los terceros.</t>
  </si>
  <si>
    <t>E53</t>
  </si>
  <si>
    <t>Mejores terceros</t>
  </si>
  <si>
    <t>Best third-placed</t>
  </si>
  <si>
    <t>E63</t>
  </si>
  <si>
    <t>Octavos de final</t>
  </si>
  <si>
    <t>Round of 16</t>
  </si>
  <si>
    <t>E74</t>
  </si>
  <si>
    <t>Cuartos de final</t>
  </si>
  <si>
    <t>Quarterfinals</t>
  </si>
  <si>
    <t>E80</t>
  </si>
  <si>
    <t>Semifinales</t>
  </si>
  <si>
    <t>Semifinals</t>
  </si>
  <si>
    <t>E84</t>
  </si>
  <si>
    <t>Final</t>
  </si>
  <si>
    <t>I88</t>
  </si>
  <si>
    <t>CUADRO DE HONOR</t>
  </si>
  <si>
    <t>HONOR BOX</t>
  </si>
  <si>
    <t>E89</t>
  </si>
  <si>
    <t>Campeón</t>
  </si>
  <si>
    <t>Winner</t>
  </si>
  <si>
    <t>E90</t>
  </si>
  <si>
    <t>Subcampeón</t>
  </si>
  <si>
    <t>Runner-up</t>
  </si>
  <si>
    <t>E93</t>
  </si>
  <si>
    <t>Goleador del torneo</t>
  </si>
  <si>
    <t>Top Scorer</t>
  </si>
  <si>
    <t>E94</t>
  </si>
  <si>
    <t>Mejor jugador del torneo</t>
  </si>
  <si>
    <t>Best Tournament player</t>
  </si>
  <si>
    <t>I93</t>
  </si>
  <si>
    <t>Escribe un jugador</t>
  </si>
  <si>
    <t>Write a player</t>
  </si>
  <si>
    <t>I94</t>
  </si>
  <si>
    <t>E97</t>
  </si>
  <si>
    <t>TU NOMBRE</t>
  </si>
  <si>
    <t>YOUR NAME</t>
  </si>
  <si>
    <t>I97</t>
  </si>
  <si>
    <t>ESCRIBE TU NOMBRE</t>
  </si>
  <si>
    <t>WRITE YOUR NAME</t>
  </si>
  <si>
    <t>R86</t>
  </si>
  <si>
    <t>PORRA INCOMPLETA:</t>
  </si>
  <si>
    <t>INCOMPLETE POOL:</t>
  </si>
  <si>
    <t>S86</t>
  </si>
  <si>
    <t>Aún falta alguna apuesta</t>
  </si>
  <si>
    <t>You may have left over some match-ups without prediction or you may have not written your name</t>
  </si>
  <si>
    <t>R87</t>
  </si>
  <si>
    <t>PORRA COMPLETA:</t>
  </si>
  <si>
    <t>POOL COMPLETED</t>
  </si>
  <si>
    <t>S87</t>
  </si>
  <si>
    <t>Guarda el archivo y envíaselo al administrador de tu porra</t>
  </si>
  <si>
    <t>Save the file and send it to your administrator</t>
  </si>
  <si>
    <t>Q5</t>
  </si>
  <si>
    <t>R5</t>
  </si>
  <si>
    <t>Selección</t>
  </si>
  <si>
    <t>Nation</t>
  </si>
  <si>
    <t>S5</t>
  </si>
  <si>
    <t>Pts</t>
  </si>
  <si>
    <t>T5</t>
  </si>
  <si>
    <t>U5</t>
  </si>
  <si>
    <t>W</t>
  </si>
  <si>
    <t>V5</t>
  </si>
  <si>
    <t>W5</t>
  </si>
  <si>
    <t>L</t>
  </si>
  <si>
    <t>X5</t>
  </si>
  <si>
    <t>Y5</t>
  </si>
  <si>
    <t>Z5</t>
  </si>
  <si>
    <t>DG</t>
  </si>
  <si>
    <t>J1</t>
  </si>
  <si>
    <t>R1</t>
  </si>
  <si>
    <t>J2</t>
  </si>
  <si>
    <t>R2</t>
  </si>
  <si>
    <t>J3</t>
  </si>
  <si>
    <t>R3</t>
  </si>
  <si>
    <t>OTROS ARCHIVOS (2024-2025)</t>
  </si>
  <si>
    <t>OTHER FILES AVAILABLE (2024-2025)</t>
  </si>
  <si>
    <t>Estamos trabajando en ello pero todavía no conocemos las normas de la competición</t>
  </si>
  <si>
    <t>We are working on it but we don't know yet the rules of the competition.</t>
  </si>
  <si>
    <t>Probablemente hagamos un archivo más adelante</t>
  </si>
  <si>
    <t>We will probably make a file for next year.</t>
  </si>
  <si>
    <t>Creditos</t>
  </si>
  <si>
    <t>B3</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</si>
  <si>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</si>
  <si>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This file is available without guarantee. The author is not responsible for the damage, inaccuracy of the data or losses of any kind caused by the use or misuse of the file. The use of this file will be the responsibility of the user. File passwords will not be provided (and we don't answer to requests for them). The file doesn't contain macros. It's recommended to scan the downloaded file with a reputable antivirus. The file should not be edited except in the places established for it (enter the results, the name). The formulas, protection and structure must not be modified. The file cannot be resold to third parties and is for the exclusive use of the user.</t>
  </si>
  <si>
    <t>B14</t>
  </si>
  <si>
    <t>Autor:</t>
  </si>
  <si>
    <t>Author:</t>
  </si>
  <si>
    <t>B15</t>
  </si>
  <si>
    <t>Útima versión</t>
  </si>
  <si>
    <t>Last version:</t>
  </si>
  <si>
    <t>B2</t>
  </si>
  <si>
    <t>Limitación de responsabilidad:</t>
  </si>
  <si>
    <t>Disclaimer:</t>
  </si>
  <si>
    <t>Pool</t>
  </si>
  <si>
    <t>C1</t>
  </si>
  <si>
    <t>Para el administrador de la porra</t>
  </si>
  <si>
    <t>For the administrator of the pool</t>
  </si>
  <si>
    <t>PARTICIPANTE</t>
  </si>
  <si>
    <t>PLAYER</t>
  </si>
  <si>
    <t>Nombre</t>
  </si>
  <si>
    <t>Name</t>
  </si>
  <si>
    <t>C4</t>
  </si>
  <si>
    <t>¡No tocar nada, se rellena solo!</t>
  </si>
  <si>
    <t>PLAYER: DO NOT TOUCH, IT'S AUTOMATIC!</t>
  </si>
  <si>
    <t>EL ADMINISTRADOR DE LA PORRA SEGUIRÁ LAS INSTRUCCIONES DE AQUÍ ABAJO</t>
  </si>
  <si>
    <t xml:space="preserve">THE POOL ADMINISTRATOR SHOULD FOLLOW THE INSTRUCTIONS BELOW				</t>
  </si>
  <si>
    <t>E3</t>
  </si>
  <si>
    <t>·Si haceis toda la Eurocopa de golpe copiar de la C6 a la 134 y pegar valores en la plantilla de Administrador.</t>
  </si>
  <si>
    <t xml:space="preserve">·If you play the whole tournament at once de golpe select from C6 to C134 and paste in the Administrator template.			</t>
  </si>
  <si>
    <t>E4</t>
  </si>
  <si>
    <t>·Si haceis toda la fase de grupos de golpe y las eliminatorias aparte, copiar primero de la C6 a la C85 y pegar valores en la plantilla de Administrador. Y también copiar y pegar valores de la C133 a la C134. En octavos seguir las instrucciones de abajo.</t>
  </si>
  <si>
    <t>·If you play the whole Group Stage at the begining and later the KO rounds select from C6 to C85 and paste in the Administrator template. Also copy and paste values form C133 to C134. For the round of 16 follow the instructions.</t>
  </si>
  <si>
    <t>E5</t>
  </si>
  <si>
    <t>·Si haceis jornada a jornada seguir las instrucciones de cada jornada</t>
  </si>
  <si>
    <t>·If you play by Rounds, follow de instuctions of every round.</t>
  </si>
  <si>
    <t>E6</t>
  </si>
  <si>
    <t>·Para la primera jornada selecciona de la C6 a la C17 y pega valores en la plantilla de administrador. ¡OJO! COPIAR TAMBIÉN de la C133 a la C135.</t>
  </si>
  <si>
    <t>·For the 1st Round select from C6 to C17 an paste as values in the Administrator Pool. CAUTION. Also copy and paste values form C133 to C135.</t>
  </si>
  <si>
    <t>E18</t>
  </si>
  <si>
    <t>·Para la segunda jornada selecciona de la C18 a la C29 y pega valores en la plantilla de administrador.</t>
  </si>
  <si>
    <t>·For the 2nd Round select from C18 to C29 an paste as values in the Administrator Pool.</t>
  </si>
  <si>
    <t>E30</t>
  </si>
  <si>
    <t>·Para la tercera jornada selecciona de la C30 a la C85 y pega valores en la plantilla de administrador.</t>
  </si>
  <si>
    <t>·For the 3rd Round select from C30 to C85 an paste as values in the Administrator Pool.</t>
  </si>
  <si>
    <t>E86</t>
  </si>
  <si>
    <t>·Si haceis todas las eliminatorias de golpe, copiar de la C88 a la C132 y pegar valores en la plantilla de Administrador.</t>
  </si>
  <si>
    <t>·If you play the KO rounds at once select from C88 to C132 and paste in the Administrator template.</t>
  </si>
  <si>
    <t>E87</t>
  </si>
  <si>
    <t>·Si haceis eliminatoria a eliminatoria seguir las instrucciones de cada eliminatoria.</t>
  </si>
  <si>
    <t>·If you play de KO phase, round by round, follow the instructions of every KO round.</t>
  </si>
  <si>
    <t>E88</t>
  </si>
  <si>
    <t>·Para los octavos selecciona de la C88 a la C105 y pega valores en la plantilla de administrador.</t>
  </si>
  <si>
    <t>·For de round of 16 matches, copy from C88 to C105 and paste in the administrator template in "Paste Values Round of 16"</t>
  </si>
  <si>
    <t>E108</t>
  </si>
  <si>
    <t>·Para los cuartos selecciona de la C108 a la C117 y pega valores en la plantilla de administrador.</t>
  </si>
  <si>
    <t>·For the round of Quarter-Finals matches, copy from C108 to C117 and paste in the administrator template in "Paste Values Quarterfinals"</t>
  </si>
  <si>
    <t>E120</t>
  </si>
  <si>
    <t>·Para las semifinales selecciona de la C120 a la C125 y pega valores en la plantilla de administrador.</t>
  </si>
  <si>
    <t>·For the round of Semi-Finals matches, copy from C120 to C125 and paste in the administrator template in "Paste Values Semifinals"</t>
  </si>
  <si>
    <t>E128</t>
  </si>
  <si>
    <t>·Para la final selecciona de la C128 a la C132 y pega valores en la plantilla de administrador.</t>
  </si>
  <si>
    <t>·For the Final match, copy from C128 to C132 and paste in the administrator template in "Paste Values Final"</t>
  </si>
  <si>
    <t>E133</t>
  </si>
  <si>
    <t>·Al inicio de la competición si se hace por fases copiar de la C132 a la C134 y pegarla al final del jugador en el archivo de administrador.</t>
  </si>
  <si>
    <t>·At the beginning of the competition, if it is done in phases, copy from C132 to C134 and paste it at the end of the player in the administrator file.</t>
  </si>
  <si>
    <t>D6</t>
  </si>
  <si>
    <t>D18</t>
  </si>
  <si>
    <t>D30</t>
  </si>
  <si>
    <t>B5</t>
  </si>
  <si>
    <t>FASE DE GRUPOS</t>
  </si>
  <si>
    <t>GROUP STAGE</t>
  </si>
  <si>
    <t>B43</t>
  </si>
  <si>
    <t>POSICIÓN GRUPOS</t>
  </si>
  <si>
    <t>GROUP POSITION</t>
  </si>
  <si>
    <t>B69</t>
  </si>
  <si>
    <t>CLASIFICADOS PARA OCTAVOS</t>
  </si>
  <si>
    <t>QUALIFIED FOR ROUND OF 16</t>
  </si>
  <si>
    <t>B87</t>
  </si>
  <si>
    <t>ENFRENTAMIENTOS OCTAVOS</t>
  </si>
  <si>
    <t>ROUND OF 16</t>
  </si>
  <si>
    <t>B97</t>
  </si>
  <si>
    <t>CLASIFICADOS PARA CUARTOS</t>
  </si>
  <si>
    <t>QUARTER-FINALISTS</t>
  </si>
  <si>
    <t>B107</t>
  </si>
  <si>
    <t>ENFRENTAMIENTOS CUARTOS</t>
  </si>
  <si>
    <t>QUARTERFINALS</t>
  </si>
  <si>
    <t>B113</t>
  </si>
  <si>
    <t>CLASIFICADOS PARA SEMIFINALES</t>
  </si>
  <si>
    <t>QUALIFIED FOR SEMIFINALS</t>
  </si>
  <si>
    <t>B119</t>
  </si>
  <si>
    <t>ENFRENTAMIENTOS SEMIFINALES</t>
  </si>
  <si>
    <t>SEMIFINALS</t>
  </si>
  <si>
    <t>B123</t>
  </si>
  <si>
    <t>CLASIFICADOS PARA LA FINAL</t>
  </si>
  <si>
    <t>QUALIFIED FOR THE FINAL</t>
  </si>
  <si>
    <t>B127</t>
  </si>
  <si>
    <t>ENFRENTAMIENTO FINAL</t>
  </si>
  <si>
    <t>FINAL</t>
  </si>
  <si>
    <t>B130</t>
  </si>
  <si>
    <t>B44</t>
  </si>
  <si>
    <t>1º GRUPO A</t>
  </si>
  <si>
    <t>1st GROUP A</t>
  </si>
  <si>
    <t>B45</t>
  </si>
  <si>
    <t>2º GRUPO A</t>
  </si>
  <si>
    <t>2nd GROUP A</t>
  </si>
  <si>
    <t>B46</t>
  </si>
  <si>
    <t>3º GRUPO A</t>
  </si>
  <si>
    <t>3rd GROUP A</t>
  </si>
  <si>
    <t>B47</t>
  </si>
  <si>
    <t>4º GRUPO A</t>
  </si>
  <si>
    <t>4th GROUP A</t>
  </si>
  <si>
    <t>B48</t>
  </si>
  <si>
    <t>1º GRUPO B</t>
  </si>
  <si>
    <t>1st GROUP B</t>
  </si>
  <si>
    <t>B49</t>
  </si>
  <si>
    <t>2º GRUPO B</t>
  </si>
  <si>
    <t>2nd GROUP B</t>
  </si>
  <si>
    <t>B50</t>
  </si>
  <si>
    <t>3º GRUPO B</t>
  </si>
  <si>
    <t>3rd GROUP B</t>
  </si>
  <si>
    <t>B51</t>
  </si>
  <si>
    <t>4º GRUPO B</t>
  </si>
  <si>
    <t>4th GROUP B</t>
  </si>
  <si>
    <t>B52</t>
  </si>
  <si>
    <t>1º GRUPO C</t>
  </si>
  <si>
    <t>1st GROUP C</t>
  </si>
  <si>
    <t>B53</t>
  </si>
  <si>
    <t>2º GRUPO C</t>
  </si>
  <si>
    <t>2nd GROUP C</t>
  </si>
  <si>
    <t>B54</t>
  </si>
  <si>
    <t>3º GRUPO C</t>
  </si>
  <si>
    <t>3rd GROUP C</t>
  </si>
  <si>
    <t>B55</t>
  </si>
  <si>
    <t>4º GRUPO C</t>
  </si>
  <si>
    <t>4th GROUP C</t>
  </si>
  <si>
    <t>B56</t>
  </si>
  <si>
    <t>1º GRUPO D</t>
  </si>
  <si>
    <t>1st GROUP D</t>
  </si>
  <si>
    <t>B57</t>
  </si>
  <si>
    <t>2º GRUPO D</t>
  </si>
  <si>
    <t>2nd GROUP D</t>
  </si>
  <si>
    <t>B58</t>
  </si>
  <si>
    <t>3º GRUPO D</t>
  </si>
  <si>
    <t>3rd GROUP D</t>
  </si>
  <si>
    <t>B59</t>
  </si>
  <si>
    <t>4º GRUPO D</t>
  </si>
  <si>
    <t>4th GROUP D</t>
  </si>
  <si>
    <t>B60</t>
  </si>
  <si>
    <t>1º GRUPO E</t>
  </si>
  <si>
    <t>1st GROUP E</t>
  </si>
  <si>
    <t>B61</t>
  </si>
  <si>
    <t>2º GRUPO E</t>
  </si>
  <si>
    <t>2nd GROUP E</t>
  </si>
  <si>
    <t>B62</t>
  </si>
  <si>
    <t>3º GRUPO E</t>
  </si>
  <si>
    <t>3rd GROUP E</t>
  </si>
  <si>
    <t>B63</t>
  </si>
  <si>
    <t>4º GRUPO E</t>
  </si>
  <si>
    <t>4th GROUP E</t>
  </si>
  <si>
    <t>B64</t>
  </si>
  <si>
    <t>1º GRUPO F</t>
  </si>
  <si>
    <t>1st GROUP F</t>
  </si>
  <si>
    <t>B65</t>
  </si>
  <si>
    <t>2º GRUPO F</t>
  </si>
  <si>
    <t>2nd GROUP F</t>
  </si>
  <si>
    <t>B66</t>
  </si>
  <si>
    <t>3º GRUPO F</t>
  </si>
  <si>
    <t>3rd GROUP F</t>
  </si>
  <si>
    <t>B67</t>
  </si>
  <si>
    <t>4º GRUPO F</t>
  </si>
  <si>
    <t>4th GROUP F</t>
  </si>
  <si>
    <t>B70</t>
  </si>
  <si>
    <t>Octavofinalista</t>
  </si>
  <si>
    <t>8-Finalist</t>
  </si>
  <si>
    <t>B98</t>
  </si>
  <si>
    <t>Cuartofinalista</t>
  </si>
  <si>
    <t>Quarterfinalist</t>
  </si>
  <si>
    <t>B114</t>
  </si>
  <si>
    <t>Semifinalista</t>
  </si>
  <si>
    <t>Semifinalist</t>
  </si>
  <si>
    <t>B124</t>
  </si>
  <si>
    <t>Finalista</t>
  </si>
  <si>
    <t>Finalist</t>
  </si>
  <si>
    <t>Equipos</t>
  </si>
  <si>
    <t>K2</t>
  </si>
  <si>
    <t>Albania</t>
  </si>
  <si>
    <t>Alemania</t>
  </si>
  <si>
    <t>Germany</t>
  </si>
  <si>
    <t>K4</t>
  </si>
  <si>
    <t>Andorra</t>
  </si>
  <si>
    <t>K5</t>
  </si>
  <si>
    <t>Armenia</t>
  </si>
  <si>
    <t>K6</t>
  </si>
  <si>
    <t>Austria</t>
  </si>
  <si>
    <t>K7</t>
  </si>
  <si>
    <t>Azerbaiyán</t>
  </si>
  <si>
    <t>Azerbaijan</t>
  </si>
  <si>
    <t>K8</t>
  </si>
  <si>
    <t>Bélgica</t>
  </si>
  <si>
    <t>Belgium</t>
  </si>
  <si>
    <t>K9</t>
  </si>
  <si>
    <t>Bielorrusia</t>
  </si>
  <si>
    <t>Belarus</t>
  </si>
  <si>
    <t>K10</t>
  </si>
  <si>
    <t>Bosnia y Herzegovina</t>
  </si>
  <si>
    <t>Bosnia and Herzegovina</t>
  </si>
  <si>
    <t>K11</t>
  </si>
  <si>
    <t>Bulgaria</t>
  </si>
  <si>
    <t>Bulgary</t>
  </si>
  <si>
    <t>K12</t>
  </si>
  <si>
    <t>Chipre</t>
  </si>
  <si>
    <t>Cyprus</t>
  </si>
  <si>
    <t>K13</t>
  </si>
  <si>
    <t>Croacia</t>
  </si>
  <si>
    <t>Croatia</t>
  </si>
  <si>
    <t>K14</t>
  </si>
  <si>
    <t>Dinamarca</t>
  </si>
  <si>
    <t>Denmark</t>
  </si>
  <si>
    <t>K15</t>
  </si>
  <si>
    <t>Escocia</t>
  </si>
  <si>
    <t>Scotland</t>
  </si>
  <si>
    <t>K16</t>
  </si>
  <si>
    <t>Eslovaquia</t>
  </si>
  <si>
    <t>Slovakia</t>
  </si>
  <si>
    <t>K17</t>
  </si>
  <si>
    <t>Eslovenia</t>
  </si>
  <si>
    <t>Slovenia</t>
  </si>
  <si>
    <t>K18</t>
  </si>
  <si>
    <t>Spain</t>
  </si>
  <si>
    <t>K19</t>
  </si>
  <si>
    <t>Estonia</t>
  </si>
  <si>
    <t>K20</t>
  </si>
  <si>
    <t>Finlandia</t>
  </si>
  <si>
    <t>Finland</t>
  </si>
  <si>
    <t>K21</t>
  </si>
  <si>
    <t>Francia</t>
  </si>
  <si>
    <t>France</t>
  </si>
  <si>
    <t>K22</t>
  </si>
  <si>
    <t>Gales</t>
  </si>
  <si>
    <t>Wales</t>
  </si>
  <si>
    <t>K23</t>
  </si>
  <si>
    <t>Georgia</t>
  </si>
  <si>
    <t>K24</t>
  </si>
  <si>
    <t>Gibraltar</t>
  </si>
  <si>
    <t>K25</t>
  </si>
  <si>
    <t>Grecia</t>
  </si>
  <si>
    <t>Greece</t>
  </si>
  <si>
    <t>K26</t>
  </si>
  <si>
    <t>Hungría</t>
  </si>
  <si>
    <t>Hungary</t>
  </si>
  <si>
    <t>K27</t>
  </si>
  <si>
    <t>Inglaterra</t>
  </si>
  <si>
    <t>England</t>
  </si>
  <si>
    <t>K28</t>
  </si>
  <si>
    <t>Irlanda</t>
  </si>
  <si>
    <t>Ireland</t>
  </si>
  <si>
    <t>K29</t>
  </si>
  <si>
    <t>Irlanda del Norte</t>
  </si>
  <si>
    <t>Northern Ireland</t>
  </si>
  <si>
    <t>K30</t>
  </si>
  <si>
    <t>Islandia</t>
  </si>
  <si>
    <t>Iceland</t>
  </si>
  <si>
    <t>K31</t>
  </si>
  <si>
    <t>Islas Feroe</t>
  </si>
  <si>
    <t>Faroe Islands</t>
  </si>
  <si>
    <t>K32</t>
  </si>
  <si>
    <t>Israel</t>
  </si>
  <si>
    <t>K33</t>
  </si>
  <si>
    <t>Italia</t>
  </si>
  <si>
    <t>Italy</t>
  </si>
  <si>
    <t>K34</t>
  </si>
  <si>
    <t>Kazajistán</t>
  </si>
  <si>
    <t>Kazakhstan</t>
  </si>
  <si>
    <t>K35</t>
  </si>
  <si>
    <t>Kosovo</t>
  </si>
  <si>
    <t>K36</t>
  </si>
  <si>
    <t>Letonia</t>
  </si>
  <si>
    <t>Latvia</t>
  </si>
  <si>
    <t>K37</t>
  </si>
  <si>
    <t>Liechtenstein</t>
  </si>
  <si>
    <t>K38</t>
  </si>
  <si>
    <t>Lituania</t>
  </si>
  <si>
    <t>Lithuania</t>
  </si>
  <si>
    <t>K39</t>
  </si>
  <si>
    <t>Luxemburgo</t>
  </si>
  <si>
    <t>Luxembourg</t>
  </si>
  <si>
    <t>K40</t>
  </si>
  <si>
    <t>Macedonia del Norte</t>
  </si>
  <si>
    <t>North Macedonia</t>
  </si>
  <si>
    <t>K41</t>
  </si>
  <si>
    <t>Malta</t>
  </si>
  <si>
    <t>K42</t>
  </si>
  <si>
    <t>Moldavia</t>
  </si>
  <si>
    <t>Moldova</t>
  </si>
  <si>
    <t>K43</t>
  </si>
  <si>
    <t>Montenegro</t>
  </si>
  <si>
    <t>K44</t>
  </si>
  <si>
    <t>Noruega</t>
  </si>
  <si>
    <t>Norway</t>
  </si>
  <si>
    <t>K45</t>
  </si>
  <si>
    <t>Países Bajos</t>
  </si>
  <si>
    <t>Netherlands</t>
  </si>
  <si>
    <t>K46</t>
  </si>
  <si>
    <t>Polonia</t>
  </si>
  <si>
    <t>Poland</t>
  </si>
  <si>
    <t>K47</t>
  </si>
  <si>
    <t>Portugal</t>
  </si>
  <si>
    <t>K48</t>
  </si>
  <si>
    <t>República Checa</t>
  </si>
  <si>
    <t>Czech Republic</t>
  </si>
  <si>
    <t>K49</t>
  </si>
  <si>
    <t>Rumanía</t>
  </si>
  <si>
    <t>Romania</t>
  </si>
  <si>
    <t>K50</t>
  </si>
  <si>
    <t>Rusia</t>
  </si>
  <si>
    <t>Russia</t>
  </si>
  <si>
    <t>K51</t>
  </si>
  <si>
    <t>San Marino</t>
  </si>
  <si>
    <t>K52</t>
  </si>
  <si>
    <t>Serbia</t>
  </si>
  <si>
    <t>K53</t>
  </si>
  <si>
    <t>Suecia</t>
  </si>
  <si>
    <t>Sweden</t>
  </si>
  <si>
    <t>K54</t>
  </si>
  <si>
    <t>Suiza</t>
  </si>
  <si>
    <t>Switzerland</t>
  </si>
  <si>
    <t>K55</t>
  </si>
  <si>
    <t>Turquía</t>
  </si>
  <si>
    <t>Turkey</t>
  </si>
  <si>
    <t>Playoff A</t>
  </si>
  <si>
    <t>Playoff B</t>
  </si>
  <si>
    <t>Playoff C</t>
  </si>
  <si>
    <t>K56</t>
  </si>
  <si>
    <t>Ucrania</t>
  </si>
  <si>
    <t>Ukraine</t>
  </si>
  <si>
    <t>Horarios</t>
  </si>
  <si>
    <t>W2</t>
  </si>
  <si>
    <t>ENVIO</t>
  </si>
  <si>
    <t xml:space="preserve">Te envío el Excel de la Eurocopa 2024 para descargarlo. </t>
  </si>
  <si>
    <t xml:space="preserve">I'm sending the Eurocup 2024 Excel Schedule for you to download. </t>
  </si>
  <si>
    <t>https://matejero.es/download/excel-euro-2024/?ref=share</t>
  </si>
  <si>
    <t>https://matejero.com/download/excel-euro-2024/?ref=share</t>
  </si>
  <si>
    <t>Compartir:</t>
  </si>
  <si>
    <t>Share:</t>
  </si>
  <si>
    <t>Me acabo de descargar el Excel de la Eurocopa 2024</t>
  </si>
  <si>
    <t>I just downloaded Euro 2024 Excel schedule!</t>
  </si>
  <si>
    <t>A1</t>
  </si>
  <si>
    <t>B1</t>
  </si>
  <si>
    <t>D1</t>
  </si>
  <si>
    <t>F1</t>
  </si>
  <si>
    <t>A2</t>
  </si>
  <si>
    <t>C2</t>
  </si>
  <si>
    <t>D2</t>
  </si>
  <si>
    <t>E2</t>
  </si>
  <si>
    <t>F2</t>
  </si>
  <si>
    <t>A3</t>
  </si>
  <si>
    <t>C3</t>
  </si>
  <si>
    <t>D3</t>
  </si>
  <si>
    <t>1º</t>
  </si>
  <si>
    <t>2º</t>
  </si>
  <si>
    <t>OK</t>
  </si>
  <si>
    <t>GRUPOS</t>
  </si>
  <si>
    <t>banderas</t>
  </si>
  <si>
    <t>🇦🇱</t>
  </si>
  <si>
    <t>🇩🇪</t>
  </si>
  <si>
    <t>🇦🇩</t>
  </si>
  <si>
    <t>🇦🇲</t>
  </si>
  <si>
    <t>🇦🇹</t>
  </si>
  <si>
    <t>🇦🇿</t>
  </si>
  <si>
    <t>🇧🇪</t>
  </si>
  <si>
    <t>🇧🇾</t>
  </si>
  <si>
    <t>🇧🇦</t>
  </si>
  <si>
    <t>🇧🇬</t>
  </si>
  <si>
    <t>🇨🇾</t>
  </si>
  <si>
    <t>🇭🇷</t>
  </si>
  <si>
    <t>🇩🇰</t>
  </si>
  <si>
    <t>🏴󠁧󠁢󠁳󠁣󠁴󠁿</t>
  </si>
  <si>
    <t>🇸🇰</t>
  </si>
  <si>
    <t>🇸🇮</t>
  </si>
  <si>
    <t>🇪🇸</t>
  </si>
  <si>
    <t>🇪🇪</t>
  </si>
  <si>
    <t>🇫🇮</t>
  </si>
  <si>
    <t>🇫🇷</t>
  </si>
  <si>
    <t>🏴󠁧󠁢󠁷󠁬󠁳󠁿</t>
  </si>
  <si>
    <t>🇬🇪</t>
  </si>
  <si>
    <t>🇬🇮</t>
  </si>
  <si>
    <t>🇬🇷</t>
  </si>
  <si>
    <t>🇭🇺</t>
  </si>
  <si>
    <t>🏴󠁧󠁢󠁥󠁮󠁧󠁿</t>
  </si>
  <si>
    <t>🇮🇪</t>
  </si>
  <si>
    <t>3A</t>
  </si>
  <si>
    <t>3B</t>
  </si>
  <si>
    <t>🇮🇸</t>
  </si>
  <si>
    <t>3C</t>
  </si>
  <si>
    <t>🇫🇴</t>
  </si>
  <si>
    <t>3D</t>
  </si>
  <si>
    <t>🇮🇱</t>
  </si>
  <si>
    <t>3E</t>
  </si>
  <si>
    <t>🇮🇹</t>
  </si>
  <si>
    <t>3F</t>
  </si>
  <si>
    <t>🇰🇿</t>
  </si>
  <si>
    <t>🇽🇰</t>
  </si>
  <si>
    <t>🇱🇻</t>
  </si>
  <si>
    <t>🇱🇮</t>
  </si>
  <si>
    <t>🇱🇹</t>
  </si>
  <si>
    <t>🇱🇺</t>
  </si>
  <si>
    <t>🇲🇰</t>
  </si>
  <si>
    <t>🇲🇹</t>
  </si>
  <si>
    <t>🇲🇩</t>
  </si>
  <si>
    <t>🇲🇪</t>
  </si>
  <si>
    <t>🇳🇴</t>
  </si>
  <si>
    <t>🇳🇱</t>
  </si>
  <si>
    <t>🇵🇱</t>
  </si>
  <si>
    <t>🇵🇹</t>
  </si>
  <si>
    <t>🇨🇿</t>
  </si>
  <si>
    <t>🇷🇴</t>
  </si>
  <si>
    <t>🇷🇺</t>
  </si>
  <si>
    <t>🇸🇲</t>
  </si>
  <si>
    <t>🇷🇸</t>
  </si>
  <si>
    <t>🇸🇪</t>
  </si>
  <si>
    <t>🇨🇭</t>
  </si>
  <si>
    <t>🇹🇷</t>
  </si>
  <si>
    <t>🇺🇦</t>
  </si>
  <si>
    <t>Jose Antonio Blasco Saz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</si>
</sst>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quot;&quot;;"/>
  </numFmts>
  <fonts count="55"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b/>
      <sz val="20"/>
      <color theme="0"/>
      <name val="Calibri"/>
      <family val="2"/>
      <scheme val="minor"/>
    </font>
    <font>
      <b/>
      <sz val="16"/>
      <color theme="0"/>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4"/>
      <color theme="1"/>
      <name val="Calibri"/>
      <family val="2"/>
      <scheme val="minor"/>
    </font>
    <font>
      <u/>
      <sz val="11"/>
      <color theme="1"/>
      <name val="Calibri"/>
      <family val="2"/>
      <scheme val="minor"/>
    </font>
    <font>
      <b/>
      <sz val="11"/>
      <color rgb="FF0056A4"/>
      <name val="Calibri"/>
      <family val="2"/>
      <scheme val="minor"/>
    </font>
    <font>
      <sz val="11"/>
      <color rgb="FF0056A4"/>
      <name val="Calibri"/>
      <family val="2"/>
      <scheme val="minor"/>
    </font>
    <font>
      <b/>
      <sz val="15"/>
      <color theme="1"/>
      <name val="Calibri"/>
      <family val="2"/>
      <scheme val="minor"/>
    </font>
    <font>
      <b/>
      <sz val="15"/>
      <color theme="0"/>
      <name val="Calibri"/>
      <family val="2"/>
      <scheme val="minor"/>
    </font>
    <font>
      <sz val="11"/>
      <color theme="0" tint="-0.14999847407452621"/>
      <name val="Calibri"/>
      <family val="2"/>
      <scheme val="minor"/>
    </font>
    <font>
      <sz val="16"/>
      <color theme="0"/>
      <name val="Calibri"/>
      <family val="2"/>
      <scheme val="minor"/>
    </font>
    <font>
      <b/>
      <sz val="16"/>
      <color theme="1"/>
      <name val="Calibri"/>
      <family val="2"/>
      <scheme val="minor"/>
    </font>
    <font>
      <u/>
      <sz val="11"/>
      <color theme="0"/>
      <name val="Calibri"/>
      <family val="2"/>
      <scheme val="minor"/>
    </font>
    <font>
      <sz val="12"/>
      <color theme="0"/>
      <name val="Arial"/>
      <family val="2"/>
    </font>
  </fonts>
  <fills count="4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C9C9C9"/>
        <bgColor indexed="64"/>
      </patternFill>
    </fill>
    <fill>
      <patternFill patternType="solid">
        <fgColor rgb="FF4373AF"/>
        <bgColor indexed="64"/>
      </patternFill>
    </fill>
    <fill>
      <patternFill patternType="solid">
        <fgColor rgb="FFFFFF00"/>
        <bgColor indexed="64"/>
      </patternFill>
    </fill>
    <fill>
      <patternFill patternType="solid">
        <fgColor theme="5" tint="-0.249977111117893"/>
        <bgColor indexed="64"/>
      </patternFill>
    </fill>
    <fill>
      <patternFill patternType="solid">
        <fgColor rgb="FFFFC7CE"/>
        <bgColor indexed="64"/>
      </patternFill>
    </fill>
    <fill>
      <patternFill patternType="solid">
        <fgColor rgb="FFFEE9DA"/>
        <bgColor indexed="64"/>
      </patternFill>
    </fill>
    <fill>
      <patternFill patternType="solid">
        <fgColor rgb="FFDBEEF3"/>
        <bgColor indexed="64"/>
      </patternFill>
    </fill>
    <fill>
      <patternFill patternType="solid">
        <fgColor rgb="FFEBF2DF"/>
        <bgColor indexed="64"/>
      </patternFill>
    </fill>
    <fill>
      <patternFill patternType="solid">
        <fgColor rgb="FFE4E4E4"/>
        <bgColor indexed="64"/>
      </patternFill>
    </fill>
    <fill>
      <patternFill patternType="solid">
        <fgColor rgb="FFFFC000"/>
        <bgColor indexed="64"/>
      </patternFill>
    </fill>
  </fills>
  <borders count="306">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top/>
      <bottom style="medium">
        <color rgb="FF01A439"/>
      </bottom>
      <diagonal/>
    </border>
    <border>
      <left/>
      <right style="medium">
        <color rgb="FF01A439"/>
      </right>
      <top/>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AB402E"/>
      </left>
      <right style="medium">
        <color rgb="FFAB402E"/>
      </right>
      <top style="medium">
        <color rgb="FFAB402E"/>
      </top>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diagonal/>
    </border>
    <border>
      <left style="medium">
        <color rgb="FF01A439"/>
      </left>
      <right style="thin">
        <color rgb="FF01A439"/>
      </right>
      <top style="thin">
        <color rgb="FF01A439"/>
      </top>
      <bottom style="thin">
        <color rgb="FF01A439"/>
      </bottom>
      <diagonal/>
    </border>
    <border>
      <left style="thin">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AB402E"/>
      </left>
      <right style="medium">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style="thin">
        <color rgb="FFAB402E"/>
      </top>
      <bottom style="thin">
        <color rgb="FFAB402E"/>
      </bottom>
      <diagonal/>
    </border>
    <border>
      <left style="thin">
        <color rgb="FFAB402E"/>
      </left>
      <right style="thin">
        <color rgb="FFAB402E"/>
      </right>
      <top/>
      <bottom/>
      <diagonal/>
    </border>
    <border>
      <left/>
      <right style="medium">
        <color rgb="FFAB402E"/>
      </right>
      <top style="thin">
        <color rgb="FFAB402E"/>
      </top>
      <bottom style="thin">
        <color rgb="FFAB402E"/>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bottom style="thin">
        <color theme="4"/>
      </bottom>
      <diagonal/>
    </border>
    <border>
      <left style="medium">
        <color rgb="FFAB402E"/>
      </left>
      <right style="thin">
        <color rgb="FFAB402E"/>
      </right>
      <top style="thin">
        <color theme="4"/>
      </top>
      <bottom style="thin">
        <color rgb="FFAB402E"/>
      </bottom>
      <diagonal/>
    </border>
    <border>
      <left style="thin">
        <color rgb="FFAB402E"/>
      </left>
      <right style="thin">
        <color rgb="FFAB402E"/>
      </right>
      <top/>
      <bottom style="thin">
        <color rgb="FFAB402E"/>
      </bottom>
      <diagonal/>
    </border>
    <border>
      <left/>
      <right style="medium">
        <color rgb="FFAB402E"/>
      </right>
      <top/>
      <bottom style="thin">
        <color rgb="FFAB402E"/>
      </bottom>
      <diagonal/>
    </border>
    <border>
      <left style="thin">
        <color theme="4"/>
      </left>
      <right style="thin">
        <color rgb="FF4F80BC"/>
      </right>
      <top style="thin">
        <color theme="4"/>
      </top>
      <bottom/>
      <diagonal/>
    </border>
    <border>
      <left/>
      <right style="thin">
        <color rgb="FF4F80BC"/>
      </right>
      <top/>
      <bottom/>
      <diagonal/>
    </border>
    <border>
      <left/>
      <right style="thin">
        <color theme="4"/>
      </right>
      <top style="thin">
        <color theme="4"/>
      </top>
      <bottom/>
      <diagonal/>
    </border>
    <border>
      <left style="medium">
        <color rgb="FFAB402E"/>
      </left>
      <right style="thin">
        <color rgb="FFAB402E"/>
      </right>
      <top style="thin">
        <color rgb="FFAB402E"/>
      </top>
      <bottom style="thin">
        <color rgb="FFAB402E"/>
      </bottom>
      <diagonal/>
    </border>
    <border>
      <left/>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right style="medium">
        <color rgb="FF01A439"/>
      </right>
      <top/>
      <bottom style="medium">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style="medium">
        <color rgb="FFAB402E"/>
      </left>
      <right style="medium">
        <color rgb="FFAB402E"/>
      </right>
      <top/>
      <bottom style="medium">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right/>
      <top/>
      <bottom style="medium">
        <color rgb="FFAB402E"/>
      </bottom>
      <diagonal/>
    </border>
    <border>
      <left/>
      <right style="medium">
        <color rgb="FFAB402E"/>
      </right>
      <top/>
      <bottom style="medium">
        <color rgb="FFAB402E"/>
      </bottom>
      <diagonal/>
    </border>
    <border>
      <left style="medium">
        <color rgb="FFFEC200"/>
      </left>
      <right style="thin">
        <color rgb="FFFEC200"/>
      </right>
      <top style="medium">
        <color rgb="FFFEC200"/>
      </top>
      <bottom/>
      <diagonal/>
    </border>
    <border>
      <left style="thin">
        <color rgb="FFFEC200"/>
      </left>
      <right style="thin">
        <color rgb="FFFEC200"/>
      </right>
      <top style="medium">
        <color rgb="FFFEC200"/>
      </top>
      <bottom/>
      <diagonal/>
    </border>
    <border>
      <left/>
      <right style="thin">
        <color rgb="FFFEC200"/>
      </right>
      <top style="medium">
        <color rgb="FFFEC200"/>
      </top>
      <bottom/>
      <diagonal/>
    </border>
    <border>
      <left/>
      <right style="medium">
        <color rgb="FFFEC200"/>
      </right>
      <top style="medium">
        <color rgb="FFFEC200"/>
      </top>
      <bottom style="thin">
        <color rgb="FFFEC200"/>
      </bottom>
      <diagonal/>
    </border>
    <border>
      <left/>
      <right/>
      <top/>
      <bottom style="thin">
        <color rgb="FF4F80BC"/>
      </bottom>
      <diagonal/>
    </border>
    <border>
      <left/>
      <right/>
      <top style="thin">
        <color theme="4"/>
      </top>
      <bottom/>
      <diagonal/>
    </border>
    <border>
      <left style="thin">
        <color rgb="FFFEC200"/>
      </left>
      <right style="thin">
        <color rgb="FFFEC200"/>
      </right>
      <top style="thin">
        <color rgb="FFFEC200"/>
      </top>
      <bottom style="thin">
        <color rgb="FFFEC200"/>
      </bottom>
      <diagonal/>
    </border>
    <border>
      <left/>
      <right style="thin">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theme="4"/>
      </left>
      <right style="thin">
        <color rgb="FF4F80BC"/>
      </right>
      <top/>
      <bottom style="thin">
        <color theme="4"/>
      </bottom>
      <diagonal/>
    </border>
    <border>
      <left style="thin">
        <color rgb="FF4F80BC"/>
      </left>
      <right style="thin">
        <color rgb="FF4F80BC"/>
      </right>
      <top style="thin">
        <color rgb="FF4F80BC"/>
      </top>
      <bottom/>
      <diagonal/>
    </border>
    <border>
      <left/>
      <right style="thin">
        <color theme="4"/>
      </right>
      <top style="thin">
        <color theme="4"/>
      </top>
      <bottom style="thin">
        <color theme="4"/>
      </bottom>
      <diagonal/>
    </border>
    <border>
      <left style="thin">
        <color theme="4"/>
      </left>
      <right/>
      <top style="thin">
        <color theme="4"/>
      </top>
      <bottom/>
      <diagonal/>
    </border>
    <border>
      <left style="thin">
        <color rgb="FFFEC200"/>
      </left>
      <right style="thin">
        <color rgb="FFFEC200"/>
      </right>
      <top/>
      <bottom style="thin">
        <color rgb="FFFEC200"/>
      </bottom>
      <diagonal/>
    </border>
    <border>
      <left/>
      <right style="thin">
        <color rgb="FFFEC200"/>
      </right>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bottom style="medium">
        <color rgb="FFFEC200"/>
      </bottom>
      <diagonal/>
    </border>
    <border>
      <left style="medium">
        <color rgb="FFFEC200"/>
      </left>
      <right style="thin">
        <color rgb="FFFEC200"/>
      </right>
      <top/>
      <bottom style="medium">
        <color rgb="FFFEC200"/>
      </bottom>
      <diagonal/>
    </border>
    <border>
      <left style="thin">
        <color rgb="FFFEC200"/>
      </left>
      <right style="thin">
        <color rgb="FFFEC200"/>
      </right>
      <top/>
      <bottom style="medium">
        <color rgb="FFFEC200"/>
      </bottom>
      <diagonal/>
    </border>
    <border>
      <left/>
      <right style="thin">
        <color rgb="FFFEC200"/>
      </right>
      <top/>
      <bottom style="medium">
        <color rgb="FFFEC200"/>
      </bottom>
      <diagonal/>
    </border>
    <border>
      <left/>
      <right/>
      <top/>
      <bottom style="medium">
        <color rgb="FFFEC200"/>
      </bottom>
      <diagonal/>
    </border>
    <border>
      <left/>
      <right style="thin">
        <color theme="4"/>
      </right>
      <top/>
      <bottom style="thin">
        <color rgb="FF4F80BC"/>
      </bottom>
      <diagonal/>
    </border>
    <border>
      <left style="medium">
        <color rgb="FF00B3C9"/>
      </left>
      <right style="medium">
        <color rgb="FF00B3C9"/>
      </right>
      <top style="medium">
        <color rgb="FF00B3C9"/>
      </top>
      <bottom/>
      <diagonal/>
    </border>
    <border>
      <left style="medium">
        <color rgb="FF00B3C9"/>
      </left>
      <right style="thin">
        <color rgb="FF00B3C9"/>
      </right>
      <top style="medium">
        <color rgb="FF00B3C9"/>
      </top>
      <bottom/>
      <diagonal/>
    </border>
    <border>
      <left style="thin">
        <color rgb="FF00B3C9"/>
      </left>
      <right style="thin">
        <color rgb="FF00B3C9"/>
      </right>
      <top style="medium">
        <color rgb="FF00B3C9"/>
      </top>
      <bottom/>
      <diagonal/>
    </border>
    <border>
      <left/>
      <right style="thin">
        <color rgb="FF00B3C9"/>
      </right>
      <top style="medium">
        <color rgb="FF00B3C9"/>
      </top>
      <bottom/>
      <diagonal/>
    </border>
    <border>
      <left style="thin">
        <color rgb="FF00B3C9"/>
      </left>
      <right style="thin">
        <color rgb="FF00B3C9"/>
      </right>
      <top style="medium">
        <color rgb="FF00B3C9"/>
      </top>
      <bottom style="thin">
        <color rgb="FF00B3C9"/>
      </bottom>
      <diagonal/>
    </border>
    <border>
      <left/>
      <right style="thin">
        <color rgb="FF00B3C9"/>
      </right>
      <top style="medium">
        <color rgb="FF00B3C9"/>
      </top>
      <bottom style="thin">
        <color rgb="FF00B3C9"/>
      </bottom>
      <diagonal/>
    </border>
    <border>
      <left style="thin">
        <color rgb="FF4F80BC"/>
      </left>
      <right/>
      <top/>
      <bottom/>
      <diagonal/>
    </border>
    <border>
      <left style="medium">
        <color rgb="FF00B3C9"/>
      </left>
      <right/>
      <top/>
      <bottom/>
      <diagonal/>
    </border>
    <border>
      <left style="thin">
        <color rgb="FF00B3C9"/>
      </left>
      <right style="thin">
        <color rgb="FF00B3C9"/>
      </right>
      <top style="thin">
        <color rgb="FF00B3C9"/>
      </top>
      <bottom style="thin">
        <color rgb="FF00B3C9"/>
      </bottom>
      <diagonal/>
    </border>
    <border>
      <left/>
      <right style="thin">
        <color rgb="FF00B3C9"/>
      </right>
      <top style="thin">
        <color rgb="FF00B3C9"/>
      </top>
      <bottom style="thin">
        <color rgb="FF00B3C9"/>
      </bottom>
      <diagonal/>
    </border>
    <border>
      <left/>
      <right style="thin">
        <color rgb="FF00B3C9"/>
      </right>
      <top/>
      <bottom/>
      <diagonal/>
    </border>
    <border>
      <left style="thin">
        <color rgb="FF00B3C9"/>
      </left>
      <right style="medium">
        <color rgb="FF00B3C9"/>
      </right>
      <top style="thin">
        <color rgb="FF00B3C9"/>
      </top>
      <bottom style="thin">
        <color rgb="FF00B3C9"/>
      </bottom>
      <diagonal/>
    </border>
    <border>
      <left style="thin">
        <color rgb="FF00B3C9"/>
      </left>
      <right style="thin">
        <color rgb="FF00B3C9"/>
      </right>
      <top/>
      <bottom style="thin">
        <color rgb="FF00B3C9"/>
      </bottom>
      <diagonal/>
    </border>
    <border>
      <left/>
      <right style="thin">
        <color rgb="FF00B3C9"/>
      </right>
      <top/>
      <bottom style="thin">
        <color rgb="FF00B3C9"/>
      </bottom>
      <diagonal/>
    </border>
    <border>
      <left/>
      <right style="thin">
        <color rgb="FF4F80BC"/>
      </right>
      <top/>
      <bottom style="thin">
        <color rgb="FF4F80BC"/>
      </bottom>
      <diagonal/>
    </border>
    <border>
      <left style="medium">
        <color rgb="FF00B3C9"/>
      </left>
      <right style="medium">
        <color rgb="FF00B3C9"/>
      </right>
      <top/>
      <bottom style="medium">
        <color rgb="FF00B3C9"/>
      </bottom>
      <diagonal/>
    </border>
    <border>
      <left style="medium">
        <color rgb="FF00B3C9"/>
      </left>
      <right style="thin">
        <color rgb="FF00B3C9"/>
      </right>
      <top/>
      <bottom style="medium">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medium">
        <color rgb="FF00B3C9"/>
      </bottom>
      <diagonal/>
    </border>
    <border>
      <left/>
      <right/>
      <top/>
      <bottom style="medium">
        <color rgb="FF00B3C9"/>
      </bottom>
      <diagonal/>
    </border>
    <border>
      <left/>
      <right style="medium">
        <color rgb="FF00B3C9"/>
      </right>
      <top/>
      <bottom style="medium">
        <color rgb="FF00B3C9"/>
      </bottom>
      <diagonal/>
    </border>
    <border>
      <left/>
      <right style="thin">
        <color theme="4"/>
      </right>
      <top/>
      <bottom/>
      <diagonal/>
    </border>
    <border>
      <left style="medium">
        <color rgb="FFF4B084"/>
      </left>
      <right/>
      <top style="medium">
        <color rgb="FFF4B084"/>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right/>
      <top style="medium">
        <color rgb="FFF4B084"/>
      </top>
      <bottom/>
      <diagonal/>
    </border>
    <border>
      <left style="medium">
        <color rgb="FFF4B084"/>
      </left>
      <right/>
      <top/>
      <bottom/>
      <diagonal/>
    </border>
    <border>
      <left style="medium">
        <color rgb="FFF4B084"/>
      </left>
      <right style="thin">
        <color rgb="FFF4B084"/>
      </right>
      <top style="thin">
        <color rgb="FFF4B084"/>
      </top>
      <bottom style="thin">
        <color rgb="FFF4B084"/>
      </bottom>
      <diagonal/>
    </border>
    <border>
      <left style="thin">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top/>
      <bottom style="medium">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right/>
      <top/>
      <bottom style="medium">
        <color rgb="FFF4B084"/>
      </bottom>
      <diagonal/>
    </border>
    <border>
      <left/>
      <right style="medium">
        <color rgb="FFF4B084"/>
      </right>
      <top/>
      <bottom style="medium">
        <color rgb="FFF4B084"/>
      </bottom>
      <diagonal/>
    </border>
    <border>
      <left/>
      <right/>
      <top style="thin">
        <color rgb="FF4F80BC"/>
      </top>
      <bottom/>
      <diagonal/>
    </border>
    <border>
      <left/>
      <right style="medium">
        <color rgb="FF4373AF"/>
      </right>
      <top/>
      <bottom style="thin">
        <color rgb="FFC9C9C9"/>
      </bottom>
      <diagonal/>
    </border>
    <border>
      <left/>
      <right/>
      <top/>
      <bottom style="medium">
        <color rgb="FF4373AF"/>
      </bottom>
      <diagonal/>
    </border>
    <border>
      <left/>
      <right style="medium">
        <color rgb="FF4373AF"/>
      </right>
      <top/>
      <bottom style="medium">
        <color rgb="FF4373AF"/>
      </bottom>
      <diagonal/>
    </border>
    <border>
      <left style="medium">
        <color rgb="FF4373AF"/>
      </left>
      <right style="medium">
        <color rgb="FF4373AF"/>
      </right>
      <top style="medium">
        <color rgb="FF4373AF"/>
      </top>
      <bottom/>
      <diagonal/>
    </border>
    <border>
      <left style="medium">
        <color rgb="FF4373AF"/>
      </left>
      <right style="medium">
        <color rgb="FF4373AF"/>
      </right>
      <top/>
      <bottom/>
      <diagonal/>
    </border>
    <border>
      <left style="medium">
        <color rgb="FF4373AF"/>
      </left>
      <right style="medium">
        <color rgb="FF4373AF"/>
      </right>
      <top/>
      <bottom style="medium">
        <color rgb="FF4373AF"/>
      </bottom>
      <diagonal/>
    </border>
    <border>
      <left style="thin">
        <color rgb="FF4373AF"/>
      </left>
      <right style="thin">
        <color rgb="FF4373AF"/>
      </right>
      <top style="thin">
        <color rgb="FF4373AF"/>
      </top>
      <bottom style="thin">
        <color rgb="FF4373AF"/>
      </bottom>
      <diagonal/>
    </border>
    <border>
      <left style="medium">
        <color rgb="FF4373AF"/>
      </left>
      <right/>
      <top/>
      <bottom/>
      <diagonal/>
    </border>
    <border>
      <left/>
      <right style="thin">
        <color rgb="FF4373AF"/>
      </right>
      <top/>
      <bottom style="thin">
        <color rgb="FF4373AF"/>
      </bottom>
      <diagonal/>
    </border>
    <border>
      <left/>
      <right style="thin">
        <color rgb="FF4373AF"/>
      </right>
      <top style="thin">
        <color rgb="FF4373AF"/>
      </top>
      <bottom style="thin">
        <color rgb="FF4373AF"/>
      </bottom>
      <diagonal/>
    </border>
    <border>
      <left style="medium">
        <color rgb="FF4373AF"/>
      </left>
      <right style="thin">
        <color rgb="FF4373AF"/>
      </right>
      <top style="medium">
        <color rgb="FF4373AF"/>
      </top>
      <bottom style="thin">
        <color rgb="FF4373AF"/>
      </bottom>
      <diagonal/>
    </border>
    <border>
      <left/>
      <right style="thin">
        <color rgb="FF4373AF"/>
      </right>
      <top/>
      <bottom/>
      <diagonal/>
    </border>
    <border>
      <left style="thin">
        <color rgb="FF4373AF"/>
      </left>
      <right style="thin">
        <color rgb="FF4373AF"/>
      </right>
      <top style="thin">
        <color rgb="FF4373AF"/>
      </top>
      <bottom/>
      <diagonal/>
    </border>
    <border>
      <left style="thin">
        <color rgb="FF4373AF"/>
      </left>
      <right style="thin">
        <color rgb="FF4373AF"/>
      </right>
      <top/>
      <bottom style="thin">
        <color rgb="FF4373AF"/>
      </bottom>
      <diagonal/>
    </border>
    <border>
      <left/>
      <right style="thin">
        <color rgb="FF4373AF"/>
      </right>
      <top/>
      <bottom style="medium">
        <color rgb="FF4373AF"/>
      </bottom>
      <diagonal/>
    </border>
    <border>
      <left style="thin">
        <color rgb="FF4373AF"/>
      </left>
      <right style="thin">
        <color rgb="FF4373AF"/>
      </right>
      <top style="medium">
        <color rgb="FF4373AF"/>
      </top>
      <bottom style="thin">
        <color rgb="FF4373AF"/>
      </bottom>
      <diagonal/>
    </border>
    <border>
      <left style="thin">
        <color rgb="FF4373AF"/>
      </left>
      <right style="thin">
        <color rgb="FF4373AF"/>
      </right>
      <top/>
      <bottom/>
      <diagonal/>
    </border>
    <border>
      <left style="thin">
        <color rgb="FF4373AF"/>
      </left>
      <right style="thin">
        <color rgb="FF4373AF"/>
      </right>
      <top/>
      <bottom style="medium">
        <color rgb="FF4373AF"/>
      </bottom>
      <diagonal/>
    </border>
    <border>
      <left style="thin">
        <color rgb="FF4373AF"/>
      </left>
      <right style="medium">
        <color rgb="FF4373AF"/>
      </right>
      <top style="thin">
        <color rgb="FFC9C9C9"/>
      </top>
      <bottom style="thin">
        <color rgb="FF4373AF"/>
      </bottom>
      <diagonal/>
    </border>
    <border>
      <left/>
      <right style="medium">
        <color rgb="FF4373AF"/>
      </right>
      <top style="thin">
        <color rgb="FF4373AF"/>
      </top>
      <bottom style="thin">
        <color rgb="FF4373AF"/>
      </bottom>
      <diagonal/>
    </border>
    <border>
      <left/>
      <right/>
      <top style="medium">
        <color rgb="FF4373AF"/>
      </top>
      <bottom style="thin">
        <color rgb="FF4373AF"/>
      </bottom>
      <diagonal/>
    </border>
    <border>
      <left style="thin">
        <color rgb="FF4373AF"/>
      </left>
      <right style="thin">
        <color rgb="FF4273AF"/>
      </right>
      <top style="medium">
        <color rgb="FF4373AF"/>
      </top>
      <bottom/>
      <diagonal/>
    </border>
    <border>
      <left/>
      <right style="medium">
        <color rgb="FF4273AF"/>
      </right>
      <top style="medium">
        <color rgb="FF4373AF"/>
      </top>
      <bottom style="thin">
        <color rgb="FFC9C9C9"/>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963534"/>
      </left>
      <right/>
      <top style="medium">
        <color rgb="FF963534"/>
      </top>
      <bottom style="medium">
        <color rgb="FF963534"/>
      </bottom>
      <diagonal/>
    </border>
    <border>
      <left/>
      <right style="medium">
        <color rgb="FF963534"/>
      </right>
      <top style="medium">
        <color rgb="FF963534"/>
      </top>
      <bottom style="medium">
        <color rgb="FF963534"/>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top/>
      <bottom style="thin">
        <color theme="0" tint="-4.9989318521683403E-2"/>
      </bottom>
      <diagonal/>
    </border>
    <border>
      <left style="thin">
        <color theme="1"/>
      </left>
      <right/>
      <top style="thin">
        <color theme="1"/>
      </top>
      <bottom/>
      <diagonal/>
    </border>
    <border>
      <left/>
      <right/>
      <top style="thin">
        <color theme="1"/>
      </top>
      <bottom/>
      <diagonal/>
    </border>
    <border>
      <left style="thin">
        <color theme="1"/>
      </left>
      <right/>
      <top/>
      <bottom/>
      <diagonal/>
    </border>
    <border>
      <left/>
      <right style="thin">
        <color theme="1"/>
      </right>
      <top/>
      <bottom style="thin">
        <color theme="0" tint="-4.9989318521683403E-2"/>
      </bottom>
      <diagonal/>
    </border>
    <border>
      <left/>
      <right/>
      <top style="thin">
        <color theme="0" tint="-4.9989318521683403E-2"/>
      </top>
      <bottom style="thin">
        <color theme="0" tint="-4.9989318521683403E-2"/>
      </bottom>
      <diagonal/>
    </border>
    <border>
      <left/>
      <right style="thin">
        <color theme="1"/>
      </right>
      <top style="thin">
        <color theme="0" tint="-4.9989318521683403E-2"/>
      </top>
      <bottom style="thin">
        <color theme="0" tint="-4.9989318521683403E-2"/>
      </bottom>
      <diagonal/>
    </border>
    <border>
      <left style="thin">
        <color theme="1"/>
      </left>
      <right/>
      <top/>
      <bottom style="thin">
        <color theme="1"/>
      </bottom>
      <diagonal/>
    </border>
    <border>
      <left/>
      <right/>
      <top/>
      <bottom style="thin">
        <color theme="1"/>
      </bottom>
      <diagonal/>
    </border>
    <border>
      <left/>
      <right/>
      <top style="thin">
        <color theme="0" tint="-4.9989318521683403E-2"/>
      </top>
      <bottom style="thin">
        <color theme="1"/>
      </bottom>
      <diagonal/>
    </border>
    <border>
      <left/>
      <right style="thin">
        <color theme="1"/>
      </right>
      <top style="thin">
        <color theme="0" tint="-4.9989318521683403E-2"/>
      </top>
      <bottom style="thin">
        <color theme="1"/>
      </bottom>
      <diagonal/>
    </border>
    <border>
      <left/>
      <right style="thin">
        <color theme="1"/>
      </right>
      <top style="thin">
        <color theme="1"/>
      </top>
      <bottom style="thin">
        <color theme="0"/>
      </bottom>
      <diagonal/>
    </border>
    <border>
      <left/>
      <right/>
      <top style="thin">
        <color theme="1"/>
      </top>
      <bottom style="thin">
        <color theme="0"/>
      </bottom>
      <diagonal/>
    </border>
  </borders>
  <cellStyleXfs count="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0" fillId="0" borderId="0"/>
  </cellStyleXfs>
  <cellXfs count="853">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9" fillId="4" borderId="0" xfId="0" applyFont="1" applyFill="1" applyAlignment="1" applyProtection="1">
      <alignment horizontal="center" vertical="center"/>
      <protection hidden="1"/>
    </xf>
    <xf numFmtId="0" fontId="9"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7"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0" fillId="0" borderId="0" xfId="0" applyProtection="1">
      <protection locked="0" hidden="1"/>
    </xf>
    <xf numFmtId="0" fontId="0" fillId="0" borderId="0" xfId="0" quotePrefix="1" applyProtection="1">
      <protection locked="0" hidden="1"/>
    </xf>
    <xf numFmtId="14" fontId="12" fillId="10" borderId="0" xfId="0" applyNumberFormat="1" applyFont="1" applyFill="1" applyAlignment="1" applyProtection="1">
      <alignment horizontal="center" vertical="center"/>
      <protection hidden="1"/>
    </xf>
    <xf numFmtId="164" fontId="12" fillId="10" borderId="0" xfId="0" applyNumberFormat="1" applyFont="1" applyFill="1" applyAlignment="1" applyProtection="1">
      <alignment horizontal="center" vertical="center"/>
      <protection hidden="1"/>
    </xf>
    <xf numFmtId="0" fontId="7" fillId="10" borderId="5" xfId="0" applyFont="1" applyFill="1" applyBorder="1" applyAlignment="1" applyProtection="1">
      <alignment horizontal="right"/>
      <protection hidden="1"/>
    </xf>
    <xf numFmtId="0" fontId="7" fillId="10" borderId="4" xfId="0" applyFont="1" applyFill="1" applyBorder="1" applyProtection="1">
      <protection hidden="1"/>
    </xf>
    <xf numFmtId="0" fontId="7" fillId="10" borderId="2" xfId="0" applyFont="1" applyFill="1" applyBorder="1" applyAlignment="1" applyProtection="1">
      <alignment horizontal="center"/>
      <protection locked="0"/>
    </xf>
    <xf numFmtId="0" fontId="6" fillId="10" borderId="5" xfId="0" applyFont="1" applyFill="1" applyBorder="1" applyProtection="1">
      <protection hidden="1"/>
    </xf>
    <xf numFmtId="14" fontId="12" fillId="12" borderId="0" xfId="0" applyNumberFormat="1" applyFont="1" applyFill="1" applyAlignment="1" applyProtection="1">
      <alignment horizontal="center" vertical="center"/>
      <protection hidden="1"/>
    </xf>
    <xf numFmtId="164" fontId="12" fillId="12" borderId="0" xfId="0" applyNumberFormat="1" applyFont="1" applyFill="1" applyAlignment="1" applyProtection="1">
      <alignment horizontal="center" vertical="center"/>
      <protection hidden="1"/>
    </xf>
    <xf numFmtId="0" fontId="7" fillId="12" borderId="5" xfId="0" applyFont="1" applyFill="1" applyBorder="1" applyAlignment="1" applyProtection="1">
      <alignment horizontal="right"/>
      <protection hidden="1"/>
    </xf>
    <xf numFmtId="0" fontId="7" fillId="12" borderId="4" xfId="0" applyFont="1" applyFill="1" applyBorder="1" applyProtection="1">
      <protection hidden="1"/>
    </xf>
    <xf numFmtId="0" fontId="7" fillId="12" borderId="2" xfId="0" applyFont="1" applyFill="1" applyBorder="1" applyAlignment="1" applyProtection="1">
      <alignment horizontal="center"/>
      <protection locked="0"/>
    </xf>
    <xf numFmtId="14" fontId="12" fillId="15" borderId="0" xfId="0" applyNumberFormat="1" applyFont="1" applyFill="1" applyAlignment="1" applyProtection="1">
      <alignment horizontal="center" vertical="center"/>
      <protection hidden="1"/>
    </xf>
    <xf numFmtId="164" fontId="12" fillId="15" borderId="0" xfId="0" applyNumberFormat="1" applyFont="1" applyFill="1" applyAlignment="1" applyProtection="1">
      <alignment horizontal="center" vertical="center"/>
      <protection hidden="1"/>
    </xf>
    <xf numFmtId="0" fontId="7" fillId="15" borderId="5" xfId="0" applyFont="1" applyFill="1" applyBorder="1" applyAlignment="1" applyProtection="1">
      <alignment horizontal="right"/>
      <protection hidden="1"/>
    </xf>
    <xf numFmtId="0" fontId="7" fillId="15" borderId="4" xfId="0" applyFont="1" applyFill="1" applyBorder="1" applyProtection="1">
      <protection hidden="1"/>
    </xf>
    <xf numFmtId="0" fontId="7" fillId="15" borderId="2" xfId="0" applyFont="1" applyFill="1" applyBorder="1" applyAlignment="1" applyProtection="1">
      <alignment horizontal="center"/>
      <protection locked="0"/>
    </xf>
    <xf numFmtId="0" fontId="6" fillId="15" borderId="5" xfId="0" applyFont="1" applyFill="1" applyBorder="1" applyProtection="1">
      <protection hidden="1"/>
    </xf>
    <xf numFmtId="0" fontId="7" fillId="12" borderId="5" xfId="0" applyFont="1" applyFill="1" applyBorder="1" applyProtection="1">
      <protection hidden="1"/>
    </xf>
    <xf numFmtId="14" fontId="12" fillId="10" borderId="17" xfId="0" applyNumberFormat="1" applyFont="1" applyFill="1" applyBorder="1" applyAlignment="1" applyProtection="1">
      <alignment horizontal="center" vertical="center"/>
      <protection hidden="1"/>
    </xf>
    <xf numFmtId="164" fontId="12" fillId="10" borderId="17" xfId="0" applyNumberFormat="1" applyFont="1" applyFill="1" applyBorder="1" applyAlignment="1" applyProtection="1">
      <alignment horizontal="center" vertical="center"/>
      <protection hidden="1"/>
    </xf>
    <xf numFmtId="0" fontId="7" fillId="10" borderId="18" xfId="0" applyFont="1" applyFill="1" applyBorder="1" applyAlignment="1" applyProtection="1">
      <alignment horizontal="right"/>
      <protection hidden="1"/>
    </xf>
    <xf numFmtId="0" fontId="7" fillId="10" borderId="19" xfId="0" applyFont="1" applyFill="1" applyBorder="1" applyProtection="1">
      <protection hidden="1"/>
    </xf>
    <xf numFmtId="0" fontId="7" fillId="10" borderId="20" xfId="0" applyFont="1" applyFill="1" applyBorder="1" applyAlignment="1" applyProtection="1">
      <alignment horizontal="center"/>
      <protection locked="0"/>
    </xf>
    <xf numFmtId="0" fontId="6" fillId="10" borderId="18" xfId="0" applyFont="1" applyFill="1" applyBorder="1" applyProtection="1">
      <protection hidden="1"/>
    </xf>
    <xf numFmtId="0" fontId="7" fillId="10" borderId="21" xfId="0" applyFont="1" applyFill="1" applyBorder="1" applyAlignment="1" applyProtection="1">
      <alignment horizontal="left"/>
      <protection hidden="1"/>
    </xf>
    <xf numFmtId="0" fontId="7" fillId="10" borderId="23" xfId="0" applyFont="1" applyFill="1" applyBorder="1" applyAlignment="1" applyProtection="1">
      <alignment horizontal="left"/>
      <protection hidden="1"/>
    </xf>
    <xf numFmtId="14" fontId="12" fillId="10" borderId="25" xfId="0" applyNumberFormat="1" applyFont="1" applyFill="1" applyBorder="1" applyAlignment="1" applyProtection="1">
      <alignment horizontal="center" vertical="center"/>
      <protection hidden="1"/>
    </xf>
    <xf numFmtId="164" fontId="12" fillId="10" borderId="25" xfId="0" applyNumberFormat="1" applyFont="1" applyFill="1" applyBorder="1" applyAlignment="1" applyProtection="1">
      <alignment horizontal="center" vertical="center"/>
      <protection hidden="1"/>
    </xf>
    <xf numFmtId="0" fontId="7" fillId="10" borderId="26" xfId="0" applyFont="1" applyFill="1" applyBorder="1" applyAlignment="1" applyProtection="1">
      <alignment horizontal="right"/>
      <protection hidden="1"/>
    </xf>
    <xf numFmtId="0" fontId="7" fillId="10" borderId="27" xfId="0" applyFont="1" applyFill="1" applyBorder="1" applyProtection="1">
      <protection hidden="1"/>
    </xf>
    <xf numFmtId="0" fontId="7" fillId="10" borderId="28" xfId="0" applyFont="1" applyFill="1" applyBorder="1" applyAlignment="1" applyProtection="1">
      <alignment horizontal="center"/>
      <protection locked="0"/>
    </xf>
    <xf numFmtId="0" fontId="6" fillId="10" borderId="26" xfId="0" applyFont="1" applyFill="1" applyBorder="1" applyProtection="1">
      <protection hidden="1"/>
    </xf>
    <xf numFmtId="0" fontId="7" fillId="10" borderId="29" xfId="0" applyFont="1" applyFill="1" applyBorder="1" applyAlignment="1" applyProtection="1">
      <alignment horizontal="left"/>
      <protection hidden="1"/>
    </xf>
    <xf numFmtId="14" fontId="12" fillId="12" borderId="31" xfId="0" applyNumberFormat="1" applyFont="1" applyFill="1" applyBorder="1" applyAlignment="1" applyProtection="1">
      <alignment horizontal="center" vertical="center"/>
      <protection hidden="1"/>
    </xf>
    <xf numFmtId="164" fontId="12" fillId="12" borderId="31" xfId="0" applyNumberFormat="1" applyFont="1" applyFill="1" applyBorder="1" applyAlignment="1" applyProtection="1">
      <alignment horizontal="center" vertical="center"/>
      <protection hidden="1"/>
    </xf>
    <xf numFmtId="0" fontId="7" fillId="12" borderId="32" xfId="0" applyFont="1" applyFill="1" applyBorder="1" applyAlignment="1" applyProtection="1">
      <alignment horizontal="right"/>
      <protection hidden="1"/>
    </xf>
    <xf numFmtId="0" fontId="7" fillId="12" borderId="33" xfId="0" applyFont="1" applyFill="1" applyBorder="1" applyProtection="1">
      <protection hidden="1"/>
    </xf>
    <xf numFmtId="0" fontId="7" fillId="12" borderId="34" xfId="0" applyFont="1" applyFill="1" applyBorder="1" applyAlignment="1" applyProtection="1">
      <alignment horizontal="center"/>
      <protection locked="0"/>
    </xf>
    <xf numFmtId="0" fontId="7" fillId="12" borderId="32" xfId="0" applyFont="1" applyFill="1" applyBorder="1" applyProtection="1">
      <protection hidden="1"/>
    </xf>
    <xf numFmtId="0" fontId="7" fillId="12" borderId="35" xfId="0" applyFont="1" applyFill="1" applyBorder="1" applyAlignment="1" applyProtection="1">
      <alignment horizontal="left"/>
      <protection hidden="1"/>
    </xf>
    <xf numFmtId="0" fontId="7" fillId="12" borderId="37" xfId="0" applyFont="1" applyFill="1" applyBorder="1" applyAlignment="1" applyProtection="1">
      <alignment horizontal="left"/>
      <protection hidden="1"/>
    </xf>
    <xf numFmtId="14" fontId="12" fillId="12" borderId="39" xfId="0" applyNumberFormat="1" applyFont="1" applyFill="1" applyBorder="1" applyAlignment="1" applyProtection="1">
      <alignment horizontal="center" vertical="center"/>
      <protection hidden="1"/>
    </xf>
    <xf numFmtId="164" fontId="12" fillId="12" borderId="39" xfId="0" applyNumberFormat="1" applyFont="1" applyFill="1" applyBorder="1" applyAlignment="1" applyProtection="1">
      <alignment horizontal="center" vertical="center"/>
      <protection hidden="1"/>
    </xf>
    <xf numFmtId="0" fontId="7" fillId="12" borderId="40" xfId="0" applyFont="1" applyFill="1" applyBorder="1" applyAlignment="1" applyProtection="1">
      <alignment horizontal="right"/>
      <protection hidden="1"/>
    </xf>
    <xf numFmtId="0" fontId="7" fillId="12" borderId="41" xfId="0" applyFont="1" applyFill="1" applyBorder="1" applyProtection="1">
      <protection hidden="1"/>
    </xf>
    <xf numFmtId="0" fontId="7" fillId="12" borderId="42" xfId="0" applyFont="1" applyFill="1" applyBorder="1" applyAlignment="1" applyProtection="1">
      <alignment horizontal="center"/>
      <protection locked="0"/>
    </xf>
    <xf numFmtId="0" fontId="7" fillId="12" borderId="40" xfId="0" applyFont="1" applyFill="1" applyBorder="1" applyProtection="1">
      <protection hidden="1"/>
    </xf>
    <xf numFmtId="0" fontId="7" fillId="12" borderId="43" xfId="0" applyFont="1" applyFill="1" applyBorder="1" applyAlignment="1" applyProtection="1">
      <alignment horizontal="left"/>
      <protection hidden="1"/>
    </xf>
    <xf numFmtId="14" fontId="12" fillId="15" borderId="45" xfId="0" applyNumberFormat="1" applyFont="1" applyFill="1" applyBorder="1" applyAlignment="1" applyProtection="1">
      <alignment horizontal="center" vertical="center"/>
      <protection hidden="1"/>
    </xf>
    <xf numFmtId="164" fontId="12" fillId="15" borderId="45" xfId="0" applyNumberFormat="1" applyFont="1" applyFill="1" applyBorder="1" applyAlignment="1" applyProtection="1">
      <alignment horizontal="center" vertical="center"/>
      <protection hidden="1"/>
    </xf>
    <xf numFmtId="0" fontId="7" fillId="15" borderId="46" xfId="0" applyFont="1" applyFill="1" applyBorder="1" applyAlignment="1" applyProtection="1">
      <alignment horizontal="right"/>
      <protection hidden="1"/>
    </xf>
    <xf numFmtId="0" fontId="7" fillId="15" borderId="47" xfId="0" applyFont="1" applyFill="1" applyBorder="1" applyProtection="1">
      <protection hidden="1"/>
    </xf>
    <xf numFmtId="0" fontId="7" fillId="15" borderId="48" xfId="0" applyFont="1" applyFill="1" applyBorder="1" applyAlignment="1" applyProtection="1">
      <alignment horizontal="center"/>
      <protection locked="0"/>
    </xf>
    <xf numFmtId="0" fontId="6" fillId="15" borderId="46" xfId="0" applyFont="1" applyFill="1" applyBorder="1" applyProtection="1">
      <protection hidden="1"/>
    </xf>
    <xf numFmtId="0" fontId="7" fillId="15" borderId="49" xfId="0" applyFont="1" applyFill="1" applyBorder="1" applyAlignment="1" applyProtection="1">
      <alignment horizontal="left"/>
      <protection hidden="1"/>
    </xf>
    <xf numFmtId="0" fontId="7" fillId="15" borderId="51" xfId="0" applyFont="1" applyFill="1" applyBorder="1" applyAlignment="1" applyProtection="1">
      <alignment horizontal="left"/>
      <protection hidden="1"/>
    </xf>
    <xf numFmtId="14" fontId="12" fillId="15" borderId="53" xfId="0" applyNumberFormat="1" applyFont="1" applyFill="1" applyBorder="1" applyAlignment="1" applyProtection="1">
      <alignment horizontal="center" vertical="center"/>
      <protection hidden="1"/>
    </xf>
    <xf numFmtId="164" fontId="12" fillId="15" borderId="53" xfId="0" applyNumberFormat="1" applyFont="1" applyFill="1" applyBorder="1" applyAlignment="1" applyProtection="1">
      <alignment horizontal="center" vertical="center"/>
      <protection hidden="1"/>
    </xf>
    <xf numFmtId="0" fontId="7" fillId="15" borderId="54" xfId="0" applyFont="1" applyFill="1" applyBorder="1" applyAlignment="1" applyProtection="1">
      <alignment horizontal="right"/>
      <protection hidden="1"/>
    </xf>
    <xf numFmtId="0" fontId="7" fillId="15" borderId="55" xfId="0" applyFont="1" applyFill="1" applyBorder="1" applyProtection="1">
      <protection hidden="1"/>
    </xf>
    <xf numFmtId="0" fontId="7" fillId="15" borderId="56" xfId="0" applyFont="1" applyFill="1" applyBorder="1" applyAlignment="1" applyProtection="1">
      <alignment horizontal="center"/>
      <protection locked="0"/>
    </xf>
    <xf numFmtId="0" fontId="6" fillId="15" borderId="54" xfId="0" applyFont="1" applyFill="1" applyBorder="1" applyProtection="1">
      <protection hidden="1"/>
    </xf>
    <xf numFmtId="0" fontId="7" fillId="15" borderId="57" xfId="0" applyFont="1" applyFill="1" applyBorder="1" applyAlignment="1" applyProtection="1">
      <alignment horizontal="left"/>
      <protection hidden="1"/>
    </xf>
    <xf numFmtId="0" fontId="2" fillId="16" borderId="0" xfId="0" applyFont="1" applyFill="1" applyAlignment="1" applyProtection="1">
      <alignment vertical="center"/>
      <protection hidden="1"/>
    </xf>
    <xf numFmtId="0" fontId="2" fillId="16" borderId="0" xfId="0" applyFont="1" applyFill="1" applyAlignment="1">
      <alignment horizontal="centerContinuous" vertical="center"/>
    </xf>
    <xf numFmtId="0" fontId="2" fillId="16" borderId="0" xfId="0" applyFont="1" applyFill="1" applyAlignment="1" applyProtection="1">
      <alignment horizontal="centerContinuous" vertical="center"/>
      <protection hidden="1"/>
    </xf>
    <xf numFmtId="0" fontId="3" fillId="16" borderId="0" xfId="0" applyFont="1" applyFill="1" applyProtection="1">
      <protection hidden="1"/>
    </xf>
    <xf numFmtId="0" fontId="3" fillId="16" borderId="0" xfId="0" applyFont="1" applyFill="1" applyAlignment="1" applyProtection="1">
      <alignment horizontal="center"/>
      <protection hidden="1"/>
    </xf>
    <xf numFmtId="0" fontId="9" fillId="16" borderId="0" xfId="0" applyFont="1" applyFill="1" applyAlignment="1" applyProtection="1">
      <alignment horizontal="center"/>
      <protection hidden="1"/>
    </xf>
    <xf numFmtId="0" fontId="13" fillId="16" borderId="0" xfId="0" applyFont="1" applyFill="1" applyAlignment="1" applyProtection="1">
      <alignment horizontal="left" vertical="center"/>
      <protection hidden="1"/>
    </xf>
    <xf numFmtId="0" fontId="22" fillId="16" borderId="0" xfId="0" applyFont="1" applyFill="1" applyAlignment="1" applyProtection="1">
      <alignment horizontal="center" vertical="center"/>
      <protection locked="0" hidden="1"/>
    </xf>
    <xf numFmtId="0" fontId="13" fillId="16" borderId="0" xfId="0" applyFont="1" applyFill="1" applyAlignment="1" applyProtection="1">
      <alignment horizontal="center" vertical="center"/>
      <protection hidden="1"/>
    </xf>
    <xf numFmtId="0" fontId="22" fillId="16" borderId="0" xfId="0" applyFont="1" applyFill="1" applyAlignment="1" applyProtection="1">
      <alignment horizontal="center" vertical="center"/>
      <protection hidden="1"/>
    </xf>
    <xf numFmtId="0" fontId="6" fillId="16" borderId="0" xfId="0" applyFont="1" applyFill="1" applyProtection="1">
      <protection hidden="1"/>
    </xf>
    <xf numFmtId="0" fontId="25" fillId="16" borderId="0" xfId="0" applyFont="1" applyFill="1" applyAlignment="1" applyProtection="1">
      <alignment vertical="center"/>
      <protection hidden="1"/>
    </xf>
    <xf numFmtId="14" fontId="7" fillId="16" borderId="0" xfId="0" applyNumberFormat="1" applyFont="1" applyFill="1" applyProtection="1">
      <protection hidden="1"/>
    </xf>
    <xf numFmtId="0" fontId="29" fillId="16" borderId="0" xfId="0" applyFont="1" applyFill="1" applyAlignment="1" applyProtection="1">
      <alignment vertical="center"/>
      <protection hidden="1"/>
    </xf>
    <xf numFmtId="14" fontId="24" fillId="16" borderId="0" xfId="0" applyNumberFormat="1" applyFont="1" applyFill="1" applyProtection="1">
      <protection hidden="1"/>
    </xf>
    <xf numFmtId="14" fontId="7" fillId="16" borderId="0" xfId="0" applyNumberFormat="1" applyFont="1" applyFill="1" applyAlignment="1" applyProtection="1">
      <alignment horizontal="center" vertical="center"/>
      <protection hidden="1"/>
    </xf>
    <xf numFmtId="0" fontId="7" fillId="16" borderId="0" xfId="0" applyFont="1" applyFill="1" applyAlignment="1" applyProtection="1">
      <alignment horizontal="right"/>
      <protection hidden="1"/>
    </xf>
    <xf numFmtId="0" fontId="7" fillId="16" borderId="0" xfId="0" applyFont="1" applyFill="1" applyProtection="1">
      <protection hidden="1"/>
    </xf>
    <xf numFmtId="0" fontId="8" fillId="16" borderId="0" xfId="0" applyFont="1" applyFill="1" applyAlignment="1" applyProtection="1">
      <alignment horizontal="center"/>
      <protection hidden="1"/>
    </xf>
    <xf numFmtId="0" fontId="7" fillId="16" borderId="0" xfId="0" applyFont="1" applyFill="1" applyAlignment="1" applyProtection="1">
      <alignment horizontal="left"/>
      <protection hidden="1"/>
    </xf>
    <xf numFmtId="0" fontId="12" fillId="16" borderId="0" xfId="0" applyFont="1" applyFill="1" applyAlignment="1" applyProtection="1">
      <alignment horizontal="center" vertical="center"/>
      <protection hidden="1"/>
    </xf>
    <xf numFmtId="0" fontId="8" fillId="16" borderId="0" xfId="0" applyFont="1" applyFill="1" applyProtection="1">
      <protection hidden="1"/>
    </xf>
    <xf numFmtId="0" fontId="8" fillId="16" borderId="0" xfId="0" applyFont="1" applyFill="1" applyAlignment="1" applyProtection="1">
      <alignment horizontal="center" vertical="top"/>
      <protection hidden="1"/>
    </xf>
    <xf numFmtId="0" fontId="8" fillId="16" borderId="0" xfId="0" applyFont="1" applyFill="1" applyAlignment="1">
      <alignment horizontal="right"/>
    </xf>
    <xf numFmtId="0" fontId="8" fillId="16" borderId="0" xfId="0" applyFont="1" applyFill="1" applyAlignment="1">
      <alignment horizontal="center"/>
    </xf>
    <xf numFmtId="0" fontId="8" fillId="16" borderId="0" xfId="0" applyFont="1" applyFill="1"/>
    <xf numFmtId="0" fontId="8" fillId="16" borderId="0" xfId="0" applyFont="1" applyFill="1" applyAlignment="1" applyProtection="1">
      <alignment vertical="center"/>
      <protection hidden="1"/>
    </xf>
    <xf numFmtId="0" fontId="8" fillId="16" borderId="0" xfId="0" applyFont="1" applyFill="1" applyAlignment="1" applyProtection="1">
      <alignment horizontal="centerContinuous" vertical="center"/>
      <protection hidden="1"/>
    </xf>
    <xf numFmtId="0" fontId="8" fillId="16" borderId="0" xfId="0" applyFont="1" applyFill="1" applyAlignment="1">
      <alignment horizontal="centerContinuous" vertical="center"/>
    </xf>
    <xf numFmtId="0" fontId="31" fillId="16" borderId="0" xfId="0" applyFont="1" applyFill="1" applyAlignment="1" applyProtection="1">
      <alignment vertical="center"/>
      <protection hidden="1"/>
    </xf>
    <xf numFmtId="0" fontId="32" fillId="16" borderId="0" xfId="0" applyFont="1" applyFill="1" applyAlignment="1" applyProtection="1">
      <alignment horizontal="center"/>
      <protection hidden="1"/>
    </xf>
    <xf numFmtId="0" fontId="27" fillId="16" borderId="0" xfId="0" applyFont="1" applyFill="1" applyAlignment="1" applyProtection="1">
      <alignment horizontal="left" vertical="center"/>
      <protection hidden="1"/>
    </xf>
    <xf numFmtId="0" fontId="7" fillId="16" borderId="0" xfId="0" applyFont="1" applyFill="1" applyAlignment="1" applyProtection="1">
      <alignment horizontal="center" vertical="center"/>
      <protection hidden="1"/>
    </xf>
    <xf numFmtId="0" fontId="7" fillId="16" borderId="0" xfId="0" applyFont="1" applyFill="1" applyAlignment="1" applyProtection="1">
      <alignment horizontal="left" vertical="center"/>
      <protection hidden="1"/>
    </xf>
    <xf numFmtId="0" fontId="8" fillId="16" borderId="0" xfId="0" applyFont="1" applyFill="1" applyAlignment="1" applyProtection="1">
      <alignment horizontal="center" vertical="center"/>
      <protection hidden="1"/>
    </xf>
    <xf numFmtId="0" fontId="2" fillId="16" borderId="0" xfId="0" applyFont="1" applyFill="1" applyAlignment="1" applyProtection="1">
      <alignment horizontal="centerContinuous"/>
      <protection hidden="1"/>
    </xf>
    <xf numFmtId="0" fontId="11" fillId="16" borderId="0" xfId="0" applyFont="1" applyFill="1" applyAlignment="1" applyProtection="1">
      <alignment horizontal="centerContinuous" vertical="center" wrapText="1"/>
      <protection hidden="1"/>
    </xf>
    <xf numFmtId="0" fontId="6" fillId="16" borderId="0" xfId="0" applyFont="1" applyFill="1" applyAlignment="1" applyProtection="1">
      <alignment horizontal="centerContinuous"/>
      <protection hidden="1"/>
    </xf>
    <xf numFmtId="0" fontId="9" fillId="4" borderId="16" xfId="0" applyFont="1" applyFill="1" applyBorder="1" applyAlignment="1" applyProtection="1">
      <alignment horizontal="center" vertical="center"/>
      <protection hidden="1"/>
    </xf>
    <xf numFmtId="0" fontId="9" fillId="4" borderId="17" xfId="0" applyFont="1" applyFill="1" applyBorder="1" applyAlignment="1" applyProtection="1">
      <alignment horizontal="left" vertical="center"/>
      <protection hidden="1"/>
    </xf>
    <xf numFmtId="0" fontId="9" fillId="4" borderId="17" xfId="0" applyFont="1" applyFill="1" applyBorder="1" applyAlignment="1" applyProtection="1">
      <alignment horizontal="center" vertical="center"/>
      <protection hidden="1"/>
    </xf>
    <xf numFmtId="0" fontId="9" fillId="4" borderId="21" xfId="0" applyFont="1" applyFill="1" applyBorder="1" applyAlignment="1" applyProtection="1">
      <alignment horizontal="center" vertical="center"/>
      <protection hidden="1"/>
    </xf>
    <xf numFmtId="0" fontId="9" fillId="4" borderId="22" xfId="0" applyFont="1" applyFill="1" applyBorder="1" applyAlignment="1" applyProtection="1">
      <alignment horizontal="center" vertical="center"/>
      <protection hidden="1"/>
    </xf>
    <xf numFmtId="0" fontId="9" fillId="4" borderId="23" xfId="0" applyFont="1" applyFill="1" applyBorder="1" applyAlignment="1" applyProtection="1">
      <alignment horizontal="center" vertical="center"/>
      <protection hidden="1"/>
    </xf>
    <xf numFmtId="0" fontId="9" fillId="4" borderId="24" xfId="0" applyFont="1" applyFill="1" applyBorder="1" applyAlignment="1" applyProtection="1">
      <alignment horizontal="center" vertical="center"/>
      <protection hidden="1"/>
    </xf>
    <xf numFmtId="0" fontId="9" fillId="4" borderId="25" xfId="0" applyFont="1" applyFill="1" applyBorder="1" applyAlignment="1" applyProtection="1">
      <alignment horizontal="left" vertical="center"/>
      <protection hidden="1"/>
    </xf>
    <xf numFmtId="0" fontId="9" fillId="4" borderId="25" xfId="0" applyFont="1" applyFill="1" applyBorder="1" applyAlignment="1" applyProtection="1">
      <alignment horizontal="center" vertical="center"/>
      <protection hidden="1"/>
    </xf>
    <xf numFmtId="0" fontId="9" fillId="4" borderId="29" xfId="0" applyFont="1" applyFill="1" applyBorder="1" applyAlignment="1" applyProtection="1">
      <alignment horizontal="center" vertical="center"/>
      <protection hidden="1"/>
    </xf>
    <xf numFmtId="0" fontId="8" fillId="11" borderId="16" xfId="0" applyFont="1" applyFill="1" applyBorder="1" applyAlignment="1" applyProtection="1">
      <alignment horizontal="centerContinuous"/>
      <protection hidden="1"/>
    </xf>
    <xf numFmtId="0" fontId="8" fillId="11" borderId="17" xfId="0" applyFont="1" applyFill="1" applyBorder="1" applyAlignment="1" applyProtection="1">
      <alignment horizontal="centerContinuous"/>
      <protection hidden="1"/>
    </xf>
    <xf numFmtId="0" fontId="8" fillId="11" borderId="21" xfId="0" applyFont="1" applyFill="1" applyBorder="1" applyAlignment="1" applyProtection="1">
      <alignment horizontal="centerContinuous"/>
      <protection hidden="1"/>
    </xf>
    <xf numFmtId="0" fontId="8" fillId="11" borderId="24" xfId="0" applyFont="1" applyFill="1" applyBorder="1" applyAlignment="1" applyProtection="1">
      <alignment horizontal="center" vertical="center"/>
      <protection hidden="1"/>
    </xf>
    <xf numFmtId="0" fontId="8" fillId="11" borderId="25" xfId="0" applyFont="1" applyFill="1" applyBorder="1" applyAlignment="1" applyProtection="1">
      <alignment horizontal="left" vertical="center"/>
      <protection hidden="1"/>
    </xf>
    <xf numFmtId="0" fontId="8" fillId="11" borderId="25" xfId="0" applyFont="1" applyFill="1" applyBorder="1" applyAlignment="1" applyProtection="1">
      <alignment horizontal="center" vertical="center"/>
      <protection hidden="1"/>
    </xf>
    <xf numFmtId="0" fontId="8" fillId="11" borderId="29" xfId="0" applyFont="1" applyFill="1" applyBorder="1" applyAlignment="1" applyProtection="1">
      <alignment horizontal="center" vertical="center"/>
      <protection hidden="1"/>
    </xf>
    <xf numFmtId="0" fontId="8" fillId="13" borderId="30" xfId="0" applyFont="1" applyFill="1" applyBorder="1" applyAlignment="1" applyProtection="1">
      <alignment horizontal="centerContinuous"/>
      <protection hidden="1"/>
    </xf>
    <xf numFmtId="0" fontId="8" fillId="13" borderId="31" xfId="0" applyFont="1" applyFill="1" applyBorder="1" applyAlignment="1" applyProtection="1">
      <alignment horizontal="centerContinuous"/>
      <protection hidden="1"/>
    </xf>
    <xf numFmtId="0" fontId="8" fillId="13" borderId="35" xfId="0" applyFont="1" applyFill="1" applyBorder="1" applyAlignment="1" applyProtection="1">
      <alignment horizontal="centerContinuous"/>
      <protection hidden="1"/>
    </xf>
    <xf numFmtId="0" fontId="8" fillId="13" borderId="38" xfId="0" applyFont="1" applyFill="1" applyBorder="1" applyAlignment="1" applyProtection="1">
      <alignment horizontal="center" vertical="center"/>
      <protection hidden="1"/>
    </xf>
    <xf numFmtId="0" fontId="8" fillId="13" borderId="39" xfId="0" applyFont="1" applyFill="1" applyBorder="1" applyAlignment="1" applyProtection="1">
      <alignment horizontal="left" vertical="center"/>
      <protection hidden="1"/>
    </xf>
    <xf numFmtId="0" fontId="8" fillId="13" borderId="39" xfId="0" applyFont="1" applyFill="1" applyBorder="1" applyAlignment="1" applyProtection="1">
      <alignment horizontal="center" vertical="center"/>
      <protection hidden="1"/>
    </xf>
    <xf numFmtId="0" fontId="8" fillId="13" borderId="43" xfId="0" applyFont="1" applyFill="1" applyBorder="1" applyAlignment="1" applyProtection="1">
      <alignment horizontal="center" vertical="center"/>
      <protection hidden="1"/>
    </xf>
    <xf numFmtId="0" fontId="9" fillId="4" borderId="30" xfId="0" applyFont="1" applyFill="1" applyBorder="1" applyAlignment="1" applyProtection="1">
      <alignment horizontal="center" vertical="center"/>
      <protection hidden="1"/>
    </xf>
    <xf numFmtId="0" fontId="9" fillId="4" borderId="31" xfId="0" applyFont="1" applyFill="1" applyBorder="1" applyAlignment="1" applyProtection="1">
      <alignment horizontal="left" vertical="center"/>
      <protection hidden="1"/>
    </xf>
    <xf numFmtId="0" fontId="9" fillId="4" borderId="31" xfId="0" applyFont="1" applyFill="1" applyBorder="1" applyAlignment="1" applyProtection="1">
      <alignment horizontal="center" vertical="center"/>
      <protection hidden="1"/>
    </xf>
    <xf numFmtId="0" fontId="9" fillId="4" borderId="35" xfId="0" applyFont="1" applyFill="1" applyBorder="1" applyAlignment="1" applyProtection="1">
      <alignment horizontal="center" vertical="center"/>
      <protection hidden="1"/>
    </xf>
    <xf numFmtId="0" fontId="9" fillId="4" borderId="36" xfId="0" applyFont="1" applyFill="1" applyBorder="1" applyAlignment="1" applyProtection="1">
      <alignment horizontal="center" vertical="center"/>
      <protection hidden="1"/>
    </xf>
    <xf numFmtId="0" fontId="9" fillId="4" borderId="37" xfId="0" applyFont="1" applyFill="1" applyBorder="1" applyAlignment="1" applyProtection="1">
      <alignment horizontal="center" vertical="center"/>
      <protection hidden="1"/>
    </xf>
    <xf numFmtId="0" fontId="9" fillId="4" borderId="38" xfId="0" applyFont="1" applyFill="1" applyBorder="1" applyAlignment="1" applyProtection="1">
      <alignment horizontal="center" vertical="center"/>
      <protection hidden="1"/>
    </xf>
    <xf numFmtId="0" fontId="9" fillId="4" borderId="39" xfId="0" applyFont="1" applyFill="1" applyBorder="1" applyAlignment="1" applyProtection="1">
      <alignment horizontal="left" vertical="center"/>
      <protection hidden="1"/>
    </xf>
    <xf numFmtId="0" fontId="9" fillId="4" borderId="39" xfId="0" applyFont="1" applyFill="1" applyBorder="1" applyAlignment="1" applyProtection="1">
      <alignment horizontal="center" vertical="center"/>
      <protection hidden="1"/>
    </xf>
    <xf numFmtId="0" fontId="9" fillId="4" borderId="43" xfId="0" applyFont="1" applyFill="1" applyBorder="1" applyAlignment="1" applyProtection="1">
      <alignment horizontal="center" vertical="center"/>
      <protection hidden="1"/>
    </xf>
    <xf numFmtId="0" fontId="8" fillId="14" borderId="44" xfId="0" applyFont="1" applyFill="1" applyBorder="1" applyAlignment="1" applyProtection="1">
      <alignment horizontal="centerContinuous"/>
      <protection hidden="1"/>
    </xf>
    <xf numFmtId="0" fontId="8" fillId="14" borderId="45" xfId="0" applyFont="1" applyFill="1" applyBorder="1" applyAlignment="1" applyProtection="1">
      <alignment horizontal="centerContinuous"/>
      <protection hidden="1"/>
    </xf>
    <xf numFmtId="0" fontId="8" fillId="14" borderId="49" xfId="0" applyFont="1" applyFill="1" applyBorder="1" applyAlignment="1" applyProtection="1">
      <alignment horizontal="centerContinuous"/>
      <protection hidden="1"/>
    </xf>
    <xf numFmtId="0" fontId="8" fillId="14" borderId="52" xfId="0" applyFont="1" applyFill="1" applyBorder="1" applyAlignment="1" applyProtection="1">
      <alignment horizontal="center" vertical="center"/>
      <protection hidden="1"/>
    </xf>
    <xf numFmtId="0" fontId="8" fillId="14" borderId="53" xfId="0" applyFont="1" applyFill="1" applyBorder="1" applyAlignment="1" applyProtection="1">
      <alignment horizontal="left" vertical="center"/>
      <protection hidden="1"/>
    </xf>
    <xf numFmtId="0" fontId="8" fillId="14" borderId="57" xfId="0" applyFont="1" applyFill="1" applyBorder="1" applyAlignment="1" applyProtection="1">
      <alignment horizontal="center" vertical="center"/>
      <protection hidden="1"/>
    </xf>
    <xf numFmtId="0" fontId="9" fillId="4" borderId="44" xfId="0" applyFont="1" applyFill="1" applyBorder="1" applyAlignment="1" applyProtection="1">
      <alignment horizontal="center" vertical="center"/>
      <protection hidden="1"/>
    </xf>
    <xf numFmtId="0" fontId="9" fillId="4" borderId="45" xfId="0" applyFont="1" applyFill="1" applyBorder="1" applyAlignment="1" applyProtection="1">
      <alignment horizontal="left" vertical="center"/>
      <protection hidden="1"/>
    </xf>
    <xf numFmtId="0" fontId="9" fillId="4" borderId="45" xfId="0" applyFont="1" applyFill="1" applyBorder="1" applyAlignment="1" applyProtection="1">
      <alignment horizontal="center" vertical="center"/>
      <protection hidden="1"/>
    </xf>
    <xf numFmtId="0" fontId="9" fillId="4" borderId="49" xfId="0" applyFont="1" applyFill="1" applyBorder="1" applyAlignment="1" applyProtection="1">
      <alignment horizontal="center" vertical="center"/>
      <protection hidden="1"/>
    </xf>
    <xf numFmtId="0" fontId="9" fillId="4" borderId="50" xfId="0" applyFont="1" applyFill="1" applyBorder="1" applyAlignment="1" applyProtection="1">
      <alignment horizontal="center" vertical="center"/>
      <protection hidden="1"/>
    </xf>
    <xf numFmtId="0" fontId="9" fillId="4" borderId="51" xfId="0" applyFont="1" applyFill="1" applyBorder="1" applyAlignment="1" applyProtection="1">
      <alignment horizontal="center" vertical="center"/>
      <protection hidden="1"/>
    </xf>
    <xf numFmtId="0" fontId="9" fillId="4" borderId="52" xfId="0" applyFont="1" applyFill="1" applyBorder="1" applyAlignment="1" applyProtection="1">
      <alignment horizontal="center" vertical="center"/>
      <protection hidden="1"/>
    </xf>
    <xf numFmtId="0" fontId="9" fillId="4" borderId="53" xfId="0" applyFont="1" applyFill="1" applyBorder="1" applyAlignment="1" applyProtection="1">
      <alignment horizontal="left" vertical="center"/>
      <protection hidden="1"/>
    </xf>
    <xf numFmtId="0" fontId="9" fillId="4" borderId="53" xfId="0" applyFont="1" applyFill="1" applyBorder="1" applyAlignment="1" applyProtection="1">
      <alignment horizontal="center" vertical="center"/>
      <protection hidden="1"/>
    </xf>
    <xf numFmtId="0" fontId="9" fillId="4" borderId="57" xfId="0" applyFont="1" applyFill="1" applyBorder="1" applyAlignment="1" applyProtection="1">
      <alignment horizontal="center" vertical="center"/>
      <protection hidden="1"/>
    </xf>
    <xf numFmtId="0" fontId="12" fillId="16" borderId="0" xfId="0" applyFont="1" applyFill="1" applyAlignment="1">
      <alignment horizontal="center" vertical="center"/>
    </xf>
    <xf numFmtId="0" fontId="17" fillId="16" borderId="0" xfId="0" applyFont="1" applyFill="1" applyAlignment="1">
      <alignment horizontal="center" vertical="center"/>
    </xf>
    <xf numFmtId="0" fontId="10" fillId="16" borderId="0" xfId="0" applyFont="1" applyFill="1" applyAlignment="1" applyProtection="1">
      <alignment vertical="center" wrapText="1"/>
      <protection hidden="1"/>
    </xf>
    <xf numFmtId="0" fontId="3" fillId="16" borderId="0" xfId="0" applyFont="1" applyFill="1" applyAlignment="1" applyProtection="1">
      <alignment horizontal="center" wrapText="1"/>
      <protection hidden="1"/>
    </xf>
    <xf numFmtId="0" fontId="0" fillId="16" borderId="0" xfId="0" applyFill="1" applyProtection="1">
      <protection hidden="1"/>
    </xf>
    <xf numFmtId="0" fontId="31" fillId="16" borderId="0" xfId="0" applyFont="1" applyFill="1" applyAlignment="1" applyProtection="1">
      <alignment horizontal="centerContinuous" vertical="center"/>
      <protection hidden="1"/>
    </xf>
    <xf numFmtId="0" fontId="27" fillId="16" borderId="0" xfId="0" applyFont="1" applyFill="1" applyAlignment="1" applyProtection="1">
      <alignment horizontal="center"/>
      <protection hidden="1"/>
    </xf>
    <xf numFmtId="0" fontId="27" fillId="16" borderId="0" xfId="0" applyFont="1" applyFill="1" applyAlignment="1">
      <alignment horizontal="center"/>
    </xf>
    <xf numFmtId="0" fontId="8" fillId="16" borderId="0" xfId="0" applyFont="1" applyFill="1" applyAlignment="1" applyProtection="1">
      <alignment horizontal="right"/>
      <protection hidden="1"/>
    </xf>
    <xf numFmtId="0" fontId="27" fillId="16" borderId="0" xfId="0" applyFont="1" applyFill="1" applyAlignment="1">
      <alignment horizontal="center" vertical="center"/>
    </xf>
    <xf numFmtId="0" fontId="8" fillId="16" borderId="0" xfId="0" applyFont="1" applyFill="1" applyAlignment="1">
      <alignment horizontal="center" vertical="center"/>
    </xf>
    <xf numFmtId="0" fontId="8" fillId="16" borderId="0" xfId="0" applyFont="1" applyFill="1" applyAlignment="1" applyProtection="1">
      <alignment horizontal="left" vertical="center"/>
      <protection hidden="1"/>
    </xf>
    <xf numFmtId="0" fontId="14" fillId="16" borderId="0" xfId="0" applyFont="1" applyFill="1" applyAlignment="1" applyProtection="1">
      <alignment vertical="center"/>
      <protection hidden="1"/>
    </xf>
    <xf numFmtId="0" fontId="0" fillId="16" borderId="0" xfId="0" applyFill="1" applyAlignment="1" applyProtection="1">
      <alignment vertical="center"/>
      <protection hidden="1"/>
    </xf>
    <xf numFmtId="14" fontId="12" fillId="9" borderId="67" xfId="0" quotePrefix="1" applyNumberFormat="1" applyFont="1" applyFill="1" applyBorder="1" applyAlignment="1" applyProtection="1">
      <alignment horizontal="center" vertical="center"/>
      <protection hidden="1"/>
    </xf>
    <xf numFmtId="164" fontId="12" fillId="9" borderId="67" xfId="0" quotePrefix="1" applyNumberFormat="1" applyFont="1" applyFill="1" applyBorder="1" applyAlignment="1" applyProtection="1">
      <alignment horizontal="center" vertical="center"/>
      <protection hidden="1"/>
    </xf>
    <xf numFmtId="14" fontId="12" fillId="9" borderId="67" xfId="0" applyNumberFormat="1" applyFont="1" applyFill="1" applyBorder="1" applyAlignment="1" applyProtection="1">
      <alignment horizontal="center" vertical="center"/>
      <protection hidden="1"/>
    </xf>
    <xf numFmtId="0" fontId="7" fillId="9" borderId="68" xfId="0" applyFont="1" applyFill="1" applyBorder="1" applyAlignment="1" applyProtection="1">
      <alignment horizontal="right" vertical="center"/>
      <protection hidden="1"/>
    </xf>
    <xf numFmtId="0" fontId="8" fillId="9" borderId="67" xfId="0" applyFont="1" applyFill="1" applyBorder="1" applyAlignment="1" applyProtection="1">
      <alignment horizontal="center" vertical="center"/>
      <protection locked="0"/>
    </xf>
    <xf numFmtId="0" fontId="8" fillId="9" borderId="69" xfId="0" applyFont="1" applyFill="1" applyBorder="1" applyAlignment="1" applyProtection="1">
      <alignment horizontal="center" vertical="center"/>
      <protection locked="0"/>
    </xf>
    <xf numFmtId="0" fontId="7" fillId="9" borderId="70" xfId="0" applyFont="1" applyFill="1" applyBorder="1" applyAlignment="1">
      <alignment vertical="center"/>
    </xf>
    <xf numFmtId="0" fontId="32" fillId="16" borderId="0" xfId="0" applyFont="1" applyFill="1" applyAlignment="1" applyProtection="1">
      <alignment vertical="center"/>
      <protection hidden="1"/>
    </xf>
    <xf numFmtId="14" fontId="36" fillId="18" borderId="66" xfId="0" quotePrefix="1" applyNumberFormat="1" applyFont="1" applyFill="1" applyBorder="1" applyAlignment="1" applyProtection="1">
      <alignment horizontal="center" vertical="center"/>
      <protection hidden="1"/>
    </xf>
    <xf numFmtId="0" fontId="37" fillId="16" borderId="0" xfId="0" applyFont="1" applyFill="1" applyProtection="1">
      <protection hidden="1"/>
    </xf>
    <xf numFmtId="14" fontId="12" fillId="19" borderId="0" xfId="0" applyNumberFormat="1" applyFont="1" applyFill="1" applyAlignment="1" applyProtection="1">
      <alignment horizontal="center" vertical="center"/>
      <protection hidden="1"/>
    </xf>
    <xf numFmtId="164" fontId="12" fillId="19" borderId="0" xfId="0" applyNumberFormat="1" applyFont="1" applyFill="1" applyAlignment="1" applyProtection="1">
      <alignment horizontal="center" vertical="center"/>
      <protection hidden="1"/>
    </xf>
    <xf numFmtId="14" fontId="12" fillId="19" borderId="4" xfId="0" applyNumberFormat="1" applyFont="1" applyFill="1" applyBorder="1" applyAlignment="1" applyProtection="1">
      <alignment horizontal="center" vertical="center"/>
      <protection hidden="1"/>
    </xf>
    <xf numFmtId="0" fontId="7" fillId="19" borderId="5" xfId="0" applyFont="1" applyFill="1" applyBorder="1" applyAlignment="1" applyProtection="1">
      <alignment horizontal="right" vertical="center"/>
      <protection hidden="1"/>
    </xf>
    <xf numFmtId="0" fontId="8" fillId="19" borderId="0" xfId="0" applyFont="1" applyFill="1" applyAlignment="1" applyProtection="1">
      <alignment horizontal="center"/>
      <protection locked="0" hidden="1"/>
    </xf>
    <xf numFmtId="0" fontId="8" fillId="19" borderId="3" xfId="0" applyFont="1" applyFill="1" applyBorder="1" applyAlignment="1" applyProtection="1">
      <alignment horizontal="center"/>
      <protection locked="0"/>
    </xf>
    <xf numFmtId="49" fontId="12" fillId="19" borderId="4" xfId="0" applyNumberFormat="1" applyFont="1" applyFill="1" applyBorder="1" applyAlignment="1" applyProtection="1">
      <alignment horizontal="center" vertical="center"/>
      <protection hidden="1"/>
    </xf>
    <xf numFmtId="0" fontId="20" fillId="9" borderId="0" xfId="0" applyFont="1" applyFill="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20" fillId="9" borderId="83" xfId="0" applyFont="1" applyFill="1" applyBorder="1" applyAlignment="1" applyProtection="1">
      <alignment horizontal="left" vertical="center"/>
      <protection hidden="1"/>
    </xf>
    <xf numFmtId="0" fontId="20" fillId="9" borderId="84" xfId="0" applyFont="1" applyFill="1" applyBorder="1" applyAlignment="1" applyProtection="1">
      <alignment horizontal="left" vertical="center"/>
      <protection hidden="1"/>
    </xf>
    <xf numFmtId="14" fontId="12" fillId="19" borderId="59" xfId="0" quotePrefix="1" applyNumberFormat="1" applyFont="1" applyFill="1" applyBorder="1" applyAlignment="1" applyProtection="1">
      <alignment horizontal="center" vertical="center"/>
      <protection hidden="1"/>
    </xf>
    <xf numFmtId="164" fontId="12" fillId="19" borderId="59" xfId="0" quotePrefix="1" applyNumberFormat="1" applyFont="1" applyFill="1" applyBorder="1" applyAlignment="1" applyProtection="1">
      <alignment horizontal="center" vertical="center"/>
      <protection hidden="1"/>
    </xf>
    <xf numFmtId="14" fontId="12" fillId="19" borderId="71" xfId="0" applyNumberFormat="1" applyFont="1" applyFill="1" applyBorder="1" applyAlignment="1" applyProtection="1">
      <alignment horizontal="center" vertical="center"/>
      <protection hidden="1"/>
    </xf>
    <xf numFmtId="0" fontId="7" fillId="19" borderId="72" xfId="0" applyFont="1" applyFill="1" applyBorder="1" applyAlignment="1" applyProtection="1">
      <alignment horizontal="right" vertical="center"/>
      <protection hidden="1"/>
    </xf>
    <xf numFmtId="0" fontId="8" fillId="19" borderId="71" xfId="0" applyFont="1" applyFill="1" applyBorder="1" applyAlignment="1" applyProtection="1">
      <alignment horizontal="center"/>
      <protection locked="0" hidden="1"/>
    </xf>
    <xf numFmtId="0" fontId="8" fillId="19" borderId="73" xfId="0" applyFont="1" applyFill="1" applyBorder="1" applyAlignment="1" applyProtection="1">
      <alignment horizontal="center"/>
      <protection locked="0"/>
    </xf>
    <xf numFmtId="0" fontId="8" fillId="19" borderId="72" xfId="0" applyFont="1" applyFill="1" applyBorder="1" applyAlignment="1" applyProtection="1">
      <alignment horizontal="center"/>
      <protection locked="0" hidden="1"/>
    </xf>
    <xf numFmtId="0" fontId="7" fillId="19" borderId="60" xfId="0" applyFont="1" applyFill="1" applyBorder="1" applyAlignment="1">
      <alignment horizontal="left" vertical="center"/>
    </xf>
    <xf numFmtId="0" fontId="7" fillId="19" borderId="65" xfId="0" applyFont="1" applyFill="1" applyBorder="1" applyAlignment="1">
      <alignment horizontal="left" vertical="center"/>
    </xf>
    <xf numFmtId="14" fontId="12" fillId="19" borderId="62" xfId="0" applyNumberFormat="1" applyFont="1" applyFill="1" applyBorder="1" applyAlignment="1" applyProtection="1">
      <alignment horizontal="center" vertical="center"/>
      <protection hidden="1"/>
    </xf>
    <xf numFmtId="164" fontId="12" fillId="19" borderId="62" xfId="0" applyNumberFormat="1" applyFont="1" applyFill="1" applyBorder="1" applyAlignment="1" applyProtection="1">
      <alignment horizontal="center" vertical="center"/>
      <protection hidden="1"/>
    </xf>
    <xf numFmtId="49" fontId="12" fillId="19" borderId="74" xfId="0" applyNumberFormat="1" applyFont="1" applyFill="1" applyBorder="1" applyAlignment="1" applyProtection="1">
      <alignment horizontal="center" vertical="center"/>
      <protection hidden="1"/>
    </xf>
    <xf numFmtId="0" fontId="7" fillId="19" borderId="75" xfId="0" applyFont="1" applyFill="1" applyBorder="1" applyAlignment="1" applyProtection="1">
      <alignment horizontal="right" vertical="center"/>
      <protection hidden="1"/>
    </xf>
    <xf numFmtId="0" fontId="8" fillId="19" borderId="62" xfId="0" applyFont="1" applyFill="1" applyBorder="1" applyAlignment="1" applyProtection="1">
      <alignment horizontal="center"/>
      <protection locked="0" hidden="1"/>
    </xf>
    <xf numFmtId="0" fontId="8" fillId="19" borderId="76" xfId="0" applyFont="1" applyFill="1" applyBorder="1" applyAlignment="1" applyProtection="1">
      <alignment horizontal="center"/>
      <protection locked="0"/>
    </xf>
    <xf numFmtId="0" fontId="7" fillId="19" borderId="63" xfId="0" applyFont="1" applyFill="1" applyBorder="1" applyAlignment="1">
      <alignment horizontal="left" vertical="center"/>
    </xf>
    <xf numFmtId="14" fontId="12" fillId="19" borderId="59" xfId="0" applyNumberFormat="1" applyFont="1" applyFill="1" applyBorder="1" applyAlignment="1" applyProtection="1">
      <alignment horizontal="center" vertical="center"/>
      <protection hidden="1"/>
    </xf>
    <xf numFmtId="0" fontId="8" fillId="19" borderId="59" xfId="0" applyFont="1" applyFill="1" applyBorder="1" applyAlignment="1" applyProtection="1">
      <alignment horizontal="center" vertical="center"/>
      <protection locked="0"/>
    </xf>
    <xf numFmtId="0" fontId="8" fillId="19" borderId="73" xfId="0" applyFont="1" applyFill="1" applyBorder="1" applyAlignment="1" applyProtection="1">
      <alignment horizontal="center" vertical="center"/>
      <protection locked="0"/>
    </xf>
    <xf numFmtId="0" fontId="7" fillId="19" borderId="60" xfId="0" applyFont="1" applyFill="1" applyBorder="1" applyAlignment="1">
      <alignment vertical="center"/>
    </xf>
    <xf numFmtId="14" fontId="12" fillId="19" borderId="62" xfId="0" quotePrefix="1" applyNumberFormat="1" applyFont="1" applyFill="1" applyBorder="1" applyAlignment="1" applyProtection="1">
      <alignment horizontal="center" vertical="center"/>
      <protection hidden="1"/>
    </xf>
    <xf numFmtId="164" fontId="12" fillId="19" borderId="62" xfId="0" quotePrefix="1" applyNumberFormat="1" applyFont="1" applyFill="1" applyBorder="1" applyAlignment="1" applyProtection="1">
      <alignment horizontal="center" vertical="center"/>
      <protection hidden="1"/>
    </xf>
    <xf numFmtId="0" fontId="8" fillId="19" borderId="62" xfId="0" applyFont="1" applyFill="1" applyBorder="1" applyAlignment="1" applyProtection="1">
      <alignment horizontal="center" vertical="center"/>
      <protection locked="0"/>
    </xf>
    <xf numFmtId="0" fontId="8" fillId="19" borderId="76" xfId="0" applyFont="1" applyFill="1" applyBorder="1" applyAlignment="1" applyProtection="1">
      <alignment horizontal="center" vertical="center"/>
      <protection locked="0"/>
    </xf>
    <xf numFmtId="0" fontId="7" fillId="19" borderId="63" xfId="0" applyFont="1" applyFill="1" applyBorder="1" applyAlignment="1">
      <alignment vertical="center"/>
    </xf>
    <xf numFmtId="0" fontId="15" fillId="21" borderId="87" xfId="0" applyFont="1" applyFill="1" applyBorder="1" applyAlignment="1" applyProtection="1">
      <alignment vertical="center"/>
      <protection hidden="1"/>
    </xf>
    <xf numFmtId="0" fontId="16" fillId="21" borderId="88" xfId="0" applyFont="1" applyFill="1" applyBorder="1" applyAlignment="1" applyProtection="1">
      <alignment vertical="center"/>
      <protection hidden="1"/>
    </xf>
    <xf numFmtId="0" fontId="16" fillId="21" borderId="89" xfId="0" applyFont="1" applyFill="1" applyBorder="1" applyAlignment="1" applyProtection="1">
      <alignment vertical="center"/>
      <protection hidden="1"/>
    </xf>
    <xf numFmtId="0" fontId="7" fillId="19" borderId="0" xfId="0" applyFont="1" applyFill="1" applyAlignment="1">
      <alignment horizontal="left" vertical="center"/>
    </xf>
    <xf numFmtId="0" fontId="8" fillId="19" borderId="92" xfId="0" applyFont="1" applyFill="1" applyBorder="1" applyAlignment="1" applyProtection="1">
      <alignment horizontal="center"/>
      <protection locked="0"/>
    </xf>
    <xf numFmtId="0" fontId="8" fillId="19" borderId="5" xfId="0" applyFont="1" applyFill="1" applyBorder="1" applyAlignment="1" applyProtection="1">
      <alignment horizontal="center"/>
      <protection locked="0" hidden="1"/>
    </xf>
    <xf numFmtId="0" fontId="8" fillId="19" borderId="4" xfId="0" applyFont="1" applyFill="1" applyBorder="1" applyAlignment="1" applyProtection="1">
      <alignment horizontal="center"/>
      <protection locked="0" hidden="1"/>
    </xf>
    <xf numFmtId="0" fontId="7" fillId="19" borderId="0" xfId="0" applyFont="1" applyFill="1" applyAlignment="1" applyProtection="1">
      <alignment horizontal="right" vertical="center"/>
      <protection hidden="1"/>
    </xf>
    <xf numFmtId="164" fontId="12" fillId="19" borderId="0" xfId="0" quotePrefix="1" applyNumberFormat="1" applyFont="1" applyFill="1" applyAlignment="1" applyProtection="1">
      <alignment horizontal="center" vertical="center"/>
      <protection hidden="1"/>
    </xf>
    <xf numFmtId="0" fontId="8" fillId="16" borderId="0" xfId="0" applyFont="1" applyFill="1" applyAlignment="1" applyProtection="1">
      <alignment horizontal="center"/>
      <protection locked="0" hidden="1"/>
    </xf>
    <xf numFmtId="0" fontId="9" fillId="4" borderId="0" xfId="0" quotePrefix="1" applyFont="1" applyFill="1" applyAlignment="1" applyProtection="1">
      <alignment horizontal="left" vertical="center"/>
      <protection hidden="1"/>
    </xf>
    <xf numFmtId="0" fontId="9" fillId="4" borderId="0" xfId="0" quotePrefix="1" applyFont="1" applyFill="1" applyAlignment="1" applyProtection="1">
      <alignment horizontal="center" vertical="center"/>
      <protection hidden="1"/>
    </xf>
    <xf numFmtId="14" fontId="12" fillId="24" borderId="0" xfId="0" applyNumberFormat="1" applyFont="1" applyFill="1" applyAlignment="1" applyProtection="1">
      <alignment horizontal="center" vertical="center"/>
      <protection hidden="1"/>
    </xf>
    <xf numFmtId="164" fontId="12" fillId="24" borderId="0" xfId="0" applyNumberFormat="1" applyFont="1" applyFill="1" applyAlignment="1" applyProtection="1">
      <alignment horizontal="center" vertical="center"/>
      <protection hidden="1"/>
    </xf>
    <xf numFmtId="0" fontId="7" fillId="24" borderId="5" xfId="0" applyFont="1" applyFill="1" applyBorder="1" applyAlignment="1" applyProtection="1">
      <alignment horizontal="right"/>
      <protection hidden="1"/>
    </xf>
    <xf numFmtId="0" fontId="7" fillId="24" borderId="4" xfId="0" applyFont="1" applyFill="1" applyBorder="1" applyProtection="1">
      <protection hidden="1"/>
    </xf>
    <xf numFmtId="0" fontId="7" fillId="24" borderId="2" xfId="0" applyFont="1" applyFill="1" applyBorder="1" applyAlignment="1" applyProtection="1">
      <alignment horizontal="center"/>
      <protection locked="0"/>
    </xf>
    <xf numFmtId="0" fontId="6" fillId="24" borderId="5" xfId="0" applyFont="1" applyFill="1" applyBorder="1" applyProtection="1">
      <protection hidden="1"/>
    </xf>
    <xf numFmtId="14" fontId="12" fillId="24" borderId="94" xfId="0" applyNumberFormat="1" applyFont="1" applyFill="1" applyBorder="1" applyAlignment="1" applyProtection="1">
      <alignment horizontal="center" vertical="center"/>
      <protection hidden="1"/>
    </xf>
    <xf numFmtId="164" fontId="12" fillId="24" borderId="94" xfId="0" applyNumberFormat="1" applyFont="1" applyFill="1" applyBorder="1" applyAlignment="1" applyProtection="1">
      <alignment horizontal="center" vertical="center"/>
      <protection hidden="1"/>
    </xf>
    <xf numFmtId="0" fontId="7" fillId="24" borderId="95" xfId="0" applyFont="1" applyFill="1" applyBorder="1" applyAlignment="1" applyProtection="1">
      <alignment horizontal="right"/>
      <protection hidden="1"/>
    </xf>
    <xf numFmtId="0" fontId="7" fillId="24" borderId="96" xfId="0" applyFont="1" applyFill="1" applyBorder="1" applyProtection="1">
      <protection hidden="1"/>
    </xf>
    <xf numFmtId="0" fontId="7" fillId="24" borderId="97" xfId="0" applyFont="1" applyFill="1" applyBorder="1" applyAlignment="1" applyProtection="1">
      <alignment horizontal="center"/>
      <protection locked="0"/>
    </xf>
    <xf numFmtId="0" fontId="6" fillId="24" borderId="95" xfId="0" applyFont="1" applyFill="1" applyBorder="1" applyProtection="1">
      <protection hidden="1"/>
    </xf>
    <xf numFmtId="0" fontId="7" fillId="24" borderId="98" xfId="0" applyFont="1" applyFill="1" applyBorder="1" applyAlignment="1" applyProtection="1">
      <alignment horizontal="left"/>
      <protection hidden="1"/>
    </xf>
    <xf numFmtId="0" fontId="7" fillId="24" borderId="100" xfId="0" applyFont="1" applyFill="1" applyBorder="1" applyAlignment="1" applyProtection="1">
      <alignment horizontal="left"/>
      <protection hidden="1"/>
    </xf>
    <xf numFmtId="14" fontId="12" fillId="24" borderId="102" xfId="0" applyNumberFormat="1" applyFont="1" applyFill="1" applyBorder="1" applyAlignment="1" applyProtection="1">
      <alignment horizontal="center" vertical="center"/>
      <protection hidden="1"/>
    </xf>
    <xf numFmtId="164" fontId="12" fillId="24" borderId="102" xfId="0" applyNumberFormat="1" applyFont="1" applyFill="1" applyBorder="1" applyAlignment="1" applyProtection="1">
      <alignment horizontal="center" vertical="center"/>
      <protection hidden="1"/>
    </xf>
    <xf numFmtId="0" fontId="7" fillId="24" borderId="103" xfId="0" applyFont="1" applyFill="1" applyBorder="1" applyAlignment="1" applyProtection="1">
      <alignment horizontal="right"/>
      <protection hidden="1"/>
    </xf>
    <xf numFmtId="0" fontId="7" fillId="24" borderId="104" xfId="0" applyFont="1" applyFill="1" applyBorder="1" applyProtection="1">
      <protection hidden="1"/>
    </xf>
    <xf numFmtId="0" fontId="7" fillId="24" borderId="105" xfId="0" applyFont="1" applyFill="1" applyBorder="1" applyAlignment="1" applyProtection="1">
      <alignment horizontal="center"/>
      <protection locked="0"/>
    </xf>
    <xf numFmtId="0" fontId="6" fillId="24" borderId="103" xfId="0" applyFont="1" applyFill="1" applyBorder="1" applyProtection="1">
      <protection hidden="1"/>
    </xf>
    <xf numFmtId="0" fontId="7" fillId="24" borderId="106" xfId="0" applyFont="1" applyFill="1" applyBorder="1" applyAlignment="1" applyProtection="1">
      <alignment horizontal="left"/>
      <protection hidden="1"/>
    </xf>
    <xf numFmtId="14" fontId="12" fillId="26" borderId="0" xfId="0" applyNumberFormat="1" applyFont="1" applyFill="1" applyAlignment="1" applyProtection="1">
      <alignment horizontal="center" vertical="center"/>
      <protection hidden="1"/>
    </xf>
    <xf numFmtId="164" fontId="12" fillId="26" borderId="0" xfId="0" applyNumberFormat="1" applyFont="1" applyFill="1" applyAlignment="1" applyProtection="1">
      <alignment horizontal="center" vertical="center"/>
      <protection hidden="1"/>
    </xf>
    <xf numFmtId="0" fontId="7" fillId="26" borderId="5" xfId="0" applyFont="1" applyFill="1" applyBorder="1" applyAlignment="1" applyProtection="1">
      <alignment horizontal="right"/>
      <protection hidden="1"/>
    </xf>
    <xf numFmtId="0" fontId="7" fillId="26" borderId="4" xfId="0" applyFont="1" applyFill="1" applyBorder="1" applyProtection="1">
      <protection hidden="1"/>
    </xf>
    <xf numFmtId="0" fontId="7" fillId="26" borderId="2" xfId="0" applyFont="1" applyFill="1" applyBorder="1" applyAlignment="1" applyProtection="1">
      <alignment horizontal="center"/>
      <protection locked="0"/>
    </xf>
    <xf numFmtId="0" fontId="6" fillId="26" borderId="5" xfId="0" applyFont="1" applyFill="1" applyBorder="1" applyProtection="1">
      <protection hidden="1"/>
    </xf>
    <xf numFmtId="14" fontId="12" fillId="26" borderId="108" xfId="0" applyNumberFormat="1" applyFont="1" applyFill="1" applyBorder="1" applyAlignment="1" applyProtection="1">
      <alignment horizontal="center" vertical="center"/>
      <protection hidden="1"/>
    </xf>
    <xf numFmtId="164" fontId="12" fillId="26" borderId="108" xfId="0" applyNumberFormat="1" applyFont="1" applyFill="1" applyBorder="1" applyAlignment="1" applyProtection="1">
      <alignment horizontal="center" vertical="center"/>
      <protection hidden="1"/>
    </xf>
    <xf numFmtId="0" fontId="7" fillId="26" borderId="109" xfId="0" applyFont="1" applyFill="1" applyBorder="1" applyAlignment="1" applyProtection="1">
      <alignment horizontal="right"/>
      <protection hidden="1"/>
    </xf>
    <xf numFmtId="0" fontId="7" fillId="26" borderId="110" xfId="0" applyFont="1" applyFill="1" applyBorder="1" applyProtection="1">
      <protection hidden="1"/>
    </xf>
    <xf numFmtId="0" fontId="7" fillId="26" borderId="111" xfId="0" applyFont="1" applyFill="1" applyBorder="1" applyAlignment="1" applyProtection="1">
      <alignment horizontal="center"/>
      <protection locked="0"/>
    </xf>
    <xf numFmtId="0" fontId="6" fillId="26" borderId="109" xfId="0" applyFont="1" applyFill="1" applyBorder="1" applyProtection="1">
      <protection hidden="1"/>
    </xf>
    <xf numFmtId="0" fontId="7" fillId="26" borderId="112" xfId="0" applyFont="1" applyFill="1" applyBorder="1" applyAlignment="1" applyProtection="1">
      <alignment horizontal="left"/>
      <protection hidden="1"/>
    </xf>
    <xf numFmtId="0" fontId="7" fillId="26" borderId="114" xfId="0" applyFont="1" applyFill="1" applyBorder="1" applyAlignment="1" applyProtection="1">
      <alignment horizontal="left"/>
      <protection hidden="1"/>
    </xf>
    <xf numFmtId="14" fontId="12" fillId="26" borderId="116" xfId="0" applyNumberFormat="1" applyFont="1" applyFill="1" applyBorder="1" applyAlignment="1" applyProtection="1">
      <alignment horizontal="center" vertical="center"/>
      <protection hidden="1"/>
    </xf>
    <xf numFmtId="164" fontId="12" fillId="26" borderId="116" xfId="0" applyNumberFormat="1" applyFont="1" applyFill="1" applyBorder="1" applyAlignment="1" applyProtection="1">
      <alignment horizontal="center" vertical="center"/>
      <protection hidden="1"/>
    </xf>
    <xf numFmtId="0" fontId="7" fillId="26" borderId="117" xfId="0" applyFont="1" applyFill="1" applyBorder="1" applyAlignment="1" applyProtection="1">
      <alignment horizontal="right"/>
      <protection hidden="1"/>
    </xf>
    <xf numFmtId="0" fontId="7" fillId="26" borderId="118" xfId="0" applyFont="1" applyFill="1" applyBorder="1" applyProtection="1">
      <protection hidden="1"/>
    </xf>
    <xf numFmtId="0" fontId="7" fillId="26" borderId="119" xfId="0" applyFont="1" applyFill="1" applyBorder="1" applyAlignment="1" applyProtection="1">
      <alignment horizontal="center"/>
      <protection locked="0"/>
    </xf>
    <xf numFmtId="0" fontId="6" fillId="26" borderId="117" xfId="0" applyFont="1" applyFill="1" applyBorder="1" applyProtection="1">
      <protection hidden="1"/>
    </xf>
    <xf numFmtId="0" fontId="7" fillId="26" borderId="120" xfId="0" applyFont="1" applyFill="1" applyBorder="1" applyAlignment="1" applyProtection="1">
      <alignment horizontal="left"/>
      <protection hidden="1"/>
    </xf>
    <xf numFmtId="14" fontId="12" fillId="28" borderId="0" xfId="0" applyNumberFormat="1" applyFont="1" applyFill="1" applyAlignment="1" applyProtection="1">
      <alignment horizontal="center" vertical="center"/>
      <protection hidden="1"/>
    </xf>
    <xf numFmtId="164" fontId="12" fillId="28" borderId="0" xfId="0" applyNumberFormat="1" applyFont="1" applyFill="1" applyAlignment="1" applyProtection="1">
      <alignment horizontal="center" vertical="center"/>
      <protection hidden="1"/>
    </xf>
    <xf numFmtId="0" fontId="7" fillId="28" borderId="5" xfId="0" applyFont="1" applyFill="1" applyBorder="1" applyAlignment="1" applyProtection="1">
      <alignment horizontal="right"/>
      <protection hidden="1"/>
    </xf>
    <xf numFmtId="0" fontId="7" fillId="28" borderId="4" xfId="0" applyFont="1" applyFill="1" applyBorder="1" applyProtection="1">
      <protection hidden="1"/>
    </xf>
    <xf numFmtId="0" fontId="7" fillId="28" borderId="2" xfId="0" applyFont="1" applyFill="1" applyBorder="1" applyAlignment="1" applyProtection="1">
      <alignment horizontal="center"/>
      <protection locked="0"/>
    </xf>
    <xf numFmtId="0" fontId="6" fillId="28" borderId="5" xfId="0" applyFont="1" applyFill="1" applyBorder="1" applyProtection="1">
      <protection hidden="1"/>
    </xf>
    <xf numFmtId="14" fontId="12" fillId="28" borderId="122" xfId="0" applyNumberFormat="1" applyFont="1" applyFill="1" applyBorder="1" applyAlignment="1" applyProtection="1">
      <alignment horizontal="center" vertical="center"/>
      <protection hidden="1"/>
    </xf>
    <xf numFmtId="164" fontId="12" fillId="28" borderId="122" xfId="0" applyNumberFormat="1" applyFont="1" applyFill="1" applyBorder="1" applyAlignment="1" applyProtection="1">
      <alignment horizontal="center" vertical="center"/>
      <protection hidden="1"/>
    </xf>
    <xf numFmtId="0" fontId="7" fillId="28" borderId="123" xfId="0" applyFont="1" applyFill="1" applyBorder="1" applyAlignment="1" applyProtection="1">
      <alignment horizontal="right"/>
      <protection hidden="1"/>
    </xf>
    <xf numFmtId="0" fontId="7" fillId="28" borderId="124" xfId="0" applyFont="1" applyFill="1" applyBorder="1" applyProtection="1">
      <protection hidden="1"/>
    </xf>
    <xf numFmtId="0" fontId="7" fillId="28" borderId="125" xfId="0" applyFont="1" applyFill="1" applyBorder="1" applyAlignment="1" applyProtection="1">
      <alignment horizontal="center"/>
      <protection locked="0"/>
    </xf>
    <xf numFmtId="0" fontId="6" fillId="28" borderId="123" xfId="0" applyFont="1" applyFill="1" applyBorder="1" applyProtection="1">
      <protection hidden="1"/>
    </xf>
    <xf numFmtId="0" fontId="7" fillId="28" borderId="126" xfId="0" applyFont="1" applyFill="1" applyBorder="1" applyAlignment="1" applyProtection="1">
      <alignment horizontal="left"/>
      <protection hidden="1"/>
    </xf>
    <xf numFmtId="0" fontId="7" fillId="28" borderId="128" xfId="0" applyFont="1" applyFill="1" applyBorder="1" applyAlignment="1" applyProtection="1">
      <alignment horizontal="left"/>
      <protection hidden="1"/>
    </xf>
    <xf numFmtId="14" fontId="12" fillId="28" borderId="130" xfId="0" applyNumberFormat="1" applyFont="1" applyFill="1" applyBorder="1" applyAlignment="1" applyProtection="1">
      <alignment horizontal="center" vertical="center"/>
      <protection hidden="1"/>
    </xf>
    <xf numFmtId="164" fontId="12" fillId="28" borderId="130" xfId="0" applyNumberFormat="1" applyFont="1" applyFill="1" applyBorder="1" applyAlignment="1" applyProtection="1">
      <alignment horizontal="center" vertical="center"/>
      <protection hidden="1"/>
    </xf>
    <xf numFmtId="0" fontId="7" fillId="28" borderId="131" xfId="0" applyFont="1" applyFill="1" applyBorder="1" applyAlignment="1" applyProtection="1">
      <alignment horizontal="right"/>
      <protection hidden="1"/>
    </xf>
    <xf numFmtId="0" fontId="7" fillId="28" borderId="132" xfId="0" applyFont="1" applyFill="1" applyBorder="1" applyProtection="1">
      <protection hidden="1"/>
    </xf>
    <xf numFmtId="0" fontId="7" fillId="28" borderId="133" xfId="0" applyFont="1" applyFill="1" applyBorder="1" applyAlignment="1" applyProtection="1">
      <alignment horizontal="center"/>
      <protection locked="0"/>
    </xf>
    <xf numFmtId="0" fontId="6" fillId="28" borderId="131" xfId="0" applyFont="1" applyFill="1" applyBorder="1" applyProtection="1">
      <protection hidden="1"/>
    </xf>
    <xf numFmtId="0" fontId="7" fillId="28" borderId="134" xfId="0" applyFont="1" applyFill="1" applyBorder="1" applyAlignment="1" applyProtection="1">
      <alignment horizontal="left"/>
      <protection hidden="1"/>
    </xf>
    <xf numFmtId="0" fontId="8" fillId="25" borderId="107" xfId="0" applyFont="1" applyFill="1" applyBorder="1" applyAlignment="1" applyProtection="1">
      <alignment horizontal="centerContinuous"/>
      <protection hidden="1"/>
    </xf>
    <xf numFmtId="0" fontId="8" fillId="25" borderId="108" xfId="0" applyFont="1" applyFill="1" applyBorder="1" applyAlignment="1" applyProtection="1">
      <alignment horizontal="centerContinuous"/>
      <protection hidden="1"/>
    </xf>
    <xf numFmtId="0" fontId="8" fillId="25" borderId="112" xfId="0" applyFont="1" applyFill="1" applyBorder="1" applyAlignment="1" applyProtection="1">
      <alignment horizontal="centerContinuous"/>
      <protection hidden="1"/>
    </xf>
    <xf numFmtId="0" fontId="9" fillId="4" borderId="113" xfId="0" applyFont="1" applyFill="1" applyBorder="1" applyAlignment="1" applyProtection="1">
      <alignment horizontal="center" vertical="center"/>
      <protection hidden="1"/>
    </xf>
    <xf numFmtId="0" fontId="9" fillId="4" borderId="114" xfId="0" applyFont="1" applyFill="1" applyBorder="1" applyAlignment="1" applyProtection="1">
      <alignment horizontal="center" vertical="center"/>
      <protection hidden="1"/>
    </xf>
    <xf numFmtId="0" fontId="9" fillId="4" borderId="115" xfId="0" applyFont="1" applyFill="1" applyBorder="1" applyAlignment="1" applyProtection="1">
      <alignment horizontal="center" vertical="center"/>
      <protection hidden="1"/>
    </xf>
    <xf numFmtId="0" fontId="9" fillId="4" borderId="116" xfId="0" applyFont="1" applyFill="1" applyBorder="1" applyAlignment="1" applyProtection="1">
      <alignment horizontal="left" vertical="center"/>
      <protection hidden="1"/>
    </xf>
    <xf numFmtId="0" fontId="9" fillId="4" borderId="116" xfId="0" applyFont="1" applyFill="1" applyBorder="1" applyAlignment="1" applyProtection="1">
      <alignment horizontal="center" vertical="center"/>
      <protection hidden="1"/>
    </xf>
    <xf numFmtId="0" fontId="9" fillId="4" borderId="120" xfId="0" applyFont="1" applyFill="1" applyBorder="1" applyAlignment="1" applyProtection="1">
      <alignment horizontal="center" vertical="center"/>
      <protection hidden="1"/>
    </xf>
    <xf numFmtId="0" fontId="8" fillId="23" borderId="93" xfId="0" applyFont="1" applyFill="1" applyBorder="1" applyAlignment="1" applyProtection="1">
      <alignment horizontal="centerContinuous"/>
      <protection hidden="1"/>
    </xf>
    <xf numFmtId="0" fontId="8" fillId="23" borderId="94" xfId="0" applyFont="1" applyFill="1" applyBorder="1" applyAlignment="1" applyProtection="1">
      <alignment horizontal="centerContinuous"/>
      <protection hidden="1"/>
    </xf>
    <xf numFmtId="0" fontId="8" fillId="23" borderId="98" xfId="0" applyFont="1" applyFill="1" applyBorder="1" applyAlignment="1" applyProtection="1">
      <alignment horizontal="centerContinuous"/>
      <protection hidden="1"/>
    </xf>
    <xf numFmtId="0" fontId="9" fillId="4" borderId="99" xfId="0" applyFont="1" applyFill="1" applyBorder="1" applyAlignment="1" applyProtection="1">
      <alignment horizontal="center" vertical="center"/>
      <protection hidden="1"/>
    </xf>
    <xf numFmtId="0" fontId="9" fillId="4" borderId="100" xfId="0" applyFont="1" applyFill="1" applyBorder="1" applyAlignment="1" applyProtection="1">
      <alignment horizontal="center" vertical="center"/>
      <protection hidden="1"/>
    </xf>
    <xf numFmtId="0" fontId="9" fillId="4" borderId="101" xfId="0" applyFont="1" applyFill="1" applyBorder="1" applyAlignment="1" applyProtection="1">
      <alignment horizontal="center" vertical="center"/>
      <protection hidden="1"/>
    </xf>
    <xf numFmtId="0" fontId="9" fillId="4" borderId="102" xfId="0" applyFont="1" applyFill="1" applyBorder="1" applyAlignment="1" applyProtection="1">
      <alignment horizontal="left" vertical="center"/>
      <protection hidden="1"/>
    </xf>
    <xf numFmtId="0" fontId="9" fillId="4" borderId="102" xfId="0" applyFont="1" applyFill="1" applyBorder="1" applyAlignment="1" applyProtection="1">
      <alignment horizontal="center" vertical="center"/>
      <protection hidden="1"/>
    </xf>
    <xf numFmtId="0" fontId="9" fillId="4" borderId="106" xfId="0" applyFont="1" applyFill="1" applyBorder="1" applyAlignment="1" applyProtection="1">
      <alignment horizontal="center" vertical="center"/>
      <protection hidden="1"/>
    </xf>
    <xf numFmtId="0" fontId="8" fillId="25" borderId="113" xfId="0" applyFont="1" applyFill="1" applyBorder="1" applyAlignment="1" applyProtection="1">
      <alignment horizontal="center" vertical="center"/>
      <protection hidden="1"/>
    </xf>
    <xf numFmtId="0" fontId="8" fillId="25" borderId="0" xfId="0" applyFont="1" applyFill="1" applyAlignment="1" applyProtection="1">
      <alignment horizontal="left" vertical="center"/>
      <protection hidden="1"/>
    </xf>
    <xf numFmtId="0" fontId="8" fillId="25" borderId="0" xfId="0" applyFont="1" applyFill="1" applyAlignment="1" applyProtection="1">
      <alignment horizontal="center" vertical="center"/>
      <protection hidden="1"/>
    </xf>
    <xf numFmtId="0" fontId="8" fillId="25" borderId="114" xfId="0" applyFont="1" applyFill="1" applyBorder="1" applyAlignment="1" applyProtection="1">
      <alignment horizontal="center" vertical="center"/>
      <protection hidden="1"/>
    </xf>
    <xf numFmtId="0" fontId="9" fillId="4" borderId="107" xfId="0" applyFont="1" applyFill="1" applyBorder="1" applyAlignment="1" applyProtection="1">
      <alignment horizontal="center" vertical="center"/>
      <protection hidden="1"/>
    </xf>
    <xf numFmtId="0" fontId="9" fillId="4" borderId="108" xfId="0" applyFont="1" applyFill="1" applyBorder="1" applyAlignment="1" applyProtection="1">
      <alignment horizontal="left" vertical="center"/>
      <protection hidden="1"/>
    </xf>
    <xf numFmtId="0" fontId="9" fillId="4" borderId="108" xfId="0" applyFont="1" applyFill="1" applyBorder="1" applyAlignment="1" applyProtection="1">
      <alignment horizontal="center" vertical="center"/>
      <protection hidden="1"/>
    </xf>
    <xf numFmtId="0" fontId="9" fillId="4" borderId="112" xfId="0" applyFont="1" applyFill="1" applyBorder="1" applyAlignment="1" applyProtection="1">
      <alignment horizontal="center" vertical="center"/>
      <protection hidden="1"/>
    </xf>
    <xf numFmtId="0" fontId="8" fillId="23" borderId="99" xfId="0" applyFont="1" applyFill="1" applyBorder="1" applyAlignment="1" applyProtection="1">
      <alignment horizontal="center" vertical="center"/>
      <protection hidden="1"/>
    </xf>
    <xf numFmtId="0" fontId="8" fillId="23" borderId="0" xfId="0" applyFont="1" applyFill="1" applyAlignment="1" applyProtection="1">
      <alignment horizontal="left" vertical="center"/>
      <protection hidden="1"/>
    </xf>
    <xf numFmtId="0" fontId="8" fillId="23" borderId="0" xfId="0" applyFont="1" applyFill="1" applyAlignment="1" applyProtection="1">
      <alignment horizontal="center" vertical="center"/>
      <protection hidden="1"/>
    </xf>
    <xf numFmtId="0" fontId="8" fillId="23" borderId="100" xfId="0" applyFont="1" applyFill="1" applyBorder="1" applyAlignment="1" applyProtection="1">
      <alignment horizontal="center" vertical="center"/>
      <protection hidden="1"/>
    </xf>
    <xf numFmtId="0" fontId="9" fillId="4" borderId="93" xfId="0" applyFont="1" applyFill="1" applyBorder="1" applyAlignment="1" applyProtection="1">
      <alignment horizontal="center" vertical="center"/>
      <protection hidden="1"/>
    </xf>
    <xf numFmtId="0" fontId="9" fillId="4" borderId="94" xfId="0" applyFont="1" applyFill="1" applyBorder="1" applyAlignment="1" applyProtection="1">
      <alignment horizontal="left" vertical="center"/>
      <protection hidden="1"/>
    </xf>
    <xf numFmtId="0" fontId="9" fillId="4" borderId="94" xfId="0" applyFont="1" applyFill="1" applyBorder="1" applyAlignment="1" applyProtection="1">
      <alignment horizontal="center" vertical="center"/>
      <protection hidden="1"/>
    </xf>
    <xf numFmtId="0" fontId="9" fillId="4" borderId="98" xfId="0" applyFont="1" applyFill="1" applyBorder="1" applyAlignment="1" applyProtection="1">
      <alignment horizontal="center" vertical="center"/>
      <protection hidden="1"/>
    </xf>
    <xf numFmtId="0" fontId="8" fillId="27" borderId="121" xfId="0" applyFont="1" applyFill="1" applyBorder="1" applyAlignment="1" applyProtection="1">
      <alignment horizontal="centerContinuous"/>
      <protection hidden="1"/>
    </xf>
    <xf numFmtId="0" fontId="8" fillId="27" borderId="122" xfId="0" applyFont="1" applyFill="1" applyBorder="1" applyAlignment="1" applyProtection="1">
      <alignment horizontal="centerContinuous"/>
      <protection hidden="1"/>
    </xf>
    <xf numFmtId="0" fontId="8" fillId="27" borderId="126" xfId="0" applyFont="1" applyFill="1" applyBorder="1" applyAlignment="1" applyProtection="1">
      <alignment horizontal="centerContinuous"/>
      <protection hidden="1"/>
    </xf>
    <xf numFmtId="0" fontId="9" fillId="4" borderId="127" xfId="0" applyFont="1" applyFill="1" applyBorder="1" applyAlignment="1" applyProtection="1">
      <alignment horizontal="center" vertical="center"/>
      <protection hidden="1"/>
    </xf>
    <xf numFmtId="0" fontId="9" fillId="4" borderId="128" xfId="0" applyFont="1" applyFill="1" applyBorder="1" applyAlignment="1" applyProtection="1">
      <alignment horizontal="center" vertical="center"/>
      <protection hidden="1"/>
    </xf>
    <xf numFmtId="0" fontId="9" fillId="4" borderId="129" xfId="0" applyFont="1" applyFill="1" applyBorder="1" applyAlignment="1" applyProtection="1">
      <alignment horizontal="center" vertical="center"/>
      <protection hidden="1"/>
    </xf>
    <xf numFmtId="0" fontId="9" fillId="4" borderId="130" xfId="0" applyFont="1" applyFill="1" applyBorder="1" applyAlignment="1" applyProtection="1">
      <alignment horizontal="left" vertical="center"/>
      <protection hidden="1"/>
    </xf>
    <xf numFmtId="0" fontId="9" fillId="4" borderId="130" xfId="0" applyFont="1" applyFill="1" applyBorder="1" applyAlignment="1" applyProtection="1">
      <alignment horizontal="center" vertical="center"/>
      <protection hidden="1"/>
    </xf>
    <xf numFmtId="0" fontId="9" fillId="4" borderId="134" xfId="0" applyFont="1" applyFill="1" applyBorder="1" applyAlignment="1" applyProtection="1">
      <alignment horizontal="center" vertical="center"/>
      <protection hidden="1"/>
    </xf>
    <xf numFmtId="0" fontId="8" fillId="27" borderId="127" xfId="0" applyFont="1" applyFill="1" applyBorder="1" applyAlignment="1" applyProtection="1">
      <alignment horizontal="center" vertical="center"/>
      <protection hidden="1"/>
    </xf>
    <xf numFmtId="0" fontId="8" fillId="27" borderId="0" xfId="0" applyFont="1" applyFill="1" applyAlignment="1" applyProtection="1">
      <alignment horizontal="left" vertical="center"/>
      <protection hidden="1"/>
    </xf>
    <xf numFmtId="0" fontId="8" fillId="27" borderId="0" xfId="0" applyFont="1" applyFill="1" applyAlignment="1" applyProtection="1">
      <alignment horizontal="center" vertical="center"/>
      <protection hidden="1"/>
    </xf>
    <xf numFmtId="0" fontId="8" fillId="27" borderId="128" xfId="0" applyFont="1" applyFill="1" applyBorder="1" applyAlignment="1" applyProtection="1">
      <alignment horizontal="center" vertical="center"/>
      <protection hidden="1"/>
    </xf>
    <xf numFmtId="0" fontId="9" fillId="4" borderId="121" xfId="0" applyFont="1" applyFill="1" applyBorder="1" applyAlignment="1" applyProtection="1">
      <alignment horizontal="center" vertical="center"/>
      <protection hidden="1"/>
    </xf>
    <xf numFmtId="0" fontId="9" fillId="4" borderId="122" xfId="0" applyFont="1" applyFill="1" applyBorder="1" applyAlignment="1" applyProtection="1">
      <alignment horizontal="left" vertical="center"/>
      <protection hidden="1"/>
    </xf>
    <xf numFmtId="0" fontId="9" fillId="4" borderId="122" xfId="0" applyFont="1" applyFill="1" applyBorder="1" applyAlignment="1" applyProtection="1">
      <alignment horizontal="center" vertical="center"/>
      <protection hidden="1"/>
    </xf>
    <xf numFmtId="0" fontId="9" fillId="4" borderId="126" xfId="0" applyFont="1" applyFill="1" applyBorder="1" applyAlignment="1" applyProtection="1">
      <alignment horizontal="center" vertical="center"/>
      <protection hidden="1"/>
    </xf>
    <xf numFmtId="0" fontId="8" fillId="6" borderId="135" xfId="0" applyFont="1" applyFill="1" applyBorder="1" applyAlignment="1" applyProtection="1">
      <alignment horizontal="centerContinuous" vertical="center"/>
      <protection hidden="1"/>
    </xf>
    <xf numFmtId="0" fontId="8" fillId="6" borderId="136" xfId="0" applyFont="1" applyFill="1" applyBorder="1" applyAlignment="1" applyProtection="1">
      <alignment horizontal="centerContinuous" vertical="center"/>
      <protection hidden="1"/>
    </xf>
    <xf numFmtId="0" fontId="8" fillId="6" borderId="137" xfId="0" applyFont="1" applyFill="1" applyBorder="1" applyAlignment="1" applyProtection="1">
      <alignment horizontal="centerContinuous" vertical="center"/>
      <protection hidden="1"/>
    </xf>
    <xf numFmtId="0" fontId="9" fillId="4" borderId="138" xfId="0" applyFont="1" applyFill="1" applyBorder="1" applyAlignment="1" applyProtection="1">
      <alignment horizontal="center" vertical="center"/>
      <protection hidden="1"/>
    </xf>
    <xf numFmtId="0" fontId="9" fillId="4" borderId="139" xfId="0" quotePrefix="1" applyFont="1" applyFill="1" applyBorder="1" applyAlignment="1" applyProtection="1">
      <alignment horizontal="center" vertical="center"/>
      <protection hidden="1"/>
    </xf>
    <xf numFmtId="0" fontId="9" fillId="4" borderId="140" xfId="0" applyFont="1" applyFill="1" applyBorder="1" applyAlignment="1" applyProtection="1">
      <alignment horizontal="center" vertical="center"/>
      <protection hidden="1"/>
    </xf>
    <xf numFmtId="0" fontId="8" fillId="6" borderId="138" xfId="0" applyFont="1" applyFill="1" applyBorder="1" applyAlignment="1" applyProtection="1">
      <alignment horizontal="center" vertical="center"/>
      <protection hidden="1"/>
    </xf>
    <xf numFmtId="0" fontId="8" fillId="6" borderId="0" xfId="0" applyFont="1" applyFill="1" applyAlignment="1" applyProtection="1">
      <alignment horizontal="left" vertical="center"/>
      <protection hidden="1"/>
    </xf>
    <xf numFmtId="0" fontId="8" fillId="6" borderId="139" xfId="0" applyFont="1" applyFill="1" applyBorder="1" applyAlignment="1" applyProtection="1">
      <alignment horizontal="center" vertical="center"/>
      <protection hidden="1"/>
    </xf>
    <xf numFmtId="0" fontId="9" fillId="4" borderId="135" xfId="0" applyFont="1" applyFill="1" applyBorder="1" applyAlignment="1" applyProtection="1">
      <alignment horizontal="center" vertical="center"/>
      <protection hidden="1"/>
    </xf>
    <xf numFmtId="0" fontId="9" fillId="4" borderId="136" xfId="0" applyFont="1" applyFill="1" applyBorder="1" applyAlignment="1" applyProtection="1">
      <alignment horizontal="left" vertical="center"/>
      <protection hidden="1"/>
    </xf>
    <xf numFmtId="0" fontId="9" fillId="4" borderId="136" xfId="0" applyFont="1" applyFill="1" applyBorder="1" applyAlignment="1" applyProtection="1">
      <alignment horizontal="center" vertical="center"/>
      <protection hidden="1"/>
    </xf>
    <xf numFmtId="0" fontId="9" fillId="4" borderId="136" xfId="0" quotePrefix="1" applyFont="1" applyFill="1" applyBorder="1" applyAlignment="1" applyProtection="1">
      <alignment horizontal="center" vertical="center"/>
      <protection hidden="1"/>
    </xf>
    <xf numFmtId="0" fontId="9" fillId="4" borderId="137" xfId="0" quotePrefix="1" applyFont="1" applyFill="1" applyBorder="1" applyAlignment="1" applyProtection="1">
      <alignment horizontal="center" vertical="center"/>
      <protection hidden="1"/>
    </xf>
    <xf numFmtId="0" fontId="9" fillId="4" borderId="141" xfId="0" applyFont="1" applyFill="1" applyBorder="1" applyAlignment="1" applyProtection="1">
      <alignment horizontal="left" vertical="center"/>
      <protection hidden="1"/>
    </xf>
    <xf numFmtId="0" fontId="9" fillId="4" borderId="141" xfId="0" applyFont="1" applyFill="1" applyBorder="1" applyAlignment="1" applyProtection="1">
      <alignment horizontal="center" vertical="center"/>
      <protection hidden="1"/>
    </xf>
    <xf numFmtId="0" fontId="9" fillId="4" borderId="142" xfId="0" applyFont="1" applyFill="1" applyBorder="1" applyAlignment="1" applyProtection="1">
      <alignment horizontal="center" vertical="center"/>
      <protection hidden="1"/>
    </xf>
    <xf numFmtId="0" fontId="32" fillId="16" borderId="0" xfId="0" applyFont="1" applyFill="1" applyAlignment="1" applyProtection="1">
      <alignment horizontal="left" vertical="center"/>
      <protection hidden="1"/>
    </xf>
    <xf numFmtId="0" fontId="32" fillId="16" borderId="0" xfId="0" applyFont="1" applyFill="1" applyAlignment="1" applyProtection="1">
      <alignment horizontal="centerContinuous" vertical="center"/>
      <protection hidden="1"/>
    </xf>
    <xf numFmtId="0" fontId="37" fillId="16" borderId="0" xfId="0" applyFont="1" applyFill="1" applyAlignment="1" applyProtection="1">
      <alignment vertical="center"/>
      <protection hidden="1"/>
    </xf>
    <xf numFmtId="0" fontId="32" fillId="16" borderId="0" xfId="0" applyFont="1" applyFill="1" applyProtection="1">
      <protection hidden="1"/>
    </xf>
    <xf numFmtId="0" fontId="34" fillId="16" borderId="0" xfId="0" applyFont="1" applyFill="1" applyAlignment="1">
      <alignment horizontal="center" vertical="center"/>
    </xf>
    <xf numFmtId="0" fontId="34" fillId="16" borderId="0" xfId="0" applyFont="1" applyFill="1" applyAlignment="1" applyProtection="1">
      <alignment horizontal="left" vertical="center"/>
      <protection hidden="1"/>
    </xf>
    <xf numFmtId="0" fontId="34" fillId="16" borderId="0" xfId="0" applyFont="1" applyFill="1" applyAlignment="1">
      <alignment horizontal="left" vertical="center"/>
    </xf>
    <xf numFmtId="0" fontId="8" fillId="11" borderId="0" xfId="0" applyFont="1" applyFill="1" applyAlignment="1" applyProtection="1">
      <alignment horizontal="center" vertical="center"/>
      <protection hidden="1"/>
    </xf>
    <xf numFmtId="0" fontId="8" fillId="13" borderId="0" xfId="0" applyFont="1" applyFill="1" applyAlignment="1" applyProtection="1">
      <alignment horizontal="center" vertical="center"/>
      <protection hidden="1"/>
    </xf>
    <xf numFmtId="0" fontId="8" fillId="14" borderId="0" xfId="0" applyFont="1" applyFill="1" applyAlignment="1" applyProtection="1">
      <alignment horizontal="center" vertical="center"/>
      <protection hidden="1"/>
    </xf>
    <xf numFmtId="14" fontId="36" fillId="18"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9" fillId="33" borderId="0" xfId="0" applyFont="1" applyFill="1" applyAlignment="1">
      <alignment vertical="center" wrapText="1"/>
    </xf>
    <xf numFmtId="0" fontId="0" fillId="34" borderId="0" xfId="0" applyFill="1" applyAlignment="1">
      <alignment horizontal="left" vertical="center" wrapText="1"/>
    </xf>
    <xf numFmtId="0" fontId="39" fillId="0" borderId="0" xfId="0" applyFont="1" applyAlignment="1">
      <alignment vertical="center" wrapText="1"/>
    </xf>
    <xf numFmtId="0" fontId="0" fillId="2" borderId="0" xfId="0" applyFill="1" applyAlignment="1">
      <alignment horizontal="left" vertical="center" wrapText="1"/>
    </xf>
    <xf numFmtId="0" fontId="0" fillId="2" borderId="144" xfId="0" applyFill="1" applyBorder="1"/>
    <xf numFmtId="0" fontId="0" fillId="2" borderId="145" xfId="0" applyFill="1" applyBorder="1" applyAlignment="1">
      <alignment horizontal="left" vertical="center" wrapText="1"/>
    </xf>
    <xf numFmtId="0" fontId="0" fillId="34" borderId="146" xfId="0" applyFill="1" applyBorder="1" applyAlignment="1">
      <alignment horizontal="left" vertical="center" wrapText="1"/>
    </xf>
    <xf numFmtId="0" fontId="0" fillId="2" borderId="147" xfId="0" applyFill="1" applyBorder="1"/>
    <xf numFmtId="0" fontId="0" fillId="5" borderId="0" xfId="0" applyFill="1" applyAlignment="1" applyProtection="1">
      <alignment vertical="center" wrapText="1"/>
      <protection hidden="1"/>
    </xf>
    <xf numFmtId="0" fontId="0" fillId="34" borderId="149" xfId="0" applyFill="1" applyBorder="1"/>
    <xf numFmtId="0" fontId="0" fillId="34" borderId="152" xfId="0" applyFill="1" applyBorder="1" applyAlignment="1">
      <alignment horizontal="left" vertical="center" wrapText="1"/>
    </xf>
    <xf numFmtId="0" fontId="0" fillId="34" borderId="4" xfId="0" applyFill="1" applyBorder="1" applyAlignment="1">
      <alignment horizontal="left" vertical="center" wrapText="1"/>
    </xf>
    <xf numFmtId="0" fontId="0" fillId="2" borderId="151" xfId="0" applyFill="1" applyBorder="1"/>
    <xf numFmtId="0" fontId="0" fillId="2" borderId="153" xfId="0" applyFill="1" applyBorder="1"/>
    <xf numFmtId="0" fontId="0" fillId="5" borderId="4" xfId="0" applyFill="1" applyBorder="1" applyAlignment="1" applyProtection="1">
      <alignment vertical="center" wrapText="1"/>
      <protection hidden="1"/>
    </xf>
    <xf numFmtId="0" fontId="39" fillId="33" borderId="151" xfId="0" applyFont="1" applyFill="1" applyBorder="1" applyAlignment="1">
      <alignment vertical="center" wrapText="1"/>
    </xf>
    <xf numFmtId="0" fontId="0" fillId="33" borderId="143" xfId="0" applyFill="1" applyBorder="1"/>
    <xf numFmtId="0" fontId="0" fillId="32" borderId="143" xfId="0" applyFill="1" applyBorder="1"/>
    <xf numFmtId="0" fontId="0" fillId="34" borderId="154" xfId="0" applyFill="1" applyBorder="1" applyAlignment="1">
      <alignment horizontal="left" vertical="center" wrapText="1"/>
    </xf>
    <xf numFmtId="0" fontId="42" fillId="16" borderId="0" xfId="0" applyFont="1" applyFill="1" applyAlignment="1">
      <alignment horizontal="center" vertical="center"/>
    </xf>
    <xf numFmtId="0" fontId="38" fillId="5" borderId="77" xfId="0" applyFont="1" applyFill="1" applyBorder="1" applyAlignment="1" applyProtection="1">
      <alignment horizontal="left" vertical="center"/>
      <protection hidden="1"/>
    </xf>
    <xf numFmtId="0" fontId="21" fillId="9" borderId="82" xfId="0" applyFont="1" applyFill="1" applyBorder="1" applyAlignment="1" applyProtection="1">
      <alignment horizontal="left" vertical="center"/>
      <protection hidden="1"/>
    </xf>
    <xf numFmtId="0" fontId="1" fillId="16" borderId="0" xfId="0" applyFont="1" applyFill="1" applyAlignment="1" applyProtection="1">
      <alignment vertical="center"/>
      <protection hidden="1"/>
    </xf>
    <xf numFmtId="0" fontId="46" fillId="16" borderId="0" xfId="0" applyFont="1" applyFill="1" applyProtection="1">
      <protection hidden="1"/>
    </xf>
    <xf numFmtId="0" fontId="46" fillId="16" borderId="0" xfId="0" applyFont="1" applyFill="1" applyAlignment="1" applyProtection="1">
      <alignment horizontal="left"/>
      <protection hidden="1"/>
    </xf>
    <xf numFmtId="0" fontId="47" fillId="16" borderId="0" xfId="0" applyFont="1" applyFill="1" applyProtection="1">
      <protection hidden="1"/>
    </xf>
    <xf numFmtId="0" fontId="49" fillId="8" borderId="0" xfId="0" applyFont="1" applyFill="1" applyAlignment="1" applyProtection="1">
      <alignment horizontal="center" vertical="center"/>
      <protection hidden="1"/>
    </xf>
    <xf numFmtId="0" fontId="7" fillId="2" borderId="0" xfId="0" applyFont="1" applyFill="1"/>
    <xf numFmtId="0" fontId="48" fillId="8" borderId="0" xfId="0" applyFont="1" applyFill="1" applyProtection="1">
      <protection hidden="1"/>
    </xf>
    <xf numFmtId="0" fontId="7" fillId="2" borderId="0" xfId="0" applyFont="1" applyFill="1" applyProtection="1">
      <protection hidden="1"/>
    </xf>
    <xf numFmtId="0" fontId="7" fillId="0" borderId="0" xfId="0" applyFont="1"/>
    <xf numFmtId="0" fontId="8" fillId="2" borderId="0" xfId="0" applyFont="1" applyFill="1"/>
    <xf numFmtId="0" fontId="7" fillId="2" borderId="0" xfId="0" applyFont="1" applyFill="1" applyAlignment="1">
      <alignment horizontal="left" indent="1"/>
    </xf>
    <xf numFmtId="0" fontId="7" fillId="2" borderId="0" xfId="0" applyFont="1" applyFill="1" applyProtection="1">
      <protection locked="0"/>
    </xf>
    <xf numFmtId="0" fontId="54" fillId="2" borderId="0" xfId="0" applyFont="1" applyFill="1" applyAlignment="1">
      <alignment horizontal="center" wrapText="1"/>
    </xf>
    <xf numFmtId="0" fontId="52" fillId="0" borderId="290" xfId="0" applyFont="1" applyBorder="1" applyAlignment="1" applyProtection="1">
      <alignment horizontal="center" vertical="center"/>
      <protection locked="0" hidden="1"/>
    </xf>
    <xf numFmtId="0" fontId="9" fillId="16" borderId="0" xfId="0" applyFont="1" applyFill="1" applyAlignment="1" applyProtection="1">
      <alignment vertical="center"/>
      <protection hidden="1"/>
    </xf>
    <xf numFmtId="0" fontId="18" fillId="16" borderId="0" xfId="0" applyFont="1" applyFill="1" applyProtection="1">
      <protection hidden="1"/>
    </xf>
    <xf numFmtId="0" fontId="18" fillId="2" borderId="0" xfId="0" applyFont="1" applyFill="1" applyAlignment="1">
      <alignment horizontal="center"/>
    </xf>
    <xf numFmtId="0" fontId="9" fillId="16" borderId="0" xfId="0" applyFont="1" applyFill="1" applyAlignment="1" applyProtection="1">
      <alignment horizontal="center" wrapText="1"/>
      <protection hidden="1"/>
    </xf>
    <xf numFmtId="0" fontId="9" fillId="16" borderId="0" xfId="0" applyFont="1" applyFill="1" applyAlignment="1" applyProtection="1">
      <alignment horizontal="centerContinuous" vertical="center"/>
      <protection hidden="1"/>
    </xf>
    <xf numFmtId="0" fontId="18" fillId="0" borderId="0" xfId="0" applyFont="1" applyAlignment="1">
      <alignment horizontal="center"/>
    </xf>
    <xf numFmtId="0" fontId="8" fillId="6" borderId="0" xfId="0" applyFont="1" applyFill="1" applyAlignment="1" applyProtection="1">
      <alignment horizontal="center" vertical="center"/>
      <protection hidden="1"/>
    </xf>
    <xf numFmtId="0" fontId="8" fillId="0" borderId="0" xfId="0" applyFont="1" applyAlignment="1" applyProtection="1">
      <alignment vertical="center"/>
      <protection hidden="1"/>
    </xf>
    <xf numFmtId="0" fontId="7" fillId="0" borderId="0" xfId="0" applyFont="1" applyProtection="1">
      <protection hidden="1"/>
    </xf>
    <xf numFmtId="0" fontId="8" fillId="0" borderId="0" xfId="0" applyFont="1" applyProtection="1">
      <protection hidden="1"/>
    </xf>
    <xf numFmtId="0" fontId="21" fillId="0" borderId="0" xfId="0" applyFont="1"/>
    <xf numFmtId="3" fontId="7" fillId="0" borderId="0" xfId="0" applyNumberFormat="1" applyFont="1" applyProtection="1">
      <protection hidden="1"/>
    </xf>
    <xf numFmtId="0" fontId="7" fillId="0" borderId="0" xfId="0" applyFont="1" applyAlignment="1" applyProtection="1">
      <alignment horizontal="center"/>
      <protection hidden="1"/>
    </xf>
    <xf numFmtId="0" fontId="8" fillId="0" borderId="0" xfId="0" applyFont="1" applyAlignment="1" applyProtection="1">
      <alignment horizontal="center"/>
      <protection hidden="1"/>
    </xf>
    <xf numFmtId="0" fontId="8" fillId="0" borderId="0" xfId="0" applyFont="1"/>
    <xf numFmtId="0" fontId="8" fillId="0" borderId="0" xfId="0" quotePrefix="1" applyFont="1"/>
    <xf numFmtId="0" fontId="8" fillId="0" borderId="0" xfId="0" applyFont="1" applyAlignment="1" applyProtection="1">
      <alignment horizontal="center" vertical="center"/>
      <protection hidden="1"/>
    </xf>
    <xf numFmtId="0" fontId="7" fillId="0" borderId="0" xfId="0" applyFont="1" applyAlignment="1" applyProtection="1">
      <alignment horizontal="center" vertical="center"/>
      <protection hidden="1"/>
    </xf>
    <xf numFmtId="0" fontId="7" fillId="0" borderId="0" xfId="90" applyFont="1"/>
    <xf numFmtId="0" fontId="8" fillId="0" borderId="0" xfId="0" applyFont="1" applyAlignment="1">
      <alignment horizontal="center"/>
    </xf>
    <xf numFmtId="0" fontId="7" fillId="0" borderId="0" xfId="0" applyFont="1" applyAlignment="1">
      <alignment horizontal="center"/>
    </xf>
    <xf numFmtId="0" fontId="7" fillId="0" borderId="0" xfId="0" quotePrefix="1" applyFont="1"/>
    <xf numFmtId="17" fontId="7" fillId="0" borderId="0" xfId="0" applyNumberFormat="1" applyFont="1"/>
    <xf numFmtId="0" fontId="8" fillId="0" borderId="0" xfId="0" applyFont="1" applyAlignment="1" applyProtection="1">
      <alignment horizontal="centerContinuous" wrapText="1"/>
      <protection hidden="1"/>
    </xf>
    <xf numFmtId="0" fontId="7" fillId="0" borderId="0" xfId="0" applyFont="1" applyAlignment="1">
      <alignment horizontal="left" indent="1"/>
    </xf>
    <xf numFmtId="2" fontId="7" fillId="0" borderId="0" xfId="0" applyNumberFormat="1" applyFont="1"/>
    <xf numFmtId="0" fontId="20" fillId="0" borderId="0" xfId="0" applyFont="1"/>
    <xf numFmtId="0" fontId="7" fillId="40" borderId="277" xfId="0" applyFont="1" applyFill="1" applyBorder="1"/>
    <xf numFmtId="0" fontId="7" fillId="0" borderId="277" xfId="0" applyFont="1" applyBorder="1"/>
    <xf numFmtId="20" fontId="7" fillId="0" borderId="277" xfId="0" applyNumberFormat="1" applyFont="1" applyBorder="1"/>
    <xf numFmtId="0" fontId="8" fillId="41" borderId="0" xfId="0" applyFont="1" applyFill="1"/>
    <xf numFmtId="0" fontId="8" fillId="41" borderId="0" xfId="0" quotePrefix="1" applyFont="1" applyFill="1"/>
    <xf numFmtId="0" fontId="20" fillId="0" borderId="0" xfId="0" applyFont="1" applyProtection="1">
      <protection hidden="1"/>
    </xf>
    <xf numFmtId="20" fontId="7" fillId="0" borderId="0" xfId="0" applyNumberFormat="1" applyFont="1"/>
    <xf numFmtId="22" fontId="20" fillId="0" borderId="0" xfId="0" applyNumberFormat="1" applyFont="1" applyAlignment="1" applyProtection="1">
      <alignment horizontal="center" vertical="center"/>
      <protection hidden="1"/>
    </xf>
    <xf numFmtId="22" fontId="7" fillId="0" borderId="0" xfId="0" applyNumberFormat="1" applyFont="1"/>
    <xf numFmtId="22" fontId="20" fillId="0" borderId="0" xfId="0" applyNumberFormat="1" applyFont="1" applyProtection="1">
      <protection hidden="1"/>
    </xf>
    <xf numFmtId="22" fontId="21" fillId="0" borderId="0" xfId="0" applyNumberFormat="1" applyFont="1" applyProtection="1">
      <protection hidden="1"/>
    </xf>
    <xf numFmtId="22" fontId="21" fillId="0" borderId="0" xfId="0" applyNumberFormat="1" applyFont="1" applyAlignment="1" applyProtection="1">
      <alignment vertical="center"/>
      <protection hidden="1"/>
    </xf>
    <xf numFmtId="22" fontId="20" fillId="0" borderId="0" xfId="0" quotePrefix="1" applyNumberFormat="1" applyFont="1" applyAlignment="1" applyProtection="1">
      <alignment horizontal="center" vertical="center"/>
      <protection hidden="1"/>
    </xf>
    <xf numFmtId="22" fontId="21" fillId="0" borderId="0" xfId="0" applyNumberFormat="1" applyFont="1" applyAlignment="1" applyProtection="1">
      <alignment horizontal="centerContinuous" vertical="center"/>
      <protection hidden="1"/>
    </xf>
    <xf numFmtId="16" fontId="20" fillId="0" borderId="0" xfId="0" quotePrefix="1" applyNumberFormat="1" applyFont="1" applyProtection="1">
      <protection hidden="1"/>
    </xf>
    <xf numFmtId="0" fontId="44" fillId="2" borderId="0" xfId="27" applyFont="1" applyFill="1" applyAlignment="1" applyProtection="1">
      <alignment horizontal="right" vertical="center"/>
      <protection hidden="1"/>
    </xf>
    <xf numFmtId="0" fontId="4" fillId="2" borderId="0" xfId="27" applyFill="1" applyAlignment="1" applyProtection="1">
      <alignment horizontal="center" vertical="center"/>
      <protection hidden="1"/>
    </xf>
    <xf numFmtId="0" fontId="0" fillId="2" borderId="155" xfId="0" applyFill="1" applyBorder="1" applyProtection="1">
      <protection hidden="1"/>
    </xf>
    <xf numFmtId="0" fontId="2" fillId="2" borderId="0" xfId="0" applyFont="1" applyFill="1" applyProtection="1">
      <protection hidden="1"/>
    </xf>
    <xf numFmtId="16" fontId="2" fillId="2" borderId="0" xfId="0" quotePrefix="1" applyNumberFormat="1" applyFont="1" applyFill="1" applyProtection="1">
      <protection hidden="1"/>
    </xf>
    <xf numFmtId="0" fontId="2" fillId="2" borderId="0" xfId="0" quotePrefix="1" applyFont="1" applyFill="1" applyProtection="1">
      <protection hidden="1"/>
    </xf>
    <xf numFmtId="0" fontId="8" fillId="10" borderId="156" xfId="0" applyFont="1" applyFill="1" applyBorder="1" applyAlignment="1" applyProtection="1">
      <alignment horizontal="center" vertical="center"/>
      <protection hidden="1"/>
    </xf>
    <xf numFmtId="0" fontId="0" fillId="0" borderId="157" xfId="0" applyBorder="1" applyAlignment="1" applyProtection="1">
      <alignment horizontal="left"/>
      <protection hidden="1"/>
    </xf>
    <xf numFmtId="0" fontId="0" fillId="0" borderId="158" xfId="0" applyBorder="1" applyAlignment="1" applyProtection="1">
      <alignment horizontal="center"/>
      <protection hidden="1"/>
    </xf>
    <xf numFmtId="0" fontId="0" fillId="0" borderId="158" xfId="0" applyBorder="1" applyProtection="1">
      <protection hidden="1"/>
    </xf>
    <xf numFmtId="0" fontId="0" fillId="2" borderId="159" xfId="0" applyFill="1" applyBorder="1" applyProtection="1">
      <protection hidden="1"/>
    </xf>
    <xf numFmtId="0" fontId="8" fillId="10" borderId="158" xfId="0" applyFont="1" applyFill="1" applyBorder="1" applyAlignment="1" applyProtection="1">
      <alignment horizontal="left" vertical="center"/>
      <protection hidden="1"/>
    </xf>
    <xf numFmtId="0" fontId="8" fillId="10" borderId="158" xfId="0" applyFont="1" applyFill="1" applyBorder="1" applyAlignment="1" applyProtection="1">
      <alignment horizontal="center" vertical="center"/>
      <protection hidden="1"/>
    </xf>
    <xf numFmtId="0" fontId="8" fillId="10" borderId="160" xfId="0" applyFont="1" applyFill="1" applyBorder="1" applyAlignment="1" applyProtection="1">
      <alignment horizontal="center" vertical="center"/>
      <protection hidden="1"/>
    </xf>
    <xf numFmtId="0" fontId="2" fillId="35" borderId="173" xfId="0" applyFont="1" applyFill="1" applyBorder="1" applyAlignment="1" applyProtection="1">
      <alignment horizontal="center" vertical="center"/>
      <protection hidden="1"/>
    </xf>
    <xf numFmtId="0" fontId="0" fillId="35" borderId="173" xfId="0" applyFill="1" applyBorder="1" applyAlignment="1" applyProtection="1">
      <alignment horizontal="center" vertical="center"/>
      <protection hidden="1"/>
    </xf>
    <xf numFmtId="0" fontId="0" fillId="35" borderId="174" xfId="0" applyFill="1" applyBorder="1" applyAlignment="1" applyProtection="1">
      <alignment horizontal="center" vertical="center"/>
      <protection hidden="1"/>
    </xf>
    <xf numFmtId="0" fontId="0" fillId="2" borderId="0" xfId="0" applyFill="1" applyAlignment="1" applyProtection="1">
      <alignment horizontal="center" vertical="center"/>
      <protection hidden="1"/>
    </xf>
    <xf numFmtId="0" fontId="0" fillId="36" borderId="0" xfId="0" applyFill="1" applyAlignment="1" applyProtection="1">
      <alignment horizontal="center" vertical="center"/>
      <protection hidden="1"/>
    </xf>
    <xf numFmtId="0" fontId="0" fillId="37" borderId="0" xfId="0" applyFill="1" applyAlignment="1" applyProtection="1">
      <alignment horizontal="center" vertical="center"/>
      <protection hidden="1"/>
    </xf>
    <xf numFmtId="0" fontId="0" fillId="4" borderId="0" xfId="0" applyFill="1" applyAlignment="1" applyProtection="1">
      <alignment horizontal="center" vertical="center"/>
      <protection hidden="1"/>
    </xf>
    <xf numFmtId="0" fontId="0" fillId="35" borderId="175" xfId="0" applyFill="1" applyBorder="1" applyAlignment="1" applyProtection="1">
      <alignment horizontal="center" vertical="center"/>
      <protection hidden="1"/>
    </xf>
    <xf numFmtId="0" fontId="8" fillId="26" borderId="240" xfId="0" applyFont="1" applyFill="1" applyBorder="1" applyAlignment="1" applyProtection="1">
      <alignment horizontal="center"/>
      <protection hidden="1"/>
    </xf>
    <xf numFmtId="0" fontId="0" fillId="0" borderId="241" xfId="0" applyBorder="1" applyAlignment="1" applyProtection="1">
      <alignment horizontal="left"/>
      <protection hidden="1"/>
    </xf>
    <xf numFmtId="0" fontId="0" fillId="0" borderId="242" xfId="0" applyBorder="1" applyAlignment="1" applyProtection="1">
      <alignment horizontal="center"/>
      <protection hidden="1"/>
    </xf>
    <xf numFmtId="0" fontId="0" fillId="0" borderId="242" xfId="0" applyBorder="1" applyProtection="1">
      <protection hidden="1"/>
    </xf>
    <xf numFmtId="0" fontId="0" fillId="2" borderId="243" xfId="0" applyFill="1" applyBorder="1" applyProtection="1">
      <protection hidden="1"/>
    </xf>
    <xf numFmtId="0" fontId="8" fillId="26" borderId="242" xfId="0" applyFont="1" applyFill="1" applyBorder="1" applyAlignment="1" applyProtection="1">
      <alignment horizontal="left" vertical="center"/>
      <protection hidden="1"/>
    </xf>
    <xf numFmtId="0" fontId="0" fillId="0" borderId="165" xfId="0" applyBorder="1" applyAlignment="1" applyProtection="1">
      <alignment horizontal="left"/>
      <protection hidden="1"/>
    </xf>
    <xf numFmtId="0" fontId="0" fillId="0" borderId="166" xfId="0" applyBorder="1" applyAlignment="1" applyProtection="1">
      <alignment horizontal="center"/>
      <protection hidden="1"/>
    </xf>
    <xf numFmtId="0" fontId="0" fillId="0" borderId="166" xfId="0" applyBorder="1" applyProtection="1">
      <protection hidden="1"/>
    </xf>
    <xf numFmtId="0" fontId="2" fillId="0" borderId="166" xfId="0" applyFont="1" applyBorder="1" applyAlignment="1" applyProtection="1">
      <alignment horizontal="left"/>
      <protection hidden="1"/>
    </xf>
    <xf numFmtId="0" fontId="2" fillId="0" borderId="166" xfId="0" applyFont="1" applyBorder="1" applyAlignment="1" applyProtection="1">
      <alignment horizontal="center" vertical="center"/>
      <protection hidden="1"/>
    </xf>
    <xf numFmtId="0" fontId="0" fillId="0" borderId="166" xfId="0" applyBorder="1" applyAlignment="1" applyProtection="1">
      <alignment horizontal="center" vertical="center"/>
      <protection hidden="1"/>
    </xf>
    <xf numFmtId="0" fontId="0" fillId="0" borderId="167" xfId="0" applyBorder="1" applyAlignment="1" applyProtection="1">
      <alignment horizontal="center" vertical="center"/>
      <protection hidden="1"/>
    </xf>
    <xf numFmtId="0" fontId="0" fillId="35" borderId="179" xfId="0" applyFill="1" applyBorder="1" applyAlignment="1" applyProtection="1">
      <alignment horizontal="center" vertical="center"/>
      <protection hidden="1"/>
    </xf>
    <xf numFmtId="0" fontId="0" fillId="2" borderId="180" xfId="0" applyFill="1" applyBorder="1" applyAlignment="1" applyProtection="1">
      <alignment horizontal="center" vertical="center"/>
      <protection hidden="1"/>
    </xf>
    <xf numFmtId="0" fontId="0" fillId="35" borderId="181" xfId="0" applyFill="1" applyBorder="1" applyAlignment="1" applyProtection="1">
      <alignment horizontal="center" vertical="center"/>
      <protection hidden="1"/>
    </xf>
    <xf numFmtId="0" fontId="8" fillId="26" borderId="244" xfId="0" applyFont="1" applyFill="1" applyBorder="1" applyAlignment="1" applyProtection="1">
      <alignment horizontal="center"/>
      <protection hidden="1"/>
    </xf>
    <xf numFmtId="0" fontId="0" fillId="0" borderId="245" xfId="0" applyBorder="1" applyAlignment="1" applyProtection="1">
      <alignment horizontal="left"/>
      <protection hidden="1"/>
    </xf>
    <xf numFmtId="0" fontId="0" fillId="0" borderId="246" xfId="0" applyBorder="1" applyAlignment="1" applyProtection="1">
      <alignment horizontal="center"/>
      <protection hidden="1"/>
    </xf>
    <xf numFmtId="0" fontId="0" fillId="0" borderId="246" xfId="0" applyBorder="1" applyProtection="1">
      <protection hidden="1"/>
    </xf>
    <xf numFmtId="0" fontId="2" fillId="0" borderId="246" xfId="0" applyFont="1" applyBorder="1" applyAlignment="1" applyProtection="1">
      <alignment horizontal="left"/>
      <protection hidden="1"/>
    </xf>
    <xf numFmtId="0" fontId="2" fillId="0" borderId="246" xfId="0" applyFont="1" applyBorder="1" applyAlignment="1" applyProtection="1">
      <alignment horizontal="center" vertical="center"/>
      <protection hidden="1"/>
    </xf>
    <xf numFmtId="0" fontId="0" fillId="0" borderId="246" xfId="0" applyBorder="1" applyAlignment="1" applyProtection="1">
      <alignment horizontal="center" vertical="center"/>
      <protection hidden="1"/>
    </xf>
    <xf numFmtId="0" fontId="0" fillId="0" borderId="247" xfId="0" applyBorder="1" applyAlignment="1" applyProtection="1">
      <alignment horizontal="center" vertical="center"/>
      <protection hidden="1"/>
    </xf>
    <xf numFmtId="0" fontId="0" fillId="35" borderId="0" xfId="0" applyFill="1" applyAlignment="1" applyProtection="1">
      <alignment horizontal="center" vertical="center"/>
      <protection hidden="1"/>
    </xf>
    <xf numFmtId="0" fontId="0" fillId="35" borderId="180" xfId="0" applyFill="1" applyBorder="1" applyAlignment="1" applyProtection="1">
      <alignment horizontal="center" vertical="center"/>
      <protection hidden="1"/>
    </xf>
    <xf numFmtId="0" fontId="0" fillId="36" borderId="183" xfId="0" applyFill="1" applyBorder="1" applyAlignment="1" applyProtection="1">
      <alignment horizontal="center" vertical="center"/>
      <protection hidden="1"/>
    </xf>
    <xf numFmtId="0" fontId="0" fillId="2" borderId="189" xfId="0" applyFill="1" applyBorder="1" applyAlignment="1" applyProtection="1">
      <alignment horizontal="center" vertical="center"/>
      <protection hidden="1"/>
    </xf>
    <xf numFmtId="0" fontId="2" fillId="36" borderId="173" xfId="0" applyFont="1" applyFill="1" applyBorder="1" applyAlignment="1" applyProtection="1">
      <alignment horizontal="center" vertical="center"/>
      <protection hidden="1"/>
    </xf>
    <xf numFmtId="0" fontId="0" fillId="36" borderId="173" xfId="0" applyFill="1" applyBorder="1" applyAlignment="1" applyProtection="1">
      <alignment horizontal="center" vertical="center"/>
      <protection hidden="1"/>
    </xf>
    <xf numFmtId="0" fontId="0" fillId="36" borderId="174" xfId="0" applyFill="1" applyBorder="1" applyAlignment="1" applyProtection="1">
      <alignment horizontal="center" vertical="center"/>
      <protection hidden="1"/>
    </xf>
    <xf numFmtId="0" fontId="0" fillId="36" borderId="175" xfId="0" applyFill="1" applyBorder="1" applyAlignment="1" applyProtection="1">
      <alignment horizontal="center" vertical="center"/>
      <protection hidden="1"/>
    </xf>
    <xf numFmtId="0" fontId="0" fillId="2" borderId="190" xfId="0" applyFill="1" applyBorder="1" applyAlignment="1" applyProtection="1">
      <alignment horizontal="center" vertical="center"/>
      <protection hidden="1"/>
    </xf>
    <xf numFmtId="0" fontId="7" fillId="26" borderId="244" xfId="0" applyFont="1" applyFill="1" applyBorder="1" applyAlignment="1" applyProtection="1">
      <alignment horizontal="center"/>
      <protection hidden="1"/>
    </xf>
    <xf numFmtId="0" fontId="0" fillId="36" borderId="179" xfId="0" applyFill="1" applyBorder="1" applyAlignment="1" applyProtection="1">
      <alignment horizontal="center" vertical="center"/>
      <protection hidden="1"/>
    </xf>
    <xf numFmtId="0" fontId="0" fillId="36" borderId="181" xfId="0" applyFill="1" applyBorder="1" applyAlignment="1" applyProtection="1">
      <alignment horizontal="center" vertical="center"/>
      <protection hidden="1"/>
    </xf>
    <xf numFmtId="0" fontId="8" fillId="10" borderId="186" xfId="0" applyFont="1" applyFill="1" applyBorder="1" applyAlignment="1" applyProtection="1">
      <alignment horizontal="center" vertical="center"/>
      <protection hidden="1"/>
    </xf>
    <xf numFmtId="0" fontId="0" fillId="0" borderId="187" xfId="0" applyBorder="1" applyAlignment="1" applyProtection="1">
      <alignment horizontal="left"/>
      <protection hidden="1"/>
    </xf>
    <xf numFmtId="0" fontId="0" fillId="0" borderId="188" xfId="0" applyBorder="1" applyAlignment="1" applyProtection="1">
      <alignment horizontal="center"/>
      <protection hidden="1"/>
    </xf>
    <xf numFmtId="0" fontId="0" fillId="0" borderId="188" xfId="0" applyBorder="1" applyProtection="1">
      <protection hidden="1"/>
    </xf>
    <xf numFmtId="0" fontId="0" fillId="10" borderId="155" xfId="0" applyFill="1" applyBorder="1" applyAlignment="1" applyProtection="1">
      <alignment horizontal="left"/>
      <protection hidden="1"/>
    </xf>
    <xf numFmtId="0" fontId="0" fillId="10" borderId="155" xfId="0" applyFill="1" applyBorder="1" applyProtection="1">
      <protection hidden="1"/>
    </xf>
    <xf numFmtId="0" fontId="0" fillId="10" borderId="186" xfId="0" applyFill="1" applyBorder="1" applyProtection="1">
      <protection hidden="1"/>
    </xf>
    <xf numFmtId="0" fontId="0" fillId="36" borderId="180" xfId="0" applyFill="1" applyBorder="1" applyAlignment="1" applyProtection="1">
      <alignment horizontal="center" vertical="center"/>
      <protection hidden="1"/>
    </xf>
    <xf numFmtId="0" fontId="0" fillId="36" borderId="201" xfId="0" applyFill="1" applyBorder="1" applyAlignment="1" applyProtection="1">
      <alignment horizontal="center" vertical="center"/>
      <protection hidden="1"/>
    </xf>
    <xf numFmtId="0" fontId="7" fillId="26" borderId="248" xfId="0" applyFont="1" applyFill="1" applyBorder="1" applyAlignment="1" applyProtection="1">
      <alignment horizontal="center"/>
      <protection hidden="1"/>
    </xf>
    <xf numFmtId="0" fontId="0" fillId="0" borderId="249" xfId="0" applyBorder="1" applyAlignment="1" applyProtection="1">
      <alignment horizontal="left"/>
      <protection hidden="1"/>
    </xf>
    <xf numFmtId="0" fontId="0" fillId="0" borderId="250" xfId="0" applyBorder="1" applyAlignment="1" applyProtection="1">
      <alignment horizontal="center"/>
      <protection hidden="1"/>
    </xf>
    <xf numFmtId="0" fontId="0" fillId="0" borderId="250" xfId="0" applyBorder="1" applyProtection="1">
      <protection hidden="1"/>
    </xf>
    <xf numFmtId="0" fontId="0" fillId="2" borderId="251" xfId="0" applyFill="1" applyBorder="1" applyProtection="1">
      <protection hidden="1"/>
    </xf>
    <xf numFmtId="0" fontId="7" fillId="26" borderId="251" xfId="0" applyFont="1" applyFill="1" applyBorder="1" applyProtection="1">
      <protection hidden="1"/>
    </xf>
    <xf numFmtId="0" fontId="7" fillId="26" borderId="252" xfId="0" applyFont="1" applyFill="1" applyBorder="1" applyProtection="1">
      <protection hidden="1"/>
    </xf>
    <xf numFmtId="0" fontId="2" fillId="2" borderId="159" xfId="0" applyFont="1" applyFill="1" applyBorder="1" applyProtection="1">
      <protection hidden="1"/>
    </xf>
    <xf numFmtId="0" fontId="0" fillId="2" borderId="159" xfId="0" applyFill="1" applyBorder="1" applyAlignment="1" applyProtection="1">
      <alignment horizontal="left"/>
      <protection hidden="1"/>
    </xf>
    <xf numFmtId="0" fontId="0" fillId="2" borderId="159" xfId="0" applyFill="1" applyBorder="1" applyAlignment="1" applyProtection="1">
      <alignment horizontal="center"/>
      <protection hidden="1"/>
    </xf>
    <xf numFmtId="0" fontId="0" fillId="2" borderId="0" xfId="0" applyFill="1" applyAlignment="1" applyProtection="1">
      <alignment horizontal="left"/>
      <protection hidden="1"/>
    </xf>
    <xf numFmtId="0" fontId="0" fillId="35" borderId="205" xfId="0" applyFill="1" applyBorder="1" applyAlignment="1" applyProtection="1">
      <alignment horizontal="center" vertical="center"/>
      <protection hidden="1"/>
    </xf>
    <xf numFmtId="0" fontId="2" fillId="2" borderId="216" xfId="0" applyFont="1" applyFill="1" applyBorder="1" applyProtection="1">
      <protection hidden="1"/>
    </xf>
    <xf numFmtId="0" fontId="0" fillId="35" borderId="208" xfId="0" applyFill="1" applyBorder="1" applyAlignment="1" applyProtection="1">
      <alignment horizontal="center" vertical="center"/>
      <protection hidden="1"/>
    </xf>
    <xf numFmtId="0" fontId="2" fillId="2" borderId="0" xfId="0" applyFont="1" applyFill="1" applyAlignment="1" applyProtection="1">
      <alignment horizontal="center"/>
      <protection hidden="1"/>
    </xf>
    <xf numFmtId="0" fontId="8" fillId="12" borderId="0" xfId="0" applyFont="1" applyFill="1" applyAlignment="1" applyProtection="1">
      <alignment horizontal="center"/>
      <protection hidden="1"/>
    </xf>
    <xf numFmtId="0" fontId="0" fillId="0" borderId="196" xfId="0" applyBorder="1" applyAlignment="1" applyProtection="1">
      <alignment horizontal="left"/>
      <protection hidden="1"/>
    </xf>
    <xf numFmtId="0" fontId="0" fillId="0" borderId="197" xfId="0" applyBorder="1" applyAlignment="1" applyProtection="1">
      <alignment horizontal="center"/>
      <protection hidden="1"/>
    </xf>
    <xf numFmtId="0" fontId="0" fillId="0" borderId="198" xfId="0" applyBorder="1" applyAlignment="1" applyProtection="1">
      <alignment horizontal="center"/>
      <protection hidden="1"/>
    </xf>
    <xf numFmtId="0" fontId="0" fillId="0" borderId="198" xfId="0" applyBorder="1" applyProtection="1">
      <protection hidden="1"/>
    </xf>
    <xf numFmtId="0" fontId="0" fillId="2" borderId="197" xfId="0" applyFill="1" applyBorder="1" applyProtection="1">
      <protection hidden="1"/>
    </xf>
    <xf numFmtId="0" fontId="8" fillId="12" borderId="198" xfId="0" applyFont="1" applyFill="1" applyBorder="1" applyAlignment="1" applyProtection="1">
      <alignment horizontal="left" vertical="center"/>
      <protection hidden="1"/>
    </xf>
    <xf numFmtId="0" fontId="8" fillId="12" borderId="198" xfId="0" applyFont="1" applyFill="1" applyBorder="1" applyAlignment="1" applyProtection="1">
      <alignment horizontal="center" vertical="center"/>
      <protection hidden="1"/>
    </xf>
    <xf numFmtId="0" fontId="8" fillId="12" borderId="199" xfId="0" applyFont="1" applyFill="1" applyBorder="1" applyAlignment="1" applyProtection="1">
      <alignment horizontal="center" vertical="center"/>
      <protection hidden="1"/>
    </xf>
    <xf numFmtId="0" fontId="8" fillId="24" borderId="161" xfId="0" applyFont="1" applyFill="1" applyBorder="1" applyAlignment="1" applyProtection="1">
      <alignment horizontal="center"/>
      <protection hidden="1"/>
    </xf>
    <xf numFmtId="0" fontId="0" fillId="0" borderId="162" xfId="0" applyBorder="1" applyAlignment="1" applyProtection="1">
      <alignment horizontal="left"/>
      <protection hidden="1"/>
    </xf>
    <xf numFmtId="0" fontId="0" fillId="0" borderId="163" xfId="0" applyBorder="1" applyAlignment="1" applyProtection="1">
      <alignment horizontal="center"/>
      <protection hidden="1"/>
    </xf>
    <xf numFmtId="0" fontId="0" fillId="0" borderId="163" xfId="0" applyBorder="1" applyProtection="1">
      <protection hidden="1"/>
    </xf>
    <xf numFmtId="0" fontId="0" fillId="2" borderId="164" xfId="0" applyFill="1" applyBorder="1" applyProtection="1">
      <protection hidden="1"/>
    </xf>
    <xf numFmtId="0" fontId="8" fillId="24" borderId="163" xfId="0" applyFont="1" applyFill="1" applyBorder="1" applyAlignment="1" applyProtection="1">
      <alignment horizontal="left" vertical="center"/>
      <protection hidden="1"/>
    </xf>
    <xf numFmtId="0" fontId="0" fillId="0" borderId="202" xfId="0" applyBorder="1" applyAlignment="1" applyProtection="1">
      <alignment horizontal="left"/>
      <protection hidden="1"/>
    </xf>
    <xf numFmtId="0" fontId="0" fillId="0" borderId="202" xfId="0" applyBorder="1" applyAlignment="1" applyProtection="1">
      <alignment horizontal="center"/>
      <protection hidden="1"/>
    </xf>
    <xf numFmtId="0" fontId="0" fillId="0" borderId="203" xfId="0" applyBorder="1" applyAlignment="1" applyProtection="1">
      <alignment horizontal="center"/>
      <protection hidden="1"/>
    </xf>
    <xf numFmtId="0" fontId="0" fillId="0" borderId="203" xfId="0" applyBorder="1" applyProtection="1">
      <protection hidden="1"/>
    </xf>
    <xf numFmtId="0" fontId="2" fillId="0" borderId="202" xfId="0" applyFont="1" applyBorder="1" applyAlignment="1" applyProtection="1">
      <alignment horizontal="left"/>
      <protection hidden="1"/>
    </xf>
    <xf numFmtId="0" fontId="2" fillId="0" borderId="203" xfId="0" applyFont="1" applyBorder="1" applyAlignment="1" applyProtection="1">
      <alignment horizontal="center" vertical="center"/>
      <protection hidden="1"/>
    </xf>
    <xf numFmtId="0" fontId="0" fillId="0" borderId="203" xfId="0" applyBorder="1" applyAlignment="1" applyProtection="1">
      <alignment horizontal="center" vertical="center"/>
      <protection hidden="1"/>
    </xf>
    <xf numFmtId="0" fontId="0" fillId="0" borderId="204" xfId="0" applyBorder="1" applyAlignment="1" applyProtection="1">
      <alignment horizontal="center" vertical="center"/>
      <protection hidden="1"/>
    </xf>
    <xf numFmtId="0" fontId="45" fillId="4" borderId="0" xfId="0" applyFont="1" applyFill="1" applyAlignment="1" applyProtection="1">
      <alignment horizontal="center" vertical="center"/>
      <protection hidden="1"/>
    </xf>
    <xf numFmtId="0" fontId="0" fillId="4" borderId="0" xfId="0" applyFill="1" applyProtection="1">
      <protection hidden="1"/>
    </xf>
    <xf numFmtId="0" fontId="8" fillId="24" borderId="168" xfId="0" applyFont="1" applyFill="1" applyBorder="1" applyAlignment="1" applyProtection="1">
      <alignment horizontal="center"/>
      <protection hidden="1"/>
    </xf>
    <xf numFmtId="0" fontId="0" fillId="0" borderId="169" xfId="0" applyBorder="1" applyAlignment="1" applyProtection="1">
      <alignment horizontal="left"/>
      <protection hidden="1"/>
    </xf>
    <xf numFmtId="0" fontId="0" fillId="0" borderId="170" xfId="0" applyBorder="1" applyAlignment="1" applyProtection="1">
      <alignment horizontal="center"/>
      <protection hidden="1"/>
    </xf>
    <xf numFmtId="0" fontId="0" fillId="0" borderId="170" xfId="0" applyBorder="1" applyProtection="1">
      <protection hidden="1"/>
    </xf>
    <xf numFmtId="0" fontId="0" fillId="2" borderId="171" xfId="0" applyFill="1" applyBorder="1" applyProtection="1">
      <protection hidden="1"/>
    </xf>
    <xf numFmtId="0" fontId="2" fillId="0" borderId="170" xfId="0" applyFont="1" applyBorder="1" applyAlignment="1" applyProtection="1">
      <alignment horizontal="left"/>
      <protection hidden="1"/>
    </xf>
    <xf numFmtId="0" fontId="2" fillId="0" borderId="170" xfId="0" applyFont="1" applyBorder="1" applyAlignment="1" applyProtection="1">
      <alignment horizontal="center" vertical="center"/>
      <protection hidden="1"/>
    </xf>
    <xf numFmtId="0" fontId="0" fillId="0" borderId="170" xfId="0" applyBorder="1" applyAlignment="1" applyProtection="1">
      <alignment horizontal="center" vertical="center"/>
      <protection hidden="1"/>
    </xf>
    <xf numFmtId="0" fontId="0" fillId="0" borderId="172" xfId="0" applyBorder="1" applyAlignment="1" applyProtection="1">
      <alignment horizontal="center" vertical="center"/>
      <protection hidden="1"/>
    </xf>
    <xf numFmtId="0" fontId="0" fillId="2" borderId="217" xfId="0" applyFill="1" applyBorder="1" applyAlignment="1" applyProtection="1">
      <alignment horizontal="center" vertical="center"/>
      <protection hidden="1"/>
    </xf>
    <xf numFmtId="0" fontId="2" fillId="37" borderId="207" xfId="0" applyFont="1" applyFill="1" applyBorder="1" applyAlignment="1" applyProtection="1">
      <alignment horizontal="center" vertical="center"/>
      <protection hidden="1"/>
    </xf>
    <xf numFmtId="0" fontId="0" fillId="37" borderId="173" xfId="0" applyFill="1" applyBorder="1" applyAlignment="1" applyProtection="1">
      <alignment horizontal="center" vertical="center"/>
      <protection hidden="1"/>
    </xf>
    <xf numFmtId="0" fontId="0" fillId="37" borderId="174" xfId="0" applyFill="1" applyBorder="1" applyAlignment="1" applyProtection="1">
      <alignment horizontal="center" vertical="center"/>
      <protection hidden="1"/>
    </xf>
    <xf numFmtId="0" fontId="0" fillId="2" borderId="232" xfId="0" applyFill="1" applyBorder="1" applyAlignment="1" applyProtection="1">
      <alignment horizontal="center" vertical="center"/>
      <protection hidden="1"/>
    </xf>
    <xf numFmtId="0" fontId="2" fillId="4" borderId="207" xfId="0" applyFont="1" applyFill="1" applyBorder="1" applyAlignment="1" applyProtection="1">
      <alignment horizontal="center" vertical="center"/>
      <protection hidden="1"/>
    </xf>
    <xf numFmtId="0" fontId="0" fillId="4" borderId="173" xfId="0" applyFill="1" applyBorder="1" applyAlignment="1" applyProtection="1">
      <alignment horizontal="center" vertical="center"/>
      <protection hidden="1"/>
    </xf>
    <xf numFmtId="0" fontId="0" fillId="4" borderId="174" xfId="0" applyFill="1" applyBorder="1" applyAlignment="1" applyProtection="1">
      <alignment horizontal="center" vertical="center"/>
      <protection hidden="1"/>
    </xf>
    <xf numFmtId="0" fontId="0" fillId="2" borderId="200" xfId="0" applyFill="1" applyBorder="1" applyAlignment="1" applyProtection="1">
      <alignment horizontal="center" vertical="center"/>
      <protection hidden="1"/>
    </xf>
    <xf numFmtId="0" fontId="0" fillId="37" borderId="175" xfId="0" applyFill="1" applyBorder="1" applyAlignment="1" applyProtection="1">
      <alignment horizontal="center" vertical="center"/>
      <protection hidden="1"/>
    </xf>
    <xf numFmtId="0" fontId="2" fillId="37" borderId="173" xfId="0" applyFont="1" applyFill="1" applyBorder="1" applyAlignment="1" applyProtection="1">
      <alignment horizontal="center" vertical="center"/>
      <protection hidden="1"/>
    </xf>
    <xf numFmtId="0" fontId="0" fillId="0" borderId="176" xfId="0" applyBorder="1" applyAlignment="1" applyProtection="1">
      <alignment horizontal="left"/>
      <protection hidden="1"/>
    </xf>
    <xf numFmtId="0" fontId="0" fillId="0" borderId="177" xfId="0" applyBorder="1" applyAlignment="1" applyProtection="1">
      <alignment horizontal="center"/>
      <protection hidden="1"/>
    </xf>
    <xf numFmtId="0" fontId="0" fillId="0" borderId="177" xfId="0" applyBorder="1" applyProtection="1">
      <protection hidden="1"/>
    </xf>
    <xf numFmtId="0" fontId="2" fillId="0" borderId="177" xfId="0" applyFont="1" applyBorder="1" applyAlignment="1" applyProtection="1">
      <alignment horizontal="left"/>
      <protection hidden="1"/>
    </xf>
    <xf numFmtId="0" fontId="2" fillId="0" borderId="177" xfId="0" applyFont="1" applyBorder="1" applyAlignment="1" applyProtection="1">
      <alignment horizontal="center" vertical="center"/>
      <protection hidden="1"/>
    </xf>
    <xf numFmtId="0" fontId="0" fillId="0" borderId="177" xfId="0" applyBorder="1" applyAlignment="1" applyProtection="1">
      <alignment horizontal="center" vertical="center"/>
      <protection hidden="1"/>
    </xf>
    <xf numFmtId="0" fontId="0" fillId="0" borderId="178" xfId="0" applyBorder="1" applyAlignment="1" applyProtection="1">
      <alignment horizontal="center" vertical="center"/>
      <protection hidden="1"/>
    </xf>
    <xf numFmtId="0" fontId="0" fillId="0" borderId="209" xfId="0" applyBorder="1" applyAlignment="1" applyProtection="1">
      <alignment horizontal="left"/>
      <protection hidden="1"/>
    </xf>
    <xf numFmtId="0" fontId="0" fillId="0" borderId="209" xfId="0" applyBorder="1" applyAlignment="1" applyProtection="1">
      <alignment horizontal="center"/>
      <protection hidden="1"/>
    </xf>
    <xf numFmtId="0" fontId="0" fillId="0" borderId="210" xfId="0" applyBorder="1" applyAlignment="1" applyProtection="1">
      <alignment horizontal="center"/>
      <protection hidden="1"/>
    </xf>
    <xf numFmtId="0" fontId="0" fillId="0" borderId="210" xfId="0" applyBorder="1" applyProtection="1">
      <protection hidden="1"/>
    </xf>
    <xf numFmtId="0" fontId="0" fillId="2" borderId="206" xfId="0" applyFill="1" applyBorder="1" applyAlignment="1" applyProtection="1">
      <alignment horizontal="center" vertical="center"/>
      <protection hidden="1"/>
    </xf>
    <xf numFmtId="0" fontId="0" fillId="37" borderId="208" xfId="0" applyFill="1" applyBorder="1" applyAlignment="1" applyProtection="1">
      <alignment horizontal="center" vertical="center"/>
      <protection hidden="1"/>
    </xf>
    <xf numFmtId="0" fontId="2" fillId="4" borderId="173" xfId="0" applyFont="1" applyFill="1" applyBorder="1" applyAlignment="1" applyProtection="1">
      <alignment horizontal="center" vertical="center"/>
      <protection hidden="1"/>
    </xf>
    <xf numFmtId="0" fontId="0" fillId="4" borderId="208" xfId="0" applyFill="1" applyBorder="1" applyAlignment="1" applyProtection="1">
      <alignment horizontal="center" vertical="center"/>
      <protection hidden="1"/>
    </xf>
    <xf numFmtId="0" fontId="0" fillId="2" borderId="253" xfId="0" applyFill="1" applyBorder="1" applyAlignment="1" applyProtection="1">
      <alignment horizontal="center" vertical="center"/>
      <protection hidden="1"/>
    </xf>
    <xf numFmtId="0" fontId="0" fillId="37" borderId="181" xfId="0" applyFill="1" applyBorder="1" applyAlignment="1" applyProtection="1">
      <alignment horizontal="center" vertical="center"/>
      <protection hidden="1"/>
    </xf>
    <xf numFmtId="0" fontId="0" fillId="0" borderId="182" xfId="0" applyBorder="1" applyAlignment="1" applyProtection="1">
      <alignment horizontal="left"/>
      <protection hidden="1"/>
    </xf>
    <xf numFmtId="0" fontId="2" fillId="0" borderId="209" xfId="0" applyFont="1" applyBorder="1" applyAlignment="1" applyProtection="1">
      <alignment horizontal="left"/>
      <protection hidden="1"/>
    </xf>
    <xf numFmtId="0" fontId="2" fillId="0" borderId="210" xfId="0" applyFont="1" applyBorder="1" applyAlignment="1" applyProtection="1">
      <alignment horizontal="center" vertical="center"/>
      <protection hidden="1"/>
    </xf>
    <xf numFmtId="0" fontId="0" fillId="0" borderId="210" xfId="0" applyBorder="1" applyAlignment="1" applyProtection="1">
      <alignment horizontal="center" vertical="center"/>
      <protection hidden="1"/>
    </xf>
    <xf numFmtId="0" fontId="0" fillId="0" borderId="211" xfId="0" applyBorder="1" applyAlignment="1" applyProtection="1">
      <alignment horizontal="center" vertical="center"/>
      <protection hidden="1"/>
    </xf>
    <xf numFmtId="0" fontId="0" fillId="2" borderId="224" xfId="0" applyFill="1" applyBorder="1" applyAlignment="1" applyProtection="1">
      <alignment horizontal="center" vertical="center"/>
      <protection hidden="1"/>
    </xf>
    <xf numFmtId="0" fontId="0" fillId="37" borderId="201" xfId="0" applyFill="1" applyBorder="1" applyAlignment="1" applyProtection="1">
      <alignment horizontal="center" vertical="center"/>
      <protection hidden="1"/>
    </xf>
    <xf numFmtId="0" fontId="2" fillId="0" borderId="184" xfId="0" applyFont="1" applyBorder="1" applyAlignment="1" applyProtection="1">
      <alignment horizontal="center" vertical="center"/>
      <protection hidden="1"/>
    </xf>
    <xf numFmtId="0" fontId="0" fillId="0" borderId="184" xfId="0" applyBorder="1" applyAlignment="1" applyProtection="1">
      <alignment horizontal="center" vertical="center"/>
      <protection hidden="1"/>
    </xf>
    <xf numFmtId="0" fontId="0" fillId="0" borderId="185" xfId="0" applyBorder="1" applyAlignment="1" applyProtection="1">
      <alignment horizontal="center" vertical="center"/>
      <protection hidden="1"/>
    </xf>
    <xf numFmtId="0" fontId="8" fillId="12" borderId="212" xfId="0" applyFont="1" applyFill="1" applyBorder="1" applyAlignment="1" applyProtection="1">
      <alignment horizontal="center"/>
      <protection hidden="1"/>
    </xf>
    <xf numFmtId="0" fontId="0" fillId="0" borderId="213" xfId="0" applyBorder="1" applyAlignment="1" applyProtection="1">
      <alignment horizontal="left"/>
      <protection hidden="1"/>
    </xf>
    <xf numFmtId="0" fontId="0" fillId="0" borderId="214" xfId="0" applyBorder="1" applyAlignment="1" applyProtection="1">
      <alignment horizontal="center"/>
      <protection hidden="1"/>
    </xf>
    <xf numFmtId="0" fontId="0" fillId="0" borderId="215" xfId="0" applyBorder="1" applyAlignment="1" applyProtection="1">
      <alignment horizontal="center"/>
      <protection hidden="1"/>
    </xf>
    <xf numFmtId="0" fontId="0" fillId="0" borderId="215" xfId="0" applyBorder="1" applyProtection="1">
      <protection hidden="1"/>
    </xf>
    <xf numFmtId="0" fontId="0" fillId="2" borderId="216" xfId="0" applyFill="1" applyBorder="1" applyProtection="1">
      <protection hidden="1"/>
    </xf>
    <xf numFmtId="0" fontId="7" fillId="12" borderId="216" xfId="0" applyFont="1" applyFill="1" applyBorder="1" applyAlignment="1" applyProtection="1">
      <alignment horizontal="left"/>
      <protection hidden="1"/>
    </xf>
    <xf numFmtId="0" fontId="7" fillId="12" borderId="216" xfId="0" applyFont="1" applyFill="1" applyBorder="1" applyProtection="1">
      <protection hidden="1"/>
    </xf>
    <xf numFmtId="0" fontId="7" fillId="12" borderId="212" xfId="0" applyFont="1" applyFill="1" applyBorder="1" applyProtection="1">
      <protection hidden="1"/>
    </xf>
    <xf numFmtId="0" fontId="8" fillId="24" borderId="191" xfId="0" applyFont="1" applyFill="1" applyBorder="1" applyAlignment="1" applyProtection="1">
      <alignment horizontal="center"/>
      <protection hidden="1"/>
    </xf>
    <xf numFmtId="0" fontId="0" fillId="0" borderId="192" xfId="0" applyBorder="1" applyAlignment="1" applyProtection="1">
      <alignment horizontal="left"/>
      <protection hidden="1"/>
    </xf>
    <xf numFmtId="0" fontId="0" fillId="0" borderId="193" xfId="0" applyBorder="1" applyAlignment="1" applyProtection="1">
      <alignment horizontal="center"/>
      <protection hidden="1"/>
    </xf>
    <xf numFmtId="0" fontId="0" fillId="0" borderId="193" xfId="0" applyBorder="1" applyProtection="1">
      <protection hidden="1"/>
    </xf>
    <xf numFmtId="0" fontId="0" fillId="2" borderId="194" xfId="0" applyFill="1" applyBorder="1" applyProtection="1">
      <protection hidden="1"/>
    </xf>
    <xf numFmtId="0" fontId="7" fillId="24" borderId="194" xfId="0" applyFont="1" applyFill="1" applyBorder="1" applyAlignment="1" applyProtection="1">
      <alignment horizontal="left"/>
      <protection hidden="1"/>
    </xf>
    <xf numFmtId="0" fontId="7" fillId="24" borderId="194" xfId="0" applyFont="1" applyFill="1" applyBorder="1" applyProtection="1">
      <protection hidden="1"/>
    </xf>
    <xf numFmtId="0" fontId="7" fillId="24" borderId="195" xfId="0" applyFont="1" applyFill="1" applyBorder="1" applyProtection="1">
      <protection hidden="1"/>
    </xf>
    <xf numFmtId="0" fontId="8" fillId="15" borderId="218" xfId="0" applyFont="1" applyFill="1" applyBorder="1" applyAlignment="1" applyProtection="1">
      <alignment horizontal="center"/>
      <protection hidden="1"/>
    </xf>
    <xf numFmtId="0" fontId="0" fillId="0" borderId="219" xfId="0" applyBorder="1" applyAlignment="1" applyProtection="1">
      <alignment horizontal="left"/>
      <protection hidden="1"/>
    </xf>
    <xf numFmtId="0" fontId="0" fillId="0" borderId="220" xfId="0" applyBorder="1" applyAlignment="1" applyProtection="1">
      <alignment horizontal="center"/>
      <protection hidden="1"/>
    </xf>
    <xf numFmtId="0" fontId="0" fillId="0" borderId="221" xfId="0" applyBorder="1" applyAlignment="1" applyProtection="1">
      <alignment horizontal="center"/>
      <protection hidden="1"/>
    </xf>
    <xf numFmtId="0" fontId="0" fillId="0" borderId="222" xfId="0" applyBorder="1" applyProtection="1">
      <protection hidden="1"/>
    </xf>
    <xf numFmtId="0" fontId="0" fillId="2" borderId="221" xfId="0" applyFill="1" applyBorder="1" applyProtection="1">
      <protection hidden="1"/>
    </xf>
    <xf numFmtId="0" fontId="8" fillId="15" borderId="223" xfId="0" applyFont="1" applyFill="1" applyBorder="1" applyAlignment="1" applyProtection="1">
      <alignment horizontal="left" vertical="center"/>
      <protection hidden="1"/>
    </xf>
    <xf numFmtId="0" fontId="8" fillId="15" borderId="220" xfId="0" applyFont="1" applyFill="1" applyBorder="1" applyAlignment="1" applyProtection="1">
      <alignment horizontal="center" vertical="center"/>
      <protection hidden="1"/>
    </xf>
    <xf numFmtId="0" fontId="8" fillId="39" borderId="257" xfId="0" applyFont="1" applyFill="1" applyBorder="1" applyAlignment="1" applyProtection="1">
      <alignment horizontal="center"/>
      <protection hidden="1"/>
    </xf>
    <xf numFmtId="0" fontId="0" fillId="0" borderId="264" xfId="0" applyBorder="1" applyAlignment="1" applyProtection="1">
      <alignment horizontal="left"/>
      <protection hidden="1"/>
    </xf>
    <xf numFmtId="0" fontId="0" fillId="0" borderId="269" xfId="0" applyBorder="1" applyAlignment="1" applyProtection="1">
      <alignment horizontal="center"/>
      <protection hidden="1"/>
    </xf>
    <xf numFmtId="0" fontId="0" fillId="0" borderId="269" xfId="0" applyBorder="1" applyProtection="1">
      <protection hidden="1"/>
    </xf>
    <xf numFmtId="0" fontId="0" fillId="2" borderId="275" xfId="0" applyFill="1" applyBorder="1" applyProtection="1">
      <protection hidden="1"/>
    </xf>
    <xf numFmtId="0" fontId="8" fillId="39" borderId="274" xfId="0" applyFont="1" applyFill="1" applyBorder="1" applyAlignment="1" applyProtection="1">
      <alignment horizontal="left" vertical="center"/>
      <protection hidden="1"/>
    </xf>
    <xf numFmtId="0" fontId="8" fillId="39" borderId="274" xfId="0" applyFont="1" applyFill="1" applyBorder="1" applyAlignment="1" applyProtection="1">
      <alignment horizontal="center" vertical="center"/>
      <protection hidden="1"/>
    </xf>
    <xf numFmtId="0" fontId="8" fillId="39" borderId="276" xfId="0" applyFont="1" applyFill="1" applyBorder="1" applyAlignment="1" applyProtection="1">
      <alignment horizontal="center" vertical="center"/>
      <protection hidden="1"/>
    </xf>
    <xf numFmtId="0" fontId="8" fillId="15" borderId="225" xfId="0" applyFont="1" applyFill="1" applyBorder="1" applyAlignment="1" applyProtection="1">
      <alignment horizontal="center"/>
      <protection hidden="1"/>
    </xf>
    <xf numFmtId="0" fontId="0" fillId="0" borderId="226" xfId="0" applyBorder="1" applyAlignment="1" applyProtection="1">
      <alignment horizontal="left"/>
      <protection hidden="1"/>
    </xf>
    <xf numFmtId="0" fontId="0" fillId="0" borderId="226" xfId="0" applyBorder="1" applyAlignment="1" applyProtection="1">
      <alignment horizontal="center"/>
      <protection hidden="1"/>
    </xf>
    <xf numFmtId="0" fontId="0" fillId="0" borderId="227" xfId="0" applyBorder="1" applyAlignment="1" applyProtection="1">
      <alignment horizontal="center"/>
      <protection hidden="1"/>
    </xf>
    <xf numFmtId="0" fontId="0" fillId="0" borderId="227" xfId="0" applyBorder="1" applyProtection="1">
      <protection hidden="1"/>
    </xf>
    <xf numFmtId="0" fontId="0" fillId="2" borderId="228" xfId="0" applyFill="1" applyBorder="1" applyProtection="1">
      <protection hidden="1"/>
    </xf>
    <xf numFmtId="0" fontId="2" fillId="0" borderId="226" xfId="0" applyFont="1" applyBorder="1" applyAlignment="1" applyProtection="1">
      <alignment horizontal="left"/>
      <protection hidden="1"/>
    </xf>
    <xf numFmtId="0" fontId="2" fillId="0" borderId="226" xfId="0" applyFont="1" applyBorder="1" applyAlignment="1" applyProtection="1">
      <alignment horizontal="center" vertical="center"/>
      <protection hidden="1"/>
    </xf>
    <xf numFmtId="0" fontId="0" fillId="0" borderId="226" xfId="0" applyBorder="1" applyAlignment="1" applyProtection="1">
      <alignment horizontal="center" vertical="center"/>
      <protection hidden="1"/>
    </xf>
    <xf numFmtId="0" fontId="0" fillId="0" borderId="229" xfId="0" applyBorder="1" applyAlignment="1" applyProtection="1">
      <alignment horizontal="center" vertical="center"/>
      <protection hidden="1"/>
    </xf>
    <xf numFmtId="0" fontId="2" fillId="36" borderId="207" xfId="0" applyFont="1" applyFill="1" applyBorder="1" applyAlignment="1" applyProtection="1">
      <alignment horizontal="center" vertical="center"/>
      <protection hidden="1"/>
    </xf>
    <xf numFmtId="0" fontId="0" fillId="36" borderId="205" xfId="0" applyFill="1" applyBorder="1" applyAlignment="1" applyProtection="1">
      <alignment horizontal="center" vertical="center"/>
      <protection hidden="1"/>
    </xf>
    <xf numFmtId="0" fontId="8" fillId="39" borderId="258" xfId="0" applyFont="1" applyFill="1" applyBorder="1" applyAlignment="1" applyProtection="1">
      <alignment horizontal="center"/>
      <protection hidden="1"/>
    </xf>
    <xf numFmtId="0" fontId="0" fillId="0" borderId="265" xfId="0" applyBorder="1" applyAlignment="1" applyProtection="1">
      <alignment horizontal="left"/>
      <protection hidden="1"/>
    </xf>
    <xf numFmtId="0" fontId="0" fillId="0" borderId="270" xfId="0" applyBorder="1" applyAlignment="1" applyProtection="1">
      <alignment horizontal="center"/>
      <protection hidden="1"/>
    </xf>
    <xf numFmtId="0" fontId="0" fillId="0" borderId="270" xfId="0" applyBorder="1" applyProtection="1">
      <protection hidden="1"/>
    </xf>
    <xf numFmtId="0" fontId="2" fillId="0" borderId="260" xfId="0" applyFont="1" applyBorder="1" applyAlignment="1" applyProtection="1">
      <alignment horizontal="left"/>
      <protection hidden="1"/>
    </xf>
    <xf numFmtId="0" fontId="2" fillId="0" borderId="263" xfId="0" applyFont="1" applyBorder="1" applyAlignment="1" applyProtection="1">
      <alignment horizontal="center" vertical="center"/>
      <protection hidden="1"/>
    </xf>
    <xf numFmtId="0" fontId="0" fillId="0" borderId="263" xfId="0" applyBorder="1" applyAlignment="1" applyProtection="1">
      <alignment horizontal="center" vertical="center"/>
      <protection hidden="1"/>
    </xf>
    <xf numFmtId="0" fontId="0" fillId="0" borderId="272" xfId="0" applyBorder="1" applyAlignment="1" applyProtection="1">
      <alignment horizontal="center" vertical="center"/>
      <protection hidden="1"/>
    </xf>
    <xf numFmtId="0" fontId="0" fillId="0" borderId="230" xfId="0" applyBorder="1" applyAlignment="1" applyProtection="1">
      <alignment horizontal="left"/>
      <protection hidden="1"/>
    </xf>
    <xf numFmtId="0" fontId="0" fillId="0" borderId="230" xfId="0" applyBorder="1" applyAlignment="1" applyProtection="1">
      <alignment horizontal="center"/>
      <protection hidden="1"/>
    </xf>
    <xf numFmtId="0" fontId="0" fillId="0" borderId="231" xfId="0" applyBorder="1" applyAlignment="1" applyProtection="1">
      <alignment horizontal="center"/>
      <protection hidden="1"/>
    </xf>
    <xf numFmtId="0" fontId="0" fillId="0" borderId="231" xfId="0" applyBorder="1" applyProtection="1">
      <protection hidden="1"/>
    </xf>
    <xf numFmtId="0" fontId="2" fillId="0" borderId="230" xfId="0" applyFont="1" applyBorder="1" applyAlignment="1" applyProtection="1">
      <alignment horizontal="left"/>
      <protection hidden="1"/>
    </xf>
    <xf numFmtId="0" fontId="2" fillId="0" borderId="230" xfId="0" applyFont="1" applyBorder="1" applyAlignment="1" applyProtection="1">
      <alignment horizontal="center" vertical="center"/>
      <protection hidden="1"/>
    </xf>
    <xf numFmtId="0" fontId="0" fillId="0" borderId="230" xfId="0" applyBorder="1" applyAlignment="1" applyProtection="1">
      <alignment horizontal="center" vertical="center"/>
      <protection hidden="1"/>
    </xf>
    <xf numFmtId="0" fontId="0" fillId="2" borderId="239" xfId="0" applyFill="1" applyBorder="1" applyAlignment="1" applyProtection="1">
      <alignment horizontal="center" vertical="center"/>
      <protection hidden="1"/>
    </xf>
    <xf numFmtId="0" fontId="0" fillId="36" borderId="208" xfId="0" applyFill="1" applyBorder="1" applyAlignment="1" applyProtection="1">
      <alignment horizontal="center" vertical="center"/>
      <protection hidden="1"/>
    </xf>
    <xf numFmtId="0" fontId="0" fillId="4" borderId="0" xfId="0" applyFill="1" applyAlignment="1" applyProtection="1">
      <alignment horizontal="center"/>
      <protection hidden="1"/>
    </xf>
    <xf numFmtId="0" fontId="8" fillId="39" borderId="261" xfId="0" applyFont="1" applyFill="1" applyBorder="1" applyAlignment="1" applyProtection="1">
      <alignment horizontal="center"/>
      <protection hidden="1"/>
    </xf>
    <xf numFmtId="0" fontId="0" fillId="0" borderId="266" xfId="0" applyBorder="1" applyAlignment="1" applyProtection="1">
      <alignment horizontal="left"/>
      <protection hidden="1"/>
    </xf>
    <xf numFmtId="0" fontId="0" fillId="0" borderId="266" xfId="0" applyBorder="1" applyAlignment="1" applyProtection="1">
      <alignment horizontal="center"/>
      <protection hidden="1"/>
    </xf>
    <xf numFmtId="0" fontId="0" fillId="0" borderId="266" xfId="0" applyBorder="1" applyProtection="1">
      <protection hidden="1"/>
    </xf>
    <xf numFmtId="0" fontId="0" fillId="0" borderId="273" xfId="0" applyBorder="1" applyAlignment="1" applyProtection="1">
      <alignment horizontal="center" vertical="center"/>
      <protection hidden="1"/>
    </xf>
    <xf numFmtId="0" fontId="0" fillId="12" borderId="0" xfId="0" applyFill="1" applyAlignment="1" applyProtection="1">
      <alignment horizontal="center"/>
      <protection hidden="1"/>
    </xf>
    <xf numFmtId="0" fontId="0" fillId="0" borderId="260" xfId="0" applyBorder="1" applyAlignment="1" applyProtection="1">
      <alignment horizontal="left"/>
      <protection hidden="1"/>
    </xf>
    <xf numFmtId="0" fontId="0" fillId="0" borderId="260" xfId="0" applyBorder="1" applyAlignment="1" applyProtection="1">
      <alignment horizontal="center"/>
      <protection hidden="1"/>
    </xf>
    <xf numFmtId="0" fontId="0" fillId="0" borderId="260" xfId="0" applyBorder="1" applyProtection="1">
      <protection hidden="1"/>
    </xf>
    <xf numFmtId="0" fontId="0" fillId="37" borderId="0" xfId="0" applyFill="1" applyAlignment="1" applyProtection="1">
      <alignment horizontal="left" vertical="center"/>
      <protection hidden="1"/>
    </xf>
    <xf numFmtId="0" fontId="0" fillId="38" borderId="0" xfId="0" applyFill="1" applyAlignment="1" applyProtection="1">
      <alignment horizontal="center"/>
      <protection hidden="1"/>
    </xf>
    <xf numFmtId="0" fontId="0" fillId="0" borderId="267" xfId="0" applyBorder="1" applyAlignment="1" applyProtection="1">
      <alignment horizontal="left"/>
      <protection hidden="1"/>
    </xf>
    <xf numFmtId="0" fontId="0" fillId="0" borderId="267" xfId="0" applyBorder="1" applyAlignment="1" applyProtection="1">
      <alignment horizontal="center"/>
      <protection hidden="1"/>
    </xf>
    <xf numFmtId="0" fontId="0" fillId="0" borderId="267" xfId="0" applyBorder="1" applyProtection="1">
      <protection hidden="1"/>
    </xf>
    <xf numFmtId="0" fontId="2" fillId="0" borderId="267" xfId="0" applyFont="1" applyBorder="1" applyAlignment="1" applyProtection="1">
      <alignment horizontal="left"/>
      <protection hidden="1"/>
    </xf>
    <xf numFmtId="0" fontId="2" fillId="0" borderId="262" xfId="0" applyFont="1" applyBorder="1" applyAlignment="1" applyProtection="1">
      <alignment horizontal="center" vertical="center"/>
      <protection hidden="1"/>
    </xf>
    <xf numFmtId="0" fontId="0" fillId="0" borderId="262" xfId="0" applyBorder="1" applyAlignment="1" applyProtection="1">
      <alignment horizontal="center" vertical="center"/>
      <protection hidden="1"/>
    </xf>
    <xf numFmtId="0" fontId="0" fillId="0" borderId="254" xfId="0" applyBorder="1" applyAlignment="1" applyProtection="1">
      <alignment horizontal="center" vertical="center"/>
      <protection hidden="1"/>
    </xf>
    <xf numFmtId="0" fontId="8" fillId="15" borderId="233" xfId="0" applyFont="1" applyFill="1" applyBorder="1" applyAlignment="1" applyProtection="1">
      <alignment horizontal="center"/>
      <protection hidden="1"/>
    </xf>
    <xf numFmtId="0" fontId="0" fillId="0" borderId="234" xfId="0" applyBorder="1" applyAlignment="1" applyProtection="1">
      <alignment horizontal="left"/>
      <protection hidden="1"/>
    </xf>
    <xf numFmtId="0" fontId="0" fillId="0" borderId="235" xfId="0" applyBorder="1" applyAlignment="1" applyProtection="1">
      <alignment horizontal="center"/>
      <protection hidden="1"/>
    </xf>
    <xf numFmtId="0" fontId="0" fillId="0" borderId="236" xfId="0" applyBorder="1" applyAlignment="1" applyProtection="1">
      <alignment horizontal="center"/>
      <protection hidden="1"/>
    </xf>
    <xf numFmtId="0" fontId="0" fillId="0" borderId="236" xfId="0" applyBorder="1" applyProtection="1">
      <protection hidden="1"/>
    </xf>
    <xf numFmtId="0" fontId="0" fillId="2" borderId="237" xfId="0" applyFill="1" applyBorder="1" applyProtection="1">
      <protection hidden="1"/>
    </xf>
    <xf numFmtId="0" fontId="0" fillId="15" borderId="237" xfId="0" applyFill="1" applyBorder="1" applyAlignment="1" applyProtection="1">
      <alignment horizontal="left"/>
      <protection hidden="1"/>
    </xf>
    <xf numFmtId="0" fontId="0" fillId="15" borderId="237" xfId="0" applyFill="1" applyBorder="1" applyProtection="1">
      <protection hidden="1"/>
    </xf>
    <xf numFmtId="0" fontId="0" fillId="15" borderId="238" xfId="0" applyFill="1" applyBorder="1" applyProtection="1">
      <protection hidden="1"/>
    </xf>
    <xf numFmtId="0" fontId="7" fillId="12" borderId="0" xfId="0" applyFont="1" applyFill="1" applyAlignment="1" applyProtection="1">
      <alignment horizontal="center"/>
      <protection hidden="1"/>
    </xf>
    <xf numFmtId="0" fontId="7" fillId="38" borderId="0" xfId="0" applyFont="1" applyFill="1" applyAlignment="1" applyProtection="1">
      <alignment horizontal="center"/>
      <protection hidden="1"/>
    </xf>
    <xf numFmtId="0" fontId="8" fillId="39" borderId="259" xfId="0" applyFont="1" applyFill="1" applyBorder="1" applyAlignment="1" applyProtection="1">
      <alignment horizontal="center"/>
      <protection hidden="1"/>
    </xf>
    <xf numFmtId="0" fontId="0" fillId="0" borderId="268" xfId="0" applyBorder="1" applyAlignment="1" applyProtection="1">
      <alignment horizontal="left"/>
      <protection hidden="1"/>
    </xf>
    <xf numFmtId="0" fontId="0" fillId="0" borderId="271" xfId="0" applyBorder="1" applyAlignment="1" applyProtection="1">
      <alignment horizontal="center"/>
      <protection hidden="1"/>
    </xf>
    <xf numFmtId="0" fontId="0" fillId="0" borderId="271" xfId="0" applyBorder="1" applyProtection="1">
      <protection hidden="1"/>
    </xf>
    <xf numFmtId="0" fontId="0" fillId="2" borderId="255" xfId="0" applyFill="1" applyBorder="1" applyProtection="1">
      <protection hidden="1"/>
    </xf>
    <xf numFmtId="0" fontId="7" fillId="39" borderId="268" xfId="0" applyFont="1" applyFill="1" applyBorder="1" applyAlignment="1" applyProtection="1">
      <alignment horizontal="left"/>
      <protection hidden="1"/>
    </xf>
    <xf numFmtId="0" fontId="7" fillId="39" borderId="255" xfId="0" applyFont="1" applyFill="1" applyBorder="1" applyProtection="1">
      <protection hidden="1"/>
    </xf>
    <xf numFmtId="0" fontId="7" fillId="39" borderId="256" xfId="0" applyFont="1" applyFill="1" applyBorder="1" applyProtection="1">
      <protection hidden="1"/>
    </xf>
    <xf numFmtId="0" fontId="0" fillId="2" borderId="294" xfId="0" applyFill="1" applyBorder="1" applyProtection="1">
      <protection hidden="1"/>
    </xf>
    <xf numFmtId="0" fontId="2" fillId="2" borderId="295" xfId="0" applyFont="1" applyFill="1" applyBorder="1" applyProtection="1">
      <protection hidden="1"/>
    </xf>
    <xf numFmtId="0" fontId="2" fillId="42" borderId="305" xfId="0" applyFont="1" applyFill="1" applyBorder="1" applyAlignment="1" applyProtection="1">
      <alignment horizontal="centerContinuous"/>
      <protection hidden="1"/>
    </xf>
    <xf numFmtId="0" fontId="2" fillId="43" borderId="305" xfId="0" applyFont="1" applyFill="1" applyBorder="1" applyAlignment="1" applyProtection="1">
      <alignment horizontal="centerContinuous"/>
      <protection hidden="1"/>
    </xf>
    <xf numFmtId="0" fontId="2" fillId="44" borderId="305" xfId="0" applyFont="1" applyFill="1" applyBorder="1" applyAlignment="1" applyProtection="1">
      <alignment horizontal="centerContinuous"/>
      <protection hidden="1"/>
    </xf>
    <xf numFmtId="0" fontId="2" fillId="45" borderId="305" xfId="0" applyFont="1" applyFill="1" applyBorder="1" applyAlignment="1" applyProtection="1">
      <alignment horizontal="centerContinuous"/>
      <protection hidden="1"/>
    </xf>
    <xf numFmtId="0" fontId="2" fillId="46" borderId="305" xfId="0" applyFont="1" applyFill="1" applyBorder="1" applyAlignment="1" applyProtection="1">
      <alignment horizontal="centerContinuous"/>
      <protection hidden="1"/>
    </xf>
    <xf numFmtId="0" fontId="2" fillId="47" borderId="305" xfId="0" applyFont="1" applyFill="1" applyBorder="1" applyAlignment="1" applyProtection="1">
      <alignment horizontal="centerContinuous"/>
      <protection hidden="1"/>
    </xf>
    <xf numFmtId="0" fontId="0" fillId="47" borderId="304" xfId="0" applyFill="1" applyBorder="1" applyAlignment="1" applyProtection="1">
      <alignment horizontal="centerContinuous"/>
      <protection hidden="1"/>
    </xf>
    <xf numFmtId="0" fontId="0" fillId="2" borderId="296" xfId="0" applyFill="1" applyBorder="1" applyProtection="1">
      <protection hidden="1"/>
    </xf>
    <xf numFmtId="0" fontId="0" fillId="2" borderId="0" xfId="0" applyFill="1" applyAlignment="1" applyProtection="1">
      <alignment horizontal="right"/>
      <protection hidden="1"/>
    </xf>
    <xf numFmtId="165" fontId="0" fillId="0" borderId="293" xfId="0" applyNumberFormat="1" applyBorder="1" applyAlignment="1" applyProtection="1">
      <alignment horizontal="centerContinuous"/>
      <protection hidden="1"/>
    </xf>
    <xf numFmtId="165" fontId="0" fillId="2" borderId="293" xfId="0" applyNumberFormat="1" applyFill="1" applyBorder="1" applyAlignment="1" applyProtection="1">
      <alignment horizontal="centerContinuous"/>
      <protection hidden="1"/>
    </xf>
    <xf numFmtId="165" fontId="0" fillId="2" borderId="297" xfId="0" applyNumberFormat="1" applyFill="1" applyBorder="1" applyAlignment="1" applyProtection="1">
      <alignment horizontal="centerContinuous"/>
      <protection hidden="1"/>
    </xf>
    <xf numFmtId="165" fontId="0" fillId="0" borderId="298" xfId="0" applyNumberFormat="1" applyBorder="1" applyAlignment="1" applyProtection="1">
      <alignment horizontal="centerContinuous"/>
      <protection hidden="1"/>
    </xf>
    <xf numFmtId="165" fontId="0" fillId="2" borderId="298" xfId="0" applyNumberFormat="1" applyFill="1" applyBorder="1" applyAlignment="1" applyProtection="1">
      <alignment horizontal="centerContinuous"/>
      <protection hidden="1"/>
    </xf>
    <xf numFmtId="165" fontId="0" fillId="2" borderId="299" xfId="0" applyNumberFormat="1" applyFill="1" applyBorder="1" applyAlignment="1" applyProtection="1">
      <alignment horizontal="centerContinuous"/>
      <protection hidden="1"/>
    </xf>
    <xf numFmtId="0" fontId="0" fillId="0" borderId="296" xfId="0" applyBorder="1" applyProtection="1">
      <protection hidden="1"/>
    </xf>
    <xf numFmtId="0" fontId="0" fillId="2" borderId="293" xfId="0" applyFill="1" applyBorder="1" applyAlignment="1" applyProtection="1">
      <alignment horizontal="right"/>
      <protection hidden="1"/>
    </xf>
    <xf numFmtId="0" fontId="0" fillId="0" borderId="300" xfId="0" applyBorder="1" applyProtection="1">
      <protection hidden="1"/>
    </xf>
    <xf numFmtId="0" fontId="0" fillId="0" borderId="301" xfId="0" applyBorder="1" applyProtection="1">
      <protection hidden="1"/>
    </xf>
    <xf numFmtId="0" fontId="0" fillId="2" borderId="301" xfId="0" applyFill="1" applyBorder="1" applyAlignment="1" applyProtection="1">
      <alignment horizontal="right"/>
      <protection hidden="1"/>
    </xf>
    <xf numFmtId="165" fontId="0" fillId="0" borderId="302" xfId="0" applyNumberFormat="1" applyBorder="1" applyAlignment="1" applyProtection="1">
      <alignment horizontal="centerContinuous"/>
      <protection hidden="1"/>
    </xf>
    <xf numFmtId="165" fontId="0" fillId="2" borderId="302" xfId="0" applyNumberFormat="1" applyFill="1" applyBorder="1" applyAlignment="1" applyProtection="1">
      <alignment horizontal="centerContinuous"/>
      <protection hidden="1"/>
    </xf>
    <xf numFmtId="165" fontId="0" fillId="2" borderId="303" xfId="0" applyNumberFormat="1" applyFill="1" applyBorder="1" applyAlignment="1" applyProtection="1">
      <alignment horizontal="centerContinuous"/>
      <protection hidden="1"/>
    </xf>
    <xf numFmtId="0" fontId="4" fillId="2" borderId="0" xfId="27" applyFill="1" applyProtection="1">
      <protection hidden="1"/>
    </xf>
    <xf numFmtId="0" fontId="38" fillId="41" borderId="289" xfId="0" applyFont="1" applyFill="1" applyBorder="1" applyAlignment="1" applyProtection="1">
      <alignment vertical="center"/>
      <protection hidden="1"/>
    </xf>
    <xf numFmtId="0" fontId="18" fillId="2" borderId="0" xfId="0" applyFont="1" applyFill="1" applyProtection="1">
      <protection hidden="1"/>
    </xf>
    <xf numFmtId="0" fontId="45" fillId="0" borderId="0" xfId="27" applyFont="1" applyProtection="1">
      <protection hidden="1"/>
    </xf>
    <xf numFmtId="0" fontId="53" fillId="2" borderId="0" xfId="27" applyFont="1" applyFill="1" applyProtection="1">
      <protection hidden="1"/>
    </xf>
    <xf numFmtId="0" fontId="0" fillId="2" borderId="0" xfId="0" applyFill="1" applyAlignment="1" applyProtection="1">
      <alignment horizontal="left" vertical="center"/>
      <protection hidden="1"/>
    </xf>
    <xf numFmtId="0" fontId="50" fillId="2" borderId="0" xfId="27" applyFont="1" applyFill="1" applyProtection="1">
      <protection hidden="1"/>
    </xf>
    <xf numFmtId="0" fontId="4" fillId="2" borderId="0" xfId="27" applyFill="1" applyBorder="1" applyProtection="1">
      <protection hidden="1"/>
    </xf>
    <xf numFmtId="0" fontId="7" fillId="35" borderId="0" xfId="0" applyFont="1" applyFill="1" applyProtection="1">
      <protection hidden="1"/>
    </xf>
    <xf numFmtId="0" fontId="7" fillId="0" borderId="278" xfId="0" applyFont="1" applyBorder="1" applyProtection="1">
      <protection hidden="1"/>
    </xf>
    <xf numFmtId="0" fontId="7" fillId="0" borderId="279" xfId="0" applyFont="1" applyBorder="1" applyProtection="1">
      <protection hidden="1"/>
    </xf>
    <xf numFmtId="0" fontId="7" fillId="0" borderId="280" xfId="0" applyFont="1" applyBorder="1" applyProtection="1">
      <protection hidden="1"/>
    </xf>
    <xf numFmtId="0" fontId="7" fillId="0" borderId="281" xfId="0" applyFont="1" applyBorder="1" applyProtection="1">
      <protection hidden="1"/>
    </xf>
    <xf numFmtId="0" fontId="7" fillId="0" borderId="282" xfId="0" applyFont="1" applyBorder="1" applyProtection="1">
      <protection hidden="1"/>
    </xf>
    <xf numFmtId="0" fontId="7" fillId="40" borderId="0" xfId="0" applyFont="1" applyFill="1" applyProtection="1">
      <protection hidden="1"/>
    </xf>
    <xf numFmtId="0" fontId="7" fillId="0" borderId="283" xfId="0" applyFont="1" applyBorder="1" applyProtection="1">
      <protection hidden="1"/>
    </xf>
    <xf numFmtId="0" fontId="7" fillId="0" borderId="284" xfId="0" applyFont="1" applyBorder="1" applyProtection="1">
      <protection hidden="1"/>
    </xf>
    <xf numFmtId="0" fontId="7" fillId="0" borderId="285" xfId="0" applyFont="1" applyBorder="1" applyProtection="1">
      <protection hidden="1"/>
    </xf>
    <xf numFmtId="0" fontId="7" fillId="0" borderId="280" xfId="0" applyFont="1" applyBorder="1" applyAlignment="1" applyProtection="1">
      <alignment wrapText="1"/>
      <protection hidden="1"/>
    </xf>
    <xf numFmtId="0" fontId="38" fillId="0" borderId="0" xfId="0" applyFont="1" applyAlignment="1" applyProtection="1">
      <alignment vertical="center"/>
      <protection hidden="1"/>
    </xf>
    <xf numFmtId="0" fontId="12" fillId="0" borderId="149" xfId="0" applyFont="1" applyBorder="1" applyAlignment="1" applyProtection="1">
      <alignment vertical="center" wrapText="1"/>
      <protection hidden="1"/>
    </xf>
    <xf numFmtId="0" fontId="7" fillId="0" borderId="286" xfId="0" applyFont="1" applyBorder="1" applyProtection="1">
      <protection hidden="1"/>
    </xf>
    <xf numFmtId="0" fontId="7" fillId="0" borderId="287" xfId="0" applyFont="1" applyBorder="1" applyProtection="1">
      <protection hidden="1"/>
    </xf>
    <xf numFmtId="0" fontId="7" fillId="0" borderId="288" xfId="0" applyFont="1" applyBorder="1" applyProtection="1">
      <protection hidden="1"/>
    </xf>
    <xf numFmtId="0" fontId="7" fillId="0" borderId="0" xfId="0" applyFont="1" applyAlignment="1" applyProtection="1">
      <alignment horizontal="center"/>
      <protection hidden="1"/>
    </xf>
    <xf numFmtId="14" fontId="30" fillId="27" borderId="121" xfId="0" applyNumberFormat="1" applyFont="1" applyFill="1" applyBorder="1" applyAlignment="1" applyProtection="1">
      <alignment horizontal="center" vertical="center"/>
      <protection hidden="1"/>
    </xf>
    <xf numFmtId="14" fontId="30" fillId="27" borderId="127" xfId="0" applyNumberFormat="1" applyFont="1" applyFill="1" applyBorder="1" applyAlignment="1" applyProtection="1">
      <alignment horizontal="center" vertical="center"/>
      <protection hidden="1"/>
    </xf>
    <xf numFmtId="14" fontId="30" fillId="27" borderId="129" xfId="0" applyNumberFormat="1" applyFont="1" applyFill="1" applyBorder="1" applyAlignment="1" applyProtection="1">
      <alignment horizontal="center" vertical="center"/>
      <protection hidden="1"/>
    </xf>
    <xf numFmtId="0" fontId="33" fillId="16" borderId="0" xfId="0" applyFont="1" applyFill="1" applyAlignment="1" applyProtection="1">
      <alignment horizontal="center" vertical="center" wrapText="1"/>
      <protection hidden="1"/>
    </xf>
    <xf numFmtId="14" fontId="30" fillId="11" borderId="16" xfId="0" applyNumberFormat="1" applyFont="1" applyFill="1" applyBorder="1" applyAlignment="1" applyProtection="1">
      <alignment horizontal="center" vertical="center" textRotation="2"/>
      <protection hidden="1"/>
    </xf>
    <xf numFmtId="14" fontId="30" fillId="11" borderId="22" xfId="0" applyNumberFormat="1" applyFont="1" applyFill="1" applyBorder="1" applyAlignment="1" applyProtection="1">
      <alignment horizontal="center" vertical="center" textRotation="2"/>
      <protection hidden="1"/>
    </xf>
    <xf numFmtId="14" fontId="30" fillId="11" borderId="24" xfId="0" applyNumberFormat="1" applyFont="1" applyFill="1" applyBorder="1" applyAlignment="1" applyProtection="1">
      <alignment horizontal="center" vertical="center" textRotation="2"/>
      <protection hidden="1"/>
    </xf>
    <xf numFmtId="14" fontId="30" fillId="13" borderId="30" xfId="0" applyNumberFormat="1" applyFont="1" applyFill="1" applyBorder="1" applyAlignment="1" applyProtection="1">
      <alignment horizontal="center" vertical="center" textRotation="2"/>
      <protection hidden="1"/>
    </xf>
    <xf numFmtId="14" fontId="30" fillId="13" borderId="36" xfId="0" applyNumberFormat="1" applyFont="1" applyFill="1" applyBorder="1" applyAlignment="1" applyProtection="1">
      <alignment horizontal="center" vertical="center" textRotation="2"/>
      <protection hidden="1"/>
    </xf>
    <xf numFmtId="14" fontId="30" fillId="13" borderId="38" xfId="0" applyNumberFormat="1" applyFont="1" applyFill="1" applyBorder="1" applyAlignment="1" applyProtection="1">
      <alignment horizontal="center" vertical="center" textRotation="2"/>
      <protection hidden="1"/>
    </xf>
    <xf numFmtId="0" fontId="19" fillId="22" borderId="7" xfId="0" applyFont="1" applyFill="1" applyBorder="1" applyAlignment="1" applyProtection="1">
      <alignment horizontal="center" vertical="center" wrapText="1"/>
      <protection hidden="1"/>
    </xf>
    <xf numFmtId="0" fontId="19" fillId="22" borderId="8" xfId="0" applyFont="1" applyFill="1" applyBorder="1" applyAlignment="1" applyProtection="1">
      <alignment horizontal="center" vertical="center" wrapText="1"/>
      <protection hidden="1"/>
    </xf>
    <xf numFmtId="0" fontId="19" fillId="22" borderId="9" xfId="0" applyFont="1" applyFill="1" applyBorder="1" applyAlignment="1" applyProtection="1">
      <alignment horizontal="center" vertical="center" wrapText="1"/>
      <protection hidden="1"/>
    </xf>
    <xf numFmtId="0" fontId="19" fillId="22" borderId="10" xfId="0" applyFont="1" applyFill="1" applyBorder="1" applyAlignment="1" applyProtection="1">
      <alignment horizontal="center" vertical="center" wrapText="1"/>
      <protection hidden="1"/>
    </xf>
    <xf numFmtId="0" fontId="19" fillId="22" borderId="0" xfId="0" applyFont="1" applyFill="1" applyAlignment="1" applyProtection="1">
      <alignment horizontal="center" vertical="center" wrapText="1"/>
      <protection hidden="1"/>
    </xf>
    <xf numFmtId="0" fontId="19" fillId="22" borderId="11" xfId="0" applyFont="1" applyFill="1" applyBorder="1" applyAlignment="1" applyProtection="1">
      <alignment horizontal="center" vertical="center" wrapText="1"/>
      <protection hidden="1"/>
    </xf>
    <xf numFmtId="0" fontId="51" fillId="22" borderId="10" xfId="0" applyFont="1" applyFill="1" applyBorder="1" applyAlignment="1">
      <alignment horizontal="center" vertical="center" wrapText="1"/>
    </xf>
    <xf numFmtId="0" fontId="51" fillId="22" borderId="0" xfId="0" applyFont="1" applyFill="1" applyAlignment="1">
      <alignment horizontal="center" vertical="center" wrapText="1"/>
    </xf>
    <xf numFmtId="0" fontId="51" fillId="22" borderId="11" xfId="0" applyFont="1" applyFill="1" applyBorder="1" applyAlignment="1">
      <alignment horizontal="center" vertical="center" wrapText="1"/>
    </xf>
    <xf numFmtId="0" fontId="51" fillId="22" borderId="12" xfId="0" applyFont="1" applyFill="1" applyBorder="1" applyAlignment="1">
      <alignment horizontal="center" vertical="center" wrapText="1"/>
    </xf>
    <xf numFmtId="0" fontId="51" fillId="22" borderId="13" xfId="0" applyFont="1" applyFill="1" applyBorder="1" applyAlignment="1">
      <alignment horizontal="center" vertical="center" wrapText="1"/>
    </xf>
    <xf numFmtId="0" fontId="51" fillId="22" borderId="14" xfId="0" applyFont="1" applyFill="1" applyBorder="1" applyAlignment="1">
      <alignment horizontal="center" vertical="center" wrapText="1"/>
    </xf>
    <xf numFmtId="0" fontId="43" fillId="22" borderId="90" xfId="0" applyFont="1" applyFill="1" applyBorder="1" applyAlignment="1" applyProtection="1">
      <alignment horizontal="center" vertical="center"/>
      <protection locked="0"/>
    </xf>
    <xf numFmtId="0" fontId="43" fillId="22" borderId="88" xfId="0" applyFont="1" applyFill="1" applyBorder="1" applyAlignment="1" applyProtection="1">
      <alignment horizontal="center" vertical="center"/>
      <protection locked="0"/>
    </xf>
    <xf numFmtId="0" fontId="43" fillId="22" borderId="91" xfId="0" applyFont="1" applyFill="1" applyBorder="1" applyAlignment="1" applyProtection="1">
      <alignment horizontal="center" vertical="center"/>
      <protection locked="0"/>
    </xf>
    <xf numFmtId="0" fontId="28" fillId="5" borderId="80" xfId="0" applyFont="1" applyFill="1" applyBorder="1" applyAlignment="1">
      <alignment horizontal="center" vertical="center"/>
    </xf>
    <xf numFmtId="0" fontId="28" fillId="5" borderId="78" xfId="0" applyFont="1" applyFill="1" applyBorder="1" applyAlignment="1">
      <alignment horizontal="center" vertical="center"/>
    </xf>
    <xf numFmtId="0" fontId="28" fillId="5" borderId="81" xfId="0" applyFont="1" applyFill="1" applyBorder="1" applyAlignment="1">
      <alignment horizontal="center" vertical="center"/>
    </xf>
    <xf numFmtId="0" fontId="20" fillId="9" borderId="85" xfId="0" applyFont="1" applyFill="1" applyBorder="1" applyAlignment="1">
      <alignment horizontal="center" vertical="center"/>
    </xf>
    <xf numFmtId="0" fontId="20" fillId="9" borderId="83" xfId="0" applyFont="1" applyFill="1" applyBorder="1" applyAlignment="1">
      <alignment horizontal="center" vertical="center"/>
    </xf>
    <xf numFmtId="0" fontId="20" fillId="9" borderId="86" xfId="0" applyFont="1" applyFill="1" applyBorder="1" applyAlignment="1">
      <alignment horizontal="center" vertical="center"/>
    </xf>
    <xf numFmtId="0" fontId="20" fillId="9" borderId="85" xfId="0" applyFont="1" applyFill="1" applyBorder="1" applyAlignment="1" applyProtection="1">
      <alignment horizontal="center" vertical="center"/>
      <protection locked="0" hidden="1"/>
    </xf>
    <xf numFmtId="0" fontId="20" fillId="9" borderId="83" xfId="0" applyFont="1" applyFill="1" applyBorder="1" applyAlignment="1" applyProtection="1">
      <alignment horizontal="center" vertical="center"/>
      <protection locked="0" hidden="1"/>
    </xf>
    <xf numFmtId="0" fontId="20" fillId="9" borderId="86" xfId="0" applyFont="1" applyFill="1" applyBorder="1" applyAlignment="1" applyProtection="1">
      <alignment horizontal="center" vertical="center"/>
      <protection locked="0" hidden="1"/>
    </xf>
    <xf numFmtId="0" fontId="28" fillId="5" borderId="80" xfId="0" applyFont="1" applyFill="1" applyBorder="1" applyAlignment="1" applyProtection="1">
      <alignment horizontal="center" vertical="center"/>
      <protection locked="0" hidden="1"/>
    </xf>
    <xf numFmtId="0" fontId="28" fillId="5" borderId="78" xfId="0" applyFont="1" applyFill="1" applyBorder="1" applyAlignment="1" applyProtection="1">
      <alignment horizontal="center" vertical="center"/>
      <protection locked="0" hidden="1"/>
    </xf>
    <xf numFmtId="0" fontId="28" fillId="5" borderId="81" xfId="0" applyFont="1" applyFill="1" applyBorder="1" applyAlignment="1" applyProtection="1">
      <alignment horizontal="center" vertical="center"/>
      <protection locked="0" hidden="1"/>
    </xf>
    <xf numFmtId="14" fontId="36" fillId="17" borderId="58" xfId="0" quotePrefix="1" applyNumberFormat="1" applyFont="1" applyFill="1" applyBorder="1" applyAlignment="1" applyProtection="1">
      <alignment horizontal="center" vertical="center"/>
      <protection hidden="1"/>
    </xf>
    <xf numFmtId="14" fontId="36" fillId="17" borderId="61" xfId="0" quotePrefix="1" applyNumberFormat="1" applyFont="1" applyFill="1" applyBorder="1" applyAlignment="1" applyProtection="1">
      <alignment horizontal="center" vertical="center"/>
      <protection hidden="1"/>
    </xf>
    <xf numFmtId="14" fontId="35" fillId="17" borderId="58" xfId="0" quotePrefix="1" applyNumberFormat="1" applyFont="1" applyFill="1" applyBorder="1" applyAlignment="1" applyProtection="1">
      <alignment horizontal="center" vertical="center"/>
      <protection hidden="1"/>
    </xf>
    <xf numFmtId="14" fontId="35" fillId="17" borderId="64" xfId="0" applyNumberFormat="1" applyFont="1" applyFill="1" applyBorder="1" applyAlignment="1" applyProtection="1">
      <alignment horizontal="center" vertical="center"/>
      <protection hidden="1"/>
    </xf>
    <xf numFmtId="14" fontId="35" fillId="17" borderId="61" xfId="0" applyNumberFormat="1" applyFont="1" applyFill="1" applyBorder="1" applyAlignment="1" applyProtection="1">
      <alignment horizontal="center" vertical="center"/>
      <protection hidden="1"/>
    </xf>
    <xf numFmtId="14" fontId="35" fillId="17" borderId="64" xfId="0" quotePrefix="1" applyNumberFormat="1" applyFont="1" applyFill="1" applyBorder="1" applyAlignment="1" applyProtection="1">
      <alignment horizontal="center" vertical="center"/>
      <protection hidden="1"/>
    </xf>
    <xf numFmtId="14" fontId="35" fillId="17" borderId="61" xfId="0" quotePrefix="1" applyNumberFormat="1" applyFont="1" applyFill="1" applyBorder="1" applyAlignment="1" applyProtection="1">
      <alignment horizontal="center" vertical="center"/>
      <protection hidden="1"/>
    </xf>
    <xf numFmtId="0" fontId="21" fillId="20" borderId="291" xfId="0" applyFont="1" applyFill="1" applyBorder="1" applyAlignment="1" applyProtection="1">
      <alignment horizontal="center" vertical="center"/>
      <protection locked="0" hidden="1"/>
    </xf>
    <xf numFmtId="0" fontId="21" fillId="20" borderId="292" xfId="0" applyFont="1" applyFill="1" applyBorder="1" applyAlignment="1" applyProtection="1">
      <alignment horizontal="center" vertical="center"/>
      <protection locked="0" hidden="1"/>
    </xf>
    <xf numFmtId="14" fontId="30" fillId="14" borderId="44" xfId="0" applyNumberFormat="1" applyFont="1" applyFill="1" applyBorder="1" applyAlignment="1" applyProtection="1">
      <alignment horizontal="center" vertical="center"/>
      <protection hidden="1"/>
    </xf>
    <xf numFmtId="14" fontId="30" fillId="14" borderId="50" xfId="0" applyNumberFormat="1" applyFont="1" applyFill="1" applyBorder="1" applyAlignment="1" applyProtection="1">
      <alignment horizontal="center" vertical="center"/>
      <protection hidden="1"/>
    </xf>
    <xf numFmtId="14" fontId="30" fillId="14" borderId="52" xfId="0" applyNumberFormat="1" applyFont="1" applyFill="1" applyBorder="1" applyAlignment="1" applyProtection="1">
      <alignment horizontal="center" vertical="center"/>
      <protection hidden="1"/>
    </xf>
    <xf numFmtId="14" fontId="30" fillId="25" borderId="107" xfId="0" applyNumberFormat="1" applyFont="1" applyFill="1" applyBorder="1" applyAlignment="1" applyProtection="1">
      <alignment horizontal="center" vertical="center"/>
      <protection hidden="1"/>
    </xf>
    <xf numFmtId="14" fontId="30" fillId="25" borderId="113" xfId="0" applyNumberFormat="1" applyFont="1" applyFill="1" applyBorder="1" applyAlignment="1" applyProtection="1">
      <alignment horizontal="center" vertical="center"/>
      <protection hidden="1"/>
    </xf>
    <xf numFmtId="14" fontId="30" fillId="25" borderId="115" xfId="0" applyNumberFormat="1" applyFont="1" applyFill="1" applyBorder="1" applyAlignment="1" applyProtection="1">
      <alignment horizontal="center" vertical="center"/>
      <protection hidden="1"/>
    </xf>
    <xf numFmtId="14" fontId="30" fillId="23" borderId="93" xfId="0" applyNumberFormat="1" applyFont="1" applyFill="1" applyBorder="1" applyAlignment="1" applyProtection="1">
      <alignment horizontal="center" vertical="center"/>
      <protection hidden="1"/>
    </xf>
    <xf numFmtId="14" fontId="30" fillId="23" borderId="99" xfId="0" applyNumberFormat="1" applyFont="1" applyFill="1" applyBorder="1" applyAlignment="1" applyProtection="1">
      <alignment horizontal="center" vertical="center"/>
      <protection hidden="1"/>
    </xf>
    <xf numFmtId="14" fontId="30" fillId="23" borderId="101" xfId="0" applyNumberFormat="1" applyFont="1" applyFill="1" applyBorder="1" applyAlignment="1" applyProtection="1">
      <alignment horizontal="center" vertical="center"/>
      <protection hidden="1"/>
    </xf>
    <xf numFmtId="14" fontId="36" fillId="18" borderId="0" xfId="0" quotePrefix="1" applyNumberFormat="1" applyFont="1" applyFill="1" applyAlignment="1" applyProtection="1">
      <alignment horizontal="center" vertical="center"/>
      <protection hidden="1"/>
    </xf>
    <xf numFmtId="0" fontId="41" fillId="31" borderId="0" xfId="0" applyFont="1" applyFill="1" applyAlignment="1">
      <alignment horizontal="center" vertical="top"/>
    </xf>
    <xf numFmtId="0" fontId="41" fillId="31" borderId="151" xfId="0" applyFont="1" applyFill="1" applyBorder="1" applyAlignment="1">
      <alignment horizontal="center" vertical="top"/>
    </xf>
    <xf numFmtId="14" fontId="30" fillId="17" borderId="0" xfId="0" quotePrefix="1" applyNumberFormat="1" applyFont="1" applyFill="1" applyAlignment="1" applyProtection="1">
      <alignment horizontal="center" vertical="top"/>
      <protection hidden="1"/>
    </xf>
    <xf numFmtId="0" fontId="30" fillId="25" borderId="0" xfId="0" applyFont="1" applyFill="1" applyAlignment="1" applyProtection="1">
      <alignment horizontal="center" vertical="center"/>
      <protection hidden="1"/>
    </xf>
    <xf numFmtId="0" fontId="30" fillId="27" borderId="0" xfId="0" applyFont="1" applyFill="1" applyAlignment="1" applyProtection="1">
      <alignment horizontal="center" vertical="center"/>
      <protection hidden="1"/>
    </xf>
    <xf numFmtId="0" fontId="30" fillId="2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14" fontId="30" fillId="11" borderId="0" xfId="0" applyNumberFormat="1" applyFont="1" applyFill="1" applyAlignment="1" applyProtection="1">
      <alignment horizontal="center" vertical="center" textRotation="2"/>
      <protection hidden="1"/>
    </xf>
    <xf numFmtId="0" fontId="30" fillId="13" borderId="0" xfId="0" applyFont="1" applyFill="1" applyAlignment="1" applyProtection="1">
      <alignment horizontal="center" vertical="center"/>
      <protection hidden="1"/>
    </xf>
    <xf numFmtId="0" fontId="30" fillId="14" borderId="0" xfId="0" applyFont="1" applyFill="1" applyAlignment="1" applyProtection="1">
      <alignment horizontal="center" vertical="center"/>
      <protection hidden="1"/>
    </xf>
    <xf numFmtId="14" fontId="35" fillId="17" borderId="0" xfId="0" applyNumberFormat="1" applyFont="1" applyFill="1" applyAlignment="1" applyProtection="1">
      <alignment horizontal="center" vertical="center"/>
      <protection hidden="1"/>
    </xf>
    <xf numFmtId="14" fontId="36" fillId="17" borderId="0" xfId="0" quotePrefix="1" applyNumberFormat="1" applyFont="1" applyFill="1" applyAlignment="1" applyProtection="1">
      <alignment horizontal="center" vertical="center"/>
      <protection hidden="1"/>
    </xf>
    <xf numFmtId="0" fontId="38" fillId="28" borderId="0" xfId="0" applyFont="1" applyFill="1" applyAlignment="1" applyProtection="1">
      <alignment horizontal="center" vertical="center"/>
      <protection hidden="1"/>
    </xf>
    <xf numFmtId="0" fontId="41"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Alignment="1">
      <alignment horizontal="left" vertical="center" wrapText="1"/>
    </xf>
    <xf numFmtId="0" fontId="39" fillId="33" borderId="1" xfId="0" applyFont="1" applyFill="1" applyBorder="1" applyAlignment="1">
      <alignment horizontal="left" vertical="center" wrapText="1"/>
    </xf>
    <xf numFmtId="0" fontId="39" fillId="32" borderId="0" xfId="0" applyFont="1" applyFill="1" applyAlignment="1">
      <alignment horizontal="left" vertical="center" wrapText="1"/>
    </xf>
    <xf numFmtId="0" fontId="39" fillId="32" borderId="4" xfId="0" applyFont="1" applyFill="1" applyBorder="1" applyAlignment="1">
      <alignment horizontal="left" vertical="center" wrapText="1"/>
    </xf>
    <xf numFmtId="0" fontId="39" fillId="34" borderId="149" xfId="0" applyFont="1" applyFill="1" applyBorder="1" applyAlignment="1">
      <alignment horizontal="left" vertical="center" wrapText="1"/>
    </xf>
    <xf numFmtId="0" fontId="39" fillId="33" borderId="153" xfId="0" applyFont="1" applyFill="1" applyBorder="1" applyAlignment="1">
      <alignment horizontal="left" vertical="center" wrapText="1"/>
    </xf>
    <xf numFmtId="0" fontId="39" fillId="33" borderId="151" xfId="0" applyFont="1" applyFill="1" applyBorder="1" applyAlignment="1">
      <alignment horizontal="left" vertical="center" wrapText="1"/>
    </xf>
    <xf numFmtId="0" fontId="39" fillId="33" borderId="154" xfId="0" applyFont="1" applyFill="1" applyBorder="1" applyAlignment="1">
      <alignment horizontal="left" vertical="center" wrapText="1"/>
    </xf>
    <xf numFmtId="0" fontId="39" fillId="34" borderId="148" xfId="0" applyFont="1" applyFill="1" applyBorder="1" applyAlignment="1">
      <alignment horizontal="left" vertical="center" wrapText="1"/>
    </xf>
    <xf numFmtId="0" fontId="39" fillId="34" borderId="150" xfId="0" applyFont="1" applyFill="1" applyBorder="1" applyAlignment="1">
      <alignment horizontal="left" vertical="center" wrapText="1"/>
    </xf>
    <xf numFmtId="0" fontId="39" fillId="5" borderId="0" xfId="0" applyFont="1" applyFill="1" applyAlignment="1" applyProtection="1">
      <alignment horizontal="left" vertical="center" wrapText="1"/>
      <protection hidden="1"/>
    </xf>
    <xf numFmtId="0" fontId="41" fillId="29" borderId="0" xfId="0" applyFont="1" applyFill="1" applyAlignment="1">
      <alignment horizontal="center" vertical="top"/>
    </xf>
    <xf numFmtId="0" fontId="41" fillId="29" borderId="151" xfId="0" applyFont="1" applyFill="1" applyBorder="1" applyAlignment="1">
      <alignment horizontal="center" vertical="top"/>
    </xf>
    <xf numFmtId="14" fontId="30" fillId="18" borderId="1" xfId="0" quotePrefix="1" applyNumberFormat="1" applyFont="1" applyFill="1" applyBorder="1" applyAlignment="1" applyProtection="1">
      <alignment horizontal="center" vertical="top"/>
      <protection hidden="1"/>
    </xf>
    <xf numFmtId="14" fontId="30" fillId="18" borderId="0" xfId="0" quotePrefix="1" applyNumberFormat="1" applyFont="1" applyFill="1" applyAlignment="1" applyProtection="1">
      <alignment horizontal="center" vertical="top"/>
      <protection hidden="1"/>
    </xf>
    <xf numFmtId="14" fontId="30" fillId="18" borderId="151" xfId="0" quotePrefix="1" applyNumberFormat="1" applyFont="1" applyFill="1" applyBorder="1" applyAlignment="1" applyProtection="1">
      <alignment horizontal="center" vertical="top"/>
      <protection hidden="1"/>
    </xf>
  </cellXfs>
  <cellStyles count="9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89" builtinId="9" hidden="1"/>
    <cellStyle name="Followed Hyperlink" xfId="87" builtinId="9" hidden="1"/>
    <cellStyle name="Followed Hyperlink" xfId="85" builtinId="9" hidden="1"/>
    <cellStyle name="Followed Hyperlink" xfId="83" builtinId="9" hidden="1"/>
    <cellStyle name="Followed Hyperlink" xfId="81" builtinId="9" hidden="1"/>
    <cellStyle name="Followed Hyperlink" xfId="79" builtinId="9" hidden="1"/>
    <cellStyle name="Followed Hyperlink" xfId="77" builtinId="9" hidden="1"/>
    <cellStyle name="Followed Hyperlink" xfId="75" builtinId="9" hidden="1"/>
    <cellStyle name="Followed Hyperlink" xfId="73" builtinId="9" hidden="1"/>
    <cellStyle name="Followed Hyperlink" xfId="71" builtinId="9" hidden="1"/>
    <cellStyle name="Followed Hyperlink" xfId="69" builtinId="9" hidden="1"/>
    <cellStyle name="Followed Hyperlink" xfId="67" builtinId="9" hidden="1"/>
    <cellStyle name="Followed Hyperlink" xfId="65" builtinId="9" hidden="1"/>
    <cellStyle name="Followed Hyperlink" xfId="63" builtinId="9" hidden="1"/>
    <cellStyle name="Followed Hyperlink" xfId="61" builtinId="9" hidden="1"/>
    <cellStyle name="Followed Hyperlink" xfId="59" builtinId="9" hidden="1"/>
    <cellStyle name="Followed Hyperlink" xfId="57" builtinId="9" hidden="1"/>
    <cellStyle name="Followed Hyperlink" xfId="55" builtinId="9" hidden="1"/>
    <cellStyle name="Followed Hyperlink" xfId="53" builtinId="9" hidden="1"/>
    <cellStyle name="Followed Hyperlink" xfId="51" builtinId="9" hidden="1"/>
    <cellStyle name="Followed Hyperlink" xfId="49" builtinId="9" hidden="1"/>
    <cellStyle name="Followed Hyperlink" xfId="47"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8" builtinId="9" hidden="1"/>
    <cellStyle name="Followed Hyperlink" xfId="39"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6" builtinId="9" hidden="1"/>
    <cellStyle name="Followed Hyperlink" xfId="45" builtinId="9" hidden="1"/>
    <cellStyle name="Followed Hyperlink" xfId="41" builtinId="9" hidden="1"/>
    <cellStyle name="Followed Hyperlink" xfId="37" builtinId="9" hidden="1"/>
    <cellStyle name="Followed Hyperlink" xfId="33" builtinId="9" hidden="1"/>
    <cellStyle name="Followed Hyperlink" xfId="29"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27" builtinId="8"/>
    <cellStyle name="Normal" xfId="0" builtinId="0"/>
    <cellStyle name="Normal 2" xfId="90" xr:uid="{0AC5020E-4D99-3148-A28E-0E42E9704295}"/>
  </cellStyles>
  <dxfs count="93">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general" vertical="bottom" textRotation="0" wrapText="0" indent="0"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general" vertical="bottom" textRotation="0" wrapText="0" indent="0" justifyLastLine="0" shrinkToFit="0" readingOrder="0"/>
    </dxf>
    <dxf>
      <fill>
        <patternFill>
          <bgColor rgb="FFFFC000"/>
        </patternFill>
      </fill>
    </dxf>
    <dxf>
      <fill>
        <patternFill>
          <bgColor rgb="FFC9C9C9"/>
        </patternFill>
      </fill>
    </dxf>
    <dxf>
      <fill>
        <patternFill>
          <bgColor rgb="FFEBF2DF"/>
        </patternFill>
      </fill>
    </dxf>
    <dxf>
      <fill>
        <patternFill>
          <bgColor rgb="FFDBEEF3"/>
        </patternFill>
      </fill>
    </dxf>
    <dxf>
      <fill>
        <patternFill>
          <bgColor rgb="FFFEE9DA"/>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none">
          <fgColor indexed="64"/>
          <bgColor auto="1"/>
        </patternFill>
      </fill>
      <protection locked="1" hidden="1"/>
    </dxf>
    <dxf>
      <font>
        <b val="0"/>
        <i val="0"/>
        <strike val="0"/>
        <condense val="0"/>
        <extend val="0"/>
        <outline val="0"/>
        <shadow val="0"/>
        <u val="none"/>
        <vertAlign val="baseline"/>
        <sz val="11"/>
        <color theme="0"/>
        <name val="Calibri"/>
        <family val="2"/>
        <scheme val="minor"/>
      </font>
      <fill>
        <patternFill patternType="none">
          <fgColor indexed="64"/>
          <bgColor auto="1"/>
        </patternFill>
      </fill>
      <protection locked="1" hidden="1"/>
    </dxf>
    <dxf>
      <font>
        <strike val="0"/>
        <outline val="0"/>
        <shadow val="0"/>
        <u val="none"/>
        <vertAlign val="baseline"/>
        <color theme="0"/>
        <name val="Calibri"/>
        <family val="2"/>
        <scheme val="minor"/>
      </font>
      <fill>
        <patternFill patternType="none">
          <fgColor indexed="64"/>
          <bgColor auto="1"/>
        </patternFill>
      </fill>
    </dxf>
    <dxf>
      <font>
        <strike val="0"/>
        <outline val="0"/>
        <shadow val="0"/>
        <u val="none"/>
        <vertAlign val="baseline"/>
        <sz val="11"/>
        <color theme="0"/>
        <name val="Calibri"/>
        <family val="2"/>
        <scheme val="minor"/>
      </font>
      <fill>
        <patternFill patternType="none">
          <fgColor indexed="64"/>
          <bgColor auto="1"/>
        </patternFill>
      </fill>
      <protection locked="1" hidden="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1F4E78"/>
        </patternFill>
      </fill>
      <border>
        <left style="thin">
          <color theme="0"/>
        </left>
        <right style="thin">
          <color theme="0"/>
        </right>
        <top style="thin">
          <color theme="0"/>
        </top>
        <bottom style="thin">
          <color theme="0"/>
        </bottom>
      </border>
    </dxf>
    <dxf>
      <font>
        <color theme="0"/>
      </font>
      <fill>
        <patternFill>
          <bgColor rgb="FF963633"/>
        </patternFill>
      </fill>
      <border>
        <left style="thin">
          <color theme="0"/>
        </left>
        <right style="thin">
          <color theme="0"/>
        </right>
        <top style="thin">
          <color theme="0"/>
        </top>
        <bottom style="thin">
          <color theme="0"/>
        </bottom>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bgColor rgb="FF0098A6"/>
        </patternFill>
      </fill>
      <border>
        <left style="thin">
          <color theme="0"/>
        </left>
        <right style="thin">
          <color theme="0"/>
        </right>
        <top style="thin">
          <color theme="0"/>
        </top>
        <bottom style="thin">
          <color theme="0"/>
        </bottom>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FEC236"/>
        </patternFill>
      </fill>
    </dxf>
    <dxf>
      <font>
        <b val="0"/>
        <i val="0"/>
        <color theme="0"/>
      </font>
      <fill>
        <patternFill patternType="solid">
          <fgColor indexed="64"/>
          <bgColor rgb="FF00A439"/>
        </patternFill>
      </fill>
    </dxf>
    <dxf>
      <font>
        <b val="0"/>
        <i val="0"/>
        <color theme="0"/>
      </font>
      <fill>
        <patternFill patternType="solid">
          <fgColor indexed="64"/>
          <bgColor rgb="FFFEC236"/>
        </patternFill>
      </fill>
    </dxf>
    <dxf>
      <font>
        <b val="0"/>
        <i val="0"/>
        <color theme="0"/>
      </font>
      <fill>
        <patternFill patternType="solid">
          <fgColor indexed="64"/>
          <bgColor rgb="FF00A439"/>
        </patternFill>
      </fill>
    </dxf>
    <dxf>
      <fill>
        <patternFill>
          <bgColor rgb="FFC4D79B"/>
        </patternFill>
      </fill>
    </dxf>
    <dxf>
      <font>
        <b val="0"/>
        <i val="0"/>
        <color theme="0"/>
      </font>
      <fill>
        <patternFill patternType="solid">
          <fgColor indexed="64"/>
          <bgColor rgb="FF2F75B5"/>
        </patternFill>
      </fill>
    </dxf>
    <dxf>
      <font>
        <b val="0"/>
        <i val="0"/>
        <color theme="0"/>
      </font>
      <fill>
        <patternFill>
          <bgColor rgb="FF2F75B5"/>
        </patternFill>
      </fill>
      <border>
        <vertical/>
        <horizontal/>
      </border>
    </dxf>
    <dxf>
      <font>
        <b val="0"/>
        <i val="0"/>
        <color theme="0"/>
      </font>
      <fill>
        <patternFill patternType="solid">
          <fgColor indexed="64"/>
          <bgColor rgb="FFAB402E"/>
        </patternFill>
      </fill>
    </dxf>
    <dxf>
      <font>
        <b val="0"/>
        <i val="0"/>
        <color theme="0"/>
      </font>
      <fill>
        <patternFill>
          <bgColor rgb="FFAB402E"/>
        </patternFill>
      </fill>
    </dxf>
    <dxf>
      <font>
        <b val="0"/>
        <i val="0"/>
        <color theme="0"/>
      </font>
      <fill>
        <patternFill patternType="solid">
          <fgColor indexed="64"/>
          <bgColor rgb="FFF4B084"/>
        </patternFill>
      </fill>
    </dxf>
    <dxf>
      <font>
        <b val="0"/>
        <i val="0"/>
        <color theme="0"/>
      </font>
      <fill>
        <patternFill>
          <bgColor rgb="FFF4B084"/>
        </patternFill>
      </fill>
      <border>
        <vertical/>
        <horizontal/>
      </border>
    </dxf>
    <dxf>
      <font>
        <b val="0"/>
        <i val="0"/>
        <color theme="0"/>
      </font>
      <fill>
        <patternFill patternType="solid">
          <fgColor indexed="64"/>
          <bgColor rgb="FF00B3C9"/>
        </patternFill>
      </fill>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FEC236"/>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theme="0" tint="-0.34998626667073579"/>
        </patternFill>
      </fill>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s>
  <tableStyles count="0" defaultTableStyle="TableStyleMedium9" defaultPivotStyle="PivotStyleLight16"/>
  <colors>
    <mruColors>
      <color rgb="FFC9C9C9"/>
      <color rgb="FF0056A3"/>
      <color rgb="FF5080BD"/>
      <color rgb="FF963534"/>
      <color rgb="FF288894"/>
      <color rgb="FF4273AF"/>
      <color rgb="FF4373AF"/>
      <color rgb="FF2F75B5"/>
      <color rgb="FFFFBE00"/>
      <color rgb="FFAB40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openxmlformats.org/officeDocument/2006/relationships/customXml" Target="../customXml/item2.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hyperlink" Target="#EURO2024!K4"/></Relationships>
</file>

<file path=xl/drawings/drawing1.xml><?xml version="1.0" encoding="utf-8"?>
<xdr:wsDr xmlns:xdr="http://schemas.openxmlformats.org/drawingml/2006/spreadsheetDrawing" xmlns:a="http://schemas.openxmlformats.org/drawingml/2006/main">
  <xdr:twoCellAnchor>
    <xdr:from>
      <xdr:col>4</xdr:col>
      <xdr:colOff>244474</xdr:colOff>
      <xdr:row>3</xdr:row>
      <xdr:rowOff>92076</xdr:rowOff>
    </xdr:from>
    <xdr:to>
      <xdr:col>7</xdr:col>
      <xdr:colOff>0</xdr:colOff>
      <xdr:row>4</xdr:row>
      <xdr:rowOff>393700</xdr:rowOff>
    </xdr:to>
    <xdr:sp macro="" textlink="Idiomas!D4">
      <xdr:nvSpPr>
        <xdr:cNvPr id="4" name="Rectángulo redondeado 5">
          <a:hlinkClick xmlns:r="http://schemas.openxmlformats.org/officeDocument/2006/relationships" r:id="rId1"/>
          <a:extLst>
            <a:ext uri="{FF2B5EF4-FFF2-40B4-BE49-F238E27FC236}">
              <a16:creationId xmlns:a16="http://schemas.microsoft.com/office/drawing/2014/main" id="{FF999FD2-9217-4020-8A98-38141898F163}"/>
            </a:ext>
          </a:extLst>
        </xdr:cNvPr>
        <xdr:cNvSpPr/>
      </xdr:nvSpPr>
      <xdr:spPr>
        <a:xfrm>
          <a:off x="3101974" y="663576"/>
          <a:ext cx="3324226" cy="492124"/>
        </a:xfrm>
        <a:prstGeom prst="roundRect">
          <a:avLst/>
        </a:prstGeom>
        <a:solidFill>
          <a:schemeClr val="accent6">
            <a:lumMod val="75000"/>
            <a:alpha val="60000"/>
          </a:schemeClr>
        </a:solidFill>
        <a:ln w="603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13F3C7EA-2947-0844-A73C-092388BF2E79}" type="TxLink">
            <a:rPr lang="en-US" sz="1800" b="1" i="0" u="none" strike="noStrike">
              <a:solidFill>
                <a:schemeClr val="bg1"/>
              </a:solidFill>
              <a:effectLst/>
              <a:latin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Introducir resultados</a:t>
          </a:fld>
          <a:endParaRPr lang="es-ES" sz="18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123824</xdr:colOff>
      <xdr:row>0</xdr:row>
      <xdr:rowOff>27940</xdr:rowOff>
    </xdr:from>
    <xdr:to>
      <xdr:col>18</xdr:col>
      <xdr:colOff>438149</xdr:colOff>
      <xdr:row>1</xdr:row>
      <xdr:rowOff>87630</xdr:rowOff>
    </xdr:to>
    <xdr:sp macro="" textlink="">
      <xdr:nvSpPr>
        <xdr:cNvPr id="2" name="Rectangle: Rounded Corners 1">
          <a:extLst>
            <a:ext uri="{FF2B5EF4-FFF2-40B4-BE49-F238E27FC236}">
              <a16:creationId xmlns:a16="http://schemas.microsoft.com/office/drawing/2014/main" id="{A88ACC6F-55FE-43A1-9245-89E7057E127D}"/>
            </a:ext>
            <a:ext uri="{6ECC49D1-AA05-4338-93AA-15A1B29DFB0A}">
              <asl:scriptLink xmlns:asl="http://schemas.microsoft.com/office/drawing/2021/scriptlink" val="{&quot;shareId&quot;:&quot;ms-officescript%3A%2F%2Fonedrive_business_sharinglink%2Fu!aHR0cHM6Ly9teXJlc291cmNlcy5kZWxvaXR0ZS5jb20vOnU6L2cvcGVyc29uYWwvZGl6cXVpZXJkb2JvbmlsbGFfZGVsb2l0dGVfZXMvRWNZT1VOa1M0NzVJaDZqM2tTbjRYTU1CLWRjUC1PRTh0R05acXNMQS05c0dNZw&quot;}"/>
            </a:ext>
          </a:extLst>
        </xdr:cNvPr>
        <xdr:cNvSpPr/>
      </xdr:nvSpPr>
      <xdr:spPr>
        <a:xfrm>
          <a:off x="6276974" y="27940"/>
          <a:ext cx="2886075" cy="364490"/>
        </a:xfrm>
        <a:prstGeom prst="roundRect">
          <a:avLst/>
        </a:prstGeom>
        <a:solidFill>
          <a:srgbClr val="107C41"/>
        </a:solidFill>
        <a:ln w="25400" cap="flat" cmpd="sng" algn="ctr">
          <a:solidFill>
            <a:schemeClr val="accent1">
              <a:shade val="50000"/>
            </a:scheme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a:t>Rellenar</a:t>
          </a:r>
          <a:r>
            <a:rPr lang="es-ES" baseline="0"/>
            <a:t> Porra Automaticamente</a:t>
          </a:r>
          <a:endParaRPr lang="es-ES"/>
        </a:p>
      </xdr:txBody>
    </xdr:sp>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6</v>
  </rv>
  <rv s="1">
    <v>4</v>
    <v>6</v>
    <v>Pichichi</v>
  </rv>
  <rv s="1">
    <v>5</v>
    <v>6</v>
    <v>Mejor Jugador</v>
  </rv>
</rvData>
</file>

<file path=xl/richData/rdrichvaluestructure.xml><?xml version="1.0" encoding="utf-8"?>
<rvStructures xmlns="http://schemas.microsoft.com/office/spreadsheetml/2017/richdata" count="2">
  <s t="_localImage">
    <k n="_rvRel:LocalImageIdentifier" t="i"/>
    <k n="CalcOrigin"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3:AW15" totalsRowShown="0" headerRowDxfId="16" dataDxfId="15">
  <tableColumns count="2">
    <tableColumn id="1" xr3:uid="{00000000-0010-0000-0000-000001000000}" name="TOPIC" dataDxfId="14"/>
    <tableColumn id="2" xr3:uid="{00000000-0010-0000-0000-000002000000}" name="VALUE"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88FBBA8-CA0F-3748-89B6-2F5ABA4156D2}">
  <we:reference id="wa200005502" version="1.0.0.11" store="es-ES" storeType="OMEX"/>
  <we:alternateReferences>
    <we:reference id="wa200005502" version="1.0.0.11" store="" storeType="OMEX"/>
  </we:alternateReferences>
  <we:properties>
    <we:property name="docId" value="&quot;Jrb3TyZVwdfc5BXb78zj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subject=&amp;body="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B1:AGU62"/>
  <sheetViews>
    <sheetView showGridLines="0" showRowColHeaders="0" zoomScale="80" zoomScaleNormal="80" workbookViewId="0">
      <selection activeCell="M14" sqref="M14"/>
    </sheetView>
  </sheetViews>
  <sheetFormatPr defaultColWidth="10.6640625" defaultRowHeight="14.4" zeroHeight="1" x14ac:dyDescent="0.3"/>
  <cols>
    <col min="1" max="3" width="10.6640625" style="2" customWidth="1"/>
    <col min="4" max="4" width="5" style="2" customWidth="1"/>
    <col min="5" max="5" width="3.44140625" style="2" customWidth="1"/>
    <col min="6" max="6" width="28.6640625" style="2" customWidth="1"/>
    <col min="7" max="7" width="16" style="2" customWidth="1"/>
    <col min="8" max="8" width="7.33203125" style="477" customWidth="1"/>
    <col min="9" max="9" width="7.33203125" style="2" customWidth="1"/>
    <col min="10" max="10" width="7.33203125" style="477" customWidth="1"/>
    <col min="11" max="14" width="10.6640625" style="2" customWidth="1"/>
    <col min="15" max="15" width="12.109375" style="2" customWidth="1"/>
    <col min="16" max="16" width="6.109375" style="2" customWidth="1"/>
    <col min="17" max="17" width="10.6640625" style="2" customWidth="1"/>
    <col min="18" max="18" width="11.33203125" style="2" customWidth="1"/>
    <col min="19" max="16379" width="10.6640625" style="2" customWidth="1"/>
    <col min="16380" max="16384" width="10.6640625" style="2"/>
  </cols>
  <sheetData>
    <row r="1" spans="2:18" x14ac:dyDescent="0.3"/>
    <row r="2" spans="2:18" x14ac:dyDescent="0.3"/>
    <row r="3" spans="2:18" x14ac:dyDescent="0.3"/>
    <row r="4" spans="2:18" ht="15" customHeight="1" x14ac:dyDescent="0.3">
      <c r="K4" s="739"/>
      <c r="O4" s="7"/>
    </row>
    <row r="5" spans="2:18" ht="58.2" customHeight="1" x14ac:dyDescent="0.3">
      <c r="J5" s="2"/>
    </row>
    <row r="6" spans="2:18" ht="15" customHeight="1" thickBot="1" x14ac:dyDescent="0.35">
      <c r="J6" s="2"/>
      <c r="R6" s="411" t="str">
        <f>"https://wa.me/"&amp;"?text="&amp;Idiomas!D195&amp;" "&amp;CHAR(10)&amp;Idiomas!D196</f>
        <v>https://wa.me/?text=Te envío el Excel de la Eurocopa 2024 para descargarlo.  
https://matejero.es/download/excel-euro-2024/?ref=share</v>
      </c>
    </row>
    <row r="7" spans="2:18" ht="27" customHeight="1" thickBot="1" x14ac:dyDescent="0.35">
      <c r="B7" s="411" t="str">
        <f>Idiomas!D7</f>
        <v>XVII Eurocopa Alemania 2024</v>
      </c>
      <c r="F7" s="740" t="str">
        <f>Idiomas!D6</f>
        <v>Selecciona idioma: -&gt;</v>
      </c>
      <c r="G7" s="417" t="s">
        <v>0</v>
      </c>
      <c r="J7" s="2"/>
    </row>
    <row r="8" spans="2:18" ht="15" customHeight="1" x14ac:dyDescent="0.3">
      <c r="J8" s="2"/>
      <c r="R8" s="411" t="str">
        <f>"mailto:?&amp;subject=Excel Euro 2024"&amp;"&amp;body="&amp;Idiomas!$D$195&amp;CHAR(10)&amp;Idiomas!D196</f>
        <v>mailto:?&amp;subject=Excel Euro 2024&amp;body=Te envío el Excel de la Eurocopa 2024 para descargarlo. 
https://matejero.es/download/excel-euro-2024/?ref=share</v>
      </c>
    </row>
    <row r="9" spans="2:18" x14ac:dyDescent="0.3">
      <c r="H9" s="2"/>
      <c r="J9" s="2"/>
      <c r="R9" s="411" t="str">
        <f>"https://twitter.com/intent/tweet?url="&amp;Idiomas!D196&amp;"&amp;text="&amp;Idiomas!D198&amp;"&amp;via=matejero"</f>
        <v>https://twitter.com/intent/tweet?url=https://matejero.es/download/excel-euro-2024/?ref=share&amp;text=Me acabo de descargar el Excel de la Eurocopa 2024&amp;via=matejero</v>
      </c>
    </row>
    <row r="10" spans="2:18" x14ac:dyDescent="0.3">
      <c r="H10" s="2"/>
      <c r="J10" s="2"/>
      <c r="Q10" s="742"/>
    </row>
    <row r="11" spans="2:18" x14ac:dyDescent="0.3">
      <c r="H11" s="2"/>
      <c r="K11" s="411"/>
    </row>
    <row r="12" spans="2:18" x14ac:dyDescent="0.3">
      <c r="H12" s="2"/>
      <c r="K12" s="411"/>
      <c r="Q12" s="7"/>
    </row>
    <row r="13" spans="2:18" x14ac:dyDescent="0.3">
      <c r="H13" s="2"/>
      <c r="K13" s="743"/>
    </row>
    <row r="14" spans="2:18" x14ac:dyDescent="0.3">
      <c r="H14" s="2"/>
      <c r="K14" s="741"/>
    </row>
    <row r="15" spans="2:18" x14ac:dyDescent="0.3"/>
    <row r="16" spans="2:18" x14ac:dyDescent="0.3"/>
    <row r="17" spans="6:13" x14ac:dyDescent="0.3">
      <c r="F17" s="744"/>
      <c r="I17" s="6"/>
    </row>
    <row r="18" spans="6:13" x14ac:dyDescent="0.3"/>
    <row r="19" spans="6:13" x14ac:dyDescent="0.3">
      <c r="F19" s="745"/>
      <c r="I19" s="477"/>
    </row>
    <row r="20" spans="6:13" x14ac:dyDescent="0.3">
      <c r="G20" s="7"/>
      <c r="H20" s="477" t="str">
        <f>IF(ISERROR(H21),"Whatsapp","")</f>
        <v/>
      </c>
      <c r="I20" s="477" t="str">
        <f>IF(ISERROR(I21),"Telegram","")</f>
        <v/>
      </c>
      <c r="J20" s="477" t="str">
        <f>IF(ISERROR(J21),"Mail","")</f>
        <v/>
      </c>
      <c r="K20" s="2" t="str">
        <f>IF(ISERROR(K21),"Twitter","")</f>
        <v/>
      </c>
    </row>
    <row r="21" spans="6:13" ht="25.95" customHeight="1" x14ac:dyDescent="0.3">
      <c r="F21" s="460"/>
      <c r="G21" s="460"/>
      <c r="H21" s="461"/>
      <c r="I21" s="461"/>
      <c r="J21" s="461"/>
      <c r="K21" s="461"/>
      <c r="L21" s="746"/>
    </row>
    <row r="22" spans="6:13" x14ac:dyDescent="0.3"/>
    <row r="24" spans="6:13" hidden="1" x14ac:dyDescent="0.3">
      <c r="M24" s="7"/>
    </row>
    <row r="57" spans="80:879" hidden="1" x14ac:dyDescent="0.3">
      <c r="AFZ57" s="2">
        <f t="array" ref="AFZ57">IF(AND($BY$57:$BY$58=$BY$57,$BY$58&lt;&gt;$BY$59,$BY$59&lt;&gt;$BY$60,$BY$60&lt;&gt;$BY$61,$BY$61:$BY$62=$BY$61,$CA$57:$CA$58=$CA$57,$CA$61:$CA$62=$CA$61,$CB$57:$CB$58=$CB$57,$CB$61&lt;&gt;$CB$62,$CC$57:$CC$58=$CC$57),1,0)</f>
        <v>0</v>
      </c>
      <c r="AGA57" s="2">
        <f t="array" ref="AGA57">IF(AND($BY$57:$BY$58=$BY$57,$BY$58&lt;&gt;$BY$59,$BY$59&lt;&gt;$BY$60,$BY$60&lt;&gt;$BY$61,$BY$61:$BY$62=$BY$61,$CA$57:$CA$58=$CA$57,$CA$61:$CA$62=$CA$61,$CB$57&lt;&gt;$CB$58,$CB$61:$CB$62=$CB$61,$CC$61:$CC$62=$CC$61),1,0)</f>
        <v>0</v>
      </c>
      <c r="AGB57" s="2">
        <f t="array" ref="AGB57">IF(AND($BY$57:$BY$58=$BY$57,$BY$58&lt;&gt;$BY$59,$BY$59&lt;&gt;$BY$60,$BY$60&lt;&gt;$BY$61,$BY$61:$BY$62=$BY$61,$CA$57:$CA$58=$CA$57,$CA$61:$CA$62=$CA$61,$CB$57&lt;&gt;$CB$58,$CB$61&lt;&gt;$CB$62),1,0)</f>
        <v>0</v>
      </c>
    </row>
    <row r="58" spans="80:879" hidden="1" x14ac:dyDescent="0.3">
      <c r="CB58" s="2">
        <v>5</v>
      </c>
      <c r="AFZ58" s="2">
        <f t="array" ref="AFZ58">IF(AND($BY$57:$BY$58=$BY$58,$BY$58&lt;&gt;$BY$59,$BY$59&lt;&gt;$BY$60,$BY$60&lt;&gt;$BY$61,$BY$61:$BY$62=$BY$61,$CA$57:$CA$58=$CA$58,$CA$61:$CA$62=$CA$61,$CB$57:$CB$58=$CB$58,$CB$61&lt;&gt;$CB$62,$CC$57:$CC$58=$CC$58),1,0)</f>
        <v>0</v>
      </c>
      <c r="AGA58" s="2">
        <f t="array" ref="AGA58">IF(AND($BY$57:$BY$58=$BY$58,$BY$58&lt;&gt;$BY$59,$BY$59&lt;&gt;$BY$60,$BY$60&lt;&gt;$BY$61,$BY$61:$BY$62=$BY$61,$CA$57:$CA$58=$CA$58,$CA$61:$CA$62=$CA$61,$CB$57&lt;&gt;$CB$58,$CB$61:$CB$62=$CB$61,$CC$61:$CC$62=$CC$61),1,0)</f>
        <v>0</v>
      </c>
      <c r="AGB58" s="2">
        <f t="array" ref="AGB58">IF(AND($BY$57:$BY$58=$BY$58,$BY$58&lt;&gt;$BY$59,$BY$59&lt;&gt;$BY$60,$BY$60&lt;&gt;$BY$61,$BY$61:$BY$62=$BY$61,$CA$57:$CA$58=$CA$58,$CA$61:$CA$62=$CA$61,$CB$57&lt;&gt;$CB$58,$CB$61&lt;&gt;$CB$62),1,0)</f>
        <v>0</v>
      </c>
    </row>
    <row r="59" spans="80:879" hidden="1" x14ac:dyDescent="0.3">
      <c r="JV59" s="2">
        <f t="array" ref="JV59">IF(AND($BY$57:$BY$62=$BY$59,$CA$57:$CA$62=$CA$59,$CB$57:$CB$58=$CB$58,$CB$58&lt;&gt;$CB$59,$CB$59:$CB$62=$CB$59,$CC$57:$CC$58=$CC$58,$CC$59&lt;&gt;$CC$60,$CC$60:$CC$62=$CC$60),1,0)</f>
        <v>0</v>
      </c>
      <c r="AFZ59" s="2">
        <f t="array" ref="AFZ59">IF(AND($BY$57:$BY$58=$BY$58,$BY$58&lt;&gt;$BY$59,$BY$59&lt;&gt;$BY$60,$BY$60&lt;&gt;$BY$61,$BY$61:$BY$62=$BY$61,$CA$57:$CA$58=$CA$58,$CA$61:$CA$62=$CA$61,$CB$57:$CB$58=$CB$58,$CB$61&lt;&gt;$CB$62,$CC$57:$CC$58=$CC$58),1,0)</f>
        <v>0</v>
      </c>
      <c r="AGA59" s="2">
        <f t="array" ref="AGA59">IF(AND($BY$57:$BY$58=$BY$58,$BY$58&lt;&gt;$BY$59,$BY$59&lt;&gt;$BY$60,$BY$60&lt;&gt;$BY$61,$BY$61:$BY$62=$BY$61,$CA$57:$CA$58=$CA$58,$CA$61:$CA$62=$CA$61,$CB$57&lt;&gt;$CB$58,$CB$61:$CB$62=$CB$61,$CC$61:$CC$62=$CC$61),1,0)</f>
        <v>0</v>
      </c>
      <c r="AGB59" s="2">
        <f t="array" ref="AGB59">IF(AND($BY$57:$BY$58=$BY$58,$BY$58&lt;&gt;$BY$59,$BY$59&lt;&gt;$BY$60,$BY$60&lt;&gt;$BY$61,$BY$61:$BY$62=$BY$61,$CA$57:$CA$58=$CA$58,$CA$61:$CA$62=$CA$61,$CB$57&lt;&gt;$CB$58,$CB$61&lt;&gt;$CB$62),1,0)</f>
        <v>0</v>
      </c>
    </row>
    <row r="60" spans="80:879" hidden="1" x14ac:dyDescent="0.3">
      <c r="JV60" s="2">
        <f t="array" ref="JV60">IF(AND($BY$57:$BY$62=$BY$60,$CA$57:$CA$62=$CA$60,$CB$57:$CB$58=$CB$58,$CB$58&lt;&gt;$CB$59,$CB$59:$CB$62=$CB$60,$CC$57:$CC$58=$CC$58,$CC$59&lt;&gt;$CC$60,$CC$60:$CC$62=$CC$60),1,0)</f>
        <v>0</v>
      </c>
      <c r="AFV60" s="2">
        <f t="array" ref="AFV60">IF(AND($BY$57:$BY$58=$BY$58,$BY$58&lt;&gt;$BY$59,$BY$59&lt;&gt;$BY$60,$BY$60:$BY$62=$BY$60,$CA$57:$CA$58=$CA$58,$CA$60:$CA$62=$CA$60,$CB$57&lt;&gt;$CB$58,$CB$60:$CB$62=$CB$60,$CC$60:$CC$62=$CC$60),1,0)</f>
        <v>0</v>
      </c>
      <c r="AFW60" s="2">
        <f t="array" ref="AFW60">IF(AND($BY$57:$BY$58=$BY$58,$BY$58&lt;&gt;$BY$59,$BY$59&lt;&gt;$BY$60,$BY$60:$BY$62=$BY$60,$CA$57:$CA$58=$CA$58,$CA$60:$CA$62=$CA$60,$CB$57&lt;&gt;$CB$58,$CB$60:$CB$62=$CB$60,$CC$60:$CC$62=$CC$60),1,0)</f>
        <v>0</v>
      </c>
      <c r="AFZ60" s="2">
        <f t="array" ref="AFZ60">IF(AND($BY$57:$BY$58=$BY$58,$BY$58&lt;&gt;$BY$59,$BY$59&lt;&gt;$BY$60,$BY$60&lt;&gt;$BY$61,$BY$61:$BY$62=$BY$61,$CA$57:$CA$58=$CA$58,$CA$61:$CA$62=$CA$61,$CB$57:$CB$58=$CB$58,$CB$61&lt;&gt;$CB$62,$CC$57:$CC$58=$CC$58),1,0)</f>
        <v>0</v>
      </c>
      <c r="AGA60" s="2">
        <f t="array" ref="AGA60">IF(AND($BY$57:$BY$58=$BY$58,$BY$58&lt;&gt;$BY$59,$BY$59&lt;&gt;$BY$60,$BY$60&lt;&gt;$BY$61,$BY$61:$BY$62=$BY$61,$CA$57:$CA$58=$CA$58,$CA$61:$CA$62=$CA$61,$CB$57&lt;&gt;$CB$58,$CB$61:$CB$62=$CB$61,$CC$61:$CC$62=$CC$61),1,0)</f>
        <v>0</v>
      </c>
      <c r="AGB60" s="2">
        <f t="array" ref="AGB60">IF(AND($BY$57:$BY$58=$BY$58,$BY$58&lt;&gt;$BY$59,$BY$59&lt;&gt;$BY$60,$BY$60&lt;&gt;$BY$61,$BY$61:$BY$62=$BY$61,$CA$57:$CA$58=$CA$58,$CA$61:$CA$62=$CA$61,$CB$57&lt;&gt;$CB$58,$CB$61&lt;&gt;$CB$62),1,0)</f>
        <v>0</v>
      </c>
    </row>
    <row r="61" spans="80:879" hidden="1" x14ac:dyDescent="0.3">
      <c r="JV61" s="2">
        <f t="array" ref="JV61">IF(AND($BY$57:$BY$62=$BY$61,$CA$57:$CA$62=$CA$61,$CB$57:$CB$58=$CB$58,$CB$58&lt;&gt;$CB$59,$CB$59:$CB$62=$CB$60,$CC$57:$CC$58=$CC$58,$CC$59&lt;&gt;$CC$60,$CC$60:$CC$62=$CC$61),1,0)</f>
        <v>0</v>
      </c>
      <c r="AFV61" s="2">
        <f t="array" ref="AFV61">IF(AND($BY$57:$BY$58=$BY$58,$BY$58&lt;&gt;$BY$59,$BY$59&lt;&gt;$BY$60,$BY$60:$BY$62=$BY$61,$CA$57:$CA$58=$CA$58,$CA$60:$CA$62=$CA$61,$CB$57&lt;&gt;$CB$58,$CB$60:$CB$62=$CB$61,$CC$60:$CC$62=$CC$61),1,0)</f>
        <v>0</v>
      </c>
      <c r="AFW61" s="2">
        <f t="array" ref="AFW61">IF(AND($BY$57:$BY$58=$BY$58,$BY$58&lt;&gt;$BY$59,$BY$59&lt;&gt;$BY$60,$BY$60:$BY$62=$BY$61,$CA$57:$CA$58=$CA$58,$CA$60:$CA$62=$CA$61,$CB$57&lt;&gt;$CB$58,$CB$60:$CB$62=$CB$61,$CC$60:$CC$62=$CC$61),1,0)</f>
        <v>0</v>
      </c>
      <c r="AFZ61" s="2">
        <f t="array" ref="AFZ61">IF(AND($BY$57:$BY$58=$BY$58,$BY$58&lt;&gt;$BY$59,$BY$59&lt;&gt;$BY$60,$BY$60&lt;&gt;$BY$61,$BY$61:$BY$62=$BY$61,$CA$57:$CA$58=$CA$58,$CA$61:$CA$62=$CA$61,$CB$57:$CB$58=$CB$58,$CB$61&lt;&gt;$CB$62,$CC$57:$CC$58=$CC$58),1,0)</f>
        <v>0</v>
      </c>
      <c r="AGA61" s="2">
        <f t="array" ref="AGA61">IF(AND($BY$57:$BY$58=$BY$58,$BY$58&lt;&gt;$BY$59,$BY$59&lt;&gt;$BY$60,$BY$60&lt;&gt;$BY$61,$BY$61:$BY$62=$BY$61,$CA$57:$CA$58=$CA$58,$CA$61:$CA$62=$CA$61,$CB$57&lt;&gt;$CB$58,$CB$61:$CB$62=$CB$61,$CC$61:$CC$62=$CC$61),1,0)</f>
        <v>0</v>
      </c>
      <c r="AGB61" s="2">
        <f t="array" ref="AGB61">IF(AND($BY$57:$BY$58=$BY$58,$BY$58&lt;&gt;$BY$59,$BY$59&lt;&gt;$BY$60,$BY$60&lt;&gt;$BY$61,$BY$61:$BY$62=$BY$61,$CA$57:$CA$58=$CA$58,$CA$61:$CA$62=$CA$61,$CB$57&lt;&gt;$CB$58,$CB$61&lt;&gt;$CB$62),1,0)</f>
        <v>0</v>
      </c>
    </row>
    <row r="62" spans="80:879" hidden="1" x14ac:dyDescent="0.3">
      <c r="CB62" s="2">
        <v>1</v>
      </c>
      <c r="JV62" s="2">
        <f t="array" ref="JV62">IF(AND($BY$57:$BY$62=$BY$62,$CA$57:$CA$62=$CA$62,$CB$57:$CB$58=$CB$58,$CB$58&lt;&gt;$CB$59,$CB$59:$CB$62=$CB$60,$CC$57:$CC$58=$CC$58,$CC$59&lt;&gt;$CC$60,$CC$60:$CC$62=$CC$62),1,0)</f>
        <v>0</v>
      </c>
      <c r="AFV62" s="2">
        <f t="array" ref="AFV62">IF(AND($BY$57:$BY$58=$BY$58,$BY$58&lt;&gt;$BY$59,$BY$59&lt;&gt;$BY$60,$BY$60:$BY$62=$BY$62,$CA$57:$CA$58=$CA$58,$CA$60:$CA$62=$CA$62,$CB$57&lt;&gt;$CB$58,$CB$60:$CB$62=$CB$62,$CC$60:$CC$62=$CC$62),1,0)</f>
        <v>0</v>
      </c>
      <c r="AFW62" s="2">
        <f t="array" ref="AFW62">IF(AND($BY$57:$BY$58=$BY$58,$BY$58&lt;&gt;$BY$59,$BY$59&lt;&gt;$BY$60,$BY$60:$BY$62=$BY$62,$CA$57:$CA$58=$CA$58,$CA$60:$CA$62=$CA$62,$CB$57&lt;&gt;$CB$58,$CB$60:$CB$62=$CB$62,$CC$60:$CC$62=$CC$62),1,0)</f>
        <v>0</v>
      </c>
      <c r="AFZ62" s="2">
        <f t="array" ref="AFZ62">IF(AND($BY$57:$BY$58=$BY$58,$BY$58&lt;&gt;$BY$59,$BY$59&lt;&gt;$BY$60,$BY$60&lt;&gt;$BY$61,$BY$61:$BY$62=$BY$62,$CA$57:$CA$58=$CA$58,$CA$61:$CA$62=$CA$62,$CB$57:$CB$58=$CB$58,$CB$61&lt;&gt;$CB$62,$CC$57:$CC$58=$CC$58),1,0)</f>
        <v>0</v>
      </c>
      <c r="AGA62" s="2">
        <f t="array" ref="AGA62">IF(AND($BY$57:$BY$58=$BY$58,$BY$58&lt;&gt;$BY$59,$BY$59&lt;&gt;$BY$60,$BY$60&lt;&gt;$BY$61,$BY$61:$BY$62=$BY$62,$CA$57:$CA$58=$CA$58,$CA$61:$CA$62=$CA$62,$CB$57&lt;&gt;$CB$58,$CB$61:$CB$62=$CB$62,$CC$61:$CC$62=$CC$62),1,0)</f>
        <v>0</v>
      </c>
      <c r="AGB62" s="2">
        <f t="array" ref="AGB62">IF(AND($BY$57:$BY$58=$BY$58,$BY$58&lt;&gt;$BY$59,$BY$59&lt;&gt;$BY$60,$BY$60&lt;&gt;$BY$61,$BY$61:$BY$62=$BY$62,$CA$57:$CA$58=$CA$58,$CA$61:$CA$62=$CA$62,$CB$57&lt;&gt;$CB$58,$CB$61&lt;&gt;$CB$62),1,0)</f>
        <v>0</v>
      </c>
      <c r="AGT62" s="2">
        <f t="array" ref="AGT62">IF(AND($BY$57&lt;&gt;$BY$58,$BY$58:$BY$62=$BY$62,$CA$58:$CA$62=$CA$62,$CB$58&lt;&gt;$CB$59,$CB$59&lt;&gt;$CB$60,$CB$60&lt;&gt;$CB$61,$CB$61:$CB$62=$CB$62,$CC$61:$CC$62=$CC$62),1,0)</f>
        <v>0</v>
      </c>
      <c r="AGU62" s="2">
        <f t="array" ref="AGU62">IF(AND($BY$57&lt;&gt;$BY$58,$BY$58:$BY$62=$BY$62,$CA$58:$CA$62=$CA$62,$CB$58&lt;&gt;$CB$59,$CB$59&lt;&gt;$CB$60,$CB$60&lt;&gt;$CB$61,$CB$61&lt;&gt;$CB$62),1,0)</f>
        <v>0</v>
      </c>
    </row>
  </sheetData>
  <hyperlinks>
    <hyperlink ref="R8" r:id="rId1" display="mailto:?&amp;subject=&amp;body=" xr:uid="{439E9030-1637-9E49-90ED-0D740B05DC3E}"/>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D4D17BDE-054B-BD4E-86CB-B40321F8102C}">
          <x14:formula1>
            <xm:f>Idiomas!$A$2:$A$3</xm:f>
          </x14:formula1>
          <xm:sqref>G7</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SI213"/>
  <sheetViews>
    <sheetView tabSelected="1" topLeftCell="C77" zoomScaleNormal="100" workbookViewId="0">
      <selection activeCell="I94" sqref="I94:N94"/>
    </sheetView>
  </sheetViews>
  <sheetFormatPr defaultColWidth="0" defaultRowHeight="14.4" zeroHeight="1" x14ac:dyDescent="0.3"/>
  <cols>
    <col min="1" max="2" width="10.6640625" style="2" hidden="1" customWidth="1"/>
    <col min="3" max="4" width="2.109375" style="1" customWidth="1"/>
    <col min="5" max="5" width="6.6640625" style="1" customWidth="1"/>
    <col min="6" max="6" width="11.44140625" style="1" customWidth="1"/>
    <col min="7" max="7" width="6.6640625" style="1" customWidth="1"/>
    <col min="8" max="8" width="4" style="1" bestFit="1" customWidth="1"/>
    <col min="9" max="9" width="19.44140625" style="1" customWidth="1"/>
    <col min="10" max="10" width="3.6640625" style="1" customWidth="1"/>
    <col min="11" max="12" width="5.33203125" style="1" customWidth="1"/>
    <col min="13" max="13" width="3.6640625" style="1" customWidth="1"/>
    <col min="14" max="14" width="19.109375" style="1" customWidth="1"/>
    <col min="15" max="15" width="3.44140625" style="1" customWidth="1"/>
    <col min="16" max="16" width="14.33203125" style="1" customWidth="1"/>
    <col min="17" max="17" width="4.33203125" style="1" bestFit="1" customWidth="1"/>
    <col min="18" max="18" width="15.44140625" style="1" customWidth="1"/>
    <col min="19" max="19" width="7.33203125" style="1" customWidth="1"/>
    <col min="20" max="20" width="4.44140625" style="1" customWidth="1"/>
    <col min="21" max="21" width="6.44140625" style="1" customWidth="1"/>
    <col min="22" max="23" width="3.33203125" style="1" customWidth="1"/>
    <col min="24" max="24" width="3.44140625" style="1" customWidth="1"/>
    <col min="25" max="25" width="3.6640625" style="1" customWidth="1"/>
    <col min="26" max="26" width="4.109375" style="1" customWidth="1"/>
    <col min="27" max="27" width="3.44140625" style="3" customWidth="1"/>
    <col min="28" max="28" width="12.6640625" style="6" customWidth="1"/>
    <col min="29" max="29" width="3.44140625" style="3" customWidth="1"/>
    <col min="30" max="30" width="5.44140625" style="3" customWidth="1"/>
    <col min="31" max="31" width="3" style="420" customWidth="1"/>
    <col min="32" max="32" width="10.6640625" style="412" hidden="1" customWidth="1"/>
    <col min="33" max="34" width="11" style="412" hidden="1" customWidth="1"/>
    <col min="35" max="35" width="10.6640625" style="412" hidden="1" customWidth="1"/>
    <col min="36" max="43" width="11" style="412" hidden="1" customWidth="1"/>
    <col min="44" max="44" width="14.109375" style="412" hidden="1" customWidth="1"/>
    <col min="45" max="45" width="11" style="412" hidden="1" customWidth="1"/>
    <col min="46" max="46" width="10.6640625" style="412" hidden="1" customWidth="1"/>
    <col min="47" max="47" width="11.6640625" style="412" hidden="1" customWidth="1"/>
    <col min="48" max="48" width="10.6640625" style="412" hidden="1" customWidth="1"/>
    <col min="49" max="49" width="15.109375" style="412" hidden="1" customWidth="1"/>
    <col min="50" max="51" width="10.6640625" style="412" hidden="1" customWidth="1"/>
    <col min="52" max="52" width="11" style="412" hidden="1" customWidth="1"/>
    <col min="53" max="53" width="11.109375" style="412" hidden="1" customWidth="1"/>
    <col min="54" max="73" width="11" style="412" hidden="1" customWidth="1"/>
    <col min="74" max="74" width="10.6640625" style="412" hidden="1" customWidth="1"/>
    <col min="75" max="75" width="12" style="412" hidden="1" customWidth="1"/>
    <col min="76" max="76" width="10.6640625" style="412" hidden="1" customWidth="1"/>
    <col min="77" max="77" width="11.6640625" style="412" hidden="1" customWidth="1"/>
    <col min="78" max="78" width="10.6640625" style="412" hidden="1" customWidth="1"/>
    <col min="79" max="80" width="10.6640625" style="426" hidden="1" customWidth="1"/>
    <col min="81" max="82" width="11" style="426" hidden="1" customWidth="1"/>
    <col min="83" max="84" width="12" style="426" hidden="1" customWidth="1"/>
    <col min="85" max="86" width="11" style="426" hidden="1" customWidth="1"/>
    <col min="87" max="87" width="11.6640625" style="426" hidden="1" customWidth="1"/>
    <col min="88" max="142" width="11" style="426" hidden="1" customWidth="1"/>
    <col min="143" max="143" width="10.6640625" style="426" hidden="1" customWidth="1"/>
    <col min="144" max="149" width="11" style="426" hidden="1" customWidth="1"/>
    <col min="150" max="607" width="10.6640625" style="426" hidden="1" customWidth="1"/>
    <col min="608" max="608" width="11" style="426" hidden="1" customWidth="1"/>
    <col min="609" max="824" width="10.6640625" style="426" hidden="1" customWidth="1"/>
    <col min="825" max="825" width="11" style="426" hidden="1" customWidth="1"/>
    <col min="826" max="1086" width="10.6640625" style="426" hidden="1" customWidth="1"/>
    <col min="1087" max="1087" width="11" style="426" hidden="1" customWidth="1"/>
    <col min="1088" max="1317" width="10.6640625" style="426" hidden="1" customWidth="1"/>
    <col min="1318" max="1318" width="11" style="426" hidden="1" customWidth="1"/>
    <col min="1319" max="1373" width="10.6640625" style="426" hidden="1" customWidth="1"/>
    <col min="1374" max="1374" width="11" style="426" hidden="1" customWidth="1"/>
    <col min="1375" max="16384" width="10.6640625" style="426" hidden="1"/>
  </cols>
  <sheetData>
    <row r="1" spans="1:142 5661:5661 8916:8916 13419:13419" ht="24" customHeight="1" thickBot="1" x14ac:dyDescent="0.35">
      <c r="A1" s="91"/>
      <c r="B1" s="91"/>
      <c r="C1" s="91"/>
      <c r="D1" s="91"/>
      <c r="E1" s="104" t="str">
        <f>Idiomas!D12</f>
        <v>Selecciona Horario:</v>
      </c>
      <c r="F1" s="78"/>
      <c r="G1" s="808" t="s">
        <v>1</v>
      </c>
      <c r="H1" s="809"/>
      <c r="I1" s="106" t="str">
        <f>Idiomas!D13</f>
        <v>Rellenar los cuadros grises</v>
      </c>
      <c r="J1" s="105"/>
      <c r="K1" s="106"/>
      <c r="L1" s="106"/>
      <c r="M1" s="106"/>
      <c r="N1" s="106"/>
      <c r="O1" s="78"/>
      <c r="P1" s="78"/>
      <c r="Q1" s="78"/>
      <c r="R1" s="78"/>
      <c r="S1" s="78"/>
      <c r="T1" s="78"/>
      <c r="U1" s="78"/>
      <c r="V1" s="78"/>
      <c r="W1" s="78"/>
      <c r="X1" s="78"/>
      <c r="Y1" s="78"/>
      <c r="Z1" s="78"/>
      <c r="AA1" s="78"/>
      <c r="AB1" s="78"/>
      <c r="AC1" s="78"/>
      <c r="AD1" s="78"/>
      <c r="AE1" s="418"/>
      <c r="AF1" s="425"/>
      <c r="AG1" s="425"/>
      <c r="AH1" s="425"/>
      <c r="AI1" s="425"/>
      <c r="AJ1" s="425"/>
      <c r="AK1" s="425"/>
      <c r="AL1" s="425"/>
      <c r="AM1" s="425"/>
      <c r="AN1" s="425"/>
      <c r="AO1" s="425"/>
      <c r="AP1" s="425"/>
      <c r="AQ1" s="425"/>
      <c r="AR1" s="425"/>
      <c r="AS1" s="425"/>
      <c r="AT1" s="425"/>
      <c r="AU1" s="425"/>
      <c r="AV1" s="425"/>
      <c r="AW1" s="425"/>
      <c r="AX1" s="425"/>
      <c r="AY1" s="425"/>
      <c r="AZ1" s="425"/>
      <c r="BA1" s="425"/>
      <c r="BB1" s="425"/>
      <c r="BC1" s="425"/>
      <c r="BD1" s="425"/>
      <c r="BE1" s="425"/>
      <c r="BF1" s="425"/>
      <c r="BG1" s="425"/>
      <c r="BH1" s="425"/>
      <c r="BI1" s="425"/>
      <c r="BJ1" s="425"/>
      <c r="BK1" s="425"/>
      <c r="BL1" s="425"/>
      <c r="BM1" s="425"/>
      <c r="BN1" s="425"/>
      <c r="BO1" s="425"/>
      <c r="BP1" s="425"/>
      <c r="BQ1" s="425"/>
      <c r="BR1" s="425"/>
      <c r="BS1" s="425"/>
      <c r="BT1" s="425"/>
      <c r="BU1" s="425"/>
      <c r="BV1" s="425"/>
      <c r="BW1" s="425"/>
      <c r="BX1" s="425"/>
      <c r="BY1" s="425"/>
      <c r="BZ1" s="425"/>
    </row>
    <row r="2" spans="1:142 5661:5661 8916:8916 13419:13419" ht="7.95" customHeight="1" x14ac:dyDescent="0.3">
      <c r="A2" s="78"/>
      <c r="B2" s="78"/>
      <c r="C2" s="78"/>
      <c r="D2" s="78"/>
      <c r="E2" s="80"/>
      <c r="F2" s="80"/>
      <c r="G2" s="187"/>
      <c r="H2" s="80"/>
      <c r="I2" s="79"/>
      <c r="J2" s="80"/>
      <c r="K2" s="79"/>
      <c r="L2" s="79"/>
      <c r="M2" s="79"/>
      <c r="N2" s="79"/>
      <c r="O2" s="81"/>
      <c r="P2" s="81"/>
      <c r="Q2" s="81"/>
      <c r="R2" s="81"/>
      <c r="S2" s="81"/>
      <c r="T2" s="81"/>
      <c r="U2" s="81"/>
      <c r="V2" s="81"/>
      <c r="W2" s="81"/>
      <c r="X2" s="81"/>
      <c r="Y2" s="81"/>
      <c r="Z2" s="81"/>
      <c r="AA2" s="82"/>
      <c r="AB2" s="82"/>
      <c r="AC2" s="82"/>
      <c r="AD2" s="82"/>
      <c r="AE2" s="83"/>
      <c r="AF2" s="427"/>
      <c r="AG2" s="426"/>
      <c r="AH2" s="426"/>
      <c r="AI2" s="426"/>
      <c r="AJ2" s="426"/>
      <c r="AK2" s="426"/>
      <c r="AL2" s="426"/>
      <c r="AM2" s="426"/>
      <c r="AN2" s="426"/>
      <c r="AO2" s="426"/>
      <c r="AP2" s="426"/>
      <c r="AQ2" s="426"/>
      <c r="AR2" s="426"/>
      <c r="AS2" s="426"/>
      <c r="AT2" s="426"/>
      <c r="AU2" s="426"/>
      <c r="AX2" s="426"/>
      <c r="AY2" s="426"/>
      <c r="AZ2" s="426"/>
      <c r="BA2" s="426"/>
      <c r="BB2" s="426"/>
      <c r="BC2" s="426"/>
      <c r="BD2" s="426"/>
      <c r="BE2" s="426"/>
      <c r="BF2" s="426"/>
      <c r="BG2" s="426"/>
      <c r="BH2" s="426"/>
      <c r="BI2" s="426"/>
      <c r="BJ2" s="426"/>
      <c r="BK2" s="426"/>
      <c r="BL2" s="426"/>
      <c r="BM2" s="426"/>
      <c r="BN2" s="426"/>
      <c r="BO2" s="426"/>
      <c r="BP2" s="426"/>
      <c r="BQ2" s="426"/>
      <c r="BR2" s="426"/>
      <c r="BS2" s="426"/>
      <c r="BT2" s="426"/>
      <c r="BU2" s="426"/>
      <c r="BV2" s="426"/>
      <c r="BW2" s="426"/>
      <c r="BX2" s="426"/>
      <c r="BY2" s="426"/>
      <c r="BZ2" s="426"/>
    </row>
    <row r="3" spans="1:142 5661:5661 8916:8916 13419:13419" ht="16.2" thickBot="1" x14ac:dyDescent="0.35">
      <c r="A3" s="78"/>
      <c r="B3" s="78"/>
      <c r="C3" s="78"/>
      <c r="D3" s="78"/>
      <c r="E3" s="99"/>
      <c r="F3" s="96" t="str">
        <f>Idiomas!D14</f>
        <v>Fecha</v>
      </c>
      <c r="G3" s="96" t="str">
        <f>Idiomas!D15</f>
        <v>Hora</v>
      </c>
      <c r="H3" s="100" t="str">
        <f>Idiomas!D16</f>
        <v>Jor.</v>
      </c>
      <c r="I3" s="101" t="str">
        <f>Idiomas!D17</f>
        <v>Casa</v>
      </c>
      <c r="J3" s="96"/>
      <c r="K3" s="102" t="str">
        <f>Idiomas!D18</f>
        <v>Gol</v>
      </c>
      <c r="L3" s="102" t="str">
        <f>Idiomas!D18</f>
        <v>Gol</v>
      </c>
      <c r="M3" s="102"/>
      <c r="N3" s="103" t="str">
        <f>Idiomas!D19</f>
        <v>Fuera</v>
      </c>
      <c r="O3" s="81"/>
      <c r="P3" s="81"/>
      <c r="Q3" s="405" t="str">
        <f>Idiomas!D20</f>
        <v>Grupo</v>
      </c>
      <c r="R3" s="81"/>
      <c r="S3" s="81"/>
      <c r="T3" s="81"/>
      <c r="U3" s="81"/>
      <c r="V3" s="81"/>
      <c r="W3" s="81"/>
      <c r="X3" s="81"/>
      <c r="Y3" s="81"/>
      <c r="Z3" s="81"/>
      <c r="AA3" s="82"/>
      <c r="AB3" s="406" t="str">
        <f>Idiomas!D21</f>
        <v>¡EMPATE! Puedes seleccionar el orden de los empatados.</v>
      </c>
      <c r="AC3" s="82"/>
      <c r="AD3" s="82"/>
      <c r="AE3" s="83"/>
      <c r="AF3" s="99"/>
      <c r="AG3" s="95"/>
      <c r="AH3" s="426" t="s">
        <v>2</v>
      </c>
      <c r="AI3" s="426"/>
      <c r="AJ3" s="426"/>
      <c r="AK3" s="426"/>
      <c r="AL3" s="426"/>
      <c r="AM3" s="426"/>
      <c r="AN3" s="426"/>
      <c r="AO3" s="426"/>
      <c r="AP3" s="426"/>
      <c r="AQ3" s="426"/>
      <c r="AR3" s="426"/>
      <c r="AS3" s="426"/>
      <c r="AT3" s="426"/>
      <c r="AU3" s="426"/>
      <c r="AV3" s="426" t="s">
        <v>3</v>
      </c>
      <c r="AW3" s="426" t="s">
        <v>4</v>
      </c>
      <c r="AX3" s="426"/>
      <c r="AY3" s="426"/>
      <c r="AZ3" s="426"/>
      <c r="BA3" s="426"/>
      <c r="BB3" s="426"/>
      <c r="BC3" s="426"/>
      <c r="BD3" s="426"/>
      <c r="BE3" s="426"/>
      <c r="BF3" s="426"/>
      <c r="BG3" s="426"/>
      <c r="BH3" s="426"/>
      <c r="BI3" s="426"/>
      <c r="BJ3" s="426"/>
      <c r="BK3" s="426"/>
      <c r="BL3" s="426"/>
      <c r="BM3" s="426"/>
      <c r="BN3" s="426"/>
      <c r="BO3" s="426"/>
      <c r="BP3" s="426"/>
      <c r="BQ3" s="426"/>
      <c r="BR3" s="426"/>
      <c r="BS3" s="426"/>
      <c r="BT3" s="426"/>
      <c r="BU3" s="426"/>
      <c r="BV3" s="426"/>
      <c r="BW3" s="426"/>
      <c r="BX3" s="426"/>
      <c r="BY3" s="426"/>
      <c r="BZ3" s="426"/>
      <c r="CA3" s="427"/>
      <c r="CB3" s="427"/>
      <c r="CV3" s="412" t="s">
        <v>5</v>
      </c>
      <c r="CW3" s="428" t="str">
        <f>TEXT(CW5,"0000")</f>
        <v>4444</v>
      </c>
      <c r="CX3" s="428" t="str">
        <f t="shared" ref="CX3:DD3" si="0">TEXT(CX5,"0000")</f>
        <v>3331</v>
      </c>
      <c r="CY3" s="428" t="str">
        <f t="shared" si="0"/>
        <v>2222</v>
      </c>
      <c r="CZ3" s="428" t="str">
        <f t="shared" si="0"/>
        <v>2211</v>
      </c>
      <c r="DA3" s="428" t="str">
        <f t="shared" si="0"/>
        <v>1333</v>
      </c>
      <c r="DB3" s="428" t="str">
        <f t="shared" si="0"/>
        <v>1221</v>
      </c>
      <c r="DC3" s="428" t="str">
        <f t="shared" si="0"/>
        <v>1122</v>
      </c>
      <c r="DD3" s="428" t="str">
        <f t="shared" si="0"/>
        <v>1111</v>
      </c>
      <c r="DG3" s="412" t="s">
        <v>6</v>
      </c>
      <c r="DH3" s="412" t="s">
        <v>7</v>
      </c>
      <c r="DI3" s="412" t="s">
        <v>8</v>
      </c>
      <c r="DJ3" s="412" t="s">
        <v>9</v>
      </c>
      <c r="DK3" s="412" t="s">
        <v>10</v>
      </c>
      <c r="DL3" s="412" t="s">
        <v>11</v>
      </c>
      <c r="DM3" s="412" t="s">
        <v>12</v>
      </c>
      <c r="DN3" s="412" t="s">
        <v>13</v>
      </c>
      <c r="DO3" s="412" t="s">
        <v>14</v>
      </c>
      <c r="DP3" s="412" t="s">
        <v>15</v>
      </c>
      <c r="MDX3" s="426" t="s">
        <v>16</v>
      </c>
    </row>
    <row r="4" spans="1:142 5661:5661 8916:8916 13419:13419" ht="15" customHeight="1" x14ac:dyDescent="0.3">
      <c r="A4" s="370" t="s">
        <v>17</v>
      </c>
      <c r="B4" s="371" t="s">
        <v>18</v>
      </c>
      <c r="C4" s="372">
        <f>COUNTIF(Equipos!$C$2:$C$25,EURO2024!B4)</f>
        <v>4</v>
      </c>
      <c r="D4" s="170"/>
      <c r="E4" s="768" t="s">
        <v>18</v>
      </c>
      <c r="F4" s="33">
        <f>Horarios!C4</f>
        <v>45457.875</v>
      </c>
      <c r="G4" s="34">
        <f>Horarios!C4</f>
        <v>45457.875</v>
      </c>
      <c r="H4" s="33" t="str">
        <f>Idiomas!D51</f>
        <v>J1</v>
      </c>
      <c r="I4" s="35" t="str">
        <f ca="1">A5</f>
        <v>Alemania</v>
      </c>
      <c r="J4" s="36" t="str">
        <f ca="1">VLOOKUP(I4,Equipos!$K$2:$M$56,3,0)</f>
        <v>🇩🇪</v>
      </c>
      <c r="K4" s="37">
        <v>3</v>
      </c>
      <c r="L4" s="37">
        <v>0</v>
      </c>
      <c r="M4" s="38" t="str">
        <f ca="1">VLOOKUP(N4,Equipos!$K$2:$M$56,3,0)</f>
        <v>🏴󠁧󠁢󠁳󠁣󠁴󠁿</v>
      </c>
      <c r="N4" s="39" t="str">
        <f ca="1">A6</f>
        <v>Escocia</v>
      </c>
      <c r="O4" s="98">
        <f>IF(NOT(OR(ISBLANK(K4),ISBLANK(L4))),1,0)</f>
        <v>1</v>
      </c>
      <c r="P4" s="95"/>
      <c r="Q4" s="126" t="str">
        <f>CONCATENATE(Q3," ",B4)</f>
        <v>Grupo A</v>
      </c>
      <c r="R4" s="127"/>
      <c r="S4" s="127"/>
      <c r="T4" s="127"/>
      <c r="U4" s="127"/>
      <c r="V4" s="127"/>
      <c r="W4" s="127"/>
      <c r="X4" s="127"/>
      <c r="Y4" s="127"/>
      <c r="Z4" s="128"/>
      <c r="AA4" s="108"/>
      <c r="AB4" s="767" t="str">
        <f ca="1">IF($AA$5&gt;0,AB3,"")</f>
        <v/>
      </c>
      <c r="AC4" s="767"/>
      <c r="AD4" s="767"/>
      <c r="AE4" s="83"/>
      <c r="AF4" s="427"/>
      <c r="AG4" s="426"/>
      <c r="AH4" s="426" t="str">
        <f>CONCATENATE("Auxiliar - ",Q4)</f>
        <v>Auxiliar - Grupo A</v>
      </c>
      <c r="AI4" s="426"/>
      <c r="AJ4" s="426"/>
      <c r="AK4" s="426"/>
      <c r="AL4" s="426"/>
      <c r="AM4" s="426"/>
      <c r="AN4" s="426"/>
      <c r="AO4" s="426"/>
      <c r="AP4" s="426"/>
      <c r="AQ4" s="426"/>
      <c r="AR4" s="426"/>
      <c r="AS4" s="426"/>
      <c r="AT4" s="426"/>
      <c r="AU4" s="426" t="s">
        <v>19</v>
      </c>
      <c r="AV4" s="426" t="s">
        <v>20</v>
      </c>
      <c r="AW4" s="429">
        <f>AW5*2</f>
        <v>277750000000</v>
      </c>
      <c r="AX4" s="426"/>
      <c r="AY4" s="427" t="str">
        <f>CONCATENATE(Q4," - GOLAVERAGE")</f>
        <v>Grupo A - GOLAVERAGE</v>
      </c>
      <c r="AZ4" s="426"/>
      <c r="BA4" s="426"/>
      <c r="BB4" s="426" t="s">
        <v>21</v>
      </c>
      <c r="BC4" s="426"/>
      <c r="BD4" s="426"/>
      <c r="BE4" s="426"/>
      <c r="BF4" s="426"/>
      <c r="BG4" s="426"/>
      <c r="BH4" s="763" t="s">
        <v>22</v>
      </c>
      <c r="BI4" s="763"/>
      <c r="BJ4" s="763"/>
      <c r="BK4" s="763"/>
      <c r="BL4" s="763"/>
      <c r="BM4" s="763"/>
      <c r="BN4" s="763" t="s">
        <v>23</v>
      </c>
      <c r="BO4" s="763"/>
      <c r="BP4" s="763"/>
      <c r="BQ4" s="763"/>
      <c r="BR4" s="763"/>
      <c r="BS4" s="763"/>
      <c r="CV4" s="412"/>
      <c r="CW4" s="412">
        <v>1</v>
      </c>
      <c r="CX4" s="412">
        <v>2</v>
      </c>
      <c r="CY4" s="412">
        <v>3</v>
      </c>
      <c r="CZ4" s="412">
        <v>4</v>
      </c>
      <c r="DA4" s="412">
        <v>5</v>
      </c>
      <c r="DB4" s="412">
        <v>6</v>
      </c>
      <c r="DC4" s="412">
        <v>7</v>
      </c>
      <c r="DD4" s="412">
        <v>8</v>
      </c>
      <c r="DF4" s="426" t="s">
        <v>24</v>
      </c>
      <c r="DG4" s="412">
        <v>1234</v>
      </c>
      <c r="DH4" s="412">
        <v>123</v>
      </c>
      <c r="DI4" s="412">
        <v>12</v>
      </c>
      <c r="DJ4" s="412">
        <v>234</v>
      </c>
      <c r="DK4" s="412">
        <v>34</v>
      </c>
      <c r="DL4" s="412">
        <v>23</v>
      </c>
      <c r="DM4" s="412">
        <v>1</v>
      </c>
      <c r="DN4" s="412">
        <v>2</v>
      </c>
      <c r="DO4" s="412">
        <v>3</v>
      </c>
      <c r="DP4" s="412">
        <v>4</v>
      </c>
    </row>
    <row r="5" spans="1:142 5661:5661 8916:8916 13419:13419" ht="16.2" thickBot="1" x14ac:dyDescent="0.35">
      <c r="A5" s="370" t="str">
        <f t="array" aca="1" ref="A5" ca="1">IF(ROWS(A$5:A5)&lt;=$C$4,INDEX(INDIRECT(A$4),SMALL(IF(Nivell=$B$4,ROW(Nivell)-ROW(Equipos!$C$2)+1),ROWS(B$4:B4))),"")</f>
        <v>Alemania</v>
      </c>
      <c r="B5" s="371"/>
      <c r="C5" s="371"/>
      <c r="D5" s="170"/>
      <c r="E5" s="769"/>
      <c r="F5" s="15">
        <f>Horarios!C5</f>
        <v>45458.625</v>
      </c>
      <c r="G5" s="16">
        <f>Horarios!C5</f>
        <v>45458.625</v>
      </c>
      <c r="H5" s="15" t="str">
        <f>$H$4</f>
        <v>J1</v>
      </c>
      <c r="I5" s="17" t="str">
        <f ca="1">A7</f>
        <v>Hungría</v>
      </c>
      <c r="J5" s="18" t="str">
        <f ca="1">VLOOKUP(I5,Equipos!$K$2:$M$56,3,0)</f>
        <v>🇭🇺</v>
      </c>
      <c r="K5" s="19">
        <v>0</v>
      </c>
      <c r="L5" s="19">
        <v>1</v>
      </c>
      <c r="M5" s="20" t="str">
        <f ca="1">VLOOKUP(N5,Equipos!$K$2:$M$56,3,0)</f>
        <v>🇨🇭</v>
      </c>
      <c r="N5" s="40" t="str">
        <f ca="1">A8</f>
        <v>Suiza</v>
      </c>
      <c r="O5" s="98">
        <f t="shared" ref="O5:O9" si="1">IF(NOT(OR(ISBLANK(K5),ISBLANK(L5))),1,0)</f>
        <v>1</v>
      </c>
      <c r="P5" s="95"/>
      <c r="Q5" s="129" t="str">
        <f>Idiomas!D41</f>
        <v>Pos</v>
      </c>
      <c r="R5" s="130" t="str">
        <f>Idiomas!D42</f>
        <v>Selección</v>
      </c>
      <c r="S5" s="131" t="str">
        <f>Idiomas!D43</f>
        <v>Pts</v>
      </c>
      <c r="T5" s="131" t="str">
        <f>Idiomas!D44</f>
        <v>J</v>
      </c>
      <c r="U5" s="131" t="str">
        <f>Idiomas!D45</f>
        <v>G</v>
      </c>
      <c r="V5" s="131" t="str">
        <f>Idiomas!D46</f>
        <v>E</v>
      </c>
      <c r="W5" s="131" t="str">
        <f>Idiomas!D47</f>
        <v>P</v>
      </c>
      <c r="X5" s="131" t="str">
        <f>Idiomas!D48</f>
        <v>GF</v>
      </c>
      <c r="Y5" s="131" t="str">
        <f>Idiomas!D49</f>
        <v>GC</v>
      </c>
      <c r="Z5" s="132" t="str">
        <f>Idiomas!D50</f>
        <v>DG</v>
      </c>
      <c r="AA5" s="108">
        <f ca="1">COUNTIF(AA6:AA9,"&lt;100")</f>
        <v>0</v>
      </c>
      <c r="AB5" s="767"/>
      <c r="AC5" s="767"/>
      <c r="AD5" s="767"/>
      <c r="AE5" s="83"/>
      <c r="AF5" s="427"/>
      <c r="AG5" s="431" t="s">
        <v>19</v>
      </c>
      <c r="AH5" s="431" t="s">
        <v>25</v>
      </c>
      <c r="AI5" s="431" t="s">
        <v>26</v>
      </c>
      <c r="AJ5" s="431" t="s">
        <v>27</v>
      </c>
      <c r="AK5" s="431" t="s">
        <v>28</v>
      </c>
      <c r="AL5" s="431" t="s">
        <v>29</v>
      </c>
      <c r="AM5" s="431" t="s">
        <v>30</v>
      </c>
      <c r="AN5" s="431" t="s">
        <v>31</v>
      </c>
      <c r="AO5" s="431" t="s">
        <v>32</v>
      </c>
      <c r="AP5" s="431" t="s">
        <v>33</v>
      </c>
      <c r="AQ5" s="431" t="s">
        <v>34</v>
      </c>
      <c r="AR5" s="431" t="s">
        <v>35</v>
      </c>
      <c r="AS5" s="431" t="s">
        <v>25</v>
      </c>
      <c r="AT5" s="426"/>
      <c r="AU5" s="426"/>
      <c r="AV5" s="426" t="s">
        <v>36</v>
      </c>
      <c r="AW5" s="429">
        <f>AW7*1111</f>
        <v>138875000000</v>
      </c>
      <c r="AX5" s="426"/>
      <c r="AY5" s="431" t="s">
        <v>26</v>
      </c>
      <c r="AZ5" s="431" t="s">
        <v>37</v>
      </c>
      <c r="BA5" s="431" t="s">
        <v>38</v>
      </c>
      <c r="BB5" s="431" t="s">
        <v>39</v>
      </c>
      <c r="BC5" s="431" t="s">
        <v>40</v>
      </c>
      <c r="BD5" s="431" t="str">
        <f ca="1">AY6</f>
        <v>Alemania</v>
      </c>
      <c r="BE5" s="431" t="str">
        <f ca="1">AY7</f>
        <v>Escocia</v>
      </c>
      <c r="BF5" s="431" t="str">
        <f ca="1">AY8</f>
        <v>Hungría</v>
      </c>
      <c r="BG5" s="431" t="str">
        <f ca="1">AY9</f>
        <v>Suiza</v>
      </c>
      <c r="BH5" s="431" t="s">
        <v>39</v>
      </c>
      <c r="BI5" s="431" t="s">
        <v>40</v>
      </c>
      <c r="BJ5" s="431" t="str">
        <f ca="1">BD5</f>
        <v>Alemania</v>
      </c>
      <c r="BK5" s="431" t="str">
        <f ca="1">BE5</f>
        <v>Escocia</v>
      </c>
      <c r="BL5" s="431" t="str">
        <f ca="1">BF5</f>
        <v>Hungría</v>
      </c>
      <c r="BM5" s="431" t="str">
        <f ca="1">BG5</f>
        <v>Suiza</v>
      </c>
      <c r="BN5" s="431" t="s">
        <v>39</v>
      </c>
      <c r="BO5" s="431" t="s">
        <v>40</v>
      </c>
      <c r="BP5" s="431" t="str">
        <f ca="1">BD5</f>
        <v>Alemania</v>
      </c>
      <c r="BQ5" s="431" t="str">
        <f ca="1">BE5</f>
        <v>Escocia</v>
      </c>
      <c r="BR5" s="431" t="str">
        <f ca="1">BF5</f>
        <v>Hungría</v>
      </c>
      <c r="BS5" s="431" t="str">
        <f ca="1">BG5</f>
        <v>Suiza</v>
      </c>
      <c r="BU5" s="432"/>
      <c r="BV5" s="432" t="s">
        <v>41</v>
      </c>
      <c r="BW5" s="433" t="s">
        <v>42</v>
      </c>
      <c r="BX5" s="432" t="s">
        <v>43</v>
      </c>
      <c r="BY5" s="432"/>
      <c r="CC5" s="432" t="s">
        <v>44</v>
      </c>
      <c r="CD5" s="434" t="s">
        <v>45</v>
      </c>
      <c r="CE5" s="431" t="s">
        <v>46</v>
      </c>
      <c r="CF5" s="431" t="s">
        <v>47</v>
      </c>
      <c r="CG5" s="432" t="s">
        <v>48</v>
      </c>
      <c r="CH5" s="431" t="s">
        <v>49</v>
      </c>
      <c r="CI5" s="431"/>
      <c r="CJ5" s="431"/>
      <c r="CK5" s="431"/>
      <c r="CL5" s="431"/>
      <c r="CM5" s="431"/>
      <c r="CN5" s="431"/>
      <c r="CO5" s="430"/>
      <c r="CP5" s="426">
        <v>1</v>
      </c>
      <c r="CQ5" s="426">
        <v>2</v>
      </c>
      <c r="CR5" s="426">
        <v>3</v>
      </c>
      <c r="CS5" s="426">
        <v>4</v>
      </c>
      <c r="CV5" s="428"/>
      <c r="CW5" s="428">
        <v>4444</v>
      </c>
      <c r="CX5" s="428">
        <v>3331</v>
      </c>
      <c r="CY5" s="428">
        <v>2222</v>
      </c>
      <c r="CZ5" s="428">
        <v>2211</v>
      </c>
      <c r="DA5" s="428">
        <v>1333</v>
      </c>
      <c r="DB5" s="428">
        <v>1221</v>
      </c>
      <c r="DC5" s="428">
        <v>1122</v>
      </c>
      <c r="DD5" s="428">
        <v>1111</v>
      </c>
      <c r="DG5" s="412">
        <v>1</v>
      </c>
      <c r="DH5" s="412">
        <v>1</v>
      </c>
      <c r="DI5" s="412">
        <v>1</v>
      </c>
      <c r="DJ5" s="412">
        <v>2</v>
      </c>
      <c r="DK5" s="412">
        <v>3</v>
      </c>
      <c r="DL5" s="412">
        <v>2</v>
      </c>
      <c r="DM5" s="412">
        <v>1</v>
      </c>
      <c r="DN5" s="412">
        <v>2</v>
      </c>
      <c r="DO5" s="412">
        <v>3</v>
      </c>
      <c r="DP5" s="412">
        <v>4</v>
      </c>
      <c r="EG5" s="431" t="s">
        <v>39</v>
      </c>
      <c r="EH5" s="426" t="s">
        <v>50</v>
      </c>
      <c r="EI5" s="431" t="s">
        <v>39</v>
      </c>
      <c r="EJ5" s="426" t="s">
        <v>51</v>
      </c>
      <c r="EK5" s="431" t="s">
        <v>39</v>
      </c>
      <c r="EL5" s="426" t="s">
        <v>52</v>
      </c>
    </row>
    <row r="6" spans="1:142 5661:5661 8916:8916 13419:13419" ht="15.6" x14ac:dyDescent="0.3">
      <c r="A6" s="370" t="str">
        <f t="array" aca="1" ref="A6" ca="1">IF(ROWS(A$5:A6)&lt;=$C$4,INDEX(INDIRECT(A$4),SMALL(IF(Nivell=$B$4,ROW(Nivell)-ROW(Equipos!$C$2)+1),ROWS(B$4:B5))),"")</f>
        <v>Escocia</v>
      </c>
      <c r="B6" s="371"/>
      <c r="C6" s="373"/>
      <c r="D6" s="170"/>
      <c r="E6" s="769"/>
      <c r="F6" s="15">
        <f>Horarios!C6</f>
        <v>45462.75</v>
      </c>
      <c r="G6" s="16">
        <f>Horarios!C6</f>
        <v>45462.75</v>
      </c>
      <c r="H6" s="15" t="str">
        <f>Idiomas!D52</f>
        <v>J2</v>
      </c>
      <c r="I6" s="17" t="str">
        <f ca="1">A5</f>
        <v>Alemania</v>
      </c>
      <c r="J6" s="18" t="str">
        <f ca="1">VLOOKUP(I6,Equipos!$K$2:$M$56,3,0)</f>
        <v>🇩🇪</v>
      </c>
      <c r="K6" s="19">
        <v>2</v>
      </c>
      <c r="L6" s="19">
        <v>0</v>
      </c>
      <c r="M6" s="20" t="str">
        <f ca="1">VLOOKUP(N6,Equipos!$K$2:$M$56,3,0)</f>
        <v>🇭🇺</v>
      </c>
      <c r="N6" s="40" t="str">
        <f ca="1">A7</f>
        <v>Hungría</v>
      </c>
      <c r="O6" s="98">
        <f t="shared" si="1"/>
        <v>1</v>
      </c>
      <c r="P6" s="95"/>
      <c r="Q6" s="116">
        <v>1</v>
      </c>
      <c r="R6" s="117" t="str">
        <f ca="1">VLOOKUP(Q6,$AG$6:$AI$9,3,0)</f>
        <v>Alemania</v>
      </c>
      <c r="S6" s="118">
        <f ca="1">VLOOKUP(R6,$AI$6:$AR$9,2,FALSE)</f>
        <v>9</v>
      </c>
      <c r="T6" s="118">
        <f ca="1">VLOOKUP($R6,$AI$6:$AR$9,3,FALSE)</f>
        <v>3</v>
      </c>
      <c r="U6" s="118">
        <f ca="1">VLOOKUP($R6,$AI$6:$AR$9,4,FALSE)</f>
        <v>3</v>
      </c>
      <c r="V6" s="118">
        <f ca="1">VLOOKUP($R6,$AI$6:$AR$9,5,FALSE)</f>
        <v>0</v>
      </c>
      <c r="W6" s="118">
        <f ca="1">VLOOKUP($R6,$AI$6:$AR$9,6,FALSE)</f>
        <v>0</v>
      </c>
      <c r="X6" s="118">
        <f ca="1">VLOOKUP($R6,$AI$6:$AR$9,7,FALSE)</f>
        <v>7</v>
      </c>
      <c r="Y6" s="118">
        <f ca="1">VLOOKUP($R6,$AI$6:$AR$9,8,FALSE)</f>
        <v>1</v>
      </c>
      <c r="Z6" s="119">
        <f ca="1">VLOOKUP($R6,$AI$6:$AR$9,9,FALSE)</f>
        <v>6</v>
      </c>
      <c r="AA6" s="86">
        <f ca="1">IF(SUM($AK$6:$AK$9)=12,MIN(ABS(BY5-BY6),ABS(BY6-BY7)),100)</f>
        <v>416625052000.03003</v>
      </c>
      <c r="AB6" s="109" t="str">
        <f ca="1">IF(AND(AA6&gt;=0,AA6&lt;90),VLOOKUP(Q6,$BU$6:$BV$9,2,0),"")</f>
        <v/>
      </c>
      <c r="AC6" s="85"/>
      <c r="AD6" s="86"/>
      <c r="AE6" s="86"/>
      <c r="AF6" s="427"/>
      <c r="AG6" s="426">
        <f ca="1">RANK(AU6,$AU$6:$AU$9)</f>
        <v>1</v>
      </c>
      <c r="AH6" s="426">
        <f ca="1">RANK(AR6,$AR$6:$AR$9)</f>
        <v>1</v>
      </c>
      <c r="AI6" s="412" t="str">
        <f ca="1">A5</f>
        <v>Alemania</v>
      </c>
      <c r="AJ6" s="426">
        <f ca="1">AL6*3+AM6*1+AN6*0</f>
        <v>9</v>
      </c>
      <c r="AK6" s="426">
        <f ca="1">COUNTIFS($I$4:$I$49,AI6,$K$4:$K$49,"&lt;&gt;",$L$4:$L$49,"&lt;&gt;")+COUNTIFS($N$4:$N$49,AI6,$L$4:$L$49,"&lt;&gt;",$K$4:$K$49,"&lt;&gt;")</f>
        <v>3</v>
      </c>
      <c r="AL6" s="426">
        <f t="array" aca="1" ref="AL6" ca="1">SUM(($I$4:$I$49=AI6)*($K$4:$K$49&lt;&gt;"")*($L$4:$L$49&lt;&gt;"")*($K$4:$K$49&gt;$L$4:$L$49),($N$4:$N$49=AI6)*($K$4:$K$49&lt;&gt;"")*($L$4:$L$49&lt;&gt;"")*($K$4:$K$49&lt;$L$4:$L$49))</f>
        <v>3</v>
      </c>
      <c r="AM6" s="426">
        <f t="array" aca="1" ref="AM6" ca="1">SUM(($I$4:$I$49=AI6)*($K$4:$K$49&lt;&gt;"")*($L$4:$L$49&lt;&gt;"")*($K$4:$K$49=$L$4:$L$49),($N$4:$N$49=AI6)*($K$4:$K$49&lt;&gt;"")*($L$4:$L$49&lt;&gt;"")*($K$4:$K$49=$L$4:$L$49))</f>
        <v>0</v>
      </c>
      <c r="AN6" s="426">
        <f t="array" aca="1" ref="AN6" ca="1">SUM(($I$4:$I$49=AI6)*($L$4:$L$49&lt;&gt;"")*($K$4:$K$49&lt;&gt;"")*($K$4:$K$49&lt;$L$4:$L$49),($K$4:$K$49&lt;&gt;"")*($N$4:$N$49=AI6)*($L$4:$L$49&lt;&gt;"")*($K$4:$K$49&gt;$L$4:$L$49))</f>
        <v>0</v>
      </c>
      <c r="AO6" s="426">
        <f t="array" aca="1" ref="AO6" ca="1">SUMIFS($K$4:$K$49,$I$4:$I$49,AI6,$K$4:$K$49,"&lt;&gt;",$L$4:$L$49,"&lt;&gt;")+SUMIFS($L$4:$L$49,$N$4:$N$49,AI6,$K$4:$K$49,"&lt;&gt;",$L$4:$L$49,"&lt;&gt;")</f>
        <v>7</v>
      </c>
      <c r="AP6" s="426">
        <f t="array" aca="1" ref="AP6" ca="1">SUMIFS($K$4:$K$49,$N$4:$N$49,AI6,$K$4:$K$49,"&lt;&gt;",$L$4:$L$49,"&lt;&gt;")+SUMIFS($L$4:$L$49,$I$4:$I$49,AI6,$K$4:$K$49,"&lt;&gt;",$L$4:$L$49,"&lt;&gt;")</f>
        <v>1</v>
      </c>
      <c r="AQ6" s="426">
        <f ca="1">AO6-AP6</f>
        <v>6</v>
      </c>
      <c r="AR6" s="426">
        <f ca="1">IF(AK6=0,-($AW$15*VLOOKUP(AI6,Tabla3[[NombreEquipo]:[Rank]],3,FALSE)),AJ6*$AW$5+BA6+AQ6*$AW$12+AO6*$AW$13-($AW$15*VLOOKUP(AI6,Tabla3[[NombreEquipo]:[Rank]],3,FALSE)/100))</f>
        <v>1250656263499.99</v>
      </c>
      <c r="AS6" s="426">
        <f ca="1">AH6</f>
        <v>1</v>
      </c>
      <c r="AT6" s="426"/>
      <c r="AU6" s="426">
        <f ca="1">IFERROR(AR6-VLOOKUP(AI6,$AB$6:$AC$9,2,0),AR6)</f>
        <v>1250656263499.99</v>
      </c>
      <c r="AV6" s="426" t="s">
        <v>53</v>
      </c>
      <c r="AW6" s="429">
        <f>AW7*5</f>
        <v>625000000</v>
      </c>
      <c r="AX6" s="426"/>
      <c r="AY6" s="434" t="str">
        <f ca="1">AI6</f>
        <v>Alemania</v>
      </c>
      <c r="AZ6" s="426">
        <f ca="1">COUNTIF(AJ6:AJ9,AJ6)</f>
        <v>1</v>
      </c>
      <c r="BA6" s="426">
        <f ca="1">(BB6*$AW$8)+(BH6*$AW$7)+(BN6*$AW$6)+(EG6*$AW$11)+(EI6*$AW$10)+(EK6*$AW$9)</f>
        <v>781200000</v>
      </c>
      <c r="BB6" s="430">
        <f ca="1">RANK(BC6,BC6:BC9,1)</f>
        <v>1</v>
      </c>
      <c r="BC6" s="430">
        <f ca="1">SUM(IF(AND(AJ6=AJ7),BE6,0),IF(AND(AJ6=AJ8),BF6,0),IF(AND(AJ6=AJ9),BG6,0))</f>
        <v>0</v>
      </c>
      <c r="BD6" s="430">
        <v>0</v>
      </c>
      <c r="BE6" s="430">
        <f t="array" aca="1" ref="BE6" ca="1">SUMIFS($K$4:$K$9,$I$4:$I$9,$AY6,$K$4:$K$9,"&lt;&gt;",$L$4:$L$9,"&lt;&gt;",$N$4:$N$9,BE5)+SUMIFS($L$4:$L$9,$I$4:$I$9,BE5,$K$4:$K$9,"&lt;&gt;",$L$4:$L$9,"&lt;&gt;",$N$4:$N$9,$AY6)</f>
        <v>3</v>
      </c>
      <c r="BF6" s="430">
        <f t="array" aca="1" ref="BF6" ca="1">SUMIFS($K$4:$K$9,$I$4:$I$9,$AY6,$K$4:$K$9,"&lt;&gt;",$L$4:$L$9,"&lt;&gt;",$N$4:$N$9,BF5)+SUMIFS($L$4:$L$9,$I$4:$I$9,BF5,$K$4:$K$9,"&lt;&gt;",$L$4:$L$9,"&lt;&gt;",$N$4:$N$9,$AY6)</f>
        <v>2</v>
      </c>
      <c r="BG6" s="430">
        <f t="array" aca="1" ref="BG6" ca="1">SUMIFS($K$4:$K$9,$I$4:$I$9,$AY6,$K$4:$K$9,"&lt;&gt;",$L$4:$L$9,"&lt;&gt;",$N$4:$N$9,BG5)+SUMIFS($L$4:$L$9,$I$4:$I$9,BG5,$K$4:$K$9,"&lt;&gt;",$L$4:$L$9,"&lt;&gt;",$N$4:$N$9,$AY6)</f>
        <v>2</v>
      </c>
      <c r="BH6" s="430">
        <f ca="1">RANK(BI6,BI6:BI9,1)</f>
        <v>1</v>
      </c>
      <c r="BI6" s="430">
        <f ca="1">SUM(IF(AND(AJ6=AJ7),BK6,0),IF(AND(AJ6=AJ8),BL6,0),IF(AND(AJ6=AJ9),BM6,0))</f>
        <v>0</v>
      </c>
      <c r="BJ6" s="430">
        <v>0</v>
      </c>
      <c r="BK6" s="430">
        <f ca="1">BE6-BD7</f>
        <v>3</v>
      </c>
      <c r="BL6" s="430">
        <f ca="1">BF6-BD8</f>
        <v>2</v>
      </c>
      <c r="BM6" s="430">
        <f ca="1">BG6-BD9</f>
        <v>1</v>
      </c>
      <c r="BN6" s="430">
        <f ca="1">RANK(BO6,BO6:BO9,1)</f>
        <v>1</v>
      </c>
      <c r="BO6" s="430">
        <f ca="1">SUM(IF(AND(AJ6=AJ7),BQ6,0),IF(AND(AJ6=AJ8),BR6,0),IF(AND(AJ6=AJ9),BS6,0))</f>
        <v>0</v>
      </c>
      <c r="BP6" s="430">
        <v>0</v>
      </c>
      <c r="BQ6" s="430">
        <f t="array" aca="1" ref="BQ6" ca="1">SUM((I$4:I$49=AY6)*(N$4:N$49=BQ5)*(K$4:K$49&lt;&gt;"")*(L$4:L$49&lt;&gt;"")*(K$4:K$49&gt;L$4:L$49)*3,(N$4:N$49=AY6)*(I$4:I$49=BQ5)*(K$4:K$49&lt;&gt;"")*(L$4:L$49&lt;&gt;"")*(K$4:K$49=L$4:L$49)*1,(N$4:N$49=AY6)*(I$4:I$49=BQ5)*(K$4:K$49&lt;&gt;"")*(L$4:L$49&lt;&gt;"")*(K$4:K$49&lt;L$4:L$49)*3,(I$4:I$49=AY6)*(N$4:N$49=BQ5)*(K$4:K$49&lt;&gt;"")*(L$4:L$49&lt;&gt;"")*(K$4:K$49=L$4:L$49)*1)</f>
        <v>3</v>
      </c>
      <c r="BR6" s="430">
        <f t="array" aca="1" ref="BR6" ca="1">SUM((I$4:I$49=AY6)*(N$4:N$49=BR5)*(K$4:K$49&lt;&gt;"")*(L$4:L$49&lt;&gt;"")*(K$4:K$49&gt;L$4:L$49)*3,(N$4:N$49=AY6)*(I$4:I$49=BR5)*(K$4:K$49&lt;&gt;"")*(L$4:L$49&lt;&gt;"")*(K$4:K$49=L$4:L$49)*1,(N$4:N$49=AY6)*(I$4:I$49=BR5)*(K$4:K$49&lt;&gt;"")*(L$4:L$49&lt;&gt;"")*(K$4:K$49&lt;L$4:L$49)*3,(I$4:I$49=AY6)*(N$4:N$49=BR5)*(K$4:K$49&lt;&gt;"")*(L$4:L$49&lt;&gt;"")*(K$4:K$49=L$4:L$49)*1)</f>
        <v>3</v>
      </c>
      <c r="BS6" s="430">
        <f t="array" aca="1" ref="BS6" ca="1">SUM((I$4:I$49=AY6)*(N$4:N$49=BS5)*(K$4:K$49&lt;&gt;"")*(L$4:L$49&lt;&gt;"")*(K$4:K$49&gt;L$4:L$49)*3,(N$4:N$49=AY6)*(I$4:I$49=BS5)*(K$4:K$49&lt;&gt;"")*(L$4:L$49&lt;&gt;"")*(K$4:K$49=L$4:L$49)*1,(N$4:N$49=AY6)*(I$4:I$49=BS5)*(K$4:K$49&lt;&gt;"")*(L$4:L$49&lt;&gt;"")*(K$4:K$49&lt;L$4:L$49)*3,(I$4:I$49=AY6)*(N$4:N$49=BS5)*(K$4:K$49&lt;&gt;"")*(L$4:L$49&lt;&gt;"")*(K$4:K$49=L$4:L$49)*1)</f>
        <v>3</v>
      </c>
      <c r="BT6" s="412">
        <v>1</v>
      </c>
      <c r="BU6" s="412">
        <f ca="1">RANK(BW6,$BW$6:$BW$9)</f>
        <v>1</v>
      </c>
      <c r="BV6" s="412" t="str">
        <f ca="1">A5</f>
        <v>Alemania</v>
      </c>
      <c r="BW6" s="412">
        <f ca="1">IF(AK6=0,-($AW$15*VLOOKUP(AI6,Tabla3[[NombreEquipo]:[Rank]],3,FALSE)),AJ6*$AW$5+BA6+AQ6*$AW$12+AO6*$AW$13-($AW$15*VLOOKUP(AI6,Tabla3[[NombreEquipo]:[Rank]],3,FALSE)/100))</f>
        <v>1250656263499.99</v>
      </c>
      <c r="BX6" s="412" t="str">
        <f ca="1">VLOOKUP(Q6,$AH$6:$AI$9,2,0)</f>
        <v>Alemania</v>
      </c>
      <c r="BY6" s="412">
        <f ca="1">VLOOKUP($BX6,$AI$6:$AR$9,10,FALSE)</f>
        <v>1250656263499.99</v>
      </c>
      <c r="CC6" s="426">
        <f ca="1">RANK(CE6,$CE$6:$CE$9)</f>
        <v>1</v>
      </c>
      <c r="CD6" s="426" t="str">
        <f ca="1">A5</f>
        <v>Alemania</v>
      </c>
      <c r="CE6" s="426">
        <f ca="1">IF(AK6=0,-($AW$15*VLOOKUP(AI6,Tabla3[[NombreEquipo]:[Rank]],3,FALSE)),AJ6*$AW$5+BA6+AQ6*$AW$12+AO6*$AW$13-($AW$15*VLOOKUP(AI6,Tabla3[[NombreEquipo]:[Rank]],3,FALSE)/100))</f>
        <v>1250656263499.99</v>
      </c>
      <c r="CF6" s="426">
        <f ca="1">IF(AK6=0,-($AW$15*VLOOKUP(AI6,Tabla3[[NombreEquipo]:[Rank]],3,FALSE)),AJ6*$AW$5+BA6+AQ6*$AW$12+AO6*$AW$13)</f>
        <v>1250656263500</v>
      </c>
      <c r="CG6" s="426">
        <v>1</v>
      </c>
      <c r="CH6" s="426" t="str">
        <f ca="1">VLOOKUP(CG6,$CC$6:$CD$9,2,0)</f>
        <v>Alemania</v>
      </c>
      <c r="CI6" s="426">
        <f ca="1">VLOOKUP(CG6,$CC$6:$CF$9,4,0)</f>
        <v>1250656263500</v>
      </c>
      <c r="CJ6" s="426">
        <f ca="1">COUNTIF($CI$6:$CI$9,CI6)</f>
        <v>1</v>
      </c>
      <c r="CK6" s="426" t="str">
        <f ca="1">CJ6&amp;CJ7&amp;CJ8&amp;CJ9</f>
        <v>1111</v>
      </c>
      <c r="CL6" s="426">
        <f ca="1">HLOOKUP(CK6,$CW$3:$DD$4,2,0)</f>
        <v>8</v>
      </c>
      <c r="CM6" s="426">
        <v>1</v>
      </c>
      <c r="CN6" s="426">
        <f ca="1">HLOOKUP(CL6,$CW$4:$DD$9,3,0)</f>
        <v>1</v>
      </c>
      <c r="CP6" s="426" cm="1">
        <f t="array" aca="1" ref="CP6" ca="1">OFFSET($DF$4,1,MATCH($CN6,$DG$4:$DP$4,0),HLOOKUP($CN6,$DG$4:$DP$9,6,0),1)</f>
        <v>1</v>
      </c>
      <c r="CQ6" s="426" cm="1">
        <f t="array" aca="1" ref="CQ6" ca="1">OFFSET($DF$4,1,MATCH($CN7,$DG$4:$DP$4,0),HLOOKUP($CN7,$DG$4:$DP$9,6,0),1)</f>
        <v>2</v>
      </c>
      <c r="CR6" s="426" cm="1">
        <f t="array" aca="1" ref="CR6" ca="1">OFFSET($DF$4,1,MATCH($CN8,$DG$4:$DP$4,0),HLOOKUP($CN8,$DG$4:$DP$9,6,0),1)</f>
        <v>3</v>
      </c>
      <c r="CS6" s="426" cm="1">
        <f t="array" aca="1" ref="CS6" ca="1">OFFSET($DF$4,1,MATCH($CN9,$DG$4:$DP$4,0),HLOOKUP($CN9,$DG$4:$DP$9,6,0),1)</f>
        <v>4</v>
      </c>
      <c r="CV6" s="428">
        <v>1</v>
      </c>
      <c r="CW6" s="412">
        <v>1234</v>
      </c>
      <c r="CX6" s="412">
        <v>123</v>
      </c>
      <c r="CY6" s="412">
        <v>12</v>
      </c>
      <c r="CZ6" s="412">
        <v>12</v>
      </c>
      <c r="DA6" s="412">
        <v>1</v>
      </c>
      <c r="DB6" s="412">
        <v>1</v>
      </c>
      <c r="DC6" s="412">
        <v>1</v>
      </c>
      <c r="DD6" s="412">
        <v>1</v>
      </c>
      <c r="DG6" s="412">
        <v>2</v>
      </c>
      <c r="DH6" s="412">
        <v>2</v>
      </c>
      <c r="DI6" s="412">
        <v>2</v>
      </c>
      <c r="DJ6" s="412">
        <v>3</v>
      </c>
      <c r="DK6" s="412">
        <v>4</v>
      </c>
      <c r="DL6" s="412">
        <v>3</v>
      </c>
      <c r="DM6" s="412"/>
      <c r="DN6" s="412"/>
      <c r="DO6" s="412"/>
      <c r="DP6" s="412"/>
      <c r="EG6" s="430">
        <f ca="1">RANK(EH6,EH6:EH9,1)</f>
        <v>1</v>
      </c>
      <c r="EH6" s="426">
        <f ca="1">SUM(IF(AND(AJ6=AJ7,BC6=BC7,BI6=BI7,BO6=BO7),BE6,0),IF(AND(AJ6=AJ8,BC6=BC8,BI6=BI8,BO6=BO8),BF6,0),IF(AND(AJ6=AJ9,BC6=BC9,BI6=BI9,BO6=BO9),BG6,0))</f>
        <v>0</v>
      </c>
      <c r="EI6" s="430">
        <f ca="1">RANK(EJ6,EJ6:EJ9,1)</f>
        <v>1</v>
      </c>
      <c r="EJ6" s="426">
        <f ca="1">SUM(IF(AND(AJ6=AJ7,BC6=BC7,BI6=BI7,BO6=BO7),BK6,0),IF(AND(AJ6=AJ8,BC6=BC8,BI6=BI8,BO6=BO8),BL6,0),IF(AND(AJ6=AJ9,BC6=BC9,BI6=BI9,BO6=BO9),BM6,0))</f>
        <v>0</v>
      </c>
      <c r="EK6" s="430">
        <f ca="1">RANK(EL6,EL6:EL9,1)</f>
        <v>1</v>
      </c>
      <c r="EL6" s="426">
        <f ca="1">SUM(IF(AND(AJ6=AJ7,BC6=BC7,BI6=BI7,BO6=BO7),BQ6,0),IF(AND(AJ6=AJ8,BC6=BC8,BI6=BI8,BO6=BO8),BR6,0),IF(AND(AJ6=AJ9,BC6=BC9,BI6=BI9,BO6=BO9),BS6,0))</f>
        <v>0</v>
      </c>
    </row>
    <row r="7" spans="1:142 5661:5661 8916:8916 13419:13419" ht="15.6" x14ac:dyDescent="0.3">
      <c r="A7" s="370" t="str">
        <f t="array" aca="1" ref="A7" ca="1">IF(ROWS(A$5:A7)&lt;=$C$4,INDEX(INDIRECT(A$4),SMALL(IF(Nivell=$B$4,ROW(Nivell)-ROW(Equipos!$C$2)+1),ROWS(B$4:B6))),"")</f>
        <v>Hungría</v>
      </c>
      <c r="B7" s="371"/>
      <c r="C7" s="189"/>
      <c r="D7" s="170"/>
      <c r="E7" s="769"/>
      <c r="F7" s="15">
        <f>Horarios!C7</f>
        <v>45462.875</v>
      </c>
      <c r="G7" s="16">
        <f>Horarios!C7</f>
        <v>45462.875</v>
      </c>
      <c r="H7" s="15" t="str">
        <f>$H$6</f>
        <v>J2</v>
      </c>
      <c r="I7" s="17" t="str">
        <f ca="1">A6</f>
        <v>Escocia</v>
      </c>
      <c r="J7" s="18" t="str">
        <f ca="1">VLOOKUP(I7,Equipos!$K$2:$M$56,3,0)</f>
        <v>🏴󠁧󠁢󠁳󠁣󠁴󠁿</v>
      </c>
      <c r="K7" s="19">
        <v>0</v>
      </c>
      <c r="L7" s="19">
        <v>1</v>
      </c>
      <c r="M7" s="20" t="str">
        <f ca="1">VLOOKUP(N7,Equipos!$K$2:$M$56,3,0)</f>
        <v>🇨🇭</v>
      </c>
      <c r="N7" s="40" t="str">
        <f ca="1">A8</f>
        <v>Suiza</v>
      </c>
      <c r="O7" s="98">
        <f t="shared" si="1"/>
        <v>1</v>
      </c>
      <c r="P7" s="95"/>
      <c r="Q7" s="120">
        <v>2</v>
      </c>
      <c r="R7" s="5" t="str">
        <f ca="1">VLOOKUP(Q7,$AG$6:$AI$9,3,0)</f>
        <v>Suiza</v>
      </c>
      <c r="S7" s="4">
        <f ca="1">VLOOKUP(R7,$AI$6:$AR$9,2,FALSE)</f>
        <v>6</v>
      </c>
      <c r="T7" s="4">
        <f ca="1">VLOOKUP($R7,$AI$6:$AR$9,3,FALSE)</f>
        <v>3</v>
      </c>
      <c r="U7" s="4">
        <f ca="1">VLOOKUP($R7,$AI$6:$AR$9,4,FALSE)</f>
        <v>2</v>
      </c>
      <c r="V7" s="4">
        <f ca="1">VLOOKUP($R7,$AI$6:$AR$9,5,FALSE)</f>
        <v>0</v>
      </c>
      <c r="W7" s="4">
        <f ca="1">VLOOKUP($R7,$AI$6:$AR$9,6,FALSE)</f>
        <v>1</v>
      </c>
      <c r="X7" s="4">
        <f ca="1">VLOOKUP($R7,$AI$6:$AR$9,7,FALSE)</f>
        <v>3</v>
      </c>
      <c r="Y7" s="4">
        <f ca="1">VLOOKUP($R7,$AI$6:$AR$9,8,FALSE)</f>
        <v>2</v>
      </c>
      <c r="Z7" s="121">
        <f ca="1">VLOOKUP($R7,$AI$6:$AR$9,9,FALSE)</f>
        <v>1</v>
      </c>
      <c r="AA7" s="86">
        <f ca="1">IF(SUM($AK$6:$AK$9)=12,MIN(ABS(BY6-BY7),ABS(BY7-BY8)),100)</f>
        <v>416625052000.03003</v>
      </c>
      <c r="AB7" s="109" t="str">
        <f ca="1">IF(AND(AA7&gt;=0,AA7&lt;90),VLOOKUP(Q7,$BU$6:$BV$9,2,0),"")</f>
        <v/>
      </c>
      <c r="AC7" s="85"/>
      <c r="AD7" s="86"/>
      <c r="AE7" s="86"/>
      <c r="AF7" s="427"/>
      <c r="AG7" s="426">
        <f ca="1">RANK(AU7,$AU$6:$AU$9)</f>
        <v>4</v>
      </c>
      <c r="AH7" s="426">
        <f ca="1">RANK(AR7,$AR$6:$AR$9)</f>
        <v>4</v>
      </c>
      <c r="AI7" s="412" t="str">
        <f ca="1">A6</f>
        <v>Escocia</v>
      </c>
      <c r="AJ7" s="426">
        <f ca="1">AL7*3+AM7*1+AN7*0</f>
        <v>1</v>
      </c>
      <c r="AK7" s="426">
        <f ca="1">COUNTIFS($I$4:$I$49,AI7,$K$4:$K$49,"&lt;&gt;",$L$4:$L$49,"&lt;&gt;")+COUNTIFS($N$4:$N$49,AI7,$L$4:$L$49,"&lt;&gt;",$K$4:$K$49,"&lt;&gt;")</f>
        <v>3</v>
      </c>
      <c r="AL7" s="426">
        <f t="array" aca="1" ref="AL7" ca="1">SUM(($I$4:$I$49=AI7)*($K$4:$K$49&lt;&gt;"")*($L$4:$L$49&lt;&gt;"")*($K$4:$K$49&gt;$L$4:$L$49),($N$4:$N$49=AI7)*($K$4:$K$49&lt;&gt;"")*($L$4:$L$49&lt;&gt;"")*($K$4:$K$49&lt;$L$4:$L$49))</f>
        <v>0</v>
      </c>
      <c r="AM7" s="426">
        <f t="array" aca="1" ref="AM7" ca="1">SUM(($I$4:$I$49=AI7)*($K$4:$K$49&lt;&gt;"")*($L$4:$L$49&lt;&gt;"")*($K$4:$K$49=$L$4:$L$49),($N$4:$N$49=AI7)*($K$4:$K$49&lt;&gt;"")*($L$4:$L$49&lt;&gt;"")*($K$4:$K$49=$L$4:$L$49))</f>
        <v>1</v>
      </c>
      <c r="AN7" s="426">
        <f t="array" aca="1" ref="AN7" ca="1">SUM(($I$4:$I$49=AI7)*($L$4:$L$49&lt;&gt;"")*($K$4:$K$49&lt;&gt;"")*($K$4:$K$49&lt;$L$4:$L$49),($K$4:$K$49&lt;&gt;"")*($N$4:$N$49=AI7)*($L$4:$L$49&lt;&gt;"")*($K$4:$K$49&gt;$L$4:$L$49))</f>
        <v>2</v>
      </c>
      <c r="AO7" s="426">
        <f t="array" aca="1" ref="AO7" ca="1">SUMIFS($K$4:$K$49,$I$4:$I$49,AI7,$K$4:$K$49,"&lt;&gt;",$L$4:$L$49,"&lt;&gt;")+SUMIFS($L$4:$L$49,$N$4:$N$49,AI7,$K$4:$K$49,"&lt;&gt;",$L$4:$L$49,"&lt;&gt;")</f>
        <v>0</v>
      </c>
      <c r="AP7" s="426">
        <f t="array" aca="1" ref="AP7" ca="1">SUMIFS($K$4:$K$49,$N$4:$N$49,AI7,$K$4:$K$49,"&lt;&gt;",$L$4:$L$49,"&lt;&gt;")+SUMIFS($L$4:$L$49,$I$4:$I$49,AI7,$K$4:$K$49,"&lt;&gt;",$L$4:$L$49,"&lt;&gt;")</f>
        <v>4</v>
      </c>
      <c r="AQ7" s="426">
        <f ca="1">AO7-AP7</f>
        <v>-4</v>
      </c>
      <c r="AR7" s="426">
        <f ca="1">IF(AK7=0,-($AW$15*VLOOKUP(AI7,Tabla3[[NombreEquipo]:[Rank]],3,FALSE)),AJ7*$AW$5+BA7+AQ7*$AW$12+AO7*$AW$13-($AW$15*VLOOKUP(AI7,Tabla3[[NombreEquipo]:[Rank]],3,FALSE)/100))</f>
        <v>140916159999.98001</v>
      </c>
      <c r="AS7" s="426">
        <f ca="1">AH7</f>
        <v>4</v>
      </c>
      <c r="AT7" s="426"/>
      <c r="AU7" s="426">
        <f ca="1">IFERROR(AR7-VLOOKUP(AI7,$AB$6:$AC$9,2,0),AR7)</f>
        <v>140916159999.98001</v>
      </c>
      <c r="AV7" s="426" t="s">
        <v>54</v>
      </c>
      <c r="AW7" s="429">
        <f>AW8*5</f>
        <v>125000000</v>
      </c>
      <c r="AX7" s="426"/>
      <c r="AY7" s="434" t="str">
        <f ca="1">AI7</f>
        <v>Escocia</v>
      </c>
      <c r="AZ7" s="426">
        <f ca="1">COUNTIF(AJ6:AJ9,AJ7)</f>
        <v>2</v>
      </c>
      <c r="BA7" s="426">
        <f ca="1">(BB7*$AW$8)+(BH7*$AW$7)+(BN7*$AW$6)+(EG7*$AW$11)+(EI7*$AW$10)+(EK7*$AW$9)</f>
        <v>2041200000</v>
      </c>
      <c r="BB7" s="430">
        <f ca="1">RANK(BC7,BC6:BC9,1)</f>
        <v>1</v>
      </c>
      <c r="BC7" s="430">
        <f ca="1">SUM(IF(AND(AJ7=AJ8),BF7,0),IF(AND(AJ7=AJ9),BG7,0),IF(AND(AJ7=AJ6),BD7,0))</f>
        <v>0</v>
      </c>
      <c r="BD7" s="430">
        <f t="array" aca="1" ref="BD7" ca="1">SUMIFS($K$4:$K$9,$I$4:$I$9,$AY7,$K$4:$K$9,"&lt;&gt;",$L$4:$L$9,"&lt;&gt;",$N$4:$N$9,BD5)+SUMIFS($L$4:$L$9,$I$4:$I$9,BD5,$K$4:$K$9,"&lt;&gt;",$L$4:$L$9,"&lt;&gt;",$N$4:$N$9,$AY7)</f>
        <v>0</v>
      </c>
      <c r="BE7" s="430">
        <v>0</v>
      </c>
      <c r="BF7" s="430">
        <f t="array" aca="1" ref="BF7" ca="1">SUMIFS($K$4:$K$9,$I$4:$I$9,$AY7,$K$4:$K$9,"&lt;&gt;",$L$4:$L$9,"&lt;&gt;",$N$4:$N$9,BF5)+SUMIFS($L$4:$L$9,$I$4:$I$9,BF5,$K$4:$K$9,"&lt;&gt;",$L$4:$L$9,"&lt;&gt;",$N$4:$N$9,$AY7)</f>
        <v>0</v>
      </c>
      <c r="BG7" s="430">
        <f t="array" aca="1" ref="BG7" ca="1">SUMIFS($K$4:$K$9,$I$4:$I$9,$AY7,$K$4:$K$9,"&lt;&gt;",$L$4:$L$9,"&lt;&gt;",$N$4:$N$9,BG5)+SUMIFS($L$4:$L$9,$I$4:$I$9,BG5,$K$4:$K$9,"&lt;&gt;",$L$4:$L$9,"&lt;&gt;",$N$4:$N$9,$AY7)</f>
        <v>0</v>
      </c>
      <c r="BH7" s="430">
        <f ca="1">RANK(BI7,BI6:BI9,1)</f>
        <v>1</v>
      </c>
      <c r="BI7" s="430">
        <f ca="1">SUM(IF(AND(AJ7=AJ8),BL7,0),IF(AND(AJ7=AJ9),BM7,0),IF(AND(AJ7=AJ6),BJ7,0))</f>
        <v>0</v>
      </c>
      <c r="BJ7" s="430">
        <f ca="1">BD7-BE6</f>
        <v>-3</v>
      </c>
      <c r="BK7" s="430">
        <v>0</v>
      </c>
      <c r="BL7" s="430">
        <f ca="1">BF7-BE8</f>
        <v>0</v>
      </c>
      <c r="BM7" s="430">
        <f ca="1">BG7-BE9</f>
        <v>-1</v>
      </c>
      <c r="BN7" s="430">
        <f ca="1">RANK(BO7,BO6:BO9,1)</f>
        <v>3</v>
      </c>
      <c r="BO7" s="430">
        <f ca="1">SUM(IF(AND(AJ7=AJ8),BR7,0),IF(AND(AJ7=AJ9),BS7,0),IF(AND(AJ7=AJ6),BP7,0))</f>
        <v>1</v>
      </c>
      <c r="BP7" s="430">
        <f t="array" aca="1" ref="BP7" ca="1">SUM((I$4:I$49=AY7)*(N$4:N$49=BP5)*(K$4:K$49&lt;&gt;"")*(L$4:L$49&lt;&gt;"")*(K$4:K$49&gt;L$4:L$49)*3,(N$4:N$49=AY7)*(I$4:I$49=BP5)*(K$4:K$49&lt;&gt;"")*(L$4:L$49&lt;&gt;"")*(K$4:K$49=L$4:L$49)*1,(N$4:N$49=AY7)*(I$4:I$49=BP5)*(K$4:K$49&lt;&gt;"")*(L$4:L$49&lt;&gt;"")*(K$4:K$49&lt;L$4:L$49)*3,(I$4:I$49=AY7)*(N$4:N$49=BP5)*(K$4:K$49&lt;&gt;"")*(L$4:L$49&lt;&gt;"")*(K$4:K$49=L$4:L$49)*1)</f>
        <v>0</v>
      </c>
      <c r="BQ7" s="430">
        <v>0</v>
      </c>
      <c r="BR7" s="430">
        <f t="array" aca="1" ref="BR7" ca="1">SUM((I$4:I$49=AY7)*(N$4:N$49=BR5)*(K$4:K$49&lt;&gt;"")*(L$4:L$49&lt;&gt;"")*(K$4:K$49&gt;L$4:L$49)*3,(N$4:N$49=AY7)*(I$4:I$49=BR5)*(K$4:K$49&lt;&gt;"")*(L$4:L$49&lt;&gt;"")*(K$4:K$49=L$4:L$49)*1,(N$4:N$49=AY7)*(I$4:I$49=BR5)*(K$4:K$49&lt;&gt;"")*(L$4:L$49&lt;&gt;"")*(K$4:K$49&lt;L$4:L$49)*3,(I$4:I$49=AY7)*(N$4:N$49=BR5)*(K$4:K$49&lt;&gt;"")*(L$4:L$49&lt;&gt;"")*(K$4:K$49=L$4:L$49)*1)</f>
        <v>1</v>
      </c>
      <c r="BS7" s="430">
        <f t="array" aca="1" ref="BS7" ca="1">SUM((I$4:I$49=AY7)*(N$4:N$49=BS5)*(K$4:K$49&lt;&gt;"")*(L$4:L$49&lt;&gt;"")*(K$4:K$49&gt;L$4:L$49)*3,(N$4:N$49=AY7)*(I$4:I$49=BS5)*(K$4:K$49&lt;&gt;"")*(L$4:L$49&lt;&gt;"")*(K$4:K$49=L$4:L$49)*1,(N$4:N$49=AY7)*(I$4:I$49=BS5)*(K$4:K$49&lt;&gt;"")*(L$4:L$49&lt;&gt;"")*(K$4:K$49&lt;L$4:L$49)*3,(I$4:I$49=AY7)*(N$4:N$49=BS5)*(K$4:K$49&lt;&gt;"")*(L$4:L$49&lt;&gt;"")*(K$4:K$49=L$4:L$49)*1)</f>
        <v>0</v>
      </c>
      <c r="BT7" s="412">
        <v>2</v>
      </c>
      <c r="BU7" s="412">
        <f ca="1">RANK(BW7,$BW$6:$BW$9)</f>
        <v>4</v>
      </c>
      <c r="BV7" s="412" t="str">
        <f ca="1">A6</f>
        <v>Escocia</v>
      </c>
      <c r="BW7" s="412">
        <f ca="1">IF(AK7=0,-($AW$15*VLOOKUP(AI7,Tabla3[[NombreEquipo]:[Rank]],3,FALSE)),AJ7*$AW$5+BA7+AQ7*$AW$12+AO7*$AW$13-($AW$15*VLOOKUP(AI7,Tabla3[[NombreEquipo]:[Rank]],3,FALSE)/100))</f>
        <v>140916159999.98001</v>
      </c>
      <c r="BX7" s="412" t="str">
        <f ca="1">VLOOKUP(Q7,$AH$6:$AI$9,2,0)</f>
        <v>Suiza</v>
      </c>
      <c r="BY7" s="412">
        <f ca="1">VLOOKUP($BX7,$AI$6:$AR$9,10,FALSE)</f>
        <v>834031211499.95996</v>
      </c>
      <c r="CC7" s="426">
        <f t="shared" ref="CC7:CC9" ca="1" si="2">RANK(CE7,$CE$6:$CE$9)</f>
        <v>4</v>
      </c>
      <c r="CD7" s="426" t="str">
        <f ca="1">A6</f>
        <v>Escocia</v>
      </c>
      <c r="CE7" s="426">
        <f ca="1">IF(AK7=0,-($AW$15*VLOOKUP(AI7,Tabla3[[NombreEquipo]:[Rank]],3,FALSE)),AJ7*$AW$5+BA7+AQ7*$AW$12+AO7*$AW$13-($AW$15*VLOOKUP(AI7,Tabla3[[NombreEquipo]:[Rank]],3,FALSE)/100))</f>
        <v>140916159999.98001</v>
      </c>
      <c r="CF7" s="426">
        <f ca="1">IF(AK7=0,-($AW$15*VLOOKUP(AI7,Tabla3[[NombreEquipo]:[Rank]],3,FALSE)),AJ7*$AW$5+BA7+AQ7*$AW$12+AO7*$AW$13)</f>
        <v>140916160000</v>
      </c>
      <c r="CG7" s="426">
        <v>2</v>
      </c>
      <c r="CH7" s="426" t="str">
        <f t="shared" ref="CH7:CH9" ca="1" si="3">VLOOKUP(CG7,$CC$6:$CD$9,2,0)</f>
        <v>Suiza</v>
      </c>
      <c r="CI7" s="426">
        <f t="shared" ref="CI7:CI9" ca="1" si="4">VLOOKUP(CG7,$CC$6:$CF$9,4,0)</f>
        <v>834031211500</v>
      </c>
      <c r="CJ7" s="426">
        <f t="shared" ref="CJ7:CJ9" ca="1" si="5">COUNTIF($CI$6:$CI$9,CI7)</f>
        <v>1</v>
      </c>
      <c r="CM7" s="426">
        <v>2</v>
      </c>
      <c r="CN7" s="426">
        <f ca="1">HLOOKUP(CL6,$CW$4:$DD$9,4,0)</f>
        <v>2</v>
      </c>
      <c r="CV7" s="428">
        <v>2</v>
      </c>
      <c r="CW7" s="412">
        <v>1234</v>
      </c>
      <c r="CX7" s="412">
        <v>123</v>
      </c>
      <c r="CY7" s="412">
        <v>12</v>
      </c>
      <c r="CZ7" s="412">
        <v>12</v>
      </c>
      <c r="DA7" s="412">
        <v>234</v>
      </c>
      <c r="DB7" s="412">
        <v>23</v>
      </c>
      <c r="DC7" s="412">
        <v>2</v>
      </c>
      <c r="DD7" s="412">
        <v>2</v>
      </c>
      <c r="DG7" s="412">
        <v>3</v>
      </c>
      <c r="DH7" s="412">
        <v>3</v>
      </c>
      <c r="DI7" s="412"/>
      <c r="DJ7" s="412">
        <v>4</v>
      </c>
      <c r="DK7" s="412"/>
      <c r="DL7" s="412"/>
      <c r="DM7" s="412"/>
      <c r="DN7" s="412"/>
      <c r="DO7" s="412"/>
      <c r="DP7" s="412"/>
      <c r="EG7" s="430">
        <f ca="1">RANK(EH7,EH6:EH9,1)</f>
        <v>1</v>
      </c>
      <c r="EH7" s="426">
        <f ca="1">SUM(IF(AND(AJ7=AJ8,BC7=BC8,BI7=BI8,BO7=BO8),BF7,0),IF(AND(AJ7=AJ9,BC7=BC9,BI7=BI9,BO7=BO9),BG7,0),IF(AND(AJ7=AJ6,BC7=BC6,BI7=BI6,BO7=BO6),BD7,0))</f>
        <v>0</v>
      </c>
      <c r="EI7" s="430">
        <f ca="1">RANK(EJ7,EJ6:EJ9,1)</f>
        <v>1</v>
      </c>
      <c r="EJ7" s="426">
        <f ca="1">SUM(IF(AND(AJ7=AJ8,BC7=BC8,BI7=BI8,BO7=BO8),BL7,0),IF(AND(AJ7=AJ9,BC7=BC9,BI7=BI9,BO7=BO9),BM7,0),IF(AND(AJ7=AJ6,BC7=BC6,BI7=BI6,BO7=BO6),BJ7,0))</f>
        <v>0</v>
      </c>
      <c r="EK7" s="430">
        <f ca="1">RANK(EL7,EL6:EL9,1)</f>
        <v>3</v>
      </c>
      <c r="EL7" s="426">
        <f ca="1">SUM(IF(AND(AJ7=AJ8,BC7=BC8,BI7=BI8,BO7=BO8),BR7,0),IF(AND(AJ7=AJ9,BC7=BC9,BI7=BI9,BO7=BO9),BS7,0),IF(AND(AJ7=AJ6,BC7=BC6,BI7=BI6,BO7=BO6),BP7,0))</f>
        <v>1</v>
      </c>
    </row>
    <row r="8" spans="1:142 5661:5661 8916:8916 13419:13419" ht="15.6" x14ac:dyDescent="0.3">
      <c r="A8" s="370" t="str">
        <f t="array" aca="1" ref="A8" ca="1">IF(ROWS(A$5:A8)&lt;=$C$4,INDEX(INDIRECT(A$4),SMALL(IF(Nivell=$B$4,ROW(Nivell)-ROW(Equipos!$C$2)+1),ROWS(B$4:B7))),"")</f>
        <v>Suiza</v>
      </c>
      <c r="B8" s="371"/>
      <c r="C8" s="189"/>
      <c r="D8" s="170"/>
      <c r="E8" s="769"/>
      <c r="F8" s="15">
        <f>Horarios!C8</f>
        <v>45466.875</v>
      </c>
      <c r="G8" s="16">
        <f>Horarios!C8</f>
        <v>45466.875</v>
      </c>
      <c r="H8" s="15" t="str">
        <f>Idiomas!D53</f>
        <v>J3</v>
      </c>
      <c r="I8" s="17" t="str">
        <f ca="1">A8</f>
        <v>Suiza</v>
      </c>
      <c r="J8" s="18" t="str">
        <f ca="1">VLOOKUP(I8,Equipos!$K$2:$M$56,3,0)</f>
        <v>🇨🇭</v>
      </c>
      <c r="K8" s="19">
        <v>1</v>
      </c>
      <c r="L8" s="19">
        <v>2</v>
      </c>
      <c r="M8" s="20" t="str">
        <f ca="1">VLOOKUP(N8,Equipos!$K$2:$M$56,3,0)</f>
        <v>🇩🇪</v>
      </c>
      <c r="N8" s="40" t="str">
        <f ca="1">A5</f>
        <v>Alemania</v>
      </c>
      <c r="O8" s="98">
        <f t="shared" si="1"/>
        <v>1</v>
      </c>
      <c r="P8" s="95"/>
      <c r="Q8" s="120">
        <v>3</v>
      </c>
      <c r="R8" s="5" t="str">
        <f ca="1">VLOOKUP(Q8,$AG$6:$AI$9,3,0)</f>
        <v>Hungría</v>
      </c>
      <c r="S8" s="4">
        <f ca="1">VLOOKUP(R8,$AI$6:$AR$9,2,FALSE)</f>
        <v>1</v>
      </c>
      <c r="T8" s="4">
        <f ca="1">VLOOKUP($R8,$AI$6:$AR$9,3,FALSE)</f>
        <v>3</v>
      </c>
      <c r="U8" s="4">
        <f ca="1">VLOOKUP($R8,$AI$6:$AR$9,4,FALSE)</f>
        <v>0</v>
      </c>
      <c r="V8" s="4">
        <f ca="1">VLOOKUP($R8,$AI$6:$AR$9,5,FALSE)</f>
        <v>1</v>
      </c>
      <c r="W8" s="4">
        <f ca="1">VLOOKUP($R8,$AI$6:$AR$9,6,FALSE)</f>
        <v>2</v>
      </c>
      <c r="X8" s="4">
        <f ca="1">VLOOKUP($R8,$AI$6:$AR$9,7,FALSE)</f>
        <v>0</v>
      </c>
      <c r="Y8" s="4">
        <f ca="1">VLOOKUP($R8,$AI$6:$AR$9,8,FALSE)</f>
        <v>3</v>
      </c>
      <c r="Z8" s="121">
        <f ca="1">VLOOKUP($R8,$AI$6:$AR$9,9,FALSE)</f>
        <v>-3</v>
      </c>
      <c r="AA8" s="86">
        <f ca="1">IF(SUM($AK$6:$AK$9)=12,MIN(ABS(BY7-BY8),ABS(BY8-BY9)),100)</f>
        <v>9999.989990234375</v>
      </c>
      <c r="AB8" s="109" t="str">
        <f ca="1">IF(AND(AA8&gt;=0,AA8&lt;90),VLOOKUP(Q8,$BU$6:$BV$9,2,0),"")</f>
        <v/>
      </c>
      <c r="AC8" s="85"/>
      <c r="AD8" s="86"/>
      <c r="AE8" s="86"/>
      <c r="AF8" s="427"/>
      <c r="AG8" s="426">
        <f ca="1">RANK(AU8,$AU$6:$AU$9)</f>
        <v>3</v>
      </c>
      <c r="AH8" s="426">
        <f ca="1">RANK(AR8,$AR$6:$AR$9)</f>
        <v>3</v>
      </c>
      <c r="AI8" s="412" t="str">
        <f ca="1">A7</f>
        <v>Hungría</v>
      </c>
      <c r="AJ8" s="426">
        <f ca="1">AL8*3+AM8*1+AN8*0</f>
        <v>1</v>
      </c>
      <c r="AK8" s="426">
        <f ca="1">COUNTIFS($I$4:$I$49,AI8,$K$4:$K$49,"&lt;&gt;",$L$4:$L$49,"&lt;&gt;")+COUNTIFS($N$4:$N$49,AI8,$L$4:$L$49,"&lt;&gt;",$K$4:$K$49,"&lt;&gt;")</f>
        <v>3</v>
      </c>
      <c r="AL8" s="426">
        <f t="array" aca="1" ref="AL8" ca="1">SUM(($I$4:$I$49=AI8)*($K$4:$K$49&lt;&gt;"")*($L$4:$L$49&lt;&gt;"")*($K$4:$K$49&gt;$L$4:$L$49),($N$4:$N$49=AI8)*($K$4:$K$49&lt;&gt;"")*($L$4:$L$49&lt;&gt;"")*($K$4:$K$49&lt;$L$4:$L$49))</f>
        <v>0</v>
      </c>
      <c r="AM8" s="426">
        <f t="array" aca="1" ref="AM8" ca="1">SUM(($I$4:$I$49=AI8)*($K$4:$K$49&lt;&gt;"")*($L$4:$L$49&lt;&gt;"")*($K$4:$K$49=$L$4:$L$49),($N$4:$N$49=AI8)*($K$4:$K$49&lt;&gt;"")*($L$4:$L$49&lt;&gt;"")*($K$4:$K$49=$L$4:$L$49))</f>
        <v>1</v>
      </c>
      <c r="AN8" s="426">
        <f t="array" aca="1" ref="AN8" ca="1">SUM(($I$4:$I$49=AI8)*($L$4:$L$49&lt;&gt;"")*($K$4:$K$49&lt;&gt;"")*($K$4:$K$49&lt;$L$4:$L$49),($K$4:$K$49&lt;&gt;"")*($N$4:$N$49=AI8)*($L$4:$L$49&lt;&gt;"")*($K$4:$K$49&gt;$L$4:$L$49))</f>
        <v>2</v>
      </c>
      <c r="AO8" s="426">
        <f t="array" aca="1" ref="AO8" ca="1">SUMIFS($K$4:$K$49,$I$4:$I$49,AI8,$K$4:$K$49,"&lt;&gt;",$L$4:$L$49,"&lt;&gt;")+SUMIFS($L$4:$L$49,$N$4:$N$49,AI8,$K$4:$K$49,"&lt;&gt;",$L$4:$L$49,"&lt;&gt;")</f>
        <v>0</v>
      </c>
      <c r="AP8" s="426">
        <f t="array" aca="1" ref="AP8" ca="1">SUMIFS($K$4:$K$49,$N$4:$N$49,AI8,$K$4:$K$49,"&lt;&gt;",$L$4:$L$49,"&lt;&gt;")+SUMIFS($L$4:$L$49,$I$4:$I$49,AI8,$K$4:$K$49,"&lt;&gt;",$L$4:$L$49,"&lt;&gt;")</f>
        <v>3</v>
      </c>
      <c r="AQ8" s="426">
        <f ca="1">AO8-AP8</f>
        <v>-3</v>
      </c>
      <c r="AR8" s="426">
        <f ca="1">IF(AK8=0,-($AW$15*VLOOKUP(AI8,Tabla3[[NombreEquipo]:[Rank]],3,FALSE)),AJ8*$AW$5+BA8+AQ8*$AW$12+AO8*$AW$13-($AW$15*VLOOKUP(AI8,Tabla3[[NombreEquipo]:[Rank]],3,FALSE)/100))</f>
        <v>140916169999.97</v>
      </c>
      <c r="AS8" s="426">
        <f ca="1">AH8</f>
        <v>3</v>
      </c>
      <c r="AT8" s="426"/>
      <c r="AU8" s="426">
        <f ca="1">IFERROR(AR8-VLOOKUP(AI8,$AB$6:$AC$9,2,0),AR8)</f>
        <v>140916169999.97</v>
      </c>
      <c r="AV8" s="426" t="s">
        <v>55</v>
      </c>
      <c r="AW8" s="429">
        <f>AW9*5</f>
        <v>25000000</v>
      </c>
      <c r="AX8" s="426"/>
      <c r="AY8" s="434" t="str">
        <f ca="1">AI8</f>
        <v>Hungría</v>
      </c>
      <c r="AZ8" s="426">
        <f ca="1">COUNTIF(AJ6:AJ9,AJ8)</f>
        <v>2</v>
      </c>
      <c r="BA8" s="426">
        <f ca="1">(BB8*$AW$8)+(BH8*$AW$7)+(BN8*$AW$6)+(EG8*$AW$11)+(EI8*$AW$10)+(EK8*$AW$9)</f>
        <v>2041200000</v>
      </c>
      <c r="BB8" s="430">
        <f ca="1">RANK(BC8,BC6:BC9,1)</f>
        <v>1</v>
      </c>
      <c r="BC8" s="430">
        <f ca="1">SUM(IF(AND(AJ8=AJ9),BG8,0),IF(AND(AJ8=AJ6),BD8,0),IF(AND(AJ8=AJ7),BE8,0))</f>
        <v>0</v>
      </c>
      <c r="BD8" s="430">
        <f t="array" aca="1" ref="BD8" ca="1">SUMIFS($K$4:$K$9,$I$4:$I$9,$AY8,$K$4:$K$9,"&lt;&gt;",$L$4:$L$9,"&lt;&gt;",$N$4:$N$9,BD5)+SUMIFS($L$4:$L$9,$I$4:$I$9,BD5,$K$4:$K$9,"&lt;&gt;",$L$4:$L$9,"&lt;&gt;",$N$4:$N$9,$AY8)</f>
        <v>0</v>
      </c>
      <c r="BE8" s="430">
        <f t="array" aca="1" ref="BE8" ca="1">SUMIFS($K$4:$K$9,$I$4:$I$9,$AY8,$K$4:$K$9,"&lt;&gt;",$L$4:$L$9,"&lt;&gt;",$N$4:$N$9,BE5)+SUMIFS($L$4:$L$9,$I$4:$I$9,BE5,$K$4:$K$9,"&lt;&gt;",$L$4:$L$9,"&lt;&gt;",$N$4:$N$9,$AY8)</f>
        <v>0</v>
      </c>
      <c r="BF8" s="430">
        <v>0</v>
      </c>
      <c r="BG8" s="430">
        <f t="array" aca="1" ref="BG8" ca="1">SUMIFS($K$4:$K$9,$I$4:$I$9,$AY8,$K$4:$K$9,"&lt;&gt;",$L$4:$L$9,"&lt;&gt;",$N$4:$N$9,BG5)+SUMIFS($L$4:$L$9,$I$4:$I$9,BG5,$K$4:$K$9,"&lt;&gt;",$L$4:$L$9,"&lt;&gt;",$N$4:$N$9,$AY8)</f>
        <v>0</v>
      </c>
      <c r="BH8" s="430">
        <f ca="1">RANK(BI8,BI6:BI9,1)</f>
        <v>1</v>
      </c>
      <c r="BI8" s="430">
        <f ca="1">SUM(IF(AND(AJ8=AJ9),BM8,0),IF(AND(AJ8=AJ6),BJ8,0),IF(AND(AJ8=AJ7),BK8,0))</f>
        <v>0</v>
      </c>
      <c r="BJ8" s="430">
        <f ca="1">BD8-BF6</f>
        <v>-2</v>
      </c>
      <c r="BK8" s="430">
        <f ca="1">BE8-BF7</f>
        <v>0</v>
      </c>
      <c r="BL8" s="430">
        <v>0</v>
      </c>
      <c r="BM8" s="430">
        <f ca="1">BG8-BF9</f>
        <v>-1</v>
      </c>
      <c r="BN8" s="430">
        <f ca="1">RANK(BO8,BO6:BO9,1)</f>
        <v>3</v>
      </c>
      <c r="BO8" s="430">
        <f ca="1">SUM(IF(AND(AJ8=AJ9),BS8,0),IF(AND(AJ8=AJ6),BP8,0),IF(AND(AJ8=AJ7),BQ8,0))</f>
        <v>1</v>
      </c>
      <c r="BP8" s="430">
        <f t="array" aca="1" ref="BP8" ca="1">SUM((I$4:I$49=AY8)*(N$4:N$49=BP5)*(K$4:K$49&lt;&gt;"")*(L$4:L$49&lt;&gt;"")*(K$4:K$49&gt;L$4:L$49)*3,(N$4:N$49=AY8)*(I$4:I$49=BP5)*(K$4:K$49&lt;&gt;"")*(L$4:L$49&lt;&gt;"")*(K$4:K$49=L$4:L$49)*1,(N$4:N$49=AY8)*(I$4:I$49=BP5)*(K$4:K$49&lt;&gt;"")*(L$4:L$49&lt;&gt;"")*(K$4:K$49&lt;L$4:L$49)*3,(I$4:I$49=AY8)*(N$4:N$49=BP5)*(K$4:K$49&lt;&gt;"")*(L$4:L$49&lt;&gt;"")*(K$4:K$49=L$4:L$49)*1)</f>
        <v>0</v>
      </c>
      <c r="BQ8" s="430">
        <f t="array" aca="1" ref="BQ8" ca="1">SUM((I$4:I$49=AY8)*(N$4:N$49=BQ5)*(K$4:K$49&lt;&gt;"")*(L$4:L$49&lt;&gt;"")*(K$4:K$49&gt;L$4:L$49)*3,(N$4:N$49=AY8)*(I$4:I$49=BQ5)*(K$4:K$49&lt;&gt;"")*(L$4:L$49&lt;&gt;"")*(K$4:K$49=L$4:L$49)*1,(N$4:N$49=AY8)*(I$4:I$49=BQ5)*(K$4:K$49&lt;&gt;"")*(L$4:L$49&lt;&gt;"")*(K$4:K$49&lt;L$4:L$49)*3,(I$4:I$49=AY8)*(N$4:N$49=BQ5)*(K$4:K$49&lt;&gt;"")*(L$4:L$49&lt;&gt;"")*(K$4:K$49=L$4:L$49)*1)</f>
        <v>1</v>
      </c>
      <c r="BR8" s="430">
        <v>0</v>
      </c>
      <c r="BS8" s="430">
        <f t="array" aca="1" ref="BS8" ca="1">SUM((I$4:I$49=AY8)*(N$4:N$49=BS5)*(K$4:K$49&lt;&gt;"")*(L$4:L$49&lt;&gt;"")*(K$4:K$49&gt;L$4:L$49)*3,(N$4:N$49=AY8)*(I$4:I$49=BS5)*(K$4:K$49&lt;&gt;"")*(L$4:L$49&lt;&gt;"")*(K$4:K$49=L$4:L$49)*1,(N$4:N$49=AY8)*(I$4:I$49=BS5)*(K$4:K$49&lt;&gt;"")*(L$4:L$49&lt;&gt;"")*(K$4:K$49&lt;L$4:L$49)*3,(I$4:I$49=AY8)*(N$4:N$49=BS5)*(K$4:K$49&lt;&gt;"")*(L$4:L$49&lt;&gt;"")*(K$4:K$49=L$4:L$49)*1)</f>
        <v>0</v>
      </c>
      <c r="BT8" s="412">
        <v>3</v>
      </c>
      <c r="BU8" s="412">
        <f ca="1">RANK(BW8,$BW$6:$BW$9)</f>
        <v>3</v>
      </c>
      <c r="BV8" s="412" t="str">
        <f ca="1">A7</f>
        <v>Hungría</v>
      </c>
      <c r="BW8" s="412">
        <f ca="1">IF(AK8=0,-($AW$15*VLOOKUP(AI8,Tabla3[[NombreEquipo]:[Rank]],3,FALSE)),AJ8*$AW$5+BA8+AQ8*$AW$12+AO8*$AW$13-($AW$15*VLOOKUP(AI8,Tabla3[[NombreEquipo]:[Rank]],3,FALSE)/100))</f>
        <v>140916169999.97</v>
      </c>
      <c r="BX8" s="412" t="str">
        <f ca="1">VLOOKUP(Q8,$AH$6:$AI$9,2,0)</f>
        <v>Hungría</v>
      </c>
      <c r="BY8" s="412">
        <f ca="1">VLOOKUP($BX8,$AI$6:$AR$9,10,FALSE)</f>
        <v>140916169999.97</v>
      </c>
      <c r="CC8" s="426">
        <f t="shared" ca="1" si="2"/>
        <v>3</v>
      </c>
      <c r="CD8" s="426" t="str">
        <f ca="1">A7</f>
        <v>Hungría</v>
      </c>
      <c r="CE8" s="426">
        <f ca="1">IF(AK8=0,-($AW$15*VLOOKUP(AI8,Tabla3[[NombreEquipo]:[Rank]],3,FALSE)),AJ8*$AW$5+BA8+AQ8*$AW$12+AO8*$AW$13-($AW$15*VLOOKUP(AI8,Tabla3[[NombreEquipo]:[Rank]],3,FALSE)/100))</f>
        <v>140916169999.97</v>
      </c>
      <c r="CF8" s="426">
        <f ca="1">IF(AK8=0,-($AW$15*VLOOKUP(AI8,Tabla3[[NombreEquipo]:[Rank]],3,FALSE)),AJ8*$AW$5+BA8+AQ8*$AW$12+AO8*$AW$13)</f>
        <v>140916170000</v>
      </c>
      <c r="CG8" s="426">
        <v>3</v>
      </c>
      <c r="CH8" s="426" t="str">
        <f t="shared" ca="1" si="3"/>
        <v>Hungría</v>
      </c>
      <c r="CI8" s="426">
        <f t="shared" ca="1" si="4"/>
        <v>140916170000</v>
      </c>
      <c r="CJ8" s="426">
        <f t="shared" ca="1" si="5"/>
        <v>1</v>
      </c>
      <c r="CM8" s="426">
        <v>3</v>
      </c>
      <c r="CN8" s="426">
        <f ca="1">HLOOKUP(CL6,$CW$4:$DD$9,5,0)</f>
        <v>3</v>
      </c>
      <c r="CV8" s="428">
        <v>3</v>
      </c>
      <c r="CW8" s="412">
        <v>1234</v>
      </c>
      <c r="CX8" s="412">
        <v>123</v>
      </c>
      <c r="CY8" s="412">
        <v>34</v>
      </c>
      <c r="CZ8" s="412">
        <v>3</v>
      </c>
      <c r="DA8" s="412">
        <v>234</v>
      </c>
      <c r="DB8" s="412">
        <v>23</v>
      </c>
      <c r="DC8" s="412">
        <v>34</v>
      </c>
      <c r="DD8" s="412">
        <v>3</v>
      </c>
      <c r="DG8" s="412">
        <v>4</v>
      </c>
      <c r="DH8" s="412"/>
      <c r="DI8" s="412"/>
      <c r="DJ8" s="412"/>
      <c r="DK8" s="412"/>
      <c r="DL8" s="412"/>
      <c r="DM8" s="412"/>
      <c r="DN8" s="412"/>
      <c r="DO8" s="412"/>
      <c r="DP8" s="412"/>
      <c r="EG8" s="430">
        <f ca="1">RANK(EH8,EH6:EH9,1)</f>
        <v>1</v>
      </c>
      <c r="EH8" s="426">
        <f ca="1">SUM(IF(AND(AJ8=AJ9,BC8=BC9,BI8=BI9,BO8=BO9),BG8,0),IF(AND(AJ8=AJ6,BC8=BC6,BI8=BI6,BO8=BO6),BD8,0),IF(AND(AJ8=AJ7,BC8=BC7,BI8=BI7,BO8=BO7),BE8,0))</f>
        <v>0</v>
      </c>
      <c r="EI8" s="430">
        <f ca="1">RANK(EJ8,EJ6:EJ9,1)</f>
        <v>1</v>
      </c>
      <c r="EJ8" s="426">
        <f ca="1">SUM(IF(AND(AJ8=AJ9,BC8=BC9,BI8=BI9,BO8=BO9),BM8,0),IF(AND(AJ8=AJ6,BC8=BC6,BI8=BI6,BO8=BO6),BJ8,0),IF(AND(AJ8=AJ7,BC8=BC7,BI8=BI7,BO8=BO7),BK8,0))</f>
        <v>0</v>
      </c>
      <c r="EK8" s="430">
        <f ca="1">RANK(EL8,EL6:EL9,1)</f>
        <v>3</v>
      </c>
      <c r="EL8" s="426">
        <f ca="1">SUM(IF(AND(AJ8=AJ9,BC8=BC9,BI8=BI9,BO8=BO9),BS8,0),IF(AND(AJ8=AJ6,BC8=BC6,BI8=BI6,BO8=BO6),BP8,0),IF(AND(AJ8=AJ7,BC8=BC7,BI8=BI7,BO8=BO7),BQ8,0))</f>
        <v>1</v>
      </c>
    </row>
    <row r="9" spans="1:142 5661:5661 8916:8916 13419:13419" ht="16.2" thickBot="1" x14ac:dyDescent="0.35">
      <c r="A9" s="187"/>
      <c r="B9" s="371"/>
      <c r="C9" s="187"/>
      <c r="D9" s="170"/>
      <c r="E9" s="770"/>
      <c r="F9" s="41">
        <f>Horarios!C9</f>
        <v>45466.875</v>
      </c>
      <c r="G9" s="42">
        <f>Horarios!C9</f>
        <v>45466.875</v>
      </c>
      <c r="H9" s="41" t="str">
        <f>$H$8</f>
        <v>J3</v>
      </c>
      <c r="I9" s="43" t="str">
        <f ca="1">A6</f>
        <v>Escocia</v>
      </c>
      <c r="J9" s="44" t="str">
        <f ca="1">VLOOKUP(I9,Equipos!$K$2:$M$56,3,0)</f>
        <v>🏴󠁧󠁢󠁳󠁣󠁴󠁿</v>
      </c>
      <c r="K9" s="45">
        <v>0</v>
      </c>
      <c r="L9" s="45">
        <v>0</v>
      </c>
      <c r="M9" s="46" t="str">
        <f ca="1">VLOOKUP(N9,Equipos!$K$2:$M$56,3,0)</f>
        <v>🇭🇺</v>
      </c>
      <c r="N9" s="47" t="str">
        <f ca="1">A7</f>
        <v>Hungría</v>
      </c>
      <c r="O9" s="98">
        <f t="shared" si="1"/>
        <v>1</v>
      </c>
      <c r="P9" s="95"/>
      <c r="Q9" s="122">
        <v>4</v>
      </c>
      <c r="R9" s="123" t="str">
        <f ca="1">VLOOKUP(Q9,$AG$6:$AI$9,3,0)</f>
        <v>Escocia</v>
      </c>
      <c r="S9" s="124">
        <f ca="1">VLOOKUP(R9,$AI$6:$AR$9,2,FALSE)</f>
        <v>1</v>
      </c>
      <c r="T9" s="124">
        <f ca="1">VLOOKUP($R9,$AI$6:$AR$9,3,FALSE)</f>
        <v>3</v>
      </c>
      <c r="U9" s="124">
        <f ca="1">VLOOKUP($R9,$AI$6:$AR$9,4,FALSE)</f>
        <v>0</v>
      </c>
      <c r="V9" s="124">
        <f ca="1">VLOOKUP($R9,$AI$6:$AR$9,5,FALSE)</f>
        <v>1</v>
      </c>
      <c r="W9" s="124">
        <f ca="1">VLOOKUP($R9,$AI$6:$AR$9,6,FALSE)</f>
        <v>2</v>
      </c>
      <c r="X9" s="124">
        <f ca="1">VLOOKUP($R9,$AI$6:$AR$9,7,FALSE)</f>
        <v>0</v>
      </c>
      <c r="Y9" s="124">
        <f ca="1">VLOOKUP($R9,$AI$6:$AR$9,8,FALSE)</f>
        <v>4</v>
      </c>
      <c r="Z9" s="125">
        <f ca="1">VLOOKUP($R9,$AI$6:$AR$9,9,FALSE)</f>
        <v>-4</v>
      </c>
      <c r="AA9" s="86">
        <f ca="1">IF(SUM($AK$6:$AK$9)=12,MIN(ABS(BY8-BY9),ABS(BY9-BY10)),100)</f>
        <v>9999.989990234375</v>
      </c>
      <c r="AB9" s="109" t="str">
        <f ca="1">IF(AND(AA9&gt;=0,AA9&lt;90),VLOOKUP(Q9,$BU$6:$BV$9,2,0),"")</f>
        <v/>
      </c>
      <c r="AC9" s="85"/>
      <c r="AD9" s="86"/>
      <c r="AE9" s="86"/>
      <c r="AF9" s="427"/>
      <c r="AG9" s="426">
        <f ca="1">RANK(AU9,$AU$6:$AU$9)</f>
        <v>2</v>
      </c>
      <c r="AH9" s="426">
        <f ca="1">RANK(AR9,$AR$6:$AR$9)</f>
        <v>2</v>
      </c>
      <c r="AI9" s="412" t="str">
        <f ca="1">A8</f>
        <v>Suiza</v>
      </c>
      <c r="AJ9" s="426">
        <f ca="1">AL9*3+AM9*1+AN9*0</f>
        <v>6</v>
      </c>
      <c r="AK9" s="426">
        <f ca="1">COUNTIFS($I$4:$I$49,AI9,$K$4:$K$49,"&lt;&gt;",$L$4:$L$49,"&lt;&gt;")+COUNTIFS($N$4:$N$49,AI9,$L$4:$L$49,"&lt;&gt;",$K$4:$K$49,"&lt;&gt;")</f>
        <v>3</v>
      </c>
      <c r="AL9" s="426">
        <f t="array" aca="1" ref="AL9" ca="1">SUM(($I$4:$I$49=AI9)*($K$4:$K$49&lt;&gt;"")*($L$4:$L$49&lt;&gt;"")*($K$4:$K$49&gt;$L$4:$L$49),($N$4:$N$49=AI9)*($K$4:$K$49&lt;&gt;"")*($L$4:$L$49&lt;&gt;"")*($K$4:$K$49&lt;$L$4:$L$49))</f>
        <v>2</v>
      </c>
      <c r="AM9" s="426">
        <f t="array" aca="1" ref="AM9" ca="1">SUM(($I$4:$I$49=AI9)*($K$4:$K$49&lt;&gt;"")*($L$4:$L$49&lt;&gt;"")*($K$4:$K$49=$L$4:$L$49),($N$4:$N$49=AI9)*($K$4:$K$49&lt;&gt;"")*($L$4:$L$49&lt;&gt;"")*($K$4:$K$49=$L$4:$L$49))</f>
        <v>0</v>
      </c>
      <c r="AN9" s="426">
        <f t="array" aca="1" ref="AN9" ca="1">SUM(($I$4:$I$49=AI9)*($L$4:$L$49&lt;&gt;"")*($K$4:$K$49&lt;&gt;"")*($K$4:$K$49&lt;$L$4:$L$49),($K$4:$K$49&lt;&gt;"")*($N$4:$N$49=AI9)*($L$4:$L$49&lt;&gt;"")*($K$4:$K$49&gt;$L$4:$L$49))</f>
        <v>1</v>
      </c>
      <c r="AO9" s="426">
        <f t="array" aca="1" ref="AO9" ca="1">SUMIFS($K$4:$K$49,$I$4:$I$49,AI9,$K$4:$K$49,"&lt;&gt;",$L$4:$L$49,"&lt;&gt;")+SUMIFS($L$4:$L$49,$N$4:$N$49,AI9,$K$4:$K$49,"&lt;&gt;",$L$4:$L$49,"&lt;&gt;")</f>
        <v>3</v>
      </c>
      <c r="AP9" s="426">
        <f t="array" aca="1" ref="AP9" ca="1">SUMIFS($K$4:$K$49,$N$4:$N$49,AI9,$K$4:$K$49,"&lt;&gt;",$L$4:$L$49,"&lt;&gt;")+SUMIFS($L$4:$L$49,$I$4:$I$49,AI9,$K$4:$K$49,"&lt;&gt;",$L$4:$L$49,"&lt;&gt;")</f>
        <v>2</v>
      </c>
      <c r="AQ9" s="426">
        <f ca="1">AO9-AP9</f>
        <v>1</v>
      </c>
      <c r="AR9" s="426">
        <f ca="1">IF(AK9=0,-($AW$15*VLOOKUP(AI9,Tabla3[[NombreEquipo]:[Rank]],3,FALSE)),AJ9*$AW$5+BA9+AQ9*$AW$12+AO9*$AW$13-($AW$15*VLOOKUP(AI9,Tabla3[[NombreEquipo]:[Rank]],3,FALSE)/100))</f>
        <v>834031211499.95996</v>
      </c>
      <c r="AS9" s="426">
        <f ca="1">AH9</f>
        <v>2</v>
      </c>
      <c r="AT9" s="426"/>
      <c r="AU9" s="426">
        <f ca="1">IFERROR(AR9-VLOOKUP(AI9,$AB$6:$AC$9,2,0),AR9)</f>
        <v>834031211499.95996</v>
      </c>
      <c r="AV9" s="426" t="s">
        <v>56</v>
      </c>
      <c r="AW9" s="429">
        <f>AW10*5</f>
        <v>5000000</v>
      </c>
      <c r="AX9" s="426"/>
      <c r="AY9" s="434" t="str">
        <f ca="1">AI9</f>
        <v>Suiza</v>
      </c>
      <c r="AZ9" s="426">
        <f ca="1">COUNTIF(AJ6:AJ9,AJ9)</f>
        <v>1</v>
      </c>
      <c r="BA9" s="426">
        <f ca="1">(BB9*$AW$8)+(BH9*$AW$7)+(BN9*$AW$6)+(EG9*$AW$11)+(EI9*$AW$10)+(EK9*$AW$9)</f>
        <v>781200000</v>
      </c>
      <c r="BB9" s="430">
        <f ca="1">RANK(BC9,BC6:BC9,1)</f>
        <v>1</v>
      </c>
      <c r="BC9" s="430">
        <f ca="1">SUM(IF(AND(AJ9=AJ6),BD9,0),IF(AND(AJ9=AJ7),BE9,0),IF(AND(AJ9=AJ8),BF9,0))</f>
        <v>0</v>
      </c>
      <c r="BD9" s="430">
        <f t="array" aca="1" ref="BD9" ca="1">SUMIFS($K$4:$K$9,$I$4:$I$9,$AY9,$K$4:$K$9,"&lt;&gt;",$L$4:$L$9,"&lt;&gt;",$N$4:$N$9,BD5)+SUMIFS($L$4:$L$9,$I$4:$I$9,BD5,$K$4:$K$9,"&lt;&gt;",$L$4:$L$9,"&lt;&gt;",$N$4:$N$9,$AY9)</f>
        <v>1</v>
      </c>
      <c r="BE9" s="430">
        <f t="array" aca="1" ref="BE9" ca="1">SUMIFS($K$4:$K$9,$I$4:$I$9,$AY9,$K$4:$K$9,"&lt;&gt;",$L$4:$L$9,"&lt;&gt;",$N$4:$N$9,BE5)+SUMIFS($L$4:$L$9,$I$4:$I$9,BE5,$K$4:$K$9,"&lt;&gt;",$L$4:$L$9,"&lt;&gt;",$N$4:$N$9,$AY9)</f>
        <v>1</v>
      </c>
      <c r="BF9" s="430">
        <f t="array" aca="1" ref="BF9" ca="1">SUMIFS($K$4:$K$9,$I$4:$I$9,$AY9,$K$4:$K$9,"&lt;&gt;",$L$4:$L$9,"&lt;&gt;",$N$4:$N$9,BF5)+SUMIFS($L$4:$L$9,$I$4:$I$9,BF5,$K$4:$K$9,"&lt;&gt;",$L$4:$L$9,"&lt;&gt;",$N$4:$N$9,$AY9)</f>
        <v>1</v>
      </c>
      <c r="BG9" s="430">
        <v>0</v>
      </c>
      <c r="BH9" s="430">
        <f ca="1">RANK(BI9,BI6:BI9,1)</f>
        <v>1</v>
      </c>
      <c r="BI9" s="430">
        <f ca="1">SUM(IF(AND(AJ9=AJ6),BJ9,0),IF(AND(AJ9=AJ7),BK9,0),IF(AND(AJ9=AJ8),BL9,0))</f>
        <v>0</v>
      </c>
      <c r="BJ9" s="430">
        <f ca="1">BD9-BG6</f>
        <v>-1</v>
      </c>
      <c r="BK9" s="430">
        <f ca="1">BE9-BG7</f>
        <v>1</v>
      </c>
      <c r="BL9" s="430">
        <f ca="1">BF9-BG8</f>
        <v>1</v>
      </c>
      <c r="BM9" s="430">
        <v>0</v>
      </c>
      <c r="BN9" s="430">
        <f ca="1">RANK(BO9,BO6:BO9,1)</f>
        <v>1</v>
      </c>
      <c r="BO9" s="430">
        <f ca="1">SUM(IF(AND(AJ9=AJ6),BP9,0),IF(AND(AJ9=AJ7),BQ9,0),IF(AND(AJ9=AJ8),BR9,0))</f>
        <v>0</v>
      </c>
      <c r="BP9" s="430">
        <f t="array" aca="1" ref="BP9" ca="1">SUM((I$4:I$49=AY9)*(N$4:N$49=BP5)*(K$4:K$49&lt;&gt;"")*(L$4:L$49&lt;&gt;"")*(K$4:K$49&gt;L$4:L$49)*3,(N$4:N$49=AY9)*(I$4:I$49=BP5)*(K$4:K$49&lt;&gt;"")*(L$4:L$49&lt;&gt;"")*(K$4:K$49=L$4:L$49)*1,(N$4:N$49=AY9)*(I$4:I$49=BP5)*(K$4:K$49&lt;&gt;"")*(L$4:L$49&lt;&gt;"")*(K$4:K$49&lt;L$4:L$49)*3,(I$4:I$49=AY9)*(N$4:N$49=BP5)*(K$4:K$49&lt;&gt;"")*(L$4:L$49&lt;&gt;"")*(K$4:K$49=L$4:L$49)*1)</f>
        <v>0</v>
      </c>
      <c r="BQ9" s="430">
        <f t="array" aca="1" ref="BQ9" ca="1">SUM((I$4:I$49=AY9)*(N$4:N$49=BQ5)*(K$4:K$49&lt;&gt;"")*(L$4:L$49&lt;&gt;"")*(K$4:K$49&gt;L$4:L$49)*3,(N$4:N$49=AY9)*(I$4:I$49=BQ5)*(K$4:K$49&lt;&gt;"")*(L$4:L$49&lt;&gt;"")*(K$4:K$49=L$4:L$49)*1,(N$4:N$49=AY9)*(I$4:I$49=BQ5)*(K$4:K$49&lt;&gt;"")*(L$4:L$49&lt;&gt;"")*(K$4:K$49&lt;L$4:L$49)*3,(I$4:I$49=AY9)*(N$4:N$49=BQ5)*(K$4:K$49&lt;&gt;"")*(L$4:L$49&lt;&gt;"")*(K$4:K$49=L$4:L$49)*1)</f>
        <v>3</v>
      </c>
      <c r="BR9" s="430">
        <f t="array" aca="1" ref="BR9" ca="1">SUM((I$4:I$49=AY9)*(N$4:N$49=BR5)*(K$4:K$49&lt;&gt;"")*(L$4:L$49&lt;&gt;"")*(K$4:K$49&gt;L$4:L$49)*3,(N$4:N$49=AY9)*(I$4:I$49=BR5)*(K$4:K$49&lt;&gt;"")*(L$4:L$49&lt;&gt;"")*(K$4:K$49=L$4:L$49)*1,(N$4:N$49=AY9)*(I$4:I$49=BR5)*(K$4:K$49&lt;&gt;"")*(L$4:L$49&lt;&gt;"")*(K$4:K$49&lt;L$4:L$49)*3,(I$4:I$49=AY9)*(N$4:N$49=BR5)*(K$4:K$49&lt;&gt;"")*(L$4:L$49&lt;&gt;"")*(K$4:K$49=L$4:L$49)*1)</f>
        <v>3</v>
      </c>
      <c r="BS9" s="430">
        <v>0</v>
      </c>
      <c r="BT9" s="412">
        <v>4</v>
      </c>
      <c r="BU9" s="412">
        <f ca="1">RANK(BW9,$BW$6:$BW$9)</f>
        <v>2</v>
      </c>
      <c r="BV9" s="412" t="str">
        <f ca="1">A8</f>
        <v>Suiza</v>
      </c>
      <c r="BW9" s="412">
        <f ca="1">IF(AK9=0,-($AW$15*VLOOKUP(AI9,Tabla3[[NombreEquipo]:[Rank]],3,FALSE)),AJ9*$AW$5+BA9+AQ9*$AW$12+AO9*$AW$13-($AW$15*VLOOKUP(AI9,Tabla3[[NombreEquipo]:[Rank]],3,FALSE)/100))</f>
        <v>834031211499.95996</v>
      </c>
      <c r="BX9" s="412" t="str">
        <f ca="1">VLOOKUP(Q9,$AH$6:$AI$9,2,0)</f>
        <v>Escocia</v>
      </c>
      <c r="BY9" s="412">
        <f ca="1">VLOOKUP($BX9,$AI$6:$AR$9,10,FALSE)</f>
        <v>140916159999.98001</v>
      </c>
      <c r="CC9" s="426">
        <f t="shared" ca="1" si="2"/>
        <v>2</v>
      </c>
      <c r="CD9" s="426" t="str">
        <f ca="1">A8</f>
        <v>Suiza</v>
      </c>
      <c r="CE9" s="426">
        <f ca="1">IF(AK9=0,-($AW$15*VLOOKUP(AI9,Tabla3[[NombreEquipo]:[Rank]],3,FALSE)),AJ9*$AW$5+BA9+AQ9*$AW$12+AO9*$AW$13-($AW$15*VLOOKUP(AI9,Tabla3[[NombreEquipo]:[Rank]],3,FALSE)/100))</f>
        <v>834031211499.95996</v>
      </c>
      <c r="CF9" s="426">
        <f ca="1">IF(AK9=0,-($AW$15*VLOOKUP(AI9,Tabla3[[NombreEquipo]:[Rank]],3,FALSE)),AJ9*$AW$5+BA9+AQ9*$AW$12+AO9*$AW$13)</f>
        <v>834031211500</v>
      </c>
      <c r="CG9" s="426">
        <v>4</v>
      </c>
      <c r="CH9" s="426" t="str">
        <f t="shared" ca="1" si="3"/>
        <v>Escocia</v>
      </c>
      <c r="CI9" s="426">
        <f t="shared" ca="1" si="4"/>
        <v>140916160000</v>
      </c>
      <c r="CJ9" s="426">
        <f t="shared" ca="1" si="5"/>
        <v>1</v>
      </c>
      <c r="CM9" s="426">
        <v>4</v>
      </c>
      <c r="CN9" s="426">
        <f ca="1">HLOOKUP(CL6,$CW$4:$DD$9,6,0)</f>
        <v>4</v>
      </c>
      <c r="CV9" s="428">
        <v>4</v>
      </c>
      <c r="CW9" s="412">
        <v>1234</v>
      </c>
      <c r="CX9" s="412">
        <v>4</v>
      </c>
      <c r="CY9" s="412">
        <v>34</v>
      </c>
      <c r="CZ9" s="412">
        <v>4</v>
      </c>
      <c r="DA9" s="412">
        <v>234</v>
      </c>
      <c r="DB9" s="412">
        <v>4</v>
      </c>
      <c r="DC9" s="412">
        <v>34</v>
      </c>
      <c r="DD9" s="412">
        <v>4</v>
      </c>
      <c r="DF9" s="426" t="s">
        <v>57</v>
      </c>
      <c r="DG9" s="426">
        <f>COUNT(DG5:DG8)</f>
        <v>4</v>
      </c>
      <c r="DH9" s="426">
        <f t="shared" ref="DH9:DP9" si="6">COUNT(DH5:DH8)</f>
        <v>3</v>
      </c>
      <c r="DI9" s="426">
        <f t="shared" si="6"/>
        <v>2</v>
      </c>
      <c r="DJ9" s="426">
        <f t="shared" si="6"/>
        <v>3</v>
      </c>
      <c r="DK9" s="426">
        <f t="shared" si="6"/>
        <v>2</v>
      </c>
      <c r="DL9" s="426">
        <f t="shared" si="6"/>
        <v>2</v>
      </c>
      <c r="DM9" s="426">
        <f t="shared" si="6"/>
        <v>1</v>
      </c>
      <c r="DN9" s="426">
        <f t="shared" si="6"/>
        <v>1</v>
      </c>
      <c r="DO9" s="426">
        <f t="shared" si="6"/>
        <v>1</v>
      </c>
      <c r="DP9" s="426">
        <f t="shared" si="6"/>
        <v>1</v>
      </c>
      <c r="EG9" s="430">
        <f ca="1">RANK(EH9,EH6:EH9,1)</f>
        <v>1</v>
      </c>
      <c r="EH9" s="426">
        <f ca="1">SUM(IF(AND(AJ9=AJ6,BC9=BC6,BI9=BI6,BO9=BO6),BD9,0),IF(AND(AJ9=AJ7,BC9=BC7,BI9=BI7,BO9=BO7),BE9,0),IF(AND(AJ9=AJ8,BC9=BC8,BI9=BI8,BO9=BO8),BF9,0))</f>
        <v>0</v>
      </c>
      <c r="EI9" s="430">
        <f ca="1">RANK(EJ9,EJ6:EJ9,1)</f>
        <v>1</v>
      </c>
      <c r="EJ9" s="426">
        <f ca="1">SUM(IF(AND(AJ9=AJ6,BC9=BC6,BI9=BI6,BO9=BO6),BJ9,0),IF(AND(AJ9=AJ7,BC9=BC7,BI9=BI7,BO9=BO7),BK9,0),IF(AND(AJ9=AJ8,BC9=BC8,BI9=BI8,BO9=BO8),BL9,0))</f>
        <v>0</v>
      </c>
      <c r="EK9" s="430">
        <f ca="1">RANK(EL9,EL6:EL9,1)</f>
        <v>1</v>
      </c>
      <c r="EL9" s="426">
        <f ca="1">SUM(IF(AND(AJ9=AJ6,BC9=BC6,BI9=BI6,BO9=BO6),BP9,0),IF(AND(AJ9=AJ7,BC9=BC7,BI9=BI7,BO9=BO7),BQ9,0),IF(AND(AJ9=AJ8,BC9=BC8,BI9=BI8,BO9=BO8),BR9,0))</f>
        <v>0</v>
      </c>
    </row>
    <row r="10" spans="1:142 5661:5661 8916:8916 13419:13419" ht="15.75" customHeight="1" x14ac:dyDescent="0.3">
      <c r="A10" s="187"/>
      <c r="B10" s="371"/>
      <c r="C10" s="187"/>
      <c r="D10" s="170"/>
      <c r="E10" s="90"/>
      <c r="F10" s="92"/>
      <c r="G10" s="90"/>
      <c r="H10" s="93"/>
      <c r="I10" s="94"/>
      <c r="J10" s="95"/>
      <c r="K10" s="95"/>
      <c r="L10" s="95"/>
      <c r="M10" s="95"/>
      <c r="N10" s="97"/>
      <c r="O10" s="98"/>
      <c r="P10" s="95"/>
      <c r="Q10" s="110"/>
      <c r="R10" s="111"/>
      <c r="S10" s="112"/>
      <c r="T10" s="110"/>
      <c r="U10" s="110"/>
      <c r="V10" s="110"/>
      <c r="W10" s="110"/>
      <c r="X10" s="110"/>
      <c r="Y10" s="110"/>
      <c r="Z10" s="110"/>
      <c r="AA10" s="86"/>
      <c r="AB10" s="86"/>
      <c r="AC10" s="86"/>
      <c r="AD10" s="86"/>
      <c r="AE10" s="86"/>
      <c r="AF10" s="427"/>
      <c r="AG10" s="426"/>
      <c r="AH10" s="426"/>
      <c r="AJ10" s="426"/>
      <c r="AK10" s="426"/>
      <c r="AL10" s="426"/>
      <c r="AM10" s="426"/>
      <c r="AN10" s="426"/>
      <c r="AO10" s="426"/>
      <c r="AP10" s="426"/>
      <c r="AQ10" s="426"/>
      <c r="AR10" s="426"/>
      <c r="AS10" s="426"/>
      <c r="AT10" s="426"/>
      <c r="AU10" s="426"/>
      <c r="AV10" s="426" t="s">
        <v>58</v>
      </c>
      <c r="AW10" s="429">
        <f>AW11*5</f>
        <v>1000000</v>
      </c>
      <c r="AX10" s="426"/>
      <c r="AY10" s="434"/>
      <c r="AZ10" s="426"/>
      <c r="BA10" s="426"/>
      <c r="BB10" s="430"/>
      <c r="BC10" s="430"/>
      <c r="BD10" s="430"/>
      <c r="BE10" s="430"/>
      <c r="BF10" s="430"/>
      <c r="BG10" s="430"/>
      <c r="BH10" s="430"/>
      <c r="BI10" s="430"/>
      <c r="BJ10" s="430"/>
      <c r="BK10" s="430"/>
      <c r="BL10" s="430"/>
      <c r="BM10" s="430"/>
      <c r="BN10" s="430"/>
      <c r="BO10" s="430"/>
      <c r="BP10" s="430"/>
      <c r="BQ10" s="430"/>
      <c r="BR10" s="430"/>
      <c r="BS10" s="430"/>
      <c r="EI10" s="430"/>
      <c r="EK10" s="430"/>
      <c r="SVC10" s="426" t="s">
        <v>16</v>
      </c>
    </row>
    <row r="11" spans="1:142 5661:5661 8916:8916 13419:13419" ht="15" thickBot="1" x14ac:dyDescent="0.35">
      <c r="A11" s="187"/>
      <c r="B11" s="371"/>
      <c r="C11" s="187"/>
      <c r="D11" s="78"/>
      <c r="E11" s="99"/>
      <c r="F11" s="96" t="str">
        <f>F3</f>
        <v>Fecha</v>
      </c>
      <c r="G11" s="96" t="str">
        <f t="shared" ref="G11:N11" si="7">G3</f>
        <v>Hora</v>
      </c>
      <c r="H11" s="100" t="str">
        <f t="shared" si="7"/>
        <v>Jor.</v>
      </c>
      <c r="I11" s="101" t="str">
        <f t="shared" si="7"/>
        <v>Casa</v>
      </c>
      <c r="J11" s="96"/>
      <c r="K11" s="102" t="str">
        <f t="shared" si="7"/>
        <v>Gol</v>
      </c>
      <c r="L11" s="102" t="str">
        <f t="shared" si="7"/>
        <v>Gol</v>
      </c>
      <c r="M11" s="102"/>
      <c r="N11" s="103" t="str">
        <f t="shared" si="7"/>
        <v>Fuera</v>
      </c>
      <c r="O11" s="81"/>
      <c r="P11" s="81"/>
      <c r="Q11" s="81"/>
      <c r="R11" s="81"/>
      <c r="S11" s="81"/>
      <c r="T11" s="81"/>
      <c r="U11" s="81"/>
      <c r="V11" s="81"/>
      <c r="W11" s="81"/>
      <c r="X11" s="81"/>
      <c r="Y11" s="81"/>
      <c r="Z11" s="81"/>
      <c r="AA11" s="82"/>
      <c r="AB11" s="82"/>
      <c r="AC11" s="82"/>
      <c r="AD11" s="82"/>
      <c r="AE11" s="83"/>
      <c r="AF11" s="427"/>
      <c r="AG11" s="426"/>
      <c r="AH11" s="426"/>
      <c r="AI11" s="426"/>
      <c r="AJ11" s="426"/>
      <c r="AK11" s="426"/>
      <c r="AL11" s="426"/>
      <c r="AM11" s="426"/>
      <c r="AN11" s="426"/>
      <c r="AO11" s="426"/>
      <c r="AP11" s="426"/>
      <c r="AQ11" s="426"/>
      <c r="AR11" s="426"/>
      <c r="AS11" s="426"/>
      <c r="AT11" s="426"/>
      <c r="AU11" s="426"/>
      <c r="AV11" s="426" t="s">
        <v>59</v>
      </c>
      <c r="AW11" s="429">
        <f>AW12*20</f>
        <v>200000</v>
      </c>
      <c r="AX11" s="426"/>
      <c r="AY11" s="426"/>
      <c r="AZ11" s="426"/>
      <c r="BA11" s="426"/>
      <c r="BB11" s="426"/>
      <c r="BC11" s="426"/>
      <c r="BD11" s="426"/>
      <c r="BE11" s="426"/>
      <c r="BF11" s="426"/>
      <c r="BG11" s="426"/>
      <c r="BH11" s="426"/>
      <c r="BI11" s="426"/>
      <c r="BJ11" s="426"/>
      <c r="BK11" s="426"/>
      <c r="BL11" s="426"/>
      <c r="BM11" s="426"/>
      <c r="BN11" s="426"/>
      <c r="BO11" s="426"/>
      <c r="BP11" s="426"/>
      <c r="BQ11" s="426"/>
      <c r="BR11" s="426"/>
      <c r="BS11" s="426"/>
      <c r="BT11" s="426"/>
      <c r="BU11" s="426"/>
      <c r="BV11" s="426"/>
      <c r="BW11" s="426"/>
      <c r="BX11" s="426"/>
      <c r="BY11" s="426"/>
      <c r="BZ11" s="426"/>
      <c r="CA11" s="427"/>
      <c r="CB11" s="427"/>
      <c r="DA11" s="412"/>
      <c r="DB11" s="412"/>
      <c r="DC11" s="412"/>
      <c r="DD11" s="412"/>
      <c r="DE11" s="412"/>
      <c r="DF11" s="412"/>
      <c r="DG11" s="412"/>
      <c r="DH11" s="412"/>
      <c r="DI11" s="412"/>
      <c r="DJ11" s="412"/>
    </row>
    <row r="12" spans="1:142 5661:5661 8916:8916 13419:13419" ht="15" customHeight="1" x14ac:dyDescent="0.3">
      <c r="A12" s="370" t="s">
        <v>17</v>
      </c>
      <c r="B12" s="371" t="s">
        <v>60</v>
      </c>
      <c r="C12" s="372">
        <f>COUNTIF(Equipos!$C$2:$C$25,EURO2024!B12)</f>
        <v>4</v>
      </c>
      <c r="D12" s="170"/>
      <c r="E12" s="771" t="s">
        <v>60</v>
      </c>
      <c r="F12" s="48">
        <f>Horarios!C12</f>
        <v>45458.75</v>
      </c>
      <c r="G12" s="49">
        <f>Horarios!C12</f>
        <v>45458.75</v>
      </c>
      <c r="H12" s="48" t="str">
        <f>$H$4</f>
        <v>J1</v>
      </c>
      <c r="I12" s="50" t="str">
        <f ca="1">A13</f>
        <v>España</v>
      </c>
      <c r="J12" s="51" t="str">
        <f ca="1">VLOOKUP(I12,Equipos!$K$2:$M$56,3,0)</f>
        <v>🇪🇸</v>
      </c>
      <c r="K12" s="52">
        <v>0</v>
      </c>
      <c r="L12" s="52">
        <v>1</v>
      </c>
      <c r="M12" s="53" t="str">
        <f ca="1">VLOOKUP(N12,Equipos!$K$2:$M$56,3,0)</f>
        <v>🇭🇷</v>
      </c>
      <c r="N12" s="54" t="str">
        <f ca="1">A14</f>
        <v>Croacia</v>
      </c>
      <c r="O12" s="98">
        <f>IF(NOT(OR(ISBLANK(K12),ISBLANK(L12))),1,0)</f>
        <v>1</v>
      </c>
      <c r="P12" s="95"/>
      <c r="Q12" s="133" t="str">
        <f>CONCATENATE(Q3," ",B12)</f>
        <v>Grupo B</v>
      </c>
      <c r="R12" s="134"/>
      <c r="S12" s="134"/>
      <c r="T12" s="134"/>
      <c r="U12" s="134"/>
      <c r="V12" s="134"/>
      <c r="W12" s="134"/>
      <c r="X12" s="134"/>
      <c r="Y12" s="134"/>
      <c r="Z12" s="135"/>
      <c r="AA12" s="108"/>
      <c r="AB12" s="767" t="str">
        <f ca="1">IF($AA$13&gt;0,AB3,"")</f>
        <v/>
      </c>
      <c r="AC12" s="767"/>
      <c r="AD12" s="767"/>
      <c r="AE12" s="83"/>
      <c r="AF12" s="427"/>
      <c r="AG12" s="426"/>
      <c r="AH12" s="426" t="str">
        <f>CONCATENATE("Auxiliar - ",Q12)</f>
        <v>Auxiliar - Grupo B</v>
      </c>
      <c r="AI12" s="426"/>
      <c r="AJ12" s="426"/>
      <c r="AK12" s="426"/>
      <c r="AL12" s="426"/>
      <c r="AM12" s="426"/>
      <c r="AN12" s="426"/>
      <c r="AO12" s="426"/>
      <c r="AP12" s="426"/>
      <c r="AQ12" s="426"/>
      <c r="AR12" s="426"/>
      <c r="AS12" s="426"/>
      <c r="AT12" s="426"/>
      <c r="AU12" s="426" t="s">
        <v>19</v>
      </c>
      <c r="AV12" s="426" t="s">
        <v>61</v>
      </c>
      <c r="AW12" s="429">
        <f>AW13*20</f>
        <v>10000</v>
      </c>
      <c r="AX12" s="426"/>
      <c r="AY12" s="427" t="str">
        <f>CONCATENATE(Q12," - GOLAVERAGE")</f>
        <v>Grupo B - GOLAVERAGE</v>
      </c>
      <c r="AZ12" s="426"/>
      <c r="BA12" s="426"/>
      <c r="BB12" s="426" t="s">
        <v>21</v>
      </c>
      <c r="BC12" s="426"/>
      <c r="BD12" s="426"/>
      <c r="BE12" s="426"/>
      <c r="BF12" s="426"/>
      <c r="BG12" s="426"/>
      <c r="BH12" s="763" t="s">
        <v>22</v>
      </c>
      <c r="BI12" s="763"/>
      <c r="BJ12" s="763"/>
      <c r="BK12" s="763"/>
      <c r="BL12" s="763"/>
      <c r="BM12" s="763"/>
      <c r="BN12" s="430"/>
      <c r="BO12" s="430"/>
      <c r="BP12" s="430"/>
      <c r="BQ12" s="430"/>
      <c r="BR12" s="430"/>
      <c r="BS12" s="430"/>
      <c r="DA12" s="412"/>
      <c r="DB12" s="412"/>
      <c r="DC12" s="412"/>
      <c r="DD12" s="412"/>
      <c r="DE12" s="412"/>
      <c r="DF12" s="412"/>
      <c r="DG12" s="412"/>
      <c r="DH12" s="412"/>
      <c r="DI12" s="412"/>
      <c r="DJ12" s="412"/>
      <c r="EI12" s="426" t="s">
        <v>22</v>
      </c>
      <c r="EK12" s="430"/>
    </row>
    <row r="13" spans="1:142 5661:5661 8916:8916 13419:13419" ht="15" thickBot="1" x14ac:dyDescent="0.35">
      <c r="A13" s="370" t="str">
        <f t="array" aca="1" ref="A13" ca="1">IF(ROWS(A$13:A13)&lt;=$C$12,INDEX(INDIRECT(A$12),SMALL(IF(Nivell=$B$12,ROW(Nivell)-ROW(Equipos!$C$2)+1),ROWS(B$12:B12))),"")</f>
        <v>España</v>
      </c>
      <c r="B13" s="371"/>
      <c r="C13" s="371"/>
      <c r="D13" s="170"/>
      <c r="E13" s="772"/>
      <c r="F13" s="21">
        <f>Horarios!C13</f>
        <v>45458.875</v>
      </c>
      <c r="G13" s="22">
        <f>Horarios!C13</f>
        <v>45458.875</v>
      </c>
      <c r="H13" s="21" t="str">
        <f>$H$4</f>
        <v>J1</v>
      </c>
      <c r="I13" s="23" t="str">
        <f ca="1">A15</f>
        <v>Italia</v>
      </c>
      <c r="J13" s="24" t="str">
        <f ca="1">VLOOKUP(I13,Equipos!$K$2:$M$56,3,0)</f>
        <v>🇮🇹</v>
      </c>
      <c r="K13" s="25">
        <v>2</v>
      </c>
      <c r="L13" s="25">
        <v>0</v>
      </c>
      <c r="M13" s="32" t="str">
        <f ca="1">VLOOKUP(N13,Equipos!$K$2:$M$56,3,0)</f>
        <v>🇦🇱</v>
      </c>
      <c r="N13" s="55" t="str">
        <f ca="1">A16</f>
        <v>Albania</v>
      </c>
      <c r="O13" s="98">
        <f t="shared" ref="O13:O17" si="8">IF(NOT(OR(ISBLANK(K13),ISBLANK(L13))),1,0)</f>
        <v>1</v>
      </c>
      <c r="P13" s="95"/>
      <c r="Q13" s="136" t="str">
        <f>Q5</f>
        <v>Pos</v>
      </c>
      <c r="R13" s="137" t="str">
        <f>R5</f>
        <v>Selección</v>
      </c>
      <c r="S13" s="138" t="str">
        <f>S5</f>
        <v>Pts</v>
      </c>
      <c r="T13" s="138" t="str">
        <f>T5</f>
        <v>J</v>
      </c>
      <c r="U13" s="138" t="str">
        <f t="shared" ref="U13:Y13" si="9">U5</f>
        <v>G</v>
      </c>
      <c r="V13" s="138" t="str">
        <f t="shared" si="9"/>
        <v>E</v>
      </c>
      <c r="W13" s="138" t="str">
        <f t="shared" si="9"/>
        <v>P</v>
      </c>
      <c r="X13" s="138" t="str">
        <f t="shared" si="9"/>
        <v>GF</v>
      </c>
      <c r="Y13" s="138" t="str">
        <f t="shared" si="9"/>
        <v>GC</v>
      </c>
      <c r="Z13" s="139" t="str">
        <f>Z5</f>
        <v>DG</v>
      </c>
      <c r="AA13" s="108">
        <f ca="1">COUNTIF(AA14:AA17,"&lt;100")</f>
        <v>0</v>
      </c>
      <c r="AB13" s="767"/>
      <c r="AC13" s="767"/>
      <c r="AD13" s="767"/>
      <c r="AE13" s="83"/>
      <c r="AF13" s="427"/>
      <c r="AG13" s="431" t="s">
        <v>19</v>
      </c>
      <c r="AH13" s="431" t="s">
        <v>25</v>
      </c>
      <c r="AI13" s="431" t="s">
        <v>26</v>
      </c>
      <c r="AJ13" s="431" t="s">
        <v>27</v>
      </c>
      <c r="AK13" s="431" t="s">
        <v>28</v>
      </c>
      <c r="AL13" s="431" t="s">
        <v>29</v>
      </c>
      <c r="AM13" s="431" t="s">
        <v>30</v>
      </c>
      <c r="AN13" s="431" t="s">
        <v>31</v>
      </c>
      <c r="AO13" s="431" t="s">
        <v>32</v>
      </c>
      <c r="AP13" s="431" t="s">
        <v>33</v>
      </c>
      <c r="AQ13" s="431" t="s">
        <v>34</v>
      </c>
      <c r="AR13" s="431" t="s">
        <v>35</v>
      </c>
      <c r="AS13" s="431" t="s">
        <v>25</v>
      </c>
      <c r="AT13" s="426"/>
      <c r="AU13" s="426"/>
      <c r="AV13" s="426" t="s">
        <v>62</v>
      </c>
      <c r="AW13" s="429">
        <f>AW14*5</f>
        <v>500</v>
      </c>
      <c r="AX13" s="426"/>
      <c r="AY13" s="431" t="s">
        <v>26</v>
      </c>
      <c r="AZ13" s="431" t="s">
        <v>37</v>
      </c>
      <c r="BA13" s="431" t="s">
        <v>38</v>
      </c>
      <c r="BB13" s="431" t="s">
        <v>39</v>
      </c>
      <c r="BC13" s="431" t="s">
        <v>40</v>
      </c>
      <c r="BD13" s="431" t="str">
        <f ca="1">AY14</f>
        <v>España</v>
      </c>
      <c r="BE13" s="431" t="str">
        <f ca="1">AY15</f>
        <v>Croacia</v>
      </c>
      <c r="BF13" s="431" t="str">
        <f ca="1">AY16</f>
        <v>Italia</v>
      </c>
      <c r="BG13" s="431" t="str">
        <f ca="1">AY17</f>
        <v>Albania</v>
      </c>
      <c r="BH13" s="431" t="s">
        <v>39</v>
      </c>
      <c r="BI13" s="431" t="s">
        <v>40</v>
      </c>
      <c r="BJ13" s="431" t="str">
        <f ca="1">BD13</f>
        <v>España</v>
      </c>
      <c r="BK13" s="431" t="str">
        <f ca="1">BE13</f>
        <v>Croacia</v>
      </c>
      <c r="BL13" s="431" t="str">
        <f ca="1">BF13</f>
        <v>Italia</v>
      </c>
      <c r="BM13" s="431" t="str">
        <f ca="1">BG13</f>
        <v>Albania</v>
      </c>
      <c r="BN13" s="431" t="s">
        <v>39</v>
      </c>
      <c r="BO13" s="431" t="s">
        <v>40</v>
      </c>
      <c r="BP13" s="431" t="str">
        <f ca="1">BD13</f>
        <v>España</v>
      </c>
      <c r="BQ13" s="431" t="str">
        <f ca="1">BE13</f>
        <v>Croacia</v>
      </c>
      <c r="BR13" s="431" t="str">
        <f ca="1">BF13</f>
        <v>Italia</v>
      </c>
      <c r="BS13" s="431" t="str">
        <f ca="1">BG13</f>
        <v>Albania</v>
      </c>
      <c r="BU13" s="432"/>
      <c r="BV13" s="432" t="s">
        <v>41</v>
      </c>
      <c r="BW13" s="432"/>
      <c r="BX13" s="432" t="s">
        <v>43</v>
      </c>
      <c r="BY13" s="432"/>
      <c r="CC13" s="432" t="s">
        <v>44</v>
      </c>
      <c r="CD13" s="434" t="s">
        <v>63</v>
      </c>
      <c r="CE13" s="431" t="s">
        <v>46</v>
      </c>
      <c r="CF13" s="431" t="s">
        <v>47</v>
      </c>
      <c r="CG13" s="432" t="s">
        <v>48</v>
      </c>
      <c r="CH13" s="431" t="s">
        <v>49</v>
      </c>
      <c r="CI13" s="431"/>
      <c r="CJ13" s="431"/>
      <c r="CK13" s="431"/>
      <c r="CL13" s="431"/>
      <c r="CM13" s="431"/>
      <c r="CN13" s="431"/>
      <c r="CP13" s="426">
        <v>1</v>
      </c>
      <c r="CQ13" s="426">
        <v>2</v>
      </c>
      <c r="CR13" s="426">
        <v>3</v>
      </c>
      <c r="CS13" s="426">
        <v>4</v>
      </c>
      <c r="DA13" s="412"/>
      <c r="DB13" s="412"/>
      <c r="DC13" s="412"/>
      <c r="DD13" s="412"/>
      <c r="DE13" s="412"/>
      <c r="DF13" s="412"/>
      <c r="DG13" s="412"/>
      <c r="DH13" s="412"/>
      <c r="DI13" s="412"/>
      <c r="DJ13" s="412"/>
      <c r="EG13" s="431" t="s">
        <v>39</v>
      </c>
      <c r="EI13" s="431" t="s">
        <v>39</v>
      </c>
      <c r="EK13" s="431" t="s">
        <v>39</v>
      </c>
    </row>
    <row r="14" spans="1:142 5661:5661 8916:8916 13419:13419" x14ac:dyDescent="0.3">
      <c r="A14" s="370" t="str">
        <f t="array" aca="1" ref="A14" ca="1">IF(ROWS(A$13:A14)&lt;=$C$12,INDEX(INDIRECT(A$12),SMALL(IF(Nivell=$B$12,ROW(Nivell)-ROW(Equipos!$C$2)+1),ROWS(B$12:B13))),"")</f>
        <v>Croacia</v>
      </c>
      <c r="B14" s="371"/>
      <c r="C14" s="373"/>
      <c r="D14" s="170"/>
      <c r="E14" s="772"/>
      <c r="F14" s="21">
        <f>Horarios!C14</f>
        <v>45462.625</v>
      </c>
      <c r="G14" s="22">
        <f>Horarios!C14</f>
        <v>45462.625</v>
      </c>
      <c r="H14" s="21" t="str">
        <f>$H$6</f>
        <v>J2</v>
      </c>
      <c r="I14" s="23" t="str">
        <f ca="1">A14</f>
        <v>Croacia</v>
      </c>
      <c r="J14" s="24" t="str">
        <f ca="1">VLOOKUP(I14,Equipos!$K$2:$M$56,3,0)</f>
        <v>🇭🇷</v>
      </c>
      <c r="K14" s="25">
        <v>2</v>
      </c>
      <c r="L14" s="25">
        <v>1</v>
      </c>
      <c r="M14" s="32" t="str">
        <f ca="1">VLOOKUP(N14,Equipos!$K$2:$M$56,3,0)</f>
        <v>🇦🇱</v>
      </c>
      <c r="N14" s="55" t="str">
        <f ca="1">A16</f>
        <v>Albania</v>
      </c>
      <c r="O14" s="98">
        <f t="shared" si="8"/>
        <v>1</v>
      </c>
      <c r="P14" s="95"/>
      <c r="Q14" s="140">
        <v>1</v>
      </c>
      <c r="R14" s="141" t="str">
        <f ca="1">VLOOKUP(Q14,$AG$14:$AI$17,3,0)</f>
        <v>Croacia</v>
      </c>
      <c r="S14" s="142">
        <f ca="1">VLOOKUP(R14,$AI$14:$AR$17,2,FALSE)</f>
        <v>9</v>
      </c>
      <c r="T14" s="142">
        <f ca="1">VLOOKUP($R14,$AI$14:$AR$17,3,FALSE)</f>
        <v>3</v>
      </c>
      <c r="U14" s="142">
        <f ca="1">VLOOKUP($R14,$AI$14:$AR$17,4,FALSE)</f>
        <v>3</v>
      </c>
      <c r="V14" s="142">
        <f ca="1">VLOOKUP($R14,$AI$14:$AR$17,5,FALSE)</f>
        <v>0</v>
      </c>
      <c r="W14" s="142">
        <f ca="1">VLOOKUP($R14,$AI$14:$AR$17,6,FALSE)</f>
        <v>0</v>
      </c>
      <c r="X14" s="142">
        <f ca="1">VLOOKUP($R14,$AI$14:$AR$17,7,FALSE)</f>
        <v>5</v>
      </c>
      <c r="Y14" s="142">
        <f ca="1">VLOOKUP($R14,$AI$14:$AR$17,8,FALSE)</f>
        <v>2</v>
      </c>
      <c r="Z14" s="143">
        <f ca="1">VLOOKUP($R14,$AI$14:$AR$17,9,FALSE)</f>
        <v>3</v>
      </c>
      <c r="AA14" s="86">
        <f ca="1">IF(SUM($AK$14:$AK$17)=12,MIN(ABS(BY13-BY14),ABS(BY14-BY15)),100)</f>
        <v>694375020500.00989</v>
      </c>
      <c r="AB14" s="109" t="str">
        <f ca="1">IF(AND(AA14&gt;=0,AA14&lt;90),VLOOKUP(Q14,$BU$14:$BV$17,2,0),"")</f>
        <v/>
      </c>
      <c r="AC14" s="85"/>
      <c r="AD14" s="86"/>
      <c r="AE14" s="83"/>
      <c r="AF14" s="427"/>
      <c r="AG14" s="426">
        <f ca="1">RANK(AU14,$AU$14:$AU$17)</f>
        <v>3</v>
      </c>
      <c r="AH14" s="426">
        <f ca="1">RANK(AR14,$AR$14:$AR$17)</f>
        <v>3</v>
      </c>
      <c r="AI14" s="412" t="str">
        <f ca="1">A13</f>
        <v>España</v>
      </c>
      <c r="AJ14" s="426">
        <f ca="1">AL14*3+AM14*1+AN14*0</f>
        <v>2</v>
      </c>
      <c r="AK14" s="426">
        <f ca="1">COUNTIFS($I$4:$I$49,AI14,$K$4:$K$49,"&lt;&gt;",$L$4:$L$49,"&lt;&gt;")+COUNTIFS($N$4:$N$49,AI14,$L$4:$L$49,"&lt;&gt;",$K$4:$K$49,"&lt;&gt;")</f>
        <v>3</v>
      </c>
      <c r="AL14" s="426">
        <f t="array" aca="1" ref="AL14" ca="1">SUM(($I$4:$I$49=AI14)*($K$4:$K$49&lt;&gt;"")*($L$4:$L$49&lt;&gt;"")*($K$4:$K$49&gt;$L$4:$L$49),($N$4:$N$49=AI14)*($K$4:$K$49&lt;&gt;"")*($L$4:$L$49&lt;&gt;"")*($K$4:$K$49&lt;$L$4:$L$49))</f>
        <v>0</v>
      </c>
      <c r="AM14" s="426">
        <f t="array" aca="1" ref="AM14" ca="1">SUM(($I$4:$I$49=AI14)*($K$4:$K$49&lt;&gt;"")*($L$4:$L$49&lt;&gt;"")*($K$4:$K$49=$L$4:$L$49),($N$4:$N$49=AI14)*($K$4:$K$49&lt;&gt;"")*($L$4:$L$49&lt;&gt;"")*($K$4:$K$49=$L$4:$L$49))</f>
        <v>2</v>
      </c>
      <c r="AN14" s="426">
        <f t="array" aca="1" ref="AN14" ca="1">SUM(($I$4:$I$49=AI14)*($L$4:$L$49&lt;&gt;"")*($K$4:$K$49&lt;&gt;"")*($K$4:$K$49&lt;$L$4:$L$49),($K$4:$K$49&lt;&gt;"")*($N$4:$N$49=AI14)*($L$4:$L$49&lt;&gt;"")*($K$4:$K$49&gt;$L$4:$L$49))</f>
        <v>1</v>
      </c>
      <c r="AO14" s="426">
        <f t="array" aca="1" ref="AO14" ca="1">SUMIFS($K$4:$K$49,$I$4:$I$49,AI14,$K$4:$K$49,"&lt;&gt;",$L$4:$L$49,"&lt;&gt;")+SUMIFS($L$4:$L$49,$N$4:$N$49,AI14,$K$4:$K$49,"&lt;&gt;",$L$4:$L$49,"&lt;&gt;")</f>
        <v>2</v>
      </c>
      <c r="AP14" s="426">
        <f t="array" aca="1" ref="AP14" ca="1">SUMIFS($K$4:$K$49,$N$4:$N$49,AI14,$K$4:$K$49,"&lt;&gt;",$L$4:$L$49,"&lt;&gt;")+SUMIFS($L$4:$L$49,$I$4:$I$49,AI14,$K$4:$K$49,"&lt;&gt;",$L$4:$L$49,"&lt;&gt;")</f>
        <v>3</v>
      </c>
      <c r="AQ14" s="426">
        <f ca="1">AO14-AP14</f>
        <v>-1</v>
      </c>
      <c r="AR14" s="426">
        <f ca="1">IF(AK14=0,-($AW$15*VLOOKUP(AI14,Tabla3[[NombreEquipo]:[Rank]],3,FALSE)),AJ14*$AW$5+BA14+AQ14*$AW$12+AO14*$AW$13-($AW$15*VLOOKUP(AI14,Tabla3[[NombreEquipo]:[Rank]],3,FALSE)/100))</f>
        <v>278531190999.95001</v>
      </c>
      <c r="AS14" s="426">
        <f ca="1">AH14</f>
        <v>3</v>
      </c>
      <c r="AT14" s="426"/>
      <c r="AU14" s="426">
        <f ca="1">IFERROR(AR14-VLOOKUP(AI14,$AB$14:$AC$17,2,0),AR14)</f>
        <v>278531190999.95001</v>
      </c>
      <c r="AV14" s="426" t="s">
        <v>64</v>
      </c>
      <c r="AW14" s="429">
        <v>100</v>
      </c>
      <c r="AX14" s="426"/>
      <c r="AY14" s="434" t="str">
        <f ca="1">AI14</f>
        <v>España</v>
      </c>
      <c r="AZ14" s="426">
        <f ca="1">COUNTIF(AJ14:AJ17,AJ14)</f>
        <v>1</v>
      </c>
      <c r="BA14" s="426">
        <f ca="1">(BB14*$AW$8)+(BH14*$AW$7)+(BN14*$AW$6)+(EG14*$AW$11)+(EI14*$AW$10)+(EK14*$AW$9)</f>
        <v>781200000</v>
      </c>
      <c r="BB14" s="430">
        <f ca="1">RANK(BC14,BC14:BC17,1)</f>
        <v>1</v>
      </c>
      <c r="BC14" s="430">
        <f ca="1">SUM(IF(AND(AJ14=AJ15),BE14,0),IF(AND(AJ14=AJ16),BF14,0),IF(AND(AJ14=AJ17),BG14,0))</f>
        <v>0</v>
      </c>
      <c r="BD14" s="430">
        <v>0</v>
      </c>
      <c r="BE14" s="430">
        <f t="array" aca="1" ref="BE14" ca="1">SUMIFS($K$12:$K$17,$I$12:$I$17,$AY14,$K$12:$K$17,"&lt;&gt;",$L$12:$L$17,"&lt;&gt;",$N$12:$N$17,BE13)+SUMIFS($L$12:$L$17,$I$12:$I$17,BE13,$K$12:$K$17,"&lt;&gt;",$L$12:$L$17,"&lt;&gt;",$N$12:$N$17,$AY14)</f>
        <v>0</v>
      </c>
      <c r="BF14" s="430">
        <f t="array" aca="1" ref="BF14" ca="1">SUMIFS($K$12:$K$17,$I$12:$I$17,$AY14,$K$12:$K$17,"&lt;&gt;",$L$12:$L$17,"&lt;&gt;",$N$12:$N$17,BF13)+SUMIFS($L$12:$L$17,$I$12:$I$17,BF13,$K$12:$K$17,"&lt;&gt;",$L$12:$L$17,"&lt;&gt;",$N$12:$N$17,$AY14)</f>
        <v>1</v>
      </c>
      <c r="BG14" s="430">
        <f t="array" aca="1" ref="BG14" ca="1">SUMIFS($K$12:$K$17,$I$12:$I$17,$AY14,$K$12:$K$17,"&lt;&gt;",$L$12:$L$17,"&lt;&gt;",$N$12:$N$17,BG13)+SUMIFS($L$12:$L$17,$I$12:$I$17,BG13,$K$12:$K$17,"&lt;&gt;",$L$12:$L$17,"&lt;&gt;",$N$12:$N$17,$AY14)</f>
        <v>1</v>
      </c>
      <c r="BH14" s="430">
        <f ca="1">RANK(BI14,BI14:BI17,1)</f>
        <v>1</v>
      </c>
      <c r="BI14" s="430">
        <f ca="1">SUM(IF(AND(AJ14=AJ15),BK14,0),IF(AND(AJ14=AJ16),BL14,0),IF(AND(AJ14=AJ17),BM14,0))</f>
        <v>0</v>
      </c>
      <c r="BJ14" s="430">
        <v>0</v>
      </c>
      <c r="BK14" s="430">
        <f ca="1">BE14-BD15</f>
        <v>-1</v>
      </c>
      <c r="BL14" s="430">
        <f ca="1">BF14-BD16</f>
        <v>0</v>
      </c>
      <c r="BM14" s="430">
        <f ca="1">BG14-BD17</f>
        <v>0</v>
      </c>
      <c r="BN14" s="430">
        <f ca="1">RANK(BO14,BO14:BO17,1)</f>
        <v>1</v>
      </c>
      <c r="BO14" s="430">
        <f ca="1">SUM(IF(AND(AJ14=AJ15),BQ14,0),IF(AND(AJ14=AJ16),BR14,0),IF(AND(AJ14=AJ17),BS14,0))</f>
        <v>0</v>
      </c>
      <c r="BP14" s="430">
        <v>0</v>
      </c>
      <c r="BQ14" s="430">
        <f t="array" aca="1" ref="BQ14" ca="1">SUM((I$4:I$49=AY14)*(N$4:N$49=BQ13)*(K$4:K$49&lt;&gt;"")*(L$4:L$49&lt;&gt;"")*(K$4:K$49&gt;L$4:L$49)*3,(N$4:N$49=AY14)*(I$4:I$49=BQ13)*(K$4:K$49&lt;&gt;"")*(L$4:L$49&lt;&gt;"")*(K$4:K$49=L$4:L$49)*1,(N$4:N$49=AY14)*(I$4:I$49=BQ13)*(K$4:K$49&lt;&gt;"")*(L$4:L$49&lt;&gt;"")*(K$4:K$49&lt;L$4:L$49)*3,(I$4:I$49=AY14)*(N$4:N$49=BQ13)*(K$4:K$49&lt;&gt;"")*(L$4:L$49&lt;&gt;"")*(K$4:K$49=L$4:L$49)*1)</f>
        <v>0</v>
      </c>
      <c r="BR14" s="430">
        <f t="array" aca="1" ref="BR14" ca="1">SUM((I$4:I$49=AY14)*(N$4:N$49=BR13)*(K$4:K$49&lt;&gt;"")*(L$4:L$49&lt;&gt;"")*(K$4:K$49&gt;L$4:L$49)*3,(N$4:N$49=AY14)*(I$4:I$49=BR13)*(K$4:K$49&lt;&gt;"")*(L$4:L$49&lt;&gt;"")*(K$4:K$49=L$4:L$49)*1,(N$4:N$49=AY14)*(I$4:I$49=BR13)*(K$4:K$49&lt;&gt;"")*(L$4:L$49&lt;&gt;"")*(K$4:K$49&lt;L$4:L$49)*3,(I$4:I$49=AY14)*(N$4:N$49=BR13)*(K$4:K$49&lt;&gt;"")*(L$4:L$49&lt;&gt;"")*(K$4:K$49=L$4:L$49)*1)</f>
        <v>1</v>
      </c>
      <c r="BS14" s="430">
        <f t="array" aca="1" ref="BS14" ca="1">SUM((I$4:I$49=AY14)*(N$4:N$49=BS13)*(K$4:K$49&lt;&gt;"")*(L$4:L$49&lt;&gt;"")*(K$4:K$49&gt;L$4:L$49)*3,(N$4:N$49=AY14)*(I$4:I$49=BS13)*(K$4:K$49&lt;&gt;"")*(L$4:L$49&lt;&gt;"")*(K$4:K$49=L$4:L$49)*1,(N$4:N$49=AY14)*(I$4:I$49=BS13)*(K$4:K$49&lt;&gt;"")*(L$4:L$49&lt;&gt;"")*(K$4:K$49&lt;L$4:L$49)*3,(I$4:I$49=AY14)*(N$4:N$49=BS13)*(K$4:K$49&lt;&gt;"")*(L$4:L$49&lt;&gt;"")*(K$4:K$49=L$4:L$49)*1)</f>
        <v>1</v>
      </c>
      <c r="BT14" s="412">
        <v>1</v>
      </c>
      <c r="BU14" s="412">
        <f ca="1">RANK(BW14,$BW$14:$BW$17)</f>
        <v>3</v>
      </c>
      <c r="BV14" s="412" t="str">
        <f ca="1">A13</f>
        <v>España</v>
      </c>
      <c r="BW14" s="412">
        <f ca="1">IF(AK14=0,-($AW$15*VLOOKUP(AI14,Tabla3[[NombreEquipo]:[Rank]],3,FALSE)),AJ14*$AW$5+BA14+AQ14*$AW$12+AO14*$AW$13-($AW$15*VLOOKUP(AI14,Tabla3[[NombreEquipo]:[Rank]],3,FALSE)/100))</f>
        <v>278531190999.95001</v>
      </c>
      <c r="BX14" s="412" t="str">
        <f ca="1">VLOOKUP(Q14,$AH$14:$AI$17,2,0)</f>
        <v>Croacia</v>
      </c>
      <c r="BY14" s="412">
        <f ca="1">VLOOKUP($BX14,$AI$14:$AR$17,10,FALSE)</f>
        <v>1250656232499.9399</v>
      </c>
      <c r="CC14" s="426">
        <f ca="1">RANK(CE14,$CE$14:$CE$17)</f>
        <v>3</v>
      </c>
      <c r="CD14" s="426" t="str">
        <f ca="1">A13</f>
        <v>España</v>
      </c>
      <c r="CE14" s="426">
        <f ca="1">IF(AK14=0,-($AW$15*VLOOKUP(AI14,Tabla3[[NombreEquipo]:[Rank]],3,FALSE)),AJ14*$AW$5+BA14+AQ14*$AW$12+AO14*$AW$13-($AW$15*VLOOKUP(AI14,Tabla3[[NombreEquipo]:[Rank]],3,FALSE)/100))</f>
        <v>278531190999.95001</v>
      </c>
      <c r="CF14" s="426">
        <f ca="1">IF(AK14=0,-($AW$15*VLOOKUP(AI14,Tabla3[[NombreEquipo]:[Rank]],3,FALSE)),AJ14*$AW$5+BA14+AQ14*$AW$12+AO14*$AW$13)</f>
        <v>278531191000</v>
      </c>
      <c r="CG14" s="426">
        <v>1</v>
      </c>
      <c r="CH14" s="426" t="str">
        <f ca="1">VLOOKUP(CG14,$CC$14:$CD$17,2,0)</f>
        <v>Croacia</v>
      </c>
      <c r="CI14" s="426">
        <f ca="1">VLOOKUP(CG14,$CC$14:$CF$17,4,0)</f>
        <v>1250656232500</v>
      </c>
      <c r="CJ14" s="426">
        <f ca="1">COUNTIF($CI$14:$CI$17,CI14)</f>
        <v>1</v>
      </c>
      <c r="CK14" s="426" t="str">
        <f ca="1">CJ14&amp;CJ15&amp;CJ16&amp;CJ17</f>
        <v>1111</v>
      </c>
      <c r="CL14" s="426">
        <f ca="1">HLOOKUP(CK14,$CW$3:$DD$4,2,0)</f>
        <v>8</v>
      </c>
      <c r="CM14" s="426">
        <v>1</v>
      </c>
      <c r="CN14" s="426">
        <f ca="1">HLOOKUP(CL14,$CW$4:$DD$9,3,0)</f>
        <v>1</v>
      </c>
      <c r="CP14" s="426" cm="1">
        <f t="array" aca="1" ref="CP14" ca="1">OFFSET($DF$4,1,MATCH($CN14,$DG$4:$DP$4,0),HLOOKUP($CN14,$DG$4:$DP$9,6,0),1)</f>
        <v>1</v>
      </c>
      <c r="CQ14" s="426" cm="1">
        <f t="array" aca="1" ref="CQ14" ca="1">OFFSET($DF$4,1,MATCH($CN15,$DG$4:$DP$4,0),HLOOKUP($CN15,$DG$4:$DP$9,6,0),1)</f>
        <v>2</v>
      </c>
      <c r="CR14" s="426" cm="1">
        <f t="array" aca="1" ref="CR14" ca="1">OFFSET($DF$4,1,MATCH($CN16,$DG$4:$DP$4,0),HLOOKUP($CN16,$DG$4:$DP$9,6,0),1)</f>
        <v>3</v>
      </c>
      <c r="CS14" s="426" cm="1">
        <f t="array" aca="1" ref="CS14" ca="1">OFFSET($DF$4,1,MATCH($CN17,$DG$4:$DP$4,0),HLOOKUP($CN17,$DG$4:$DP$9,6,0),1)</f>
        <v>4</v>
      </c>
      <c r="DA14" s="412"/>
      <c r="DB14" s="412"/>
      <c r="DC14" s="412"/>
      <c r="DD14" s="412"/>
      <c r="DE14" s="412"/>
      <c r="DF14" s="412"/>
      <c r="DG14" s="412"/>
      <c r="DH14" s="412"/>
      <c r="DI14" s="412"/>
      <c r="DJ14" s="412"/>
      <c r="EG14" s="430">
        <f ca="1">RANK(EH14,EH14:EH17,1)</f>
        <v>1</v>
      </c>
      <c r="EH14" s="426">
        <f ca="1">SUM(IF(AND(AJ14=AJ15,BC14=BC15,BI14=BI15,BO14=BO15),BE14,0),IF(AND(AJ14=AJ16,BC14=BC16,BI14=BI16,BO14=BO16),BF14,0),IF(AND(AJ14=AJ17,BC14=BC17,BI14=BI17,BO14=BO17),BG14,0))</f>
        <v>0</v>
      </c>
      <c r="EI14" s="430">
        <f ca="1">RANK(EJ14,EJ14:EJ17,1)</f>
        <v>1</v>
      </c>
      <c r="EJ14" s="426">
        <f ca="1">SUM(IF(AND(AJ14=AJ15,BC14=BC15,BI14=BI15,BO14=BO15),BK14,0),IF(AND(AJ14=AJ16,BC14=BC16,BI14=BI16,BO14=BO16),BL14,0),IF(AND(AJ14=AJ17,BC14=BC17,BI14=BI17,BO14=BO17),BM14,0))</f>
        <v>0</v>
      </c>
      <c r="EK14" s="430">
        <f ca="1">RANK(EL14,EL14:EL17,1)</f>
        <v>1</v>
      </c>
      <c r="EL14" s="426">
        <f ca="1">SUM(IF(AND(AJ14=AJ15,BC14=BC15,BI14=BI15,BO14=BO15),BQ14,0),IF(AND(AJ14=AJ16,BC14=BC16,BI14=BI16,BO14=BO16),BR14,0),IF(AND(AJ14=AJ17,BC14=BC17,BI14=BI17,BO14=BO17),BS14,0))</f>
        <v>0</v>
      </c>
      <c r="HIS14" s="426" t="s">
        <v>16</v>
      </c>
    </row>
    <row r="15" spans="1:142 5661:5661 8916:8916 13419:13419" x14ac:dyDescent="0.3">
      <c r="A15" s="370" t="str">
        <f t="array" aca="1" ref="A15" ca="1">IF(ROWS(A$13:A15)&lt;=$C$12,INDEX(INDIRECT(A$12),SMALL(IF(Nivell=$B$12,ROW(Nivell)-ROW(Equipos!$C$2)+1),ROWS(B$12:B14))),"")</f>
        <v>Italia</v>
      </c>
      <c r="B15" s="371"/>
      <c r="C15" s="189"/>
      <c r="D15" s="170"/>
      <c r="E15" s="772"/>
      <c r="F15" s="21">
        <f>Horarios!C15</f>
        <v>45463.875</v>
      </c>
      <c r="G15" s="22">
        <f>Horarios!C15</f>
        <v>45463.875</v>
      </c>
      <c r="H15" s="21" t="str">
        <f>$H$6</f>
        <v>J2</v>
      </c>
      <c r="I15" s="23" t="str">
        <f ca="1">A13</f>
        <v>España</v>
      </c>
      <c r="J15" s="24" t="str">
        <f ca="1">VLOOKUP(I15,Equipos!$K$2:$M$56,3,0)</f>
        <v>🇪🇸</v>
      </c>
      <c r="K15" s="25">
        <v>1</v>
      </c>
      <c r="L15" s="25">
        <v>1</v>
      </c>
      <c r="M15" s="32" t="str">
        <f ca="1">VLOOKUP(N15,Equipos!$K$2:$M$56,3,0)</f>
        <v>🇮🇹</v>
      </c>
      <c r="N15" s="55" t="str">
        <f ca="1">A15</f>
        <v>Italia</v>
      </c>
      <c r="O15" s="98">
        <f t="shared" si="8"/>
        <v>1</v>
      </c>
      <c r="P15" s="95"/>
      <c r="Q15" s="144">
        <v>2</v>
      </c>
      <c r="R15" s="5" t="str">
        <f ca="1">VLOOKUP(Q15,$AG$14:$AI$17,3,0)</f>
        <v>Italia</v>
      </c>
      <c r="S15" s="4">
        <f ca="1">VLOOKUP(R15,$AI$14:$AR$17,2,FALSE)</f>
        <v>4</v>
      </c>
      <c r="T15" s="4">
        <f ca="1">VLOOKUP($R15,$AI$14:$AR$17,3,FALSE)</f>
        <v>3</v>
      </c>
      <c r="U15" s="4">
        <f ca="1">VLOOKUP($R15,$AI$14:$AR$17,4,FALSE)</f>
        <v>1</v>
      </c>
      <c r="V15" s="4">
        <f ca="1">VLOOKUP($R15,$AI$14:$AR$17,5,FALSE)</f>
        <v>1</v>
      </c>
      <c r="W15" s="4">
        <f ca="1">VLOOKUP($R15,$AI$14:$AR$17,6,FALSE)</f>
        <v>1</v>
      </c>
      <c r="X15" s="4">
        <f ca="1">VLOOKUP($R15,$AI$14:$AR$17,7,FALSE)</f>
        <v>4</v>
      </c>
      <c r="Y15" s="4">
        <f ca="1">VLOOKUP($R15,$AI$14:$AR$17,8,FALSE)</f>
        <v>3</v>
      </c>
      <c r="Z15" s="145">
        <f ca="1">VLOOKUP($R15,$AI$14:$AR$17,9,FALSE)</f>
        <v>1</v>
      </c>
      <c r="AA15" s="86">
        <f ca="1">IF(SUM($AK$14:$AK$17)=12,MIN(ABS(BY14-BY15),ABS(BY15-BY16)),100)</f>
        <v>277750020999.98004</v>
      </c>
      <c r="AB15" s="109" t="str">
        <f ca="1">IF(AND(AA15&gt;=0,AA15&lt;90),VLOOKUP(Q15,$BU$14:$BV$17,2,0),"")</f>
        <v/>
      </c>
      <c r="AC15" s="85"/>
      <c r="AD15" s="86"/>
      <c r="AE15" s="83"/>
      <c r="AF15" s="427"/>
      <c r="AG15" s="426">
        <f ca="1">RANK(AU15,$AU$14:$AU$17)</f>
        <v>1</v>
      </c>
      <c r="AH15" s="426">
        <f ca="1">RANK(AR15,$AR$14:$AR$17)</f>
        <v>1</v>
      </c>
      <c r="AI15" s="412" t="str">
        <f ca="1">A14</f>
        <v>Croacia</v>
      </c>
      <c r="AJ15" s="426">
        <f ca="1">AL15*3+AM15*1+AN15*0</f>
        <v>9</v>
      </c>
      <c r="AK15" s="426">
        <f ca="1">COUNTIFS($I$4:$I$49,AI15,$K$4:$K$49,"&lt;&gt;",$L$4:$L$49,"&lt;&gt;")+COUNTIFS($N$4:$N$49,AI15,$L$4:$L$49,"&lt;&gt;",$K$4:$K$49,"&lt;&gt;")</f>
        <v>3</v>
      </c>
      <c r="AL15" s="426">
        <f t="array" aca="1" ref="AL15" ca="1">SUM(($I$4:$I$49=AI15)*($K$4:$K$49&lt;&gt;"")*($L$4:$L$49&lt;&gt;"")*($K$4:$K$49&gt;$L$4:$L$49),($N$4:$N$49=AI15)*($K$4:$K$49&lt;&gt;"")*($L$4:$L$49&lt;&gt;"")*($K$4:$K$49&lt;$L$4:$L$49))</f>
        <v>3</v>
      </c>
      <c r="AM15" s="426">
        <f t="array" aca="1" ref="AM15" ca="1">SUM(($I$4:$I$49=AI15)*($K$4:$K$49&lt;&gt;"")*($L$4:$L$49&lt;&gt;"")*($K$4:$K$49=$L$4:$L$49),($N$4:$N$49=AI15)*($K$4:$K$49&lt;&gt;"")*($L$4:$L$49&lt;&gt;"")*($K$4:$K$49=$L$4:$L$49))</f>
        <v>0</v>
      </c>
      <c r="AN15" s="426">
        <f t="array" aca="1" ref="AN15" ca="1">SUM(($I$4:$I$49=AI15)*($L$4:$L$49&lt;&gt;"")*($K$4:$K$49&lt;&gt;"")*($K$4:$K$49&lt;$L$4:$L$49),($K$4:$K$49&lt;&gt;"")*($N$4:$N$49=AI15)*($L$4:$L$49&lt;&gt;"")*($K$4:$K$49&gt;$L$4:$L$49))</f>
        <v>0</v>
      </c>
      <c r="AO15" s="426">
        <f t="array" aca="1" ref="AO15" ca="1">SUMIFS($K$4:$K$49,$I$4:$I$49,AI15,$K$4:$K$49,"&lt;&gt;",$L$4:$L$49,"&lt;&gt;")+SUMIFS($L$4:$L$49,$N$4:$N$49,AI15,$K$4:$K$49,"&lt;&gt;",$L$4:$L$49,"&lt;&gt;")</f>
        <v>5</v>
      </c>
      <c r="AP15" s="426">
        <f t="array" aca="1" ref="AP15" ca="1">SUMIFS($K$4:$K$49,$N$4:$N$49,AI15,$K$4:$K$49,"&lt;&gt;",$L$4:$L$49,"&lt;&gt;")+SUMIFS($L$4:$L$49,$I$4:$I$49,AI15,$K$4:$K$49,"&lt;&gt;",$L$4:$L$49,"&lt;&gt;")</f>
        <v>2</v>
      </c>
      <c r="AQ15" s="426">
        <f ca="1">AO15-AP15</f>
        <v>3</v>
      </c>
      <c r="AR15" s="426">
        <f ca="1">IF(AK15=0,-($AW$15*VLOOKUP(AI15,Tabla3[[NombreEquipo]:[Rank]],3,FALSE)),AJ15*$AW$5+BA15+AQ15*$AW$12+AO15*$AW$13-($AW$15*VLOOKUP(AI15,Tabla3[[NombreEquipo]:[Rank]],3,FALSE)/100))</f>
        <v>1250656232499.9399</v>
      </c>
      <c r="AS15" s="426">
        <f ca="1">AH15</f>
        <v>1</v>
      </c>
      <c r="AT15" s="426"/>
      <c r="AU15" s="426">
        <f ca="1">IFERROR(AR15-VLOOKUP(AI15,$AB$14:$AC$17,2,0),AR15)</f>
        <v>1250656232499.9399</v>
      </c>
      <c r="AV15" s="426" t="s">
        <v>65</v>
      </c>
      <c r="AW15" s="429">
        <v>1</v>
      </c>
      <c r="AX15" s="426"/>
      <c r="AY15" s="434" t="str">
        <f ca="1">AI15</f>
        <v>Croacia</v>
      </c>
      <c r="AZ15" s="426">
        <f ca="1">COUNTIF(AJ14:AJ17,AJ15)</f>
        <v>1</v>
      </c>
      <c r="BA15" s="426">
        <f ca="1">(BB15*$AW$8)+(BH15*$AW$7)+(BN15*$AW$6)+(EG15*$AW$11)+(EI15*$AW$10)+(EK15*$AW$9)</f>
        <v>781200000</v>
      </c>
      <c r="BB15" s="430">
        <f ca="1">RANK(BC15,BC14:BC17,1)</f>
        <v>1</v>
      </c>
      <c r="BC15" s="430">
        <f ca="1">SUM(IF(AND(AJ15=AJ16),BF15,0),IF(AND(AJ15=AJ17),BG15,0),IF(AND(AJ15=AJ14),BD15,0))</f>
        <v>0</v>
      </c>
      <c r="BD15" s="430">
        <f t="array" aca="1" ref="BD15" ca="1">SUMIFS($K$12:$K$17,$I$12:$I$17,$AY15,$K$12:$K$17,"&lt;&gt;",$L$12:$L$17,"&lt;&gt;",$N$12:$N$17,BD13)+SUMIFS($L$12:$L$17,$I$12:$I$17,BD13,$K$12:$K$17,"&lt;&gt;",$L$12:$L$17,"&lt;&gt;",$N$12:$N$17,$AY15)</f>
        <v>1</v>
      </c>
      <c r="BE15" s="430">
        <v>0</v>
      </c>
      <c r="BF15" s="430">
        <f t="array" aca="1" ref="BF15" ca="1">SUMIFS($K$12:$K$17,$I$12:$I$17,$AY15,$K$12:$K$17,"&lt;&gt;",$L$12:$L$17,"&lt;&gt;",$N$12:$N$17,BF13)+SUMIFS($L$12:$L$17,$I$12:$I$17,BF13,$K$12:$K$17,"&lt;&gt;",$L$12:$L$17,"&lt;&gt;",$N$12:$N$17,$AY15)</f>
        <v>2</v>
      </c>
      <c r="BG15" s="430">
        <f t="array" aca="1" ref="BG15" ca="1">SUMIFS($K$12:$K$17,$I$12:$I$17,$AY15,$K$12:$K$17,"&lt;&gt;",$L$12:$L$17,"&lt;&gt;",$N$12:$N$17,BG13)+SUMIFS($L$12:$L$17,$I$12:$I$17,BG13,$K$12:$K$17,"&lt;&gt;",$L$12:$L$17,"&lt;&gt;",$N$12:$N$17,$AY15)</f>
        <v>2</v>
      </c>
      <c r="BH15" s="430">
        <f ca="1">RANK(BI15,BI14:BI17,1)</f>
        <v>1</v>
      </c>
      <c r="BI15" s="430">
        <f ca="1">SUM(IF(AND(AJ15=AJ16),BL15,0),IF(AND(AJ15=AJ17),BM15,0),IF(AND(AJ15=AJ14),BJ15,0))</f>
        <v>0</v>
      </c>
      <c r="BJ15" s="430">
        <f ca="1">BD15-BE14</f>
        <v>1</v>
      </c>
      <c r="BK15" s="430">
        <v>0</v>
      </c>
      <c r="BL15" s="430">
        <f ca="1">BF15-BE16</f>
        <v>1</v>
      </c>
      <c r="BM15" s="430">
        <f ca="1">BG15-BE17</f>
        <v>1</v>
      </c>
      <c r="BN15" s="430">
        <f ca="1">RANK(BO15,BO14:BO17,1)</f>
        <v>1</v>
      </c>
      <c r="BO15" s="430">
        <f ca="1">SUM(IF(AND(AJ15=AJ16),BR15,0),IF(AND(AJ15=AJ17),BS15,0),IF(AND(AJ15=AJ14),BP15,0))</f>
        <v>0</v>
      </c>
      <c r="BP15" s="430">
        <f t="array" aca="1" ref="BP15" ca="1">SUM((I$4:I$49=AY15)*(N$4:N$49=BP13)*(K$4:K$49&lt;&gt;"")*(L$4:L$49&lt;&gt;"")*(K$4:K$49&gt;L$4:L$49)*3,(N$4:N$49=AY15)*(I$4:I$49=BP13)*(K$4:K$49&lt;&gt;"")*(L$4:L$49&lt;&gt;"")*(K$4:K$49=L$4:L$49)*1,(N$4:N$49=AY15)*(I$4:I$49=BP13)*(K$4:K$49&lt;&gt;"")*(L$4:L$49&lt;&gt;"")*(K$4:K$49&lt;L$4:L$49)*3,(I$4:I$49=AY15)*(N$4:N$49=BP13)*(K$4:K$49&lt;&gt;"")*(L$4:L$49&lt;&gt;"")*(K$4:K$49=L$4:L$49)*1)</f>
        <v>3</v>
      </c>
      <c r="BQ15" s="430">
        <v>0</v>
      </c>
      <c r="BR15" s="430">
        <f t="array" aca="1" ref="BR15" ca="1">SUM((I$4:I$49=AY15)*(N$4:N$49=BR13)*(K$4:K$49&lt;&gt;"")*(L$4:L$49&lt;&gt;"")*(K$4:K$49&gt;L$4:L$49)*3,(N$4:N$49=AY15)*(I$4:I$49=BR13)*(K$4:K$49&lt;&gt;"")*(L$4:L$49&lt;&gt;"")*(K$4:K$49=L$4:L$49)*1,(N$4:N$49=AY15)*(I$4:I$49=BR13)*(K$4:K$49&lt;&gt;"")*(L$4:L$49&lt;&gt;"")*(K$4:K$49&lt;L$4:L$49)*3,(I$4:I$49=AY15)*(N$4:N$49=BR13)*(K$4:K$49&lt;&gt;"")*(L$4:L$49&lt;&gt;"")*(K$4:K$49=L$4:L$49)*1)</f>
        <v>3</v>
      </c>
      <c r="BS15" s="430">
        <f t="array" aca="1" ref="BS15" ca="1">SUM((I$4:I$49=AY15)*(N$4:N$49=BS13)*(K$4:K$49&lt;&gt;"")*(L$4:L$49&lt;&gt;"")*(K$4:K$49&gt;L$4:L$49)*3,(N$4:N$49=AY15)*(I$4:I$49=BS13)*(K$4:K$49&lt;&gt;"")*(L$4:L$49&lt;&gt;"")*(K$4:K$49=L$4:L$49)*1,(N$4:N$49=AY15)*(I$4:I$49=BS13)*(K$4:K$49&lt;&gt;"")*(L$4:L$49&lt;&gt;"")*(K$4:K$49&lt;L$4:L$49)*3,(I$4:I$49=AY15)*(N$4:N$49=BS13)*(K$4:K$49&lt;&gt;"")*(L$4:L$49&lt;&gt;"")*(K$4:K$49=L$4:L$49)*1)</f>
        <v>3</v>
      </c>
      <c r="BT15" s="412">
        <v>2</v>
      </c>
      <c r="BU15" s="412">
        <f ca="1">RANK(BW15,$BW$14:$BW$17)</f>
        <v>1</v>
      </c>
      <c r="BV15" s="412" t="str">
        <f ca="1">A14</f>
        <v>Croacia</v>
      </c>
      <c r="BW15" s="412">
        <f ca="1">IF(AK15=0,-($AW$15*VLOOKUP(AI15,Tabla3[[NombreEquipo]:[Rank]],3,FALSE)),AJ15*$AW$5+BA15+AQ15*$AW$12+AO15*$AW$13-($AW$15*VLOOKUP(AI15,Tabla3[[NombreEquipo]:[Rank]],3,FALSE)/100))</f>
        <v>1250656232499.9399</v>
      </c>
      <c r="BX15" s="412" t="str">
        <f ca="1">VLOOKUP(Q15,$AH$14:$AI$17,2,0)</f>
        <v>Italia</v>
      </c>
      <c r="BY15" s="412">
        <f ca="1">VLOOKUP($BX15,$AI$14:$AR$17,10,FALSE)</f>
        <v>556281211999.93005</v>
      </c>
      <c r="CC15" s="426">
        <f t="shared" ref="CC15:CC17" ca="1" si="10">RANK(CE15,$CE$14:$CE$17)</f>
        <v>1</v>
      </c>
      <c r="CD15" s="426" t="str">
        <f ca="1">A14</f>
        <v>Croacia</v>
      </c>
      <c r="CE15" s="426">
        <f ca="1">IF(AK15=0,-($AW$15*VLOOKUP(AI15,Tabla3[[NombreEquipo]:[Rank]],3,FALSE)),AJ15*$AW$5+BA15+AQ15*$AW$12+AO15*$AW$13-($AW$15*VLOOKUP(AI15,Tabla3[[NombreEquipo]:[Rank]],3,FALSE)/100))</f>
        <v>1250656232499.9399</v>
      </c>
      <c r="CF15" s="426">
        <f ca="1">IF(AK15=0,-($AW$15*VLOOKUP(AI15,Tabla3[[NombreEquipo]:[Rank]],3,FALSE)),AJ15*$AW$5+BA15+AQ15*$AW$12+AO15*$AW$13)</f>
        <v>1250656232500</v>
      </c>
      <c r="CG15" s="426">
        <v>2</v>
      </c>
      <c r="CH15" s="426" t="str">
        <f t="shared" ref="CH15:CH17" ca="1" si="11">VLOOKUP(CG15,$CC$14:$CD$17,2,0)</f>
        <v>Italia</v>
      </c>
      <c r="CI15" s="426">
        <f t="shared" ref="CI15:CI17" ca="1" si="12">VLOOKUP(CG15,$CC$14:$CF$17,4,0)</f>
        <v>556281212000</v>
      </c>
      <c r="CJ15" s="426">
        <f t="shared" ref="CJ15:CJ17" ca="1" si="13">COUNTIF($CI$14:$CI$17,CI15)</f>
        <v>1</v>
      </c>
      <c r="CM15" s="426">
        <v>2</v>
      </c>
      <c r="CN15" s="426">
        <f ca="1">HLOOKUP(CL14,$CW$4:$DD$9,4,0)</f>
        <v>2</v>
      </c>
      <c r="DA15" s="412"/>
      <c r="DB15" s="412"/>
      <c r="DC15" s="412"/>
      <c r="DD15" s="412"/>
      <c r="DE15" s="412"/>
      <c r="DF15" s="412"/>
      <c r="DG15" s="412"/>
      <c r="DH15" s="412"/>
      <c r="DI15" s="412"/>
      <c r="DJ15" s="412"/>
      <c r="EG15" s="430">
        <f ca="1">RANK(EH15,EH14:EH17,1)</f>
        <v>1</v>
      </c>
      <c r="EH15" s="426">
        <f ca="1">SUM(IF(AND(AJ15=AJ16,BC15=BC16,BI15=BI16,BO15=BO16),BF15,0),IF(AND(AJ15=AJ17,BC15=BC17,BI15=BI17,BO15=BO17),BG15,0),IF(AND(AJ15=AJ14,BC15=BC14,BI15=BI14,BO15=BO14),BD15,0))</f>
        <v>0</v>
      </c>
      <c r="EI15" s="430">
        <f ca="1">RANK(EJ15,EJ14:EJ17,1)</f>
        <v>1</v>
      </c>
      <c r="EJ15" s="426">
        <f ca="1">SUM(IF(AND(AJ15=AJ16,BC15=BC16,BI15=BI16,BO15=BO16),BL15,0),IF(AND(AJ15=AJ17,BC15=BC17,BI15=BI17,BO15=BO17),BM15,0),IF(AND(AJ15=AJ14,BC15=BC14,BI15=BI14,BO15=BO14),BJ15,0))</f>
        <v>0</v>
      </c>
      <c r="EK15" s="430">
        <f ca="1">RANK(EL15,EL14:EL17,1)</f>
        <v>1</v>
      </c>
      <c r="EL15" s="426">
        <f ca="1">SUM(IF(AND(AJ15=AJ16,BC15=BC16,BI15=BI16,BO15=BO16),BR15,0),IF(AND(AJ15=AJ17,BC15=BC17,BI15=BI17,BO15=BO17),BS15,0),IF(AND(AJ15=AJ14,BC15=BC14,BI15=BI14,BO15=BO14),BP15,0))</f>
        <v>0</v>
      </c>
    </row>
    <row r="16" spans="1:142 5661:5661 8916:8916 13419:13419" x14ac:dyDescent="0.3">
      <c r="A16" s="370" t="str">
        <f t="array" aca="1" ref="A16" ca="1">IF(ROWS(A$13:A16)&lt;=$C$12,INDEX(INDIRECT(A$12),SMALL(IF(Nivell=$B$12,ROW(Nivell)-ROW(Equipos!$C$2)+1),ROWS(B$12:B15))),"")</f>
        <v>Albania</v>
      </c>
      <c r="B16" s="371"/>
      <c r="C16" s="189"/>
      <c r="D16" s="170"/>
      <c r="E16" s="772"/>
      <c r="F16" s="21">
        <f>Horarios!C16</f>
        <v>45467.875</v>
      </c>
      <c r="G16" s="22">
        <f>Horarios!C16</f>
        <v>45467.875</v>
      </c>
      <c r="H16" s="21" t="str">
        <f>$H$8</f>
        <v>J3</v>
      </c>
      <c r="I16" s="23" t="str">
        <f ca="1">A16</f>
        <v>Albania</v>
      </c>
      <c r="J16" s="24" t="str">
        <f ca="1">VLOOKUP(I16,Equipos!$K$2:$M$56,3,0)</f>
        <v>🇦🇱</v>
      </c>
      <c r="K16" s="25">
        <v>1</v>
      </c>
      <c r="L16" s="25">
        <v>1</v>
      </c>
      <c r="M16" s="32" t="str">
        <f ca="1">VLOOKUP(N16,Equipos!$K$2:$M$56,3,0)</f>
        <v>🇪🇸</v>
      </c>
      <c r="N16" s="55" t="str">
        <f ca="1">A13</f>
        <v>España</v>
      </c>
      <c r="O16" s="98">
        <f t="shared" si="8"/>
        <v>1</v>
      </c>
      <c r="P16" s="95"/>
      <c r="Q16" s="144">
        <v>3</v>
      </c>
      <c r="R16" s="5" t="str">
        <f ca="1">VLOOKUP(Q16,$AG$14:$AI$17,3,0)</f>
        <v>España</v>
      </c>
      <c r="S16" s="4">
        <f ca="1">VLOOKUP(R16,$AI$14:$AR$17,2,FALSE)</f>
        <v>2</v>
      </c>
      <c r="T16" s="4">
        <f ca="1">VLOOKUP($R16,$AI$14:$AR$17,3,FALSE)</f>
        <v>3</v>
      </c>
      <c r="U16" s="4">
        <f ca="1">VLOOKUP($R16,$AI$14:$AR$17,4,FALSE)</f>
        <v>0</v>
      </c>
      <c r="V16" s="4">
        <f ca="1">VLOOKUP($R16,$AI$14:$AR$17,5,FALSE)</f>
        <v>2</v>
      </c>
      <c r="W16" s="4">
        <f ca="1">VLOOKUP($R16,$AI$14:$AR$17,6,FALSE)</f>
        <v>1</v>
      </c>
      <c r="X16" s="4">
        <f ca="1">VLOOKUP($R16,$AI$14:$AR$17,7,FALSE)</f>
        <v>2</v>
      </c>
      <c r="Y16" s="4">
        <f ca="1">VLOOKUP($R16,$AI$14:$AR$17,8,FALSE)</f>
        <v>3</v>
      </c>
      <c r="Z16" s="145">
        <f ca="1">VLOOKUP($R16,$AI$14:$AR$17,9,FALSE)</f>
        <v>-1</v>
      </c>
      <c r="AA16" s="86">
        <f ca="1">IF(SUM($AK$14:$AK$17)=12,MIN(ABS(BY15-BY16),ABS(BY16-BY17)),100)</f>
        <v>138875020000.03</v>
      </c>
      <c r="AB16" s="109" t="str">
        <f ca="1">IF(AND(AA16&gt;=0,AA16&lt;90),VLOOKUP(Q16,$BU$14:$BV$17,2,0),"")</f>
        <v/>
      </c>
      <c r="AC16" s="85"/>
      <c r="AD16" s="86"/>
      <c r="AE16" s="83"/>
      <c r="AF16" s="427"/>
      <c r="AG16" s="426">
        <f ca="1">RANK(AU16,$AU$14:$AU$17)</f>
        <v>2</v>
      </c>
      <c r="AH16" s="426">
        <f ca="1">RANK(AR16,$AR$14:$AR$17)</f>
        <v>2</v>
      </c>
      <c r="AI16" s="412" t="str">
        <f ca="1">A15</f>
        <v>Italia</v>
      </c>
      <c r="AJ16" s="426">
        <f ca="1">AL16*3+AM16*1+AN16*0</f>
        <v>4</v>
      </c>
      <c r="AK16" s="426">
        <f ca="1">COUNTIFS($I$4:$I$49,AI16,$K$4:$K$49,"&lt;&gt;",$L$4:$L$49,"&lt;&gt;")+COUNTIFS($N$4:$N$49,AI16,$L$4:$L$49,"&lt;&gt;",$K$4:$K$49,"&lt;&gt;")</f>
        <v>3</v>
      </c>
      <c r="AL16" s="426">
        <f t="array" aca="1" ref="AL16" ca="1">SUM(($I$4:$I$49=AI16)*($K$4:$K$49&lt;&gt;"")*($L$4:$L$49&lt;&gt;"")*($K$4:$K$49&gt;$L$4:$L$49),($N$4:$N$49=AI16)*($K$4:$K$49&lt;&gt;"")*($L$4:$L$49&lt;&gt;"")*($K$4:$K$49&lt;$L$4:$L$49))</f>
        <v>1</v>
      </c>
      <c r="AM16" s="426">
        <f t="array" aca="1" ref="AM16" ca="1">SUM(($I$4:$I$49=AI16)*($K$4:$K$49&lt;&gt;"")*($L$4:$L$49&lt;&gt;"")*($K$4:$K$49=$L$4:$L$49),($N$4:$N$49=AI16)*($K$4:$K$49&lt;&gt;"")*($L$4:$L$49&lt;&gt;"")*($K$4:$K$49=$L$4:$L$49))</f>
        <v>1</v>
      </c>
      <c r="AN16" s="426">
        <f t="array" aca="1" ref="AN16" ca="1">SUM(($I$4:$I$49=AI16)*($L$4:$L$49&lt;&gt;"")*($K$4:$K$49&lt;&gt;"")*($K$4:$K$49&lt;$L$4:$L$49),($K$4:$K$49&lt;&gt;"")*($N$4:$N$49=AI16)*($L$4:$L$49&lt;&gt;"")*($K$4:$K$49&gt;$L$4:$L$49))</f>
        <v>1</v>
      </c>
      <c r="AO16" s="426">
        <f t="array" aca="1" ref="AO16" ca="1">SUMIFS($K$4:$K$49,$I$4:$I$49,AI16,$K$4:$K$49,"&lt;&gt;",$L$4:$L$49,"&lt;&gt;")+SUMIFS($L$4:$L$49,$N$4:$N$49,AI16,$K$4:$K$49,"&lt;&gt;",$L$4:$L$49,"&lt;&gt;")</f>
        <v>4</v>
      </c>
      <c r="AP16" s="426">
        <f t="array" aca="1" ref="AP16" ca="1">SUMIFS($K$4:$K$49,$N$4:$N$49,AI16,$K$4:$K$49,"&lt;&gt;",$L$4:$L$49,"&lt;&gt;")+SUMIFS($L$4:$L$49,$I$4:$I$49,AI16,$K$4:$K$49,"&lt;&gt;",$L$4:$L$49,"&lt;&gt;")</f>
        <v>3</v>
      </c>
      <c r="AQ16" s="426">
        <f ca="1">AO16-AP16</f>
        <v>1</v>
      </c>
      <c r="AR16" s="426">
        <f ca="1">IF(AK16=0,-($AW$15*VLOOKUP(AI16,Tabla3[[NombreEquipo]:[Rank]],3,FALSE)),AJ16*$AW$5+BA16+AQ16*$AW$12+AO16*$AW$13-($AW$15*VLOOKUP(AI16,Tabla3[[NombreEquipo]:[Rank]],3,FALSE)/100))</f>
        <v>556281211999.93005</v>
      </c>
      <c r="AS16" s="426">
        <f ca="1">AH16</f>
        <v>2</v>
      </c>
      <c r="AT16" s="426"/>
      <c r="AU16" s="426">
        <f ca="1">IFERROR(AR16-VLOOKUP(AI16,$AB$14:$AC$17,2,0),AR16)</f>
        <v>556281211999.93005</v>
      </c>
      <c r="AV16" s="426"/>
      <c r="AW16" s="429"/>
      <c r="AX16" s="426"/>
      <c r="AY16" s="434" t="str">
        <f ca="1">AI16</f>
        <v>Italia</v>
      </c>
      <c r="AZ16" s="426">
        <f ca="1">COUNTIF(AJ14:AJ17,AJ16)</f>
        <v>1</v>
      </c>
      <c r="BA16" s="426">
        <f ca="1">(BB16*$AW$8)+(BH16*$AW$7)+(BN16*$AW$6)+(EG16*$AW$11)+(EI16*$AW$10)+(EK16*$AW$9)</f>
        <v>781200000</v>
      </c>
      <c r="BB16" s="430">
        <f ca="1">RANK(BC16,BC14:BC17,1)</f>
        <v>1</v>
      </c>
      <c r="BC16" s="430">
        <f ca="1">SUM(IF(AND(AJ16=AJ17),BG16,0),IF(AND(AJ16=AJ14),BD16,0),IF(AND(AJ16=AJ15),BE16,0))</f>
        <v>0</v>
      </c>
      <c r="BD16" s="430">
        <f t="array" aca="1" ref="BD16" ca="1">SUMIFS($K$12:$K$17,$I$12:$I$17,$AY16,$K$12:$K$17,"&lt;&gt;",$L$12:$L$17,"&lt;&gt;",$N$12:$N$17,BD13)+SUMIFS($L$12:$L$17,$I$12:$I$17,BD13,$K$12:$K$17,"&lt;&gt;",$L$12:$L$17,"&lt;&gt;",$N$12:$N$17,$AY16)</f>
        <v>1</v>
      </c>
      <c r="BE16" s="430">
        <f t="array" aca="1" ref="BE16" ca="1">SUMIFS($K$12:$K$17,$I$12:$I$17,$AY16,$K$12:$K$17,"&lt;&gt;",$L$12:$L$17,"&lt;&gt;",$N$12:$N$17,BE13)+SUMIFS($L$12:$L$17,$I$12:$I$17,BE13,$K$12:$K$17,"&lt;&gt;",$L$12:$L$17,"&lt;&gt;",$N$12:$N$17,$AY16)</f>
        <v>1</v>
      </c>
      <c r="BF16" s="430">
        <v>0</v>
      </c>
      <c r="BG16" s="430">
        <f t="array" aca="1" ref="BG16" ca="1">SUMIFS($K$12:$K$17,$I$12:$I$17,$AY16,$K$12:$K$17,"&lt;&gt;",$L$12:$L$17,"&lt;&gt;",$N$12:$N$17,BG13)+SUMIFS($L$12:$L$17,$I$12:$I$17,BG13,$K$12:$K$17,"&lt;&gt;",$L$12:$L$17,"&lt;&gt;",$N$12:$N$17,$AY16)</f>
        <v>2</v>
      </c>
      <c r="BH16" s="430">
        <f ca="1">RANK(BI16,BI14:BI17,1)</f>
        <v>1</v>
      </c>
      <c r="BI16" s="430">
        <f ca="1">SUM(IF(AND(AJ16=AJ17),BM16,0),IF(AND(AJ16=AJ14),BJ16,0),IF(AND(AJ16=AJ15),BK16,0))</f>
        <v>0</v>
      </c>
      <c r="BJ16" s="430">
        <f ca="1">BD16-BF14</f>
        <v>0</v>
      </c>
      <c r="BK16" s="430">
        <f ca="1">BE16-BF15</f>
        <v>-1</v>
      </c>
      <c r="BL16" s="430">
        <v>0</v>
      </c>
      <c r="BM16" s="430">
        <f ca="1">BG16-BF17</f>
        <v>2</v>
      </c>
      <c r="BN16" s="430">
        <f ca="1">RANK(BO16,BO14:BO17,1)</f>
        <v>1</v>
      </c>
      <c r="BO16" s="430">
        <f ca="1">SUM(IF(AND(AJ16=AJ17),BS16,0),IF(AND(AJ16=AJ14),BP16,0),IF(AND(AJ16=AJ15),BQ16,0))</f>
        <v>0</v>
      </c>
      <c r="BP16" s="430">
        <f t="array" aca="1" ref="BP16" ca="1">SUM((I$4:I$49=AY16)*(N$4:N$49=BP13)*(K$4:K$49&lt;&gt;"")*(L$4:L$49&lt;&gt;"")*(K$4:K$49&gt;L$4:L$49)*3,(N$4:N$49=AY16)*(I$4:I$49=BP13)*(K$4:K$49&lt;&gt;"")*(L$4:L$49&lt;&gt;"")*(K$4:K$49=L$4:L$49)*1,(N$4:N$49=AY16)*(I$4:I$49=BP13)*(K$4:K$49&lt;&gt;"")*(L$4:L$49&lt;&gt;"")*(K$4:K$49&lt;L$4:L$49)*3,(I$4:I$49=AY16)*(N$4:N$49=BP13)*(K$4:K$49&lt;&gt;"")*(L$4:L$49&lt;&gt;"")*(K$4:K$49=L$4:L$49)*1)</f>
        <v>1</v>
      </c>
      <c r="BQ16" s="430">
        <f t="array" aca="1" ref="BQ16" ca="1">SUM((I$4:I$49=AY16)*(N$4:N$49=BQ13)*(K$4:K$49&lt;&gt;"")*(L$4:L$49&lt;&gt;"")*(K$4:K$49&gt;L$4:L$49)*3,(N$4:N$49=AY16)*(I$4:I$49=BQ13)*(K$4:K$49&lt;&gt;"")*(L$4:L$49&lt;&gt;"")*(K$4:K$49=L$4:L$49)*1,(N$4:N$49=AY16)*(I$4:I$49=BQ13)*(K$4:K$49&lt;&gt;"")*(L$4:L$49&lt;&gt;"")*(K$4:K$49&lt;L$4:L$49)*3,(I$4:I$49=AY16)*(N$4:N$49=BQ13)*(K$4:K$49&lt;&gt;"")*(L$4:L$49&lt;&gt;"")*(K$4:K$49=L$4:L$49)*1)</f>
        <v>0</v>
      </c>
      <c r="BR16" s="430">
        <v>0</v>
      </c>
      <c r="BS16" s="430">
        <f t="array" aca="1" ref="BS16" ca="1">SUM((I$4:I$49=AY16)*(N$4:N$49=BS13)*(K$4:K$49&lt;&gt;"")*(L$4:L$49&lt;&gt;"")*(K$4:K$49&gt;L$4:L$49)*3,(N$4:N$49=AY16)*(I$4:I$49=BS13)*(K$4:K$49&lt;&gt;"")*(L$4:L$49&lt;&gt;"")*(K$4:K$49=L$4:L$49)*1,(N$4:N$49=AY16)*(I$4:I$49=BS13)*(K$4:K$49&lt;&gt;"")*(L$4:L$49&lt;&gt;"")*(K$4:K$49&lt;L$4:L$49)*3,(I$4:I$49=AY16)*(N$4:N$49=BS13)*(K$4:K$49&lt;&gt;"")*(L$4:L$49&lt;&gt;"")*(K$4:K$49=L$4:L$49)*1)</f>
        <v>3</v>
      </c>
      <c r="BT16" s="412">
        <v>3</v>
      </c>
      <c r="BU16" s="412">
        <f ca="1">RANK(BW16,$BW$14:$BW$17)</f>
        <v>2</v>
      </c>
      <c r="BV16" s="412" t="str">
        <f ca="1">A15</f>
        <v>Italia</v>
      </c>
      <c r="BW16" s="412">
        <f ca="1">IF(AK16=0,-($AW$15*VLOOKUP(AI16,Tabla3[[NombreEquipo]:[Rank]],3,FALSE)),AJ16*$AW$5+BA16+AQ16*$AW$12+AO16*$AW$13-($AW$15*VLOOKUP(AI16,Tabla3[[NombreEquipo]:[Rank]],3,FALSE)/100))</f>
        <v>556281211999.93005</v>
      </c>
      <c r="BX16" s="412" t="str">
        <f ca="1">VLOOKUP(Q16,$AH$14:$AI$17,2,0)</f>
        <v>España</v>
      </c>
      <c r="BY16" s="412">
        <f ca="1">VLOOKUP($BX16,$AI$14:$AR$17,10,FALSE)</f>
        <v>278531190999.95001</v>
      </c>
      <c r="CC16" s="426">
        <f t="shared" ca="1" si="10"/>
        <v>2</v>
      </c>
      <c r="CD16" s="426" t="str">
        <f ca="1">A15</f>
        <v>Italia</v>
      </c>
      <c r="CE16" s="426">
        <f ca="1">IF(AK16=0,-($AW$15*VLOOKUP(AI16,Tabla3[[NombreEquipo]:[Rank]],3,FALSE)),AJ16*$AW$5+BA16+AQ16*$AW$12+AO16*$AW$13-($AW$15*VLOOKUP(AI16,Tabla3[[NombreEquipo]:[Rank]],3,FALSE)/100))</f>
        <v>556281211999.93005</v>
      </c>
      <c r="CF16" s="426">
        <f ca="1">IF(AK16=0,-($AW$15*VLOOKUP(AI16,Tabla3[[NombreEquipo]:[Rank]],3,FALSE)),AJ16*$AW$5+BA16+AQ16*$AW$12+AO16*$AW$13)</f>
        <v>556281212000</v>
      </c>
      <c r="CG16" s="426">
        <v>3</v>
      </c>
      <c r="CH16" s="426" t="str">
        <f t="shared" ca="1" si="11"/>
        <v>España</v>
      </c>
      <c r="CI16" s="426">
        <f t="shared" ca="1" si="12"/>
        <v>278531191000</v>
      </c>
      <c r="CJ16" s="426">
        <f t="shared" ca="1" si="13"/>
        <v>1</v>
      </c>
      <c r="CM16" s="426">
        <v>3</v>
      </c>
      <c r="CN16" s="426">
        <f ca="1">HLOOKUP(CL14,$CW$4:$DD$9,5,0)</f>
        <v>3</v>
      </c>
      <c r="DA16" s="412"/>
      <c r="DB16" s="412"/>
      <c r="DC16" s="412"/>
      <c r="DD16" s="412"/>
      <c r="DE16" s="412"/>
      <c r="DF16" s="412"/>
      <c r="DG16" s="412"/>
      <c r="DH16" s="412"/>
      <c r="DI16" s="412"/>
      <c r="DJ16" s="412"/>
      <c r="EG16" s="430">
        <f ca="1">RANK(EH16,EH14:EH17,1)</f>
        <v>1</v>
      </c>
      <c r="EH16" s="426">
        <f ca="1">SUM(IF(AND(AJ16=AJ17,BC16=BC17,BI16=BI17,BO16=BO17),BG16,0),IF(AND(AJ16=AJ14,BC16=BC14,BI16=BI14,BO16=BO14),BD16,0),IF(AND(AJ16=AJ15,BC16=BC15,BI16=BI15,BO16=BO15),BE16,0))</f>
        <v>0</v>
      </c>
      <c r="EI16" s="430">
        <f ca="1">RANK(EJ16,EJ14:EJ17,1)</f>
        <v>1</v>
      </c>
      <c r="EJ16" s="426">
        <f ca="1">SUM(IF(AND(AJ16=AJ17,BC16=BC17,BI16=BI17,BO16=BO17),BM16,0),IF(AND(AJ16=AJ14,BC16=BC14,BI16=BI14,BO16=BO14),BJ16,0),IF(AND(AJ16=AJ15,BC16=BC15,BI16=BI15,BO16=BO15),BK16,0))</f>
        <v>0</v>
      </c>
      <c r="EK16" s="430">
        <f ca="1">RANK(EL16,EL14:EL17,1)</f>
        <v>1</v>
      </c>
      <c r="EL16" s="426">
        <f ca="1">SUM(IF(AND(AJ16=AJ17,BC16=BC17,BI16=BI17,BO16=BO17),BS16,0),IF(AND(AJ16=AJ14,BC16=BC14,BI16=BI14,BO16=BO14),BP16,0),IF(AND(AJ16=AJ15,BC16=BC15,BI16=BI15,BO16=BO15),BQ16,0))</f>
        <v>0</v>
      </c>
    </row>
    <row r="17" spans="1:142" ht="15" thickBot="1" x14ac:dyDescent="0.35">
      <c r="A17" s="187"/>
      <c r="B17" s="371"/>
      <c r="C17" s="187"/>
      <c r="D17" s="170"/>
      <c r="E17" s="773"/>
      <c r="F17" s="56">
        <f>Horarios!C17</f>
        <v>45467.875</v>
      </c>
      <c r="G17" s="57">
        <f>Horarios!C17</f>
        <v>45467.875</v>
      </c>
      <c r="H17" s="56" t="str">
        <f>$H$8</f>
        <v>J3</v>
      </c>
      <c r="I17" s="58" t="str">
        <f ca="1">A14</f>
        <v>Croacia</v>
      </c>
      <c r="J17" s="59" t="str">
        <f ca="1">VLOOKUP(I17,Equipos!$K$2:$M$56,3,0)</f>
        <v>🇭🇷</v>
      </c>
      <c r="K17" s="60">
        <v>2</v>
      </c>
      <c r="L17" s="60">
        <v>1</v>
      </c>
      <c r="M17" s="61" t="str">
        <f ca="1">VLOOKUP(N17,Equipos!$K$2:$M$56,3,0)</f>
        <v>🇮🇹</v>
      </c>
      <c r="N17" s="62" t="str">
        <f ca="1">A15</f>
        <v>Italia</v>
      </c>
      <c r="O17" s="98">
        <f t="shared" si="8"/>
        <v>1</v>
      </c>
      <c r="P17" s="95"/>
      <c r="Q17" s="146">
        <v>4</v>
      </c>
      <c r="R17" s="147" t="str">
        <f ca="1">VLOOKUP(Q17,$AG$14:$AI$17,3,0)</f>
        <v>Albania</v>
      </c>
      <c r="S17" s="148">
        <f ca="1">VLOOKUP(R17,$AI$14:$AR$17,2,FALSE)</f>
        <v>1</v>
      </c>
      <c r="T17" s="148">
        <f ca="1">VLOOKUP($R17,$AI$14:$AR$17,3,FALSE)</f>
        <v>3</v>
      </c>
      <c r="U17" s="148">
        <f ca="1">VLOOKUP($R17,$AI$14:$AR$17,4,FALSE)</f>
        <v>0</v>
      </c>
      <c r="V17" s="148">
        <f ca="1">VLOOKUP($R17,$AI$14:$AR$17,5,FALSE)</f>
        <v>1</v>
      </c>
      <c r="W17" s="148">
        <f ca="1">VLOOKUP($R17,$AI$14:$AR$17,6,FALSE)</f>
        <v>2</v>
      </c>
      <c r="X17" s="148">
        <f ca="1">VLOOKUP($R17,$AI$14:$AR$17,7,FALSE)</f>
        <v>2</v>
      </c>
      <c r="Y17" s="148">
        <f ca="1">VLOOKUP($R17,$AI$14:$AR$17,8,FALSE)</f>
        <v>5</v>
      </c>
      <c r="Z17" s="149">
        <f ca="1">VLOOKUP($R17,$AI$14:$AR$17,9,FALSE)</f>
        <v>-3</v>
      </c>
      <c r="AA17" s="86">
        <f ca="1">IF(SUM($AK$14:$AK$17)=12,MIN(ABS(BY16-BY17),ABS(BY17-BY18)),100)</f>
        <v>138875020000.03</v>
      </c>
      <c r="AB17" s="109" t="str">
        <f ca="1">IF(AND(AA17&gt;=0,AA17&lt;90),VLOOKUP(Q17,$BU$14:$BV$17,2,0),"")</f>
        <v/>
      </c>
      <c r="AC17" s="85"/>
      <c r="AD17" s="86"/>
      <c r="AE17" s="83"/>
      <c r="AF17" s="427"/>
      <c r="AG17" s="426">
        <f ca="1">RANK(AU17,$AU$14:$AU$17)</f>
        <v>4</v>
      </c>
      <c r="AH17" s="426">
        <f ca="1">RANK(AR17,$AR$14:$AR$17)</f>
        <v>4</v>
      </c>
      <c r="AI17" s="412" t="str">
        <f ca="1">A16</f>
        <v>Albania</v>
      </c>
      <c r="AJ17" s="426">
        <f ca="1">AL17*3+AM17*1+AN17*0</f>
        <v>1</v>
      </c>
      <c r="AK17" s="426">
        <f ca="1">COUNTIFS($I$4:$I$49,AI17,$K$4:$K$49,"&lt;&gt;",$L$4:$L$49,"&lt;&gt;")+COUNTIFS($N$4:$N$49,AI17,$L$4:$L$49,"&lt;&gt;",$K$4:$K$49,"&lt;&gt;")</f>
        <v>3</v>
      </c>
      <c r="AL17" s="426">
        <f t="array" aca="1" ref="AL17" ca="1">SUM(($I$4:$I$49=AI17)*($K$4:$K$49&lt;&gt;"")*($L$4:$L$49&lt;&gt;"")*($K$4:$K$49&gt;$L$4:$L$49),($N$4:$N$49=AI17)*($K$4:$K$49&lt;&gt;"")*($L$4:$L$49&lt;&gt;"")*($K$4:$K$49&lt;$L$4:$L$49))</f>
        <v>0</v>
      </c>
      <c r="AM17" s="426">
        <f t="array" aca="1" ref="AM17" ca="1">SUM(($I$4:$I$49=AI17)*($K$4:$K$49&lt;&gt;"")*($L$4:$L$49&lt;&gt;"")*($K$4:$K$49=$L$4:$L$49),($N$4:$N$49=AI17)*($K$4:$K$49&lt;&gt;"")*($L$4:$L$49&lt;&gt;"")*($K$4:$K$49=$L$4:$L$49))</f>
        <v>1</v>
      </c>
      <c r="AN17" s="426">
        <f t="array" aca="1" ref="AN17" ca="1">SUM(($I$4:$I$49=AI17)*($L$4:$L$49&lt;&gt;"")*($K$4:$K$49&lt;&gt;"")*($K$4:$K$49&lt;$L$4:$L$49),($K$4:$K$49&lt;&gt;"")*($N$4:$N$49=AI17)*($L$4:$L$49&lt;&gt;"")*($K$4:$K$49&gt;$L$4:$L$49))</f>
        <v>2</v>
      </c>
      <c r="AO17" s="426">
        <f t="array" aca="1" ref="AO17" ca="1">SUMIFS($K$4:$K$49,$I$4:$I$49,AI17,$K$4:$K$49,"&lt;&gt;",$L$4:$L$49,"&lt;&gt;")+SUMIFS($L$4:$L$49,$N$4:$N$49,AI17,$K$4:$K$49,"&lt;&gt;",$L$4:$L$49,"&lt;&gt;")</f>
        <v>2</v>
      </c>
      <c r="AP17" s="426">
        <f t="array" aca="1" ref="AP17" ca="1">SUMIFS($K$4:$K$49,$N$4:$N$49,AI17,$K$4:$K$49,"&lt;&gt;",$L$4:$L$49,"&lt;&gt;")+SUMIFS($L$4:$L$49,$I$4:$I$49,AI17,$K$4:$K$49,"&lt;&gt;",$L$4:$L$49,"&lt;&gt;")</f>
        <v>5</v>
      </c>
      <c r="AQ17" s="426">
        <f ca="1">AO17-AP17</f>
        <v>-3</v>
      </c>
      <c r="AR17" s="426">
        <f ca="1">IF(AK17=0,-($AW$15*VLOOKUP(AI17,Tabla3[[NombreEquipo]:[Rank]],3,FALSE)),AJ17*$AW$5+BA17+AQ17*$AW$12+AO17*$AW$13-($AW$15*VLOOKUP(AI17,Tabla3[[NombreEquipo]:[Rank]],3,FALSE)/100))</f>
        <v>139656170999.92001</v>
      </c>
      <c r="AS17" s="426">
        <f ca="1">AH17</f>
        <v>4</v>
      </c>
      <c r="AT17" s="426"/>
      <c r="AU17" s="426">
        <f ca="1">IFERROR(AR17-VLOOKUP(AI17,$AB$14:$AC$17,2,0),AR17)</f>
        <v>139656170999.92001</v>
      </c>
      <c r="AV17" s="426"/>
      <c r="AW17" s="429"/>
      <c r="AX17" s="426"/>
      <c r="AY17" s="434" t="str">
        <f ca="1">AI17</f>
        <v>Albania</v>
      </c>
      <c r="AZ17" s="426">
        <f ca="1">COUNTIF(AJ14:AJ17,AJ17)</f>
        <v>1</v>
      </c>
      <c r="BA17" s="426">
        <f ca="1">(BB17*$AW$8)+(BH17*$AW$7)+(BN17*$AW$6)+(EG17*$AW$11)+(EI17*$AW$10)+(EK17*$AW$9)</f>
        <v>781200000</v>
      </c>
      <c r="BB17" s="430">
        <f ca="1">RANK(BC17,BC14:BC17,1)</f>
        <v>1</v>
      </c>
      <c r="BC17" s="430">
        <f ca="1">SUM(IF(AND(AJ17=AJ14),BD17,0),IF(AND(AJ17=AJ15),BE17,0),IF(AND(AJ17=AJ16),BF17,0))</f>
        <v>0</v>
      </c>
      <c r="BD17" s="430">
        <f t="array" aca="1" ref="BD17" ca="1">SUMIFS($K$12:$K$17,$I$12:$I$17,$AY17,$K$12:$K$17,"&lt;&gt;",$L$12:$L$17,"&lt;&gt;",$N$12:$N$17,BD13)+SUMIFS($L$12:$L$17,$I$12:$I$17,BD13,$K$12:$K$17,"&lt;&gt;",$L$12:$L$17,"&lt;&gt;",$N$12:$N$17,$AY17)</f>
        <v>1</v>
      </c>
      <c r="BE17" s="430">
        <f t="array" aca="1" ref="BE17" ca="1">SUMIFS($K$12:$K$17,$I$12:$I$17,$AY17,$K$12:$K$17,"&lt;&gt;",$L$12:$L$17,"&lt;&gt;",$N$12:$N$17,BE13)+SUMIFS($L$12:$L$17,$I$12:$I$17,BE13,$K$12:$K$17,"&lt;&gt;",$L$12:$L$17,"&lt;&gt;",$N$12:$N$17,$AY17)</f>
        <v>1</v>
      </c>
      <c r="BF17" s="430">
        <f t="array" aca="1" ref="BF17" ca="1">SUMIFS($K$12:$K$17,$I$12:$I$17,$AY17,$K$12:$K$17,"&lt;&gt;",$L$12:$L$17,"&lt;&gt;",$N$12:$N$17,BF13)+SUMIFS($L$12:$L$17,$I$12:$I$17,BF13,$K$12:$K$17,"&lt;&gt;",$L$12:$L$17,"&lt;&gt;",$N$12:$N$17,$AY17)</f>
        <v>0</v>
      </c>
      <c r="BG17" s="430">
        <v>0</v>
      </c>
      <c r="BH17" s="430">
        <f ca="1">RANK(BI17,BI14:BI17,1)</f>
        <v>1</v>
      </c>
      <c r="BI17" s="430">
        <f ca="1">SUM(IF(AND(AJ17=AJ14),BJ17,0),IF(AND(AJ17=AJ15),BK17,0),IF(AND(AJ17=AJ16),BL17,0))</f>
        <v>0</v>
      </c>
      <c r="BJ17" s="430">
        <f ca="1">BD17-BG14</f>
        <v>0</v>
      </c>
      <c r="BK17" s="430">
        <f ca="1">BE17-BG15</f>
        <v>-1</v>
      </c>
      <c r="BL17" s="430">
        <f ca="1">BF17-BG16</f>
        <v>-2</v>
      </c>
      <c r="BM17" s="430">
        <v>0</v>
      </c>
      <c r="BN17" s="430">
        <f ca="1">RANK(BO17,BO14:BO17,1)</f>
        <v>1</v>
      </c>
      <c r="BO17" s="430">
        <f ca="1">SUM(IF(AND(AJ17=AJ14),BP17,0),IF(AND(AJ17=AJ15),BQ17,0),IF(AND(AJ17=AJ16),BR17,0))</f>
        <v>0</v>
      </c>
      <c r="BP17" s="430">
        <f t="array" aca="1" ref="BP17" ca="1">SUM((I$4:I$49=AY17)*(N$4:N$49=BP13)*(K$4:K$49&lt;&gt;"")*(L$4:L$49&lt;&gt;"")*(K$4:K$49&gt;L$4:L$49)*3,(N$4:N$49=AY17)*(I$4:I$49=BP13)*(K$4:K$49&lt;&gt;"")*(L$4:L$49&lt;&gt;"")*(K$4:K$49=L$4:L$49)*1,(N$4:N$49=AY17)*(I$4:I$49=BP13)*(K$4:K$49&lt;&gt;"")*(L$4:L$49&lt;&gt;"")*(K$4:K$49&lt;L$4:L$49)*3,(I$4:I$49=AY17)*(N$4:N$49=BP13)*(K$4:K$49&lt;&gt;"")*(L$4:L$49&lt;&gt;"")*(K$4:K$49=L$4:L$49)*1)</f>
        <v>1</v>
      </c>
      <c r="BQ17" s="430">
        <f t="array" aca="1" ref="BQ17" ca="1">SUM((I$4:I$49=AY17)*(N$4:N$49=BQ13)*(K$4:K$49&lt;&gt;"")*(L$4:L$49&lt;&gt;"")*(K$4:K$49&gt;L$4:L$49)*3,(N$4:N$49=AY17)*(I$4:I$49=BQ13)*(K$4:K$49&lt;&gt;"")*(L$4:L$49&lt;&gt;"")*(K$4:K$49=L$4:L$49)*1,(N$4:N$49=AY17)*(I$4:I$49=BQ13)*(K$4:K$49&lt;&gt;"")*(L$4:L$49&lt;&gt;"")*(K$4:K$49&lt;L$4:L$49)*3,(I$4:I$49=AY17)*(N$4:N$49=BQ13)*(K$4:K$49&lt;&gt;"")*(L$4:L$49&lt;&gt;"")*(K$4:K$49=L$4:L$49)*1)</f>
        <v>0</v>
      </c>
      <c r="BR17" s="430">
        <f t="array" aca="1" ref="BR17" ca="1">SUM((I$4:I$49=AY17)*(N$4:N$49=BR13)*(K$4:K$49&lt;&gt;"")*(L$4:L$49&lt;&gt;"")*(K$4:K$49&gt;L$4:L$49)*3,(N$4:N$49=AY17)*(I$4:I$49=BR13)*(K$4:K$49&lt;&gt;"")*(L$4:L$49&lt;&gt;"")*(K$4:K$49=L$4:L$49)*1,(N$4:N$49=AY17)*(I$4:I$49=BR13)*(K$4:K$49&lt;&gt;"")*(L$4:L$49&lt;&gt;"")*(K$4:K$49&lt;L$4:L$49)*3,(I$4:I$49=AY17)*(N$4:N$49=BR13)*(K$4:K$49&lt;&gt;"")*(L$4:L$49&lt;&gt;"")*(K$4:K$49=L$4:L$49)*1)</f>
        <v>0</v>
      </c>
      <c r="BS17" s="430">
        <v>0</v>
      </c>
      <c r="BT17" s="412">
        <v>4</v>
      </c>
      <c r="BU17" s="412">
        <f ca="1">RANK(BW17,$BW$14:$BW$17)</f>
        <v>4</v>
      </c>
      <c r="BV17" s="412" t="str">
        <f ca="1">A16</f>
        <v>Albania</v>
      </c>
      <c r="BW17" s="412">
        <f ca="1">IF(AK17=0,-($AW$15*VLOOKUP(AI17,Tabla3[[NombreEquipo]:[Rank]],3,FALSE)),AJ17*$AW$5+BA17+AQ17*$AW$12+AO17*$AW$13-($AW$15*VLOOKUP(AI17,Tabla3[[NombreEquipo]:[Rank]],3,FALSE)/100))</f>
        <v>139656170999.92001</v>
      </c>
      <c r="BX17" s="412" t="str">
        <f ca="1">VLOOKUP(Q17,$AH$14:$AI$17,2,0)</f>
        <v>Albania</v>
      </c>
      <c r="BY17" s="412">
        <f ca="1">VLOOKUP($BX17,$AI$14:$AR$17,10,FALSE)</f>
        <v>139656170999.92001</v>
      </c>
      <c r="CC17" s="426">
        <f t="shared" ca="1" si="10"/>
        <v>4</v>
      </c>
      <c r="CD17" s="426" t="str">
        <f ca="1">A16</f>
        <v>Albania</v>
      </c>
      <c r="CE17" s="426">
        <f ca="1">IF(AK17=0,-($AW$15*VLOOKUP(AI17,Tabla3[[NombreEquipo]:[Rank]],3,FALSE)),AJ17*$AW$5+BA17+AQ17*$AW$12+AO17*$AW$13-($AW$15*VLOOKUP(AI17,Tabla3[[NombreEquipo]:[Rank]],3,FALSE)/100))</f>
        <v>139656170999.92001</v>
      </c>
      <c r="CF17" s="426">
        <f ca="1">IF(AK17=0,-($AW$15*VLOOKUP(AI17,Tabla3[[NombreEquipo]:[Rank]],3,FALSE)),AJ17*$AW$5+BA17+AQ17*$AW$12+AO17*$AW$13)</f>
        <v>139656171000</v>
      </c>
      <c r="CG17" s="426">
        <v>4</v>
      </c>
      <c r="CH17" s="426" t="str">
        <f t="shared" ca="1" si="11"/>
        <v>Albania</v>
      </c>
      <c r="CI17" s="426">
        <f t="shared" ca="1" si="12"/>
        <v>139656171000</v>
      </c>
      <c r="CJ17" s="426">
        <f t="shared" ca="1" si="13"/>
        <v>1</v>
      </c>
      <c r="CM17" s="426">
        <v>4</v>
      </c>
      <c r="CN17" s="426">
        <f ca="1">HLOOKUP(CL14,$CW$4:$DD$9,6,0)</f>
        <v>4</v>
      </c>
      <c r="EG17" s="430">
        <f ca="1">RANK(EH17,EH14:EH17,1)</f>
        <v>1</v>
      </c>
      <c r="EH17" s="426">
        <f ca="1">SUM(IF(AND(AJ17=AJ14,BC17=BC14,BI17=BI14,BO17=BO14),BD17,0),IF(AND(AJ17=AJ15,BC17=BC15,BI17=BI15,BO17=BO15),BE17,0),IF(AND(AJ17=AJ16,BC17=BC16,BI17=BI16,BO17=BO16),BF17,0))</f>
        <v>0</v>
      </c>
      <c r="EI17" s="430">
        <f ca="1">RANK(EJ17,EJ14:EJ17,1)</f>
        <v>1</v>
      </c>
      <c r="EJ17" s="426">
        <f ca="1">SUM(IF(AND(AJ17=AJ14,BC17=BC14,BI17=BI14,BO17=BO14),BJ17,0),IF(AND(AJ17=AJ15,BC17=BC15,BI17=BI15,BO17=BO15),BK17,0),IF(AND(AJ17=AJ16,BC17=BC16,BI17=BI16,BO17=BO16),BL17,0))</f>
        <v>0</v>
      </c>
      <c r="EK17" s="430">
        <f ca="1">RANK(EL17,EL14:EL17,1)</f>
        <v>1</v>
      </c>
      <c r="EL17" s="426">
        <f ca="1">SUM(IF(AND(AJ17=AJ14,BC17=BC14,BI17=BI14,BO17=BO14),BP17,0),IF(AND(AJ17=AJ15,BC17=BC15,BI17=BI15,BO17=BO15),BQ17,0),IF(AND(AJ17=AJ16,BC17=BC16,BI17=BI16,BO17=BO16),BR17,0))</f>
        <v>0</v>
      </c>
    </row>
    <row r="18" spans="1:142" x14ac:dyDescent="0.3">
      <c r="A18" s="187"/>
      <c r="B18" s="371"/>
      <c r="C18" s="187"/>
      <c r="D18" s="170"/>
      <c r="E18" s="104"/>
      <c r="F18" s="107"/>
      <c r="G18" s="90"/>
      <c r="H18" s="104"/>
      <c r="I18" s="104"/>
      <c r="J18" s="104"/>
      <c r="K18" s="104"/>
      <c r="L18" s="104"/>
      <c r="M18" s="104"/>
      <c r="N18" s="104"/>
      <c r="O18" s="78"/>
      <c r="P18" s="78"/>
      <c r="Q18" s="78"/>
      <c r="R18" s="78"/>
      <c r="S18" s="78"/>
      <c r="T18" s="78"/>
      <c r="U18" s="78"/>
      <c r="V18" s="78"/>
      <c r="W18" s="78"/>
      <c r="X18" s="78"/>
      <c r="Y18" s="78"/>
      <c r="Z18" s="78"/>
      <c r="AA18" s="78"/>
      <c r="AB18" s="78"/>
      <c r="AC18" s="87"/>
      <c r="AD18" s="86"/>
      <c r="AE18" s="83"/>
      <c r="AF18" s="427"/>
      <c r="AG18" s="426"/>
      <c r="AH18" s="426"/>
      <c r="AJ18" s="426"/>
      <c r="AK18" s="426"/>
      <c r="AL18" s="426"/>
      <c r="AM18" s="426"/>
      <c r="AN18" s="426"/>
      <c r="AO18" s="426"/>
      <c r="AP18" s="426"/>
      <c r="AQ18" s="426"/>
      <c r="AR18" s="426"/>
      <c r="AS18" s="426"/>
      <c r="AT18" s="426"/>
      <c r="AU18" s="426"/>
      <c r="AV18" s="426"/>
      <c r="AW18" s="429"/>
      <c r="AX18" s="426"/>
      <c r="AY18" s="434"/>
      <c r="AZ18" s="426"/>
      <c r="BA18" s="426"/>
      <c r="BB18" s="430"/>
      <c r="BC18" s="430"/>
      <c r="BD18" s="430"/>
      <c r="BE18" s="430"/>
      <c r="BF18" s="430"/>
      <c r="BG18" s="430"/>
      <c r="BH18" s="430"/>
      <c r="BI18" s="430"/>
      <c r="BJ18" s="430"/>
      <c r="BK18" s="430"/>
      <c r="BL18" s="430"/>
      <c r="BM18" s="430"/>
      <c r="BN18" s="430"/>
      <c r="BO18" s="430"/>
      <c r="BP18" s="430"/>
      <c r="BQ18" s="430"/>
      <c r="BR18" s="430"/>
      <c r="BS18" s="430"/>
      <c r="EG18" s="430"/>
      <c r="EI18" s="430"/>
      <c r="EK18" s="430"/>
    </row>
    <row r="19" spans="1:142" ht="15" thickBot="1" x14ac:dyDescent="0.35">
      <c r="A19" s="187"/>
      <c r="B19" s="371"/>
      <c r="C19" s="187"/>
      <c r="D19" s="78"/>
      <c r="E19" s="99"/>
      <c r="F19" s="96" t="str">
        <f>F3</f>
        <v>Fecha</v>
      </c>
      <c r="G19" s="96" t="str">
        <f t="shared" ref="G19:N19" si="14">G3</f>
        <v>Hora</v>
      </c>
      <c r="H19" s="100" t="str">
        <f t="shared" si="14"/>
        <v>Jor.</v>
      </c>
      <c r="I19" s="101" t="str">
        <f t="shared" si="14"/>
        <v>Casa</v>
      </c>
      <c r="J19" s="96"/>
      <c r="K19" s="102" t="str">
        <f t="shared" si="14"/>
        <v>Gol</v>
      </c>
      <c r="L19" s="102" t="str">
        <f t="shared" si="14"/>
        <v>Gol</v>
      </c>
      <c r="M19" s="102"/>
      <c r="N19" s="103" t="str">
        <f t="shared" si="14"/>
        <v>Fuera</v>
      </c>
      <c r="O19" s="81"/>
      <c r="P19" s="81"/>
      <c r="Q19" s="81"/>
      <c r="R19" s="81"/>
      <c r="S19" s="81"/>
      <c r="T19" s="81"/>
      <c r="U19" s="81"/>
      <c r="V19" s="81"/>
      <c r="W19" s="81"/>
      <c r="X19" s="81"/>
      <c r="Y19" s="81"/>
      <c r="Z19" s="81"/>
      <c r="AA19" s="82"/>
      <c r="AB19" s="82"/>
      <c r="AC19" s="82"/>
      <c r="AD19" s="82"/>
      <c r="AE19" s="83"/>
      <c r="AF19" s="427"/>
      <c r="AG19" s="426"/>
      <c r="AH19" s="426"/>
      <c r="AI19" s="426"/>
      <c r="AJ19" s="426"/>
      <c r="AK19" s="426"/>
      <c r="AL19" s="426"/>
      <c r="AM19" s="426"/>
      <c r="AN19" s="426"/>
      <c r="AO19" s="426"/>
      <c r="AP19" s="426"/>
      <c r="AQ19" s="426"/>
      <c r="AR19" s="426"/>
      <c r="AS19" s="426"/>
      <c r="AT19" s="426"/>
      <c r="AU19" s="426"/>
      <c r="AV19" s="426"/>
      <c r="AW19" s="429"/>
      <c r="AX19" s="426"/>
      <c r="AY19" s="426"/>
      <c r="AZ19" s="426"/>
      <c r="BA19" s="426"/>
      <c r="BB19" s="426"/>
      <c r="BC19" s="426"/>
      <c r="BD19" s="426"/>
      <c r="BE19" s="426"/>
      <c r="BF19" s="426"/>
      <c r="BG19" s="426"/>
      <c r="BH19" s="426"/>
      <c r="BI19" s="426"/>
      <c r="BJ19" s="426"/>
      <c r="BK19" s="426"/>
      <c r="BL19" s="426"/>
      <c r="BM19" s="426"/>
      <c r="BN19" s="426"/>
      <c r="BO19" s="426"/>
      <c r="BP19" s="426"/>
      <c r="BQ19" s="426"/>
      <c r="BR19" s="426"/>
      <c r="BS19" s="426"/>
      <c r="BT19" s="426"/>
      <c r="BU19" s="426"/>
      <c r="BV19" s="426"/>
      <c r="BW19" s="426"/>
      <c r="BX19" s="426"/>
      <c r="BY19" s="426"/>
      <c r="BZ19" s="426"/>
      <c r="CA19" s="427"/>
      <c r="CB19" s="427"/>
      <c r="DA19" s="412"/>
      <c r="DB19" s="412"/>
      <c r="DC19" s="412"/>
      <c r="DD19" s="412"/>
      <c r="DE19" s="412"/>
      <c r="DF19" s="412"/>
      <c r="DG19" s="412"/>
      <c r="DH19" s="412"/>
      <c r="DI19" s="412"/>
      <c r="DJ19" s="412"/>
    </row>
    <row r="20" spans="1:142" ht="15" customHeight="1" x14ac:dyDescent="0.3">
      <c r="A20" s="370" t="s">
        <v>17</v>
      </c>
      <c r="B20" s="371" t="s">
        <v>66</v>
      </c>
      <c r="C20" s="372">
        <f>COUNTIF(Equipos!$C$2:$C$25,EURO2024!B20)</f>
        <v>4</v>
      </c>
      <c r="D20" s="170"/>
      <c r="E20" s="810" t="s">
        <v>66</v>
      </c>
      <c r="F20" s="63">
        <f>Horarios!C20</f>
        <v>45459.75</v>
      </c>
      <c r="G20" s="64">
        <f>Horarios!C20</f>
        <v>45459.75</v>
      </c>
      <c r="H20" s="63" t="str">
        <f>$H$4</f>
        <v>J1</v>
      </c>
      <c r="I20" s="65" t="str">
        <f ca="1">A21</f>
        <v>Eslovenia</v>
      </c>
      <c r="J20" s="66" t="str">
        <f ca="1">VLOOKUP(I20,Equipos!$K$2:$M$56,3,0)</f>
        <v>🇸🇮</v>
      </c>
      <c r="K20" s="67">
        <v>1</v>
      </c>
      <c r="L20" s="67">
        <v>1</v>
      </c>
      <c r="M20" s="68" t="str">
        <f ca="1">VLOOKUP(N20,Equipos!$K$2:$M$56,3,0)</f>
        <v>🇩🇰</v>
      </c>
      <c r="N20" s="69" t="str">
        <f ca="1">A22</f>
        <v>Dinamarca</v>
      </c>
      <c r="O20" s="98">
        <f>IF(NOT(OR(ISBLANK(K20),ISBLANK(L20))),1,0)</f>
        <v>1</v>
      </c>
      <c r="P20" s="95"/>
      <c r="Q20" s="150" t="str">
        <f>CONCATENATE(Q3," ",B20)</f>
        <v>Grupo C</v>
      </c>
      <c r="R20" s="151"/>
      <c r="S20" s="151"/>
      <c r="T20" s="151"/>
      <c r="U20" s="151"/>
      <c r="V20" s="151"/>
      <c r="W20" s="151"/>
      <c r="X20" s="151"/>
      <c r="Y20" s="151"/>
      <c r="Z20" s="152"/>
      <c r="AA20" s="108"/>
      <c r="AB20" s="767" t="str">
        <f ca="1">IF($AA$21&gt;0,AB3,"")</f>
        <v/>
      </c>
      <c r="AC20" s="767"/>
      <c r="AD20" s="767"/>
      <c r="AE20" s="83"/>
      <c r="AF20" s="427"/>
      <c r="AG20" s="426"/>
      <c r="AH20" s="426" t="str">
        <f>CONCATENATE("Auxiliar - ",Q20)</f>
        <v>Auxiliar - Grupo C</v>
      </c>
      <c r="AI20" s="426"/>
      <c r="AJ20" s="426"/>
      <c r="AK20" s="426"/>
      <c r="AL20" s="426"/>
      <c r="AM20" s="426"/>
      <c r="AN20" s="426"/>
      <c r="AO20" s="426"/>
      <c r="AP20" s="426"/>
      <c r="AQ20" s="426"/>
      <c r="AR20" s="426"/>
      <c r="AS20" s="426"/>
      <c r="AT20" s="426"/>
      <c r="AU20" s="426" t="s">
        <v>19</v>
      </c>
      <c r="AV20" s="426"/>
      <c r="AW20" s="429"/>
      <c r="AX20" s="426"/>
      <c r="AY20" s="427" t="str">
        <f>CONCATENATE(Q20," - GOLAVERAGE")</f>
        <v>Grupo C - GOLAVERAGE</v>
      </c>
      <c r="AZ20" s="426"/>
      <c r="BA20" s="426"/>
      <c r="BB20" s="426" t="s">
        <v>21</v>
      </c>
      <c r="BC20" s="426"/>
      <c r="BD20" s="426"/>
      <c r="BE20" s="426"/>
      <c r="BF20" s="426"/>
      <c r="BG20" s="426"/>
      <c r="BH20" s="763" t="s">
        <v>22</v>
      </c>
      <c r="BI20" s="763"/>
      <c r="BJ20" s="763"/>
      <c r="BK20" s="763"/>
      <c r="BL20" s="763"/>
      <c r="BM20" s="763"/>
      <c r="BN20" s="430"/>
      <c r="BO20" s="430"/>
      <c r="BP20" s="430"/>
      <c r="BQ20" s="430"/>
      <c r="BR20" s="430"/>
      <c r="BS20" s="430"/>
      <c r="DA20" s="412"/>
      <c r="DB20" s="412"/>
      <c r="DC20" s="412"/>
      <c r="DD20" s="412"/>
      <c r="DE20" s="412"/>
      <c r="DF20" s="412"/>
      <c r="DG20" s="412"/>
      <c r="DH20" s="412"/>
      <c r="DI20" s="412"/>
      <c r="DJ20" s="412"/>
      <c r="EG20" s="426" t="s">
        <v>21</v>
      </c>
      <c r="EI20" s="426" t="s">
        <v>22</v>
      </c>
      <c r="EK20" s="430"/>
    </row>
    <row r="21" spans="1:142" ht="15" thickBot="1" x14ac:dyDescent="0.35">
      <c r="A21" s="370" t="str">
        <f t="array" aca="1" ref="A21" ca="1">IF(ROWS(A$21:A21)&lt;=$C$20,INDEX(INDIRECT(A$20),SMALL(IF(Nivell=$B$20,ROW(Nivell)-ROW(Equipos!$C$2)+1),ROWS(B$20:B20))),"")</f>
        <v>Eslovenia</v>
      </c>
      <c r="B21" s="371"/>
      <c r="C21" s="371"/>
      <c r="D21" s="170"/>
      <c r="E21" s="811"/>
      <c r="F21" s="26">
        <f>Horarios!C21</f>
        <v>45459.875</v>
      </c>
      <c r="G21" s="27">
        <f>Horarios!C21</f>
        <v>45459.875</v>
      </c>
      <c r="H21" s="26" t="str">
        <f>$H$4</f>
        <v>J1</v>
      </c>
      <c r="I21" s="28" t="str">
        <f ca="1">A23</f>
        <v>Serbia</v>
      </c>
      <c r="J21" s="29" t="str">
        <f ca="1">VLOOKUP(I21,Equipos!$K$2:$M$56,3,0)</f>
        <v>🇷🇸</v>
      </c>
      <c r="K21" s="30">
        <v>1</v>
      </c>
      <c r="L21" s="30">
        <v>2</v>
      </c>
      <c r="M21" s="31" t="str">
        <f ca="1">VLOOKUP(N21,Equipos!$K$2:$M$56,3,0)</f>
        <v>🏴󠁧󠁢󠁥󠁮󠁧󠁿</v>
      </c>
      <c r="N21" s="70" t="str">
        <f ca="1">A24</f>
        <v>Inglaterra</v>
      </c>
      <c r="O21" s="98">
        <f t="shared" ref="O21:O25" si="15">IF(NOT(OR(ISBLANK(K21),ISBLANK(L21))),1,0)</f>
        <v>1</v>
      </c>
      <c r="P21" s="95"/>
      <c r="Q21" s="153" t="str">
        <f>Q5</f>
        <v>Pos</v>
      </c>
      <c r="R21" s="154" t="str">
        <f>R5</f>
        <v>Selección</v>
      </c>
      <c r="S21" s="154" t="str">
        <f t="shared" ref="S21:Y21" si="16">S5</f>
        <v>Pts</v>
      </c>
      <c r="T21" s="154" t="str">
        <f t="shared" si="16"/>
        <v>J</v>
      </c>
      <c r="U21" s="154" t="str">
        <f t="shared" si="16"/>
        <v>G</v>
      </c>
      <c r="V21" s="154" t="str">
        <f t="shared" si="16"/>
        <v>E</v>
      </c>
      <c r="W21" s="154" t="str">
        <f t="shared" si="16"/>
        <v>P</v>
      </c>
      <c r="X21" s="154" t="str">
        <f t="shared" si="16"/>
        <v>GF</v>
      </c>
      <c r="Y21" s="154" t="str">
        <f t="shared" si="16"/>
        <v>GC</v>
      </c>
      <c r="Z21" s="155" t="str">
        <f>Z5</f>
        <v>DG</v>
      </c>
      <c r="AA21" s="108">
        <f ca="1">COUNTIF(AA22:AA25,"&lt;100")</f>
        <v>0</v>
      </c>
      <c r="AB21" s="767"/>
      <c r="AC21" s="767"/>
      <c r="AD21" s="767"/>
      <c r="AE21" s="83"/>
      <c r="AF21" s="427"/>
      <c r="AG21" s="431" t="s">
        <v>19</v>
      </c>
      <c r="AH21" s="431" t="s">
        <v>25</v>
      </c>
      <c r="AI21" s="431" t="s">
        <v>26</v>
      </c>
      <c r="AJ21" s="431" t="s">
        <v>27</v>
      </c>
      <c r="AK21" s="431" t="s">
        <v>28</v>
      </c>
      <c r="AL21" s="431" t="s">
        <v>29</v>
      </c>
      <c r="AM21" s="431" t="s">
        <v>30</v>
      </c>
      <c r="AN21" s="431" t="s">
        <v>31</v>
      </c>
      <c r="AO21" s="431" t="s">
        <v>32</v>
      </c>
      <c r="AP21" s="431" t="s">
        <v>33</v>
      </c>
      <c r="AQ21" s="431" t="s">
        <v>34</v>
      </c>
      <c r="AR21" s="431" t="s">
        <v>35</v>
      </c>
      <c r="AS21" s="431" t="s">
        <v>25</v>
      </c>
      <c r="AT21" s="426"/>
      <c r="AU21" s="426"/>
      <c r="AV21" s="426"/>
      <c r="AW21" s="429"/>
      <c r="AX21" s="426"/>
      <c r="AY21" s="431" t="s">
        <v>26</v>
      </c>
      <c r="AZ21" s="431" t="s">
        <v>37</v>
      </c>
      <c r="BA21" s="431" t="s">
        <v>38</v>
      </c>
      <c r="BB21" s="431" t="s">
        <v>39</v>
      </c>
      <c r="BC21" s="431" t="s">
        <v>40</v>
      </c>
      <c r="BD21" s="431" t="str">
        <f ca="1">AY22</f>
        <v>Eslovenia</v>
      </c>
      <c r="BE21" s="431" t="str">
        <f ca="1">AY23</f>
        <v>Dinamarca</v>
      </c>
      <c r="BF21" s="431" t="str">
        <f ca="1">AY24</f>
        <v>Serbia</v>
      </c>
      <c r="BG21" s="431" t="str">
        <f ca="1">AY25</f>
        <v>Inglaterra</v>
      </c>
      <c r="BH21" s="431" t="s">
        <v>39</v>
      </c>
      <c r="BI21" s="431" t="s">
        <v>40</v>
      </c>
      <c r="BJ21" s="431" t="str">
        <f ca="1">BD21</f>
        <v>Eslovenia</v>
      </c>
      <c r="BK21" s="431" t="str">
        <f ca="1">BE21</f>
        <v>Dinamarca</v>
      </c>
      <c r="BL21" s="431" t="str">
        <f ca="1">BF21</f>
        <v>Serbia</v>
      </c>
      <c r="BM21" s="431" t="str">
        <f ca="1">BG21</f>
        <v>Inglaterra</v>
      </c>
      <c r="BN21" s="431" t="s">
        <v>39</v>
      </c>
      <c r="BO21" s="431" t="s">
        <v>40</v>
      </c>
      <c r="BP21" s="431" t="str">
        <f ca="1">BD21</f>
        <v>Eslovenia</v>
      </c>
      <c r="BQ21" s="431" t="str">
        <f ca="1">BE21</f>
        <v>Dinamarca</v>
      </c>
      <c r="BR21" s="431" t="str">
        <f ca="1">BF21</f>
        <v>Serbia</v>
      </c>
      <c r="BS21" s="431" t="str">
        <f ca="1">BG21</f>
        <v>Inglaterra</v>
      </c>
      <c r="BU21" s="432"/>
      <c r="BV21" s="432" t="s">
        <v>41</v>
      </c>
      <c r="BW21" s="432"/>
      <c r="BX21" s="432" t="s">
        <v>43</v>
      </c>
      <c r="BY21" s="432"/>
      <c r="CC21" s="432" t="s">
        <v>44</v>
      </c>
      <c r="CD21" s="434" t="s">
        <v>67</v>
      </c>
      <c r="CE21" s="431" t="s">
        <v>46</v>
      </c>
      <c r="CF21" s="431" t="s">
        <v>47</v>
      </c>
      <c r="CG21" s="432" t="s">
        <v>48</v>
      </c>
      <c r="CH21" s="431" t="s">
        <v>49</v>
      </c>
      <c r="CI21" s="431"/>
      <c r="CJ21" s="431"/>
      <c r="CK21" s="431"/>
      <c r="CL21" s="431"/>
      <c r="CM21" s="431"/>
      <c r="CN21" s="431"/>
      <c r="CP21" s="426">
        <v>1</v>
      </c>
      <c r="CQ21" s="426">
        <v>2</v>
      </c>
      <c r="CR21" s="426">
        <v>3</v>
      </c>
      <c r="CS21" s="426">
        <v>4</v>
      </c>
      <c r="DA21" s="412"/>
      <c r="DB21" s="412"/>
      <c r="DC21" s="412"/>
      <c r="DD21" s="412"/>
      <c r="DE21" s="412"/>
      <c r="DF21" s="412"/>
      <c r="DG21" s="412"/>
      <c r="DH21" s="412"/>
      <c r="DI21" s="412"/>
      <c r="DJ21" s="412"/>
      <c r="EG21" s="431" t="s">
        <v>39</v>
      </c>
      <c r="EI21" s="431" t="s">
        <v>39</v>
      </c>
      <c r="EK21" s="431" t="s">
        <v>39</v>
      </c>
    </row>
    <row r="22" spans="1:142" x14ac:dyDescent="0.3">
      <c r="A22" s="370" t="str">
        <f t="array" aca="1" ref="A22" ca="1">IF(ROWS(A$21:A22)&lt;=$C$20,INDEX(INDIRECT(A$20),SMALL(IF(Nivell=$B$20,ROW(Nivell)-ROW(Equipos!$C$2)+1),ROWS(B$20:B21))),"")</f>
        <v>Dinamarca</v>
      </c>
      <c r="B22" s="371"/>
      <c r="C22" s="373"/>
      <c r="D22" s="170"/>
      <c r="E22" s="811"/>
      <c r="F22" s="26">
        <f>Horarios!C22</f>
        <v>45463.625</v>
      </c>
      <c r="G22" s="27">
        <f>Horarios!C22</f>
        <v>45463.625</v>
      </c>
      <c r="H22" s="26" t="str">
        <f>$H$6</f>
        <v>J2</v>
      </c>
      <c r="I22" s="28" t="str">
        <f ca="1">A21</f>
        <v>Eslovenia</v>
      </c>
      <c r="J22" s="29" t="str">
        <f ca="1">VLOOKUP(I22,Equipos!$K$2:$M$56,3,0)</f>
        <v>🇸🇮</v>
      </c>
      <c r="K22" s="30">
        <v>0</v>
      </c>
      <c r="L22" s="30">
        <v>2</v>
      </c>
      <c r="M22" s="31" t="str">
        <f ca="1">VLOOKUP(N22,Equipos!$K$2:$M$56,3,0)</f>
        <v>🇷🇸</v>
      </c>
      <c r="N22" s="70" t="str">
        <f ca="1">A23</f>
        <v>Serbia</v>
      </c>
      <c r="O22" s="98">
        <f t="shared" si="15"/>
        <v>1</v>
      </c>
      <c r="P22" s="95"/>
      <c r="Q22" s="156">
        <v>1</v>
      </c>
      <c r="R22" s="157" t="str">
        <f ca="1">VLOOKUP(Q22,$AG$22:$AI$25,3,0)</f>
        <v>Inglaterra</v>
      </c>
      <c r="S22" s="158">
        <f ca="1">VLOOKUP(R22,$AI$22:$AR$25,2,FALSE)</f>
        <v>9</v>
      </c>
      <c r="T22" s="158">
        <f ca="1">VLOOKUP($R22,$AI$22:$AR$25,3,FALSE)</f>
        <v>3</v>
      </c>
      <c r="U22" s="158">
        <f ca="1">VLOOKUP($R22,$AI$22:$AR$25,4,FALSE)</f>
        <v>3</v>
      </c>
      <c r="V22" s="158">
        <f ca="1">VLOOKUP($R22,$AI$22:$AR$25,5,FALSE)</f>
        <v>0</v>
      </c>
      <c r="W22" s="158">
        <f ca="1">VLOOKUP($R22,$AI$22:$AR$25,6,FALSE)</f>
        <v>0</v>
      </c>
      <c r="X22" s="158">
        <f ca="1">VLOOKUP($R22,$AI$22:$AR$25,7,FALSE)</f>
        <v>7</v>
      </c>
      <c r="Y22" s="158">
        <f ca="1">VLOOKUP($R22,$AI$22:$AR$25,8,FALSE)</f>
        <v>1</v>
      </c>
      <c r="Z22" s="159">
        <f ca="1">VLOOKUP($R22,$AI$22:$AR$25,9,FALSE)</f>
        <v>6</v>
      </c>
      <c r="AA22" s="86">
        <f ca="1">IF(SUM($AK$22:$AK$25)=12,MIN(ABS(BY21-BY22),ABS(BY22-BY23)),100)</f>
        <v>416625041499.98987</v>
      </c>
      <c r="AB22" s="109" t="str">
        <f ca="1">IF(AND(AA22&gt;=0,AA22&lt;90),VLOOKUP(Q22,$BU$22:$BV$25,2,0),"")</f>
        <v/>
      </c>
      <c r="AC22" s="85"/>
      <c r="AD22" s="86"/>
      <c r="AE22" s="83"/>
      <c r="AF22" s="427"/>
      <c r="AG22" s="426">
        <f ca="1">RANK(AU22,$AU$22:$AU$25)</f>
        <v>4</v>
      </c>
      <c r="AH22" s="426">
        <f ca="1">RANK(AR22,$AR$22:$AR$25)</f>
        <v>4</v>
      </c>
      <c r="AI22" s="412" t="str">
        <f ca="1">A21</f>
        <v>Eslovenia</v>
      </c>
      <c r="AJ22" s="426">
        <f ca="1">AL22*3+AM22*1+AN22*0</f>
        <v>1</v>
      </c>
      <c r="AK22" s="426">
        <f ca="1">COUNTIFS($I$4:$I$49,AI22,$K$4:$K$49,"&lt;&gt;",$L$4:$L$49,"&lt;&gt;")+COUNTIFS($N$4:$N$49,AI22,$L$4:$L$49,"&lt;&gt;",$K$4:$K$49,"&lt;&gt;")</f>
        <v>3</v>
      </c>
      <c r="AL22" s="426">
        <f t="array" aca="1" ref="AL22" ca="1">SUM(($I$4:$I$49=AI22)*($K$4:$K$49&lt;&gt;"")*($L$4:$L$49&lt;&gt;"")*($K$4:$K$49&gt;$L$4:$L$49),($N$4:$N$49=AI22)*($K$4:$K$49&lt;&gt;"")*($L$4:$L$49&lt;&gt;"")*($K$4:$K$49&lt;$L$4:$L$49))</f>
        <v>0</v>
      </c>
      <c r="AM22" s="426">
        <f t="array" aca="1" ref="AM22" ca="1">SUM(($I$4:$I$49=AI22)*($K$4:$K$49&lt;&gt;"")*($L$4:$L$49&lt;&gt;"")*($K$4:$K$49=$L$4:$L$49),($N$4:$N$49=AI22)*($K$4:$K$49&lt;&gt;"")*($L$4:$L$49&lt;&gt;"")*($K$4:$K$49=$L$4:$L$49))</f>
        <v>1</v>
      </c>
      <c r="AN22" s="426">
        <f t="array" aca="1" ref="AN22" ca="1">SUM(($I$4:$I$49=AI22)*($L$4:$L$49&lt;&gt;"")*($K$4:$K$49&lt;&gt;"")*($K$4:$K$49&lt;$L$4:$L$49),($K$4:$K$49&lt;&gt;"")*($N$4:$N$49=AI22)*($L$4:$L$49&lt;&gt;"")*($K$4:$K$49&gt;$L$4:$L$49))</f>
        <v>2</v>
      </c>
      <c r="AO22" s="426">
        <f t="array" aca="1" ref="AO22" ca="1">SUMIFS($K$4:$K$49,$I$4:$I$49,AI22,$K$4:$K$49,"&lt;&gt;",$L$4:$L$49,"&lt;&gt;")+SUMIFS($L$4:$L$49,$N$4:$N$49,AI22,$K$4:$K$49,"&lt;&gt;",$L$4:$L$49,"&lt;&gt;")</f>
        <v>1</v>
      </c>
      <c r="AP22" s="426">
        <f t="array" aca="1" ref="AP22" ca="1">SUMIFS($K$4:$K$49,$N$4:$N$49,AI22,$K$4:$K$49,"&lt;&gt;",$L$4:$L$49,"&lt;&gt;")+SUMIFS($L$4:$L$49,$I$4:$I$49,AI22,$K$4:$K$49,"&lt;&gt;",$L$4:$L$49,"&lt;&gt;")</f>
        <v>6</v>
      </c>
      <c r="AQ22" s="426">
        <f ca="1">AO22-AP22</f>
        <v>-5</v>
      </c>
      <c r="AR22" s="426">
        <f ca="1">IF(AK22=0,-($AW$15*VLOOKUP(AI22,Tabla3[[NombreEquipo]:[Rank]],3,FALSE)),AJ22*$AW$5+BA22+AQ22*$AW$12+AO22*$AW$13-($AW$15*VLOOKUP(AI22,Tabla3[[NombreEquipo]:[Rank]],3,FALSE)/100))</f>
        <v>140966550499.91</v>
      </c>
      <c r="AS22" s="426">
        <f ca="1">AH22</f>
        <v>4</v>
      </c>
      <c r="AT22" s="426"/>
      <c r="AU22" s="426">
        <f ca="1">IFERROR(AR22-VLOOKUP(AI22,$AB$22:$AC$25,2,0),AR22)</f>
        <v>140966550499.91</v>
      </c>
      <c r="AV22" s="426"/>
      <c r="AW22" s="429"/>
      <c r="AX22" s="426"/>
      <c r="AY22" s="434" t="str">
        <f ca="1">AI22</f>
        <v>Eslovenia</v>
      </c>
      <c r="AZ22" s="426">
        <f ca="1">COUNTIF(AJ22:AJ25,AJ22)</f>
        <v>2</v>
      </c>
      <c r="BA22" s="426">
        <f ca="1">(BB22*$AW$8)+(BH22*$AW$7)+(BN22*$AW$6)+(EG22*$AW$11)+(EI22*$AW$10)+(EK22*$AW$9)</f>
        <v>2091600000</v>
      </c>
      <c r="BB22" s="430">
        <f ca="1">RANK(BC22,BC22:BC25,1)</f>
        <v>3</v>
      </c>
      <c r="BC22" s="430">
        <f ca="1">SUM(IF(AND(AJ22=AJ23),BE22,0),IF(AND(AJ22=AJ24),BF22,0),IF(AND(AJ22=AJ25),BG22,0))</f>
        <v>1</v>
      </c>
      <c r="BD22" s="430">
        <v>0</v>
      </c>
      <c r="BE22" s="430">
        <f t="array" aca="1" ref="BE22" ca="1">SUMIFS($K$20:$K$25,$I$20:$I$25,$AY22,$K$20:$K$25,"&lt;&gt;",$L$20:$L$25,"&lt;&gt;",$N$20:$N$25,BE21)+SUMIFS($L$20:$L$25,$I$20:$I$25,BE21,$K$20:$K$25,"&lt;&gt;",$L$20:$L$25,"&lt;&gt;",$N$20:$N$25,$AY22)</f>
        <v>1</v>
      </c>
      <c r="BF22" s="430">
        <f t="array" aca="1" ref="BF22" ca="1">SUMIFS($K$20:$K$25,$I$20:$I$25,$AY22,$K$20:$K$25,"&lt;&gt;",$L$20:$L$25,"&lt;&gt;",$N$20:$N$25,BF21)+SUMIFS($L$20:$L$25,$I$20:$I$25,BF21,$K$20:$K$25,"&lt;&gt;",$L$20:$L$25,"&lt;&gt;",$N$20:$N$25,$AY22)</f>
        <v>0</v>
      </c>
      <c r="BG22" s="430">
        <f t="array" aca="1" ref="BG22" ca="1">SUMIFS($K$20:$K$25,$I$20:$I$25,$AY22,$K$20:$K$25,"&lt;&gt;",$L$20:$L$25,"&lt;&gt;",$N$20:$N$25,BG21)+SUMIFS($L$20:$L$25,$I$20:$I$25,BG21,$K$20:$K$25,"&lt;&gt;",$L$20:$L$25,"&lt;&gt;",$N$20:$N$25,$AY22)</f>
        <v>0</v>
      </c>
      <c r="BH22" s="430">
        <f ca="1">RANK(BI22,BI22:BI25,1)</f>
        <v>1</v>
      </c>
      <c r="BI22" s="430">
        <f ca="1">SUM(IF(AND(AJ22=AJ23),BK22,0),IF(AND(AJ22=AJ24),BL22,0),IF(AND(AJ22=AJ25),BM22,0))</f>
        <v>0</v>
      </c>
      <c r="BJ22" s="430">
        <v>0</v>
      </c>
      <c r="BK22" s="430">
        <f ca="1">BE22-BD23</f>
        <v>0</v>
      </c>
      <c r="BL22" s="430">
        <f ca="1">BF22-BD24</f>
        <v>-2</v>
      </c>
      <c r="BM22" s="430">
        <f ca="1">BG22-BD25</f>
        <v>-3</v>
      </c>
      <c r="BN22" s="430">
        <f ca="1">RANK(BO22,BO22:BO25,1)</f>
        <v>3</v>
      </c>
      <c r="BO22" s="430">
        <f ca="1">SUM(IF(AND(AJ22=AJ23),BQ22,0),IF(AND(AJ22=AJ24),BR22,0),IF(AND(AJ22=AJ25),BS22,0))</f>
        <v>1</v>
      </c>
      <c r="BP22" s="430">
        <v>0</v>
      </c>
      <c r="BQ22" s="430">
        <f t="array" aca="1" ref="BQ22" ca="1">SUM((I$4:I$49=AY22)*(N$4:N$49=BQ21)*(K$4:K$49&lt;&gt;"")*(L$4:L$49&lt;&gt;"")*(K$4:K$49&gt;L$4:L$49)*3,(N$4:N$49=AY22)*(I$4:I$49=BQ21)*(K$4:K$49&lt;&gt;"")*(L$4:L$49&lt;&gt;"")*(K$4:K$49=L$4:L$49)*1,(N$4:N$49=AY22)*(I$4:I$49=BQ21)*(K$4:K$49&lt;&gt;"")*(L$4:L$49&lt;&gt;"")*(K$4:K$49&lt;L$4:L$49)*3,(I$4:I$49=AY22)*(N$4:N$49=BQ21)*(K$4:K$49&lt;&gt;"")*(L$4:L$49&lt;&gt;"")*(K$4:K$49=L$4:L$49)*1)</f>
        <v>1</v>
      </c>
      <c r="BR22" s="430">
        <f t="array" aca="1" ref="BR22" ca="1">SUM((I$4:I$49=AY22)*(N$4:N$49=BR21)*(K$4:K$49&lt;&gt;"")*(L$4:L$49&lt;&gt;"")*(K$4:K$49&gt;L$4:L$49)*3,(N$4:N$49=AY22)*(I$4:I$49=BR21)*(K$4:K$49&lt;&gt;"")*(L$4:L$49&lt;&gt;"")*(K$4:K$49=L$4:L$49)*1,(N$4:N$49=AY22)*(I$4:I$49=BR21)*(K$4:K$49&lt;&gt;"")*(L$4:L$49&lt;&gt;"")*(K$4:K$49&lt;L$4:L$49)*3,(I$4:I$49=AY22)*(N$4:N$49=BR21)*(K$4:K$49&lt;&gt;"")*(L$4:L$49&lt;&gt;"")*(K$4:K$49=L$4:L$49)*1)</f>
        <v>0</v>
      </c>
      <c r="BS22" s="430">
        <f t="array" aca="1" ref="BS22" ca="1">SUM((I$4:I$49=AY22)*(N$4:N$49=BS21)*(K$4:K$49&lt;&gt;"")*(L$4:L$49&lt;&gt;"")*(K$4:K$49&gt;L$4:L$49)*3,(N$4:N$49=AY22)*(I$4:I$49=BS21)*(K$4:K$49&lt;&gt;"")*(L$4:L$49&lt;&gt;"")*(K$4:K$49=L$4:L$49)*1,(N$4:N$49=AY22)*(I$4:I$49=BS21)*(K$4:K$49&lt;&gt;"")*(L$4:L$49&lt;&gt;"")*(K$4:K$49&lt;L$4:L$49)*3,(I$4:I$49=AY22)*(N$4:N$49=BS21)*(K$4:K$49&lt;&gt;"")*(L$4:L$49&lt;&gt;"")*(K$4:K$49=L$4:L$49)*1)</f>
        <v>0</v>
      </c>
      <c r="BT22" s="412">
        <v>1</v>
      </c>
      <c r="BU22" s="412">
        <f ca="1">RANK(BW22,$BW$22:$BW$25)</f>
        <v>4</v>
      </c>
      <c r="BV22" s="412" t="str">
        <f ca="1">A21</f>
        <v>Eslovenia</v>
      </c>
      <c r="BW22" s="412">
        <f ca="1">IF(AK22=0,-($AW$15*VLOOKUP(AI22,Tabla3[[NombreEquipo]:[Rank]],3,FALSE)),AJ22*$AW$5+BA22+AQ22*$AW$12+AO22*$AW$13-($AW$15*VLOOKUP(AI22,Tabla3[[NombreEquipo]:[Rank]],3,FALSE)/100))</f>
        <v>140966550499.91</v>
      </c>
      <c r="BX22" s="412" t="str">
        <f ca="1">VLOOKUP(Q22,$AH$22:$AI$25,2,0)</f>
        <v>Inglaterra</v>
      </c>
      <c r="BY22" s="412">
        <f ca="1">VLOOKUP($BX22,$AI$22:$AR$25,10,FALSE)</f>
        <v>1250656263499.8799</v>
      </c>
      <c r="CC22" s="426">
        <f ca="1">RANK(CE22,$CE$22:$CE$25)</f>
        <v>4</v>
      </c>
      <c r="CD22" s="426" t="str">
        <f ca="1">A21</f>
        <v>Eslovenia</v>
      </c>
      <c r="CE22" s="426">
        <f ca="1">IF(AK22=0,-($AW$15*VLOOKUP(AI22,Tabla3[[NombreEquipo]:[Rank]],3,FALSE)),AJ22*$AW$5+BA22+AQ22*$AW$12+AO22*$AW$13-($AW$15*VLOOKUP(AI22,Tabla3[[NombreEquipo]:[Rank]],3,FALSE)/100))</f>
        <v>140966550499.91</v>
      </c>
      <c r="CF22" s="426">
        <f ca="1">IF(AK22=0,-($AW$15*VLOOKUP(AI22,Tabla3[[NombreEquipo]:[Rank]],3,FALSE)),AJ22*$AW$5+BA22+AQ22*$AW$12+AO22*$AW$13)</f>
        <v>140966550500</v>
      </c>
      <c r="CG22" s="426">
        <v>1</v>
      </c>
      <c r="CH22" s="426" t="str">
        <f ca="1">VLOOKUP(CG22,$CC$22:$CD$25,2,0)</f>
        <v>Inglaterra</v>
      </c>
      <c r="CI22" s="426">
        <f ca="1">VLOOKUP(CG22,$CC$22:$CF$25,4,0)</f>
        <v>1250656263500</v>
      </c>
      <c r="CJ22" s="426">
        <f ca="1">COUNTIF($CI$22:$CI$25,CI22)</f>
        <v>1</v>
      </c>
      <c r="CK22" s="426" t="str">
        <f t="shared" ref="CK22" ca="1" si="17">CJ22&amp;CJ23&amp;CJ24&amp;CJ25</f>
        <v>1111</v>
      </c>
      <c r="CL22" s="426">
        <f ca="1">HLOOKUP(CK22,$CW$3:$DD$4,2,0)</f>
        <v>8</v>
      </c>
      <c r="CM22" s="426">
        <v>1</v>
      </c>
      <c r="CN22" s="426">
        <f ca="1">HLOOKUP(CL22,$CW$4:$DD$9,3,0)</f>
        <v>1</v>
      </c>
      <c r="CP22" s="426" cm="1">
        <f t="array" aca="1" ref="CP22" ca="1">OFFSET($DF$4,1,MATCH($CN22,$DG$4:$DP$4,0),HLOOKUP($CN22,$DG$4:$DP$9,6,0),1)</f>
        <v>1</v>
      </c>
      <c r="CQ22" s="426" cm="1">
        <f t="array" aca="1" ref="CQ22" ca="1">OFFSET($DF$4,1,MATCH($CN23,$DG$4:$DP$4,0),HLOOKUP($CN23,$DG$4:$DP$9,6,0),1)</f>
        <v>2</v>
      </c>
      <c r="CR22" s="426" cm="1">
        <f t="array" aca="1" ref="CR22" ca="1">OFFSET($DF$4,1,MATCH($CN24,$DG$4:$DP$4,0),HLOOKUP($CN24,$DG$4:$DP$9,6,0),1)</f>
        <v>3</v>
      </c>
      <c r="CS22" s="426" cm="1">
        <f t="array" aca="1" ref="CS22" ca="1">OFFSET($DF$4,1,MATCH($CN25,$DG$4:$DP$4,0),HLOOKUP($CN25,$DG$4:$DP$9,6,0),1)</f>
        <v>4</v>
      </c>
      <c r="DA22" s="412"/>
      <c r="DB22" s="412"/>
      <c r="DC22" s="412"/>
      <c r="DD22" s="412"/>
      <c r="DE22" s="412"/>
      <c r="DF22" s="412"/>
      <c r="DG22" s="412"/>
      <c r="DH22" s="412"/>
      <c r="DI22" s="412"/>
      <c r="DJ22" s="412"/>
      <c r="EG22" s="430">
        <f ca="1">RANK(EH22,EH22:EH25,1)</f>
        <v>3</v>
      </c>
      <c r="EH22" s="426">
        <f ca="1">SUM(IF(AND(AJ22=AJ23,BC22=BC23,BI22=BI23,BO22=BO23),BE22,0),IF(AND(AJ22=AJ24,BC22=BC24,BI22=BI24,BO22=BO24),BF22,0),IF(AND(AJ22=AJ25,BC22=BC25,BI22=BI25,BO22=BO25),BG22,0))</f>
        <v>1</v>
      </c>
      <c r="EI22" s="430">
        <f ca="1">RANK(EJ22,EJ22:EJ25,1)</f>
        <v>1</v>
      </c>
      <c r="EJ22" s="426">
        <f ca="1">SUM(IF(AND(AJ22=AJ23,BC22=BC23,BI22=BI23,BO22=BO23),BK22,0),IF(AND(AJ22=AJ24,BC22=BC24,BI22=BI24,BO22=BO24),BL22,0),IF(AND(AJ22=AJ25,BC22=BC25,BI22=BI25,BO22=BO25),BM22,0))</f>
        <v>0</v>
      </c>
      <c r="EK22" s="430">
        <f ca="1">RANK(EL22,EL22:EL25,1)</f>
        <v>3</v>
      </c>
      <c r="EL22" s="426">
        <f ca="1">SUM(IF(AND(AJ22=AJ23,BC22=BC23,BI22=BI23,BO22=BO23),BQ22,0),IF(AND(AJ22=AJ24,BC22=BC24,BI22=BI24,BO22=BO24),BR22,0),IF(AND(AJ22=AJ25,BC22=BC25,BI22=BI25,BO22=BO25),BS22,0))</f>
        <v>1</v>
      </c>
    </row>
    <row r="23" spans="1:142" x14ac:dyDescent="0.3">
      <c r="A23" s="370" t="str">
        <f t="array" aca="1" ref="A23" ca="1">IF(ROWS(A$21:A23)&lt;=$C$20,INDEX(INDIRECT(A$20),SMALL(IF(Nivell=$B$20,ROW(Nivell)-ROW(Equipos!$C$2)+1),ROWS(B$20:B22))),"")</f>
        <v>Serbia</v>
      </c>
      <c r="B23" s="371"/>
      <c r="C23" s="189"/>
      <c r="D23" s="170"/>
      <c r="E23" s="811"/>
      <c r="F23" s="26">
        <f>Horarios!C23</f>
        <v>45463.75</v>
      </c>
      <c r="G23" s="27">
        <f>Horarios!C23</f>
        <v>45463.75</v>
      </c>
      <c r="H23" s="26" t="str">
        <f>$H$6</f>
        <v>J2</v>
      </c>
      <c r="I23" s="28" t="str">
        <f ca="1">A22</f>
        <v>Dinamarca</v>
      </c>
      <c r="J23" s="29" t="str">
        <f ca="1">VLOOKUP(I23,Equipos!$K$2:$M$56,3,0)</f>
        <v>🇩🇰</v>
      </c>
      <c r="K23" s="30">
        <v>0</v>
      </c>
      <c r="L23" s="30">
        <v>2</v>
      </c>
      <c r="M23" s="31" t="str">
        <f ca="1">VLOOKUP(N23,Equipos!$K$2:$M$56,3,0)</f>
        <v>🏴󠁧󠁢󠁥󠁮󠁧󠁿</v>
      </c>
      <c r="N23" s="70" t="str">
        <f ca="1">A24</f>
        <v>Inglaterra</v>
      </c>
      <c r="O23" s="98">
        <f t="shared" si="15"/>
        <v>1</v>
      </c>
      <c r="P23" s="95"/>
      <c r="Q23" s="160">
        <v>2</v>
      </c>
      <c r="R23" s="5" t="str">
        <f ca="1">VLOOKUP(Q23,$AG$22:$AI$25,3,0)</f>
        <v>Serbia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2</v>
      </c>
      <c r="Z23" s="161">
        <f ca="1">VLOOKUP($R23,$AI$22:$AR$25,9,FALSE)</f>
        <v>2</v>
      </c>
      <c r="AA23" s="86">
        <f ca="1">IF(SUM($AK$22:$AK$25)=12,MIN(ABS(BY22-BY23),ABS(BY23-BY24)),100)</f>
        <v>416625041499.98987</v>
      </c>
      <c r="AB23" s="109" t="str">
        <f ca="1">IF(AND(AA23&gt;=0,AA23&lt;90),VLOOKUP(Q23,$BU$22:$BV$25,2,0),"")</f>
        <v/>
      </c>
      <c r="AC23" s="85"/>
      <c r="AD23" s="86"/>
      <c r="AE23" s="83"/>
      <c r="AF23" s="427"/>
      <c r="AG23" s="426">
        <f ca="1">RANK(AU23,$AU$22:$AU$25)</f>
        <v>3</v>
      </c>
      <c r="AH23" s="426">
        <f ca="1">RANK(AR23,$AR$22:$AR$25)</f>
        <v>3</v>
      </c>
      <c r="AI23" s="412" t="str">
        <f ca="1">A22</f>
        <v>Dinamarca</v>
      </c>
      <c r="AJ23" s="426">
        <f ca="1">AL23*3+AM23*1+AN23*0</f>
        <v>1</v>
      </c>
      <c r="AK23" s="426">
        <f ca="1">COUNTIFS($I$4:$I$49,AI23,$K$4:$K$49,"&lt;&gt;",$L$4:$L$49,"&lt;&gt;")+COUNTIFS($N$4:$N$49,AI23,$L$4:$L$49,"&lt;&gt;",$K$4:$K$49,"&lt;&gt;")</f>
        <v>3</v>
      </c>
      <c r="AL23" s="426">
        <f t="array" aca="1" ref="AL23" ca="1">SUM(($I$4:$I$49=AI23)*($K$4:$K$49&lt;&gt;"")*($L$4:$L$49&lt;&gt;"")*($K$4:$K$49&gt;$L$4:$L$49),($N$4:$N$49=AI23)*($K$4:$K$49&lt;&gt;"")*($L$4:$L$49&lt;&gt;"")*($K$4:$K$49&lt;$L$4:$L$49))</f>
        <v>0</v>
      </c>
      <c r="AM23" s="426">
        <f t="array" aca="1" ref="AM23" ca="1">SUM(($I$4:$I$49=AI23)*($K$4:$K$49&lt;&gt;"")*($L$4:$L$49&lt;&gt;"")*($K$4:$K$49=$L$4:$L$49),($N$4:$N$49=AI23)*($K$4:$K$49&lt;&gt;"")*($L$4:$L$49&lt;&gt;"")*($K$4:$K$49=$L$4:$L$49))</f>
        <v>1</v>
      </c>
      <c r="AN23" s="426">
        <f t="array" aca="1" ref="AN23" ca="1">SUM(($I$4:$I$49=AI23)*($L$4:$L$49&lt;&gt;"")*($K$4:$K$49&lt;&gt;"")*($K$4:$K$49&lt;$L$4:$L$49),($K$4:$K$49&lt;&gt;"")*($N$4:$N$49=AI23)*($L$4:$L$49&lt;&gt;"")*($K$4:$K$49&gt;$L$4:$L$49))</f>
        <v>2</v>
      </c>
      <c r="AO23" s="426">
        <f t="array" aca="1" ref="AO23" ca="1">SUMIFS($K$4:$K$49,$I$4:$I$49,AI23,$K$4:$K$49,"&lt;&gt;",$L$4:$L$49,"&lt;&gt;")+SUMIFS($L$4:$L$49,$N$4:$N$49,AI23,$K$4:$K$49,"&lt;&gt;",$L$4:$L$49,"&lt;&gt;")</f>
        <v>1</v>
      </c>
      <c r="AP23" s="426">
        <f t="array" aca="1" ref="AP23" ca="1">SUMIFS($K$4:$K$49,$N$4:$N$49,AI23,$K$4:$K$49,"&lt;&gt;",$L$4:$L$49,"&lt;&gt;")+SUMIFS($L$4:$L$49,$I$4:$I$49,AI23,$K$4:$K$49,"&lt;&gt;",$L$4:$L$49,"&lt;&gt;")</f>
        <v>4</v>
      </c>
      <c r="AQ23" s="426">
        <f ca="1">AO23-AP23</f>
        <v>-3</v>
      </c>
      <c r="AR23" s="426">
        <f ca="1">IF(AK23=0,-($AW$15*VLOOKUP(AI23,Tabla3[[NombreEquipo]:[Rank]],3,FALSE)),AJ23*$AW$5+BA23+AQ23*$AW$12+AO23*$AW$13-($AW$15*VLOOKUP(AI23,Tabla3[[NombreEquipo]:[Rank]],3,FALSE)/100))</f>
        <v>140966570499.89999</v>
      </c>
      <c r="AS23" s="426">
        <f ca="1">AH23</f>
        <v>3</v>
      </c>
      <c r="AT23" s="426"/>
      <c r="AU23" s="426">
        <f ca="1">IFERROR(AR23-VLOOKUP(AI23,$AB$22:$AC$25,2,0),AR23)</f>
        <v>140966570499.89999</v>
      </c>
      <c r="AV23" s="426"/>
      <c r="AW23" s="429"/>
      <c r="AX23" s="426"/>
      <c r="AY23" s="434" t="str">
        <f ca="1">AI23</f>
        <v>Dinamarca</v>
      </c>
      <c r="AZ23" s="426">
        <f ca="1">COUNTIF(AJ22:AJ25,AJ23)</f>
        <v>2</v>
      </c>
      <c r="BA23" s="426">
        <f ca="1">(BB23*$AW$8)+(BH23*$AW$7)+(BN23*$AW$6)+(EG23*$AW$11)+(EI23*$AW$10)+(EK23*$AW$9)</f>
        <v>2091600000</v>
      </c>
      <c r="BB23" s="430">
        <f ca="1">RANK(BC23,BC22:BC25,1)</f>
        <v>3</v>
      </c>
      <c r="BC23" s="430">
        <f ca="1">SUM(IF(AND(AJ23=AJ24),BF23,0),IF(AND(AJ23=AJ25),BG23,0),IF(AND(AJ23=AJ22),BD23,0))</f>
        <v>1</v>
      </c>
      <c r="BD23" s="430">
        <f t="array" aca="1" ref="BD23" ca="1">SUMIFS($K$20:$K$25,$I$20:$I$25,$AY23,$K$20:$K$25,"&lt;&gt;",$L$20:$L$25,"&lt;&gt;",$N$20:$N$25,BD21)+SUMIFS($L$20:$L$25,$I$20:$I$25,BD21,$K$20:$K$25,"&lt;&gt;",$L$20:$L$25,"&lt;&gt;",$N$20:$N$25,$AY23)</f>
        <v>1</v>
      </c>
      <c r="BE23" s="430">
        <v>0</v>
      </c>
      <c r="BF23" s="430">
        <f t="array" aca="1" ref="BF23" ca="1">SUMIFS($K$20:$K$25,$I$20:$I$25,$AY23,$K$20:$K$25,"&lt;&gt;",$L$20:$L$25,"&lt;&gt;",$N$20:$N$25,BF21)+SUMIFS($L$20:$L$25,$I$20:$I$25,BF21,$K$20:$K$25,"&lt;&gt;",$L$20:$L$25,"&lt;&gt;",$N$20:$N$25,$AY23)</f>
        <v>0</v>
      </c>
      <c r="BG23" s="430">
        <f t="array" aca="1" ref="BG23" ca="1">SUMIFS($K$20:$K$25,$I$20:$I$25,$AY23,$K$20:$K$25,"&lt;&gt;",$L$20:$L$25,"&lt;&gt;",$N$20:$N$25,BG21)+SUMIFS($L$20:$L$25,$I$20:$I$25,BG21,$K$20:$K$25,"&lt;&gt;",$L$20:$L$25,"&lt;&gt;",$N$20:$N$25,$AY23)</f>
        <v>0</v>
      </c>
      <c r="BH23" s="430">
        <f ca="1">RANK(BI23,BI22:BI25,1)</f>
        <v>1</v>
      </c>
      <c r="BI23" s="430">
        <f ca="1">SUM(IF(AND(AJ23=AJ24),BL23,0),IF(AND(AJ23=AJ25),BM23,0),IF(AND(AJ23=AJ22),BJ23,0))</f>
        <v>0</v>
      </c>
      <c r="BJ23" s="430">
        <f ca="1">BD23-BE22</f>
        <v>0</v>
      </c>
      <c r="BK23" s="430">
        <v>0</v>
      </c>
      <c r="BL23" s="430">
        <f ca="1">BF23-BE24</f>
        <v>-1</v>
      </c>
      <c r="BM23" s="430">
        <f ca="1">BG23-BE25</f>
        <v>-2</v>
      </c>
      <c r="BN23" s="430">
        <f ca="1">RANK(BO23,BO22:BO25,1)</f>
        <v>3</v>
      </c>
      <c r="BO23" s="430">
        <f ca="1">SUM(IF(AND(AJ23=AJ24),BR23,0),IF(AND(AJ23=AJ25),BS23,0),IF(AND(AJ23=AJ22),BP23,0))</f>
        <v>1</v>
      </c>
      <c r="BP23" s="430">
        <f t="array" aca="1" ref="BP23" ca="1">SUM((I$4:I$49=AY23)*(N$4:N$49=BP21)*(K$4:K$49&lt;&gt;"")*(L$4:L$49&lt;&gt;"")*(K$4:K$49&gt;L$4:L$49)*3,(N$4:N$49=AY23)*(I$4:I$49=BP21)*(K$4:K$49&lt;&gt;"")*(L$4:L$49&lt;&gt;"")*(K$4:K$49=L$4:L$49)*1,(N$4:N$49=AY23)*(I$4:I$49=BP21)*(K$4:K$49&lt;&gt;"")*(L$4:L$49&lt;&gt;"")*(K$4:K$49&lt;L$4:L$49)*3,(I$4:I$49=AY23)*(N$4:N$49=BP21)*(K$4:K$49&lt;&gt;"")*(L$4:L$49&lt;&gt;"")*(K$4:K$49=L$4:L$49)*1)</f>
        <v>1</v>
      </c>
      <c r="BQ23" s="430">
        <v>0</v>
      </c>
      <c r="BR23" s="430">
        <f t="array" aca="1" ref="BR23" ca="1">SUM((I$4:I$49=AY23)*(N$4:N$49=BR21)*(K$4:K$49&lt;&gt;"")*(L$4:L$49&lt;&gt;"")*(K$4:K$49&gt;L$4:L$49)*3,(N$4:N$49=AY23)*(I$4:I$49=BR21)*(K$4:K$49&lt;&gt;"")*(L$4:L$49&lt;&gt;"")*(K$4:K$49=L$4:L$49)*1,(N$4:N$49=AY23)*(I$4:I$49=BR21)*(K$4:K$49&lt;&gt;"")*(L$4:L$49&lt;&gt;"")*(K$4:K$49&lt;L$4:L$49)*3,(I$4:I$49=AY23)*(N$4:N$49=BR21)*(K$4:K$49&lt;&gt;"")*(L$4:L$49&lt;&gt;"")*(K$4:K$49=L$4:L$49)*1)</f>
        <v>0</v>
      </c>
      <c r="BS23" s="430">
        <f t="array" aca="1" ref="BS23" ca="1">SUM((I$4:I$49=AY23)*(N$4:N$49=BS21)*(K$4:K$49&lt;&gt;"")*(L$4:L$49&lt;&gt;"")*(K$4:K$49&gt;L$4:L$49)*3,(N$4:N$49=AY23)*(I$4:I$49=BS21)*(K$4:K$49&lt;&gt;"")*(L$4:L$49&lt;&gt;"")*(K$4:K$49=L$4:L$49)*1,(N$4:N$49=AY23)*(I$4:I$49=BS21)*(K$4:K$49&lt;&gt;"")*(L$4:L$49&lt;&gt;"")*(K$4:K$49&lt;L$4:L$49)*3,(I$4:I$49=AY23)*(N$4:N$49=BS21)*(K$4:K$49&lt;&gt;"")*(L$4:L$49&lt;&gt;"")*(K$4:K$49=L$4:L$49)*1)</f>
        <v>0</v>
      </c>
      <c r="BT23" s="412">
        <v>2</v>
      </c>
      <c r="BU23" s="412">
        <f ca="1">RANK(BW23,$BW$22:$BW$25)</f>
        <v>3</v>
      </c>
      <c r="BV23" s="412" t="str">
        <f ca="1">A22</f>
        <v>Dinamarca</v>
      </c>
      <c r="BW23" s="412">
        <f ca="1">IF(AK23=0,-($AW$15*VLOOKUP(AI23,Tabla3[[NombreEquipo]:[Rank]],3,FALSE)),AJ23*$AW$5+BA23+AQ23*$AW$12+AO23*$AW$13-($AW$15*VLOOKUP(AI23,Tabla3[[NombreEquipo]:[Rank]],3,FALSE)/100))</f>
        <v>140966570499.89999</v>
      </c>
      <c r="BX23" s="412" t="str">
        <f ca="1">VLOOKUP(Q23,$AH$22:$AI$25,2,0)</f>
        <v>Serbia</v>
      </c>
      <c r="BY23" s="412">
        <f ca="1">VLOOKUP($BX23,$AI$22:$AR$25,10,FALSE)</f>
        <v>834031221999.89001</v>
      </c>
      <c r="CC23" s="426">
        <f t="shared" ref="CC23:CC25" ca="1" si="18">RANK(CE23,$CE$22:$CE$25)</f>
        <v>3</v>
      </c>
      <c r="CD23" s="426" t="str">
        <f ca="1">A22</f>
        <v>Dinamarca</v>
      </c>
      <c r="CE23" s="426">
        <f ca="1">IF(AK23=0,-($AW$15*VLOOKUP(AI23,Tabla3[[NombreEquipo]:[Rank]],3,FALSE)),AJ23*$AW$5+BA23+AQ23*$AW$12+AO23*$AW$13-($AW$15*VLOOKUP(AI23,Tabla3[[NombreEquipo]:[Rank]],3,FALSE)/100))</f>
        <v>140966570499.89999</v>
      </c>
      <c r="CF23" s="426">
        <f ca="1">IF(AK23=0,-($AW$15*VLOOKUP(AI23,Tabla3[[NombreEquipo]:[Rank]],3,FALSE)),AJ23*$AW$5+BA23+AQ23*$AW$12+AO23*$AW$13)</f>
        <v>140966570500</v>
      </c>
      <c r="CG23" s="426">
        <v>2</v>
      </c>
      <c r="CH23" s="426" t="str">
        <f t="shared" ref="CH23:CH25" ca="1" si="19">VLOOKUP(CG23,$CC$22:$CD$25,2,0)</f>
        <v>Serbia</v>
      </c>
      <c r="CI23" s="426">
        <f t="shared" ref="CI23:CI25" ca="1" si="20">VLOOKUP(CG23,$CC$22:$CF$25,4,0)</f>
        <v>834031222000</v>
      </c>
      <c r="CJ23" s="426">
        <f t="shared" ref="CJ23:CJ25" ca="1" si="21">COUNTIF($CI$22:$CI$25,CI23)</f>
        <v>1</v>
      </c>
      <c r="CM23" s="426">
        <v>2</v>
      </c>
      <c r="CN23" s="426">
        <f ca="1">HLOOKUP(CL22,$CW$4:$DD$9,4,0)</f>
        <v>2</v>
      </c>
      <c r="DA23" s="412"/>
      <c r="DB23" s="412"/>
      <c r="DC23" s="412"/>
      <c r="DD23" s="412"/>
      <c r="DE23" s="412"/>
      <c r="DF23" s="412"/>
      <c r="DG23" s="412"/>
      <c r="DH23" s="412"/>
      <c r="DI23" s="412"/>
      <c r="DJ23" s="412"/>
      <c r="EG23" s="430">
        <f ca="1">RANK(EH23,EH22:EH25,1)</f>
        <v>3</v>
      </c>
      <c r="EH23" s="426">
        <f ca="1">SUM(IF(AND(AJ23=AJ24,BC23=BC24,BI23=BI24,BO23=BO24),BF23,0),IF(AND(AJ23=AJ25,BC23=BC25,BI23=BI25,BO23=BO25),BG23,0),IF(AND(AJ23=AJ22,BC23=BC22,BI23=BI22,BO23=BO22),BD23,0))</f>
        <v>1</v>
      </c>
      <c r="EI23" s="430">
        <f ca="1">RANK(EJ23,EJ22:EJ25,1)</f>
        <v>1</v>
      </c>
      <c r="EJ23" s="426">
        <f ca="1">SUM(IF(AND(AJ23=AJ24,BC23=BC24,BI23=BI24,BO23=BO24),BL23,0),IF(AND(AJ23=AJ25,BC23=BC25,BI23=BI25,BO23=BO25),BM23,0),IF(AND(AJ23=AJ22,BC23=BC22,BI23=BI22,BO23=BO22),BJ23,0))</f>
        <v>0</v>
      </c>
      <c r="EK23" s="430">
        <f ca="1">RANK(EL23,EL22:EL25,1)</f>
        <v>3</v>
      </c>
      <c r="EL23" s="426">
        <f ca="1">SUM(IF(AND(AJ23=AJ24,BC23=BC24,BI23=BI24,BO23=BO24),BR23,0),IF(AND(AJ23=AJ25,BC23=BC25,BI23=BI25,BO23=BO25),BS23,0),IF(AND(AJ23=AJ22,BC23=BC22,BI23=BI22,BO23=BO22),BP23,0))</f>
        <v>1</v>
      </c>
    </row>
    <row r="24" spans="1:142" x14ac:dyDescent="0.3">
      <c r="A24" s="370" t="str">
        <f t="array" aca="1" ref="A24" ca="1">IF(ROWS(A$21:A24)&lt;=$C$20,INDEX(INDIRECT(A$20),SMALL(IF(Nivell=$B$20,ROW(Nivell)-ROW(Equipos!$C$2)+1),ROWS(B$20:B23))),"")</f>
        <v>Inglaterra</v>
      </c>
      <c r="B24" s="371"/>
      <c r="C24" s="189"/>
      <c r="D24" s="170"/>
      <c r="E24" s="811"/>
      <c r="F24" s="26">
        <f>Horarios!C24</f>
        <v>45468.875</v>
      </c>
      <c r="G24" s="27">
        <f>Horarios!C24</f>
        <v>45468.875</v>
      </c>
      <c r="H24" s="26" t="str">
        <f>$H$8</f>
        <v>J3</v>
      </c>
      <c r="I24" s="28" t="str">
        <f ca="1">A24</f>
        <v>Inglaterra</v>
      </c>
      <c r="J24" s="29" t="str">
        <f ca="1">VLOOKUP(I24,Equipos!$K$2:$M$56,3,0)</f>
        <v>🏴󠁧󠁢󠁥󠁮󠁧󠁿</v>
      </c>
      <c r="K24" s="30">
        <v>3</v>
      </c>
      <c r="L24" s="30">
        <v>0</v>
      </c>
      <c r="M24" s="31" t="str">
        <f ca="1">VLOOKUP(N24,Equipos!$K$2:$M$56,3,0)</f>
        <v>🇸🇮</v>
      </c>
      <c r="N24" s="70" t="str">
        <f ca="1">A21</f>
        <v>Eslovenia</v>
      </c>
      <c r="O24" s="98">
        <f t="shared" si="15"/>
        <v>1</v>
      </c>
      <c r="P24" s="95"/>
      <c r="Q24" s="160">
        <v>3</v>
      </c>
      <c r="R24" s="5" t="str">
        <f ca="1">VLOOKUP(Q24,$AG$22:$AI$25,3,0)</f>
        <v>Dinamarca</v>
      </c>
      <c r="S24" s="4">
        <f ca="1">VLOOKUP(R24,$AI$22:$AR$25,2,FALSE)</f>
        <v>1</v>
      </c>
      <c r="T24" s="4">
        <f ca="1">VLOOKUP($R24,$AI$22:$AR$25,3,FALSE)</f>
        <v>3</v>
      </c>
      <c r="U24" s="4">
        <f ca="1">VLOOKUP($R24,$AI$22:$AR$25,4,FALSE)</f>
        <v>0</v>
      </c>
      <c r="V24" s="4">
        <f ca="1">VLOOKUP($R24,$AI$22:$AR$25,5,FALSE)</f>
        <v>1</v>
      </c>
      <c r="W24" s="4">
        <f ca="1">VLOOKUP($R24,$AI$22:$AR$25,6,FALSE)</f>
        <v>2</v>
      </c>
      <c r="X24" s="4">
        <f ca="1">VLOOKUP($R24,$AI$22:$AR$25,7,FALSE)</f>
        <v>1</v>
      </c>
      <c r="Y24" s="4">
        <f ca="1">VLOOKUP($R24,$AI$22:$AR$25,8,FALSE)</f>
        <v>4</v>
      </c>
      <c r="Z24" s="161">
        <f ca="1">VLOOKUP($R24,$AI$22:$AR$25,9,FALSE)</f>
        <v>-3</v>
      </c>
      <c r="AA24" s="86">
        <f ca="1">IF(SUM($AK$22:$AK$25)=12,MIN(ABS(BY23-BY24),ABS(BY24-BY25)),100)</f>
        <v>19999.989990234375</v>
      </c>
      <c r="AB24" s="109" t="str">
        <f ca="1">IF(AND(AA24&gt;=0,AA24&lt;90),VLOOKUP(Q24,$BU$22:$BV$25,2,0),"")</f>
        <v/>
      </c>
      <c r="AC24" s="85"/>
      <c r="AD24" s="86"/>
      <c r="AE24" s="83"/>
      <c r="AF24" s="427"/>
      <c r="AG24" s="426">
        <f ca="1">RANK(AU24,$AU$22:$AU$25)</f>
        <v>2</v>
      </c>
      <c r="AH24" s="426">
        <f ca="1">RANK(AR24,$AR$22:$AR$25)</f>
        <v>2</v>
      </c>
      <c r="AI24" s="412" t="str">
        <f ca="1">A23</f>
        <v>Serbia</v>
      </c>
      <c r="AJ24" s="426">
        <f ca="1">AL24*3+AM24*1+AN24*0</f>
        <v>6</v>
      </c>
      <c r="AK24" s="426">
        <f ca="1">COUNTIFS($I$4:$I$49,AI24,$K$4:$K$49,"&lt;&gt;",$L$4:$L$49,"&lt;&gt;")+COUNTIFS($N$4:$N$49,AI24,$L$4:$L$49,"&lt;&gt;",$K$4:$K$49,"&lt;&gt;")</f>
        <v>3</v>
      </c>
      <c r="AL24" s="426">
        <f t="array" aca="1" ref="AL24" ca="1">SUM(($I$4:$I$49=AI24)*($K$4:$K$49&lt;&gt;"")*($L$4:$L$49&lt;&gt;"")*($K$4:$K$49&gt;$L$4:$L$49),($N$4:$N$49=AI24)*($K$4:$K$49&lt;&gt;"")*($L$4:$L$49&lt;&gt;"")*($K$4:$K$49&lt;$L$4:$L$49))</f>
        <v>2</v>
      </c>
      <c r="AM24" s="426">
        <f t="array" aca="1" ref="AM24" ca="1">SUM(($I$4:$I$49=AI24)*($K$4:$K$49&lt;&gt;"")*($L$4:$L$49&lt;&gt;"")*($K$4:$K$49=$L$4:$L$49),($N$4:$N$49=AI24)*($K$4:$K$49&lt;&gt;"")*($L$4:$L$49&lt;&gt;"")*($K$4:$K$49=$L$4:$L$49))</f>
        <v>0</v>
      </c>
      <c r="AN24" s="426">
        <f t="array" aca="1" ref="AN24" ca="1">SUM(($I$4:$I$49=AI24)*($L$4:$L$49&lt;&gt;"")*($K$4:$K$49&lt;&gt;"")*($K$4:$K$49&lt;$L$4:$L$49),($K$4:$K$49&lt;&gt;"")*($N$4:$N$49=AI24)*($L$4:$L$49&lt;&gt;"")*($K$4:$K$49&gt;$L$4:$L$49))</f>
        <v>1</v>
      </c>
      <c r="AO24" s="426">
        <f t="array" aca="1" ref="AO24" ca="1">SUMIFS($K$4:$K$49,$I$4:$I$49,AI24,$K$4:$K$49,"&lt;&gt;",$L$4:$L$49,"&lt;&gt;")+SUMIFS($L$4:$L$49,$N$4:$N$49,AI24,$K$4:$K$49,"&lt;&gt;",$L$4:$L$49,"&lt;&gt;")</f>
        <v>4</v>
      </c>
      <c r="AP24" s="426">
        <f t="array" aca="1" ref="AP24" ca="1">SUMIFS($K$4:$K$49,$N$4:$N$49,AI24,$K$4:$K$49,"&lt;&gt;",$L$4:$L$49,"&lt;&gt;")+SUMIFS($L$4:$L$49,$I$4:$I$49,AI24,$K$4:$K$49,"&lt;&gt;",$L$4:$L$49,"&lt;&gt;")</f>
        <v>2</v>
      </c>
      <c r="AQ24" s="426">
        <f ca="1">AO24-AP24</f>
        <v>2</v>
      </c>
      <c r="AR24" s="426">
        <f ca="1">IF(AK24=0,-($AW$15*VLOOKUP(AI24,Tabla3[[NombreEquipo]:[Rank]],3,FALSE)),AJ24*$AW$5+BA24+AQ24*$AW$12+AO24*$AW$13-($AW$15*VLOOKUP(AI24,Tabla3[[NombreEquipo]:[Rank]],3,FALSE)/100))</f>
        <v>834031221999.89001</v>
      </c>
      <c r="AS24" s="426">
        <f ca="1">AH24</f>
        <v>2</v>
      </c>
      <c r="AT24" s="426"/>
      <c r="AU24" s="426">
        <f ca="1">IFERROR(AR24-VLOOKUP(AI24,$AB$22:$AC$25,2,0),AR24)</f>
        <v>834031221999.89001</v>
      </c>
      <c r="AV24" s="426"/>
      <c r="AW24" s="429"/>
      <c r="AX24" s="426"/>
      <c r="AY24" s="434" t="str">
        <f ca="1">AI24</f>
        <v>Serbia</v>
      </c>
      <c r="AZ24" s="426">
        <f ca="1">COUNTIF(AJ22:AJ25,AJ24)</f>
        <v>1</v>
      </c>
      <c r="BA24" s="426">
        <f ca="1">(BB24*$AW$8)+(BH24*$AW$7)+(BN24*$AW$6)+(EG24*$AW$11)+(EI24*$AW$10)+(EK24*$AW$9)</f>
        <v>781200000</v>
      </c>
      <c r="BB24" s="430">
        <f ca="1">RANK(BC24,BC22:BC25,1)</f>
        <v>1</v>
      </c>
      <c r="BC24" s="430">
        <f ca="1">SUM(IF(AND(AJ24=AJ25),BG24,0),IF(AND(AJ24=AJ22),BD24,0),IF(AND(AJ24=AJ23),BE24,0))</f>
        <v>0</v>
      </c>
      <c r="BD24" s="430">
        <f t="array" aca="1" ref="BD24" ca="1">SUMIFS($K$20:$K$25,$I$20:$I$25,$AY24,$K$20:$K$25,"&lt;&gt;",$L$20:$L$25,"&lt;&gt;",$N$20:$N$25,BD21)+SUMIFS($L$20:$L$25,$I$20:$I$25,BD21,$K$20:$K$25,"&lt;&gt;",$L$20:$L$25,"&lt;&gt;",$N$20:$N$25,$AY24)</f>
        <v>2</v>
      </c>
      <c r="BE24" s="430">
        <f t="array" aca="1" ref="BE24" ca="1">SUMIFS($K$20:$K$25,$I$20:$I$25,$AY24,$K$20:$K$25,"&lt;&gt;",$L$20:$L$25,"&lt;&gt;",$N$20:$N$25,BE21)+SUMIFS($L$20:$L$25,$I$20:$I$25,BE21,$K$20:$K$25,"&lt;&gt;",$L$20:$L$25,"&lt;&gt;",$N$20:$N$25,$AY24)</f>
        <v>1</v>
      </c>
      <c r="BF24" s="430">
        <v>0</v>
      </c>
      <c r="BG24" s="430">
        <f t="array" aca="1" ref="BG24" ca="1">SUMIFS($K$20:$K$25,$I$20:$I$25,$AY24,$K$20:$K$25,"&lt;&gt;",$L$20:$L$25,"&lt;&gt;",$N$20:$N$25,BG21)+SUMIFS($L$20:$L$25,$I$20:$I$25,BG21,$K$20:$K$25,"&lt;&gt;",$L$20:$L$25,"&lt;&gt;",$N$20:$N$25,$AY24)</f>
        <v>1</v>
      </c>
      <c r="BH24" s="430">
        <f ca="1">RANK(BI24,BI22:BI25,1)</f>
        <v>1</v>
      </c>
      <c r="BI24" s="430">
        <f ca="1">SUM(IF(AND(AJ24=AJ25),BM24,0),IF(AND(AJ24=AJ22),BJ24,0),IF(AND(AJ24=AJ23),BK24,0))</f>
        <v>0</v>
      </c>
      <c r="BJ24" s="430">
        <f ca="1">BD24-BF22</f>
        <v>2</v>
      </c>
      <c r="BK24" s="430">
        <f ca="1">BE24-BF23</f>
        <v>1</v>
      </c>
      <c r="BL24" s="430">
        <v>0</v>
      </c>
      <c r="BM24" s="430">
        <f ca="1">BG24-BF25</f>
        <v>-1</v>
      </c>
      <c r="BN24" s="430">
        <f ca="1">RANK(BO24,BO22:BO25,1)</f>
        <v>1</v>
      </c>
      <c r="BO24" s="430">
        <f ca="1">SUM(IF(AND(AJ24=AJ25),BS24,0),IF(AND(AJ24=AJ22),BP24,0),IF(AND(AJ24=AJ23),BQ24,0))</f>
        <v>0</v>
      </c>
      <c r="BP24" s="430">
        <f t="array" aca="1" ref="BP24" ca="1">SUM((I$4:I$49=AY24)*(N$4:N$49=BP21)*(K$4:K$49&lt;&gt;"")*(L$4:L$49&lt;&gt;"")*(K$4:K$49&gt;L$4:L$49)*3,(N$4:N$49=AY24)*(I$4:I$49=BP21)*(K$4:K$49&lt;&gt;"")*(L$4:L$49&lt;&gt;"")*(K$4:K$49=L$4:L$49)*1,(N$4:N$49=AY24)*(I$4:I$49=BP21)*(K$4:K$49&lt;&gt;"")*(L$4:L$49&lt;&gt;"")*(K$4:K$49&lt;L$4:L$49)*3,(I$4:I$49=AY24)*(N$4:N$49=BP21)*(K$4:K$49&lt;&gt;"")*(L$4:L$49&lt;&gt;"")*(K$4:K$49=L$4:L$49)*1)</f>
        <v>3</v>
      </c>
      <c r="BQ24" s="430">
        <f t="array" aca="1" ref="BQ24" ca="1">SUM((I$4:I$49=AY24)*(N$4:N$49=BQ21)*(K$4:K$49&lt;&gt;"")*(L$4:L$49&lt;&gt;"")*(K$4:K$49&gt;L$4:L$49)*3,(N$4:N$49=AY24)*(I$4:I$49=BQ21)*(K$4:K$49&lt;&gt;"")*(L$4:L$49&lt;&gt;"")*(K$4:K$49=L$4:L$49)*1,(N$4:N$49=AY24)*(I$4:I$49=BQ21)*(K$4:K$49&lt;&gt;"")*(L$4:L$49&lt;&gt;"")*(K$4:K$49&lt;L$4:L$49)*3,(I$4:I$49=AY24)*(N$4:N$49=BQ21)*(K$4:K$49&lt;&gt;"")*(L$4:L$49&lt;&gt;"")*(K$4:K$49=L$4:L$49)*1)</f>
        <v>3</v>
      </c>
      <c r="BR24" s="430">
        <v>0</v>
      </c>
      <c r="BS24" s="430">
        <f t="array" aca="1" ref="BS24" ca="1">SUM((I$4:I$49=AY24)*(N$4:N$49=BS21)*(K$4:K$49&lt;&gt;"")*(L$4:L$49&lt;&gt;"")*(K$4:K$49&gt;L$4:L$49)*3,(N$4:N$49=AY24)*(I$4:I$49=BS21)*(K$4:K$49&lt;&gt;"")*(L$4:L$49&lt;&gt;"")*(K$4:K$49=L$4:L$49)*1,(N$4:N$49=AY24)*(I$4:I$49=BS21)*(K$4:K$49&lt;&gt;"")*(L$4:L$49&lt;&gt;"")*(K$4:K$49&lt;L$4:L$49)*3,(I$4:I$49=AY24)*(N$4:N$49=BS21)*(K$4:K$49&lt;&gt;"")*(L$4:L$49&lt;&gt;"")*(K$4:K$49=L$4:L$49)*1)</f>
        <v>0</v>
      </c>
      <c r="BT24" s="412">
        <v>3</v>
      </c>
      <c r="BU24" s="412">
        <f ca="1">RANK(BW24,$BW$22:$BW$25)</f>
        <v>2</v>
      </c>
      <c r="BV24" s="412" t="str">
        <f ca="1">A23</f>
        <v>Serbia</v>
      </c>
      <c r="BW24" s="412">
        <f ca="1">IF(AK24=0,-($AW$15*VLOOKUP(AI24,Tabla3[[NombreEquipo]:[Rank]],3,FALSE)),AJ24*$AW$5+BA24+AQ24*$AW$12+AO24*$AW$13-($AW$15*VLOOKUP(AI24,Tabla3[[NombreEquipo]:[Rank]],3,FALSE)/100))</f>
        <v>834031221999.89001</v>
      </c>
      <c r="BX24" s="412" t="str">
        <f ca="1">VLOOKUP(Q24,$AH$22:$AI$25,2,0)</f>
        <v>Dinamarca</v>
      </c>
      <c r="BY24" s="412">
        <f ca="1">VLOOKUP($BX24,$AI$22:$AR$25,10,FALSE)</f>
        <v>140966570499.89999</v>
      </c>
      <c r="CC24" s="426">
        <f t="shared" ca="1" si="18"/>
        <v>2</v>
      </c>
      <c r="CD24" s="426" t="str">
        <f ca="1">A23</f>
        <v>Serbia</v>
      </c>
      <c r="CE24" s="426">
        <f ca="1">IF(AK24=0,-($AW$15*VLOOKUP(AI24,Tabla3[[NombreEquipo]:[Rank]],3,FALSE)),AJ24*$AW$5+BA24+AQ24*$AW$12+AO24*$AW$13-($AW$15*VLOOKUP(AI24,Tabla3[[NombreEquipo]:[Rank]],3,FALSE)/100))</f>
        <v>834031221999.89001</v>
      </c>
      <c r="CF24" s="426">
        <f ca="1">IF(AK24=0,-($AW$15*VLOOKUP(AI24,Tabla3[[NombreEquipo]:[Rank]],3,FALSE)),AJ24*$AW$5+BA24+AQ24*$AW$12+AO24*$AW$13)</f>
        <v>834031222000</v>
      </c>
      <c r="CG24" s="426">
        <v>3</v>
      </c>
      <c r="CH24" s="426" t="str">
        <f t="shared" ca="1" si="19"/>
        <v>Dinamarca</v>
      </c>
      <c r="CI24" s="426">
        <f t="shared" ca="1" si="20"/>
        <v>140966570500</v>
      </c>
      <c r="CJ24" s="426">
        <f t="shared" ca="1" si="21"/>
        <v>1</v>
      </c>
      <c r="CM24" s="426">
        <v>3</v>
      </c>
      <c r="CN24" s="426">
        <f ca="1">HLOOKUP(CL22,$CW$4:$DD$9,5,0)</f>
        <v>3</v>
      </c>
      <c r="DA24" s="412"/>
      <c r="DB24" s="412"/>
      <c r="DC24" s="412"/>
      <c r="DD24" s="412"/>
      <c r="DE24" s="412"/>
      <c r="DF24" s="412"/>
      <c r="DG24" s="412"/>
      <c r="DH24" s="412"/>
      <c r="DI24" s="412"/>
      <c r="DJ24" s="412"/>
      <c r="EG24" s="430">
        <f ca="1">RANK(EH24,EH22:EH25,1)</f>
        <v>1</v>
      </c>
      <c r="EH24" s="426">
        <f ca="1">SUM(IF(AND(AJ24=AJ25,BC24=BC25,BI24=BI25,BO24=BO25),BG24,0),IF(AND(AJ24=AJ22,BC24=BC22,BI24=BI22,BO24=BO22),BD24,0),IF(AND(AJ24=AJ23,BC24=BC23,BI24=BI23,BO24=BO23),BE24,0))</f>
        <v>0</v>
      </c>
      <c r="EI24" s="430">
        <f ca="1">RANK(EJ24,EJ22:EJ25,1)</f>
        <v>1</v>
      </c>
      <c r="EJ24" s="426">
        <f ca="1">SUM(IF(AND(AJ24=AJ25,BC24=BC25,BI24=BI25,BO24=BO25),BM24,0),IF(AND(AJ24=AJ22,BC24=BC22,BI24=BI22,BO24=BO22),BJ24,0),IF(AND(AJ24=AJ23,BC24=BC23,BI24=BI23,BO24=BO23),BK24,0))</f>
        <v>0</v>
      </c>
      <c r="EK24" s="430">
        <f ca="1">RANK(EL24,EL22:EL25,1)</f>
        <v>1</v>
      </c>
      <c r="EL24" s="426">
        <f ca="1">SUM(IF(AND(AJ24=AJ25,BC24=BC25,BI24=BI25,BO24=BO25),BS24,0),IF(AND(AJ24=AJ22,BC24=BC22,BI24=BI22,BO24=BO22),BP24,0),IF(AND(AJ24=AJ23,BC24=BC23,BI24=BI23,BO24=BO23),BQ24,0))</f>
        <v>0</v>
      </c>
    </row>
    <row r="25" spans="1:142" ht="15" thickBot="1" x14ac:dyDescent="0.35">
      <c r="A25" s="187"/>
      <c r="B25" s="187"/>
      <c r="C25" s="187"/>
      <c r="D25" s="170"/>
      <c r="E25" s="812"/>
      <c r="F25" s="71">
        <f>Horarios!C25</f>
        <v>45468.875</v>
      </c>
      <c r="G25" s="72">
        <f>Horarios!C25</f>
        <v>45468.875</v>
      </c>
      <c r="H25" s="71" t="str">
        <f>$H$8</f>
        <v>J3</v>
      </c>
      <c r="I25" s="73" t="str">
        <f ca="1">A22</f>
        <v>Dinamarca</v>
      </c>
      <c r="J25" s="74" t="str">
        <f ca="1">VLOOKUP(I25,Equipos!$K$2:$M$56,3,0)</f>
        <v>🇩🇰</v>
      </c>
      <c r="K25" s="75">
        <v>0</v>
      </c>
      <c r="L25" s="75">
        <v>1</v>
      </c>
      <c r="M25" s="76" t="str">
        <f ca="1">VLOOKUP(N25,Equipos!$K$2:$M$56,3,0)</f>
        <v>🇷🇸</v>
      </c>
      <c r="N25" s="77" t="str">
        <f ca="1">A23</f>
        <v>Serbia</v>
      </c>
      <c r="O25" s="98">
        <f t="shared" si="15"/>
        <v>1</v>
      </c>
      <c r="P25" s="95"/>
      <c r="Q25" s="162">
        <v>4</v>
      </c>
      <c r="R25" s="163" t="str">
        <f ca="1">VLOOKUP(Q25,$AG$22:$AI$25,3,0)</f>
        <v>Eslovenia</v>
      </c>
      <c r="S25" s="164">
        <f ca="1">VLOOKUP(R25,$AI$22:$AR$25,2,FALSE)</f>
        <v>1</v>
      </c>
      <c r="T25" s="164">
        <f ca="1">VLOOKUP($R25,$AI$22:$AR$25,3,FALSE)</f>
        <v>3</v>
      </c>
      <c r="U25" s="164">
        <f ca="1">VLOOKUP($R25,$AI$22:$AR$25,4,FALSE)</f>
        <v>0</v>
      </c>
      <c r="V25" s="164">
        <f ca="1">VLOOKUP($R25,$AI$22:$AR$25,5,FALSE)</f>
        <v>1</v>
      </c>
      <c r="W25" s="164">
        <f ca="1">VLOOKUP($R25,$AI$22:$AR$25,6,FALSE)</f>
        <v>2</v>
      </c>
      <c r="X25" s="164">
        <f ca="1">VLOOKUP($R25,$AI$22:$AR$25,7,FALSE)</f>
        <v>1</v>
      </c>
      <c r="Y25" s="164">
        <f ca="1">VLOOKUP($R25,$AI$22:$AR$25,8,FALSE)</f>
        <v>6</v>
      </c>
      <c r="Z25" s="165">
        <f ca="1">VLOOKUP($R25,$AI$22:$AR$25,9,FALSE)</f>
        <v>-5</v>
      </c>
      <c r="AA25" s="86">
        <f ca="1">IF(SUM($AK$22:$AK$25)=12,MIN(ABS(BY24-BY25),ABS(BY25-BY26)),100)</f>
        <v>19999.989990234375</v>
      </c>
      <c r="AB25" s="109" t="str">
        <f ca="1">IF(AND(AA25&gt;=0,AA25&lt;90),VLOOKUP(Q25,$BU$22:$BV$25,2,0),"")</f>
        <v/>
      </c>
      <c r="AC25" s="85"/>
      <c r="AD25" s="86"/>
      <c r="AE25" s="83"/>
      <c r="AF25" s="427"/>
      <c r="AG25" s="426">
        <f ca="1">RANK(AU25,$AU$22:$AU$25)</f>
        <v>1</v>
      </c>
      <c r="AH25" s="426">
        <f ca="1">RANK(AR25,$AR$22:$AR$25)</f>
        <v>1</v>
      </c>
      <c r="AI25" s="412" t="str">
        <f ca="1">A24</f>
        <v>Inglaterra</v>
      </c>
      <c r="AJ25" s="426">
        <f ca="1">AL25*3+AM25*1+AN25*0</f>
        <v>9</v>
      </c>
      <c r="AK25" s="426">
        <f ca="1">COUNTIFS($I$4:$I$49,AI25,$K$4:$K$49,"&lt;&gt;",$L$4:$L$49,"&lt;&gt;")+COUNTIFS($N$4:$N$49,AI25,$L$4:$L$49,"&lt;&gt;",$K$4:$K$49,"&lt;&gt;")</f>
        <v>3</v>
      </c>
      <c r="AL25" s="426">
        <f t="array" aca="1" ref="AL25" ca="1">SUM(($I$4:$I$49=AI25)*($K$4:$K$49&lt;&gt;"")*($L$4:$L$49&lt;&gt;"")*($K$4:$K$49&gt;$L$4:$L$49),($N$4:$N$49=AI25)*($K$4:$K$49&lt;&gt;"")*($L$4:$L$49&lt;&gt;"")*($K$4:$K$49&lt;$L$4:$L$49))</f>
        <v>3</v>
      </c>
      <c r="AM25" s="426">
        <f t="array" aca="1" ref="AM25" ca="1">SUM(($I$4:$I$49=AI25)*($K$4:$K$49&lt;&gt;"")*($L$4:$L$49&lt;&gt;"")*($K$4:$K$49=$L$4:$L$49),($N$4:$N$49=AI25)*($K$4:$K$49&lt;&gt;"")*($L$4:$L$49&lt;&gt;"")*($K$4:$K$49=$L$4:$L$49))</f>
        <v>0</v>
      </c>
      <c r="AN25" s="426">
        <f t="array" aca="1" ref="AN25" ca="1">SUM(($I$4:$I$49=AI25)*($L$4:$L$49&lt;&gt;"")*($K$4:$K$49&lt;&gt;"")*($K$4:$K$49&lt;$L$4:$L$49),($K$4:$K$49&lt;&gt;"")*($N$4:$N$49=AI25)*($L$4:$L$49&lt;&gt;"")*($K$4:$K$49&gt;$L$4:$L$49))</f>
        <v>0</v>
      </c>
      <c r="AO25" s="426">
        <f t="array" aca="1" ref="AO25" ca="1">SUMIFS($K$4:$K$49,$I$4:$I$49,AI25,$K$4:$K$49,"&lt;&gt;",$L$4:$L$49,"&lt;&gt;")+SUMIFS($L$4:$L$49,$N$4:$N$49,AI25,$K$4:$K$49,"&lt;&gt;",$L$4:$L$49,"&lt;&gt;")</f>
        <v>7</v>
      </c>
      <c r="AP25" s="426">
        <f t="array" aca="1" ref="AP25" ca="1">SUMIFS($K$4:$K$49,$N$4:$N$49,AI25,$K$4:$K$49,"&lt;&gt;",$L$4:$L$49,"&lt;&gt;")+SUMIFS($L$4:$L$49,$I$4:$I$49,AI25,$K$4:$K$49,"&lt;&gt;",$L$4:$L$49,"&lt;&gt;")</f>
        <v>1</v>
      </c>
      <c r="AQ25" s="426">
        <f ca="1">AO25-AP25</f>
        <v>6</v>
      </c>
      <c r="AR25" s="426">
        <f ca="1">IF(AK25=0,-($AW$15*VLOOKUP(AI25,Tabla3[[NombreEquipo]:[Rank]],3,FALSE)),AJ25*$AW$5+BA25+AQ25*$AW$12+AO25*$AW$13-($AW$15*VLOOKUP(AI25,Tabla3[[NombreEquipo]:[Rank]],3,FALSE)/100))</f>
        <v>1250656263499.8799</v>
      </c>
      <c r="AS25" s="426">
        <f ca="1">AH25</f>
        <v>1</v>
      </c>
      <c r="AT25" s="426"/>
      <c r="AU25" s="426">
        <f ca="1">IFERROR(AR25-VLOOKUP(AI25,$AB$22:$AC$25,2,0),AR25)</f>
        <v>1250656263499.8799</v>
      </c>
      <c r="AV25" s="426"/>
      <c r="AW25" s="429"/>
      <c r="AX25" s="426"/>
      <c r="AY25" s="434" t="str">
        <f ca="1">AI25</f>
        <v>Inglaterra</v>
      </c>
      <c r="AZ25" s="426">
        <f ca="1">COUNTIF(AJ22:AJ25,AJ25)</f>
        <v>1</v>
      </c>
      <c r="BA25" s="426">
        <f ca="1">(BB25*$AW$8)+(BH25*$AW$7)+(BN25*$AW$6)+(EG25*$AW$11)+(EI25*$AW$10)+(EK25*$AW$9)</f>
        <v>781200000</v>
      </c>
      <c r="BB25" s="430">
        <f ca="1">RANK(BC25,BC22:BC25,1)</f>
        <v>1</v>
      </c>
      <c r="BC25" s="430">
        <f ca="1">SUM(IF(AND(AJ25=AJ22),BD25,0),IF(AND(AJ25=AJ23),BE25,0),IF(AND(AJ25=AJ24),BF25,0))</f>
        <v>0</v>
      </c>
      <c r="BD25" s="430">
        <f t="array" aca="1" ref="BD25" ca="1">SUMIFS($K$20:$K$25,$I$20:$I$25,$AY25,$K$20:$K$25,"&lt;&gt;",$L$20:$L$25,"&lt;&gt;",$N$20:$N$25,BD21)+SUMIFS($L$20:$L$25,$I$20:$I$25,BD21,$K$20:$K$25,"&lt;&gt;",$L$20:$L$25,"&lt;&gt;",$N$20:$N$25,$AY25)</f>
        <v>3</v>
      </c>
      <c r="BE25" s="430">
        <f t="array" aca="1" ref="BE25" ca="1">SUMIFS($K$20:$K$25,$I$20:$I$25,$AY25,$K$20:$K$25,"&lt;&gt;",$L$20:$L$25,"&lt;&gt;",$N$20:$N$25,BE21)+SUMIFS($L$20:$L$25,$I$20:$I$25,BE21,$K$20:$K$25,"&lt;&gt;",$L$20:$L$25,"&lt;&gt;",$N$20:$N$25,$AY25)</f>
        <v>2</v>
      </c>
      <c r="BF25" s="430">
        <f t="array" aca="1" ref="BF25" ca="1">SUMIFS($K$20:$K$25,$I$20:$I$25,$AY25,$K$20:$K$25,"&lt;&gt;",$L$20:$L$25,"&lt;&gt;",$N$20:$N$25,BF21)+SUMIFS($L$20:$L$25,$I$20:$I$25,BF21,$K$20:$K$25,"&lt;&gt;",$L$20:$L$25,"&lt;&gt;",$N$20:$N$25,$AY25)</f>
        <v>2</v>
      </c>
      <c r="BG25" s="430">
        <v>0</v>
      </c>
      <c r="BH25" s="430">
        <f ca="1">RANK(BI25,BI22:BI25,1)</f>
        <v>1</v>
      </c>
      <c r="BI25" s="430">
        <f ca="1">SUM(IF(AND(AJ25=AJ22),BJ25,0),IF(AND(AJ25=AJ23),BK25,0),IF(AND(AJ25=AJ24),BL25,0))</f>
        <v>0</v>
      </c>
      <c r="BJ25" s="430">
        <f ca="1">BD25-BG22</f>
        <v>3</v>
      </c>
      <c r="BK25" s="430">
        <f ca="1">BE25-BG23</f>
        <v>2</v>
      </c>
      <c r="BL25" s="430">
        <f ca="1">BF25-BG24</f>
        <v>1</v>
      </c>
      <c r="BM25" s="430">
        <v>0</v>
      </c>
      <c r="BN25" s="430">
        <f ca="1">RANK(BO25,BO22:BO25,1)</f>
        <v>1</v>
      </c>
      <c r="BO25" s="430">
        <f ca="1">SUM(IF(AND(AJ25=AJ22),BP25,0),IF(AND(AJ25=AJ23),BQ25,0),IF(AND(AJ25=AJ24),BR25,0))</f>
        <v>0</v>
      </c>
      <c r="BP25" s="430">
        <f t="array" aca="1" ref="BP25" ca="1">SUM((I$4:I$49=AY25)*(N$4:N$49=BP21)*(K$4:K$49&lt;&gt;"")*(L$4:L$49&lt;&gt;"")*(K$4:K$49&gt;L$4:L$49)*3,(N$4:N$49=AY25)*(I$4:I$49=BP21)*(K$4:K$49&lt;&gt;"")*(L$4:L$49&lt;&gt;"")*(K$4:K$49=L$4:L$49)*1,(N$4:N$49=AY25)*(I$4:I$49=BP21)*(K$4:K$49&lt;&gt;"")*(L$4:L$49&lt;&gt;"")*(K$4:K$49&lt;L$4:L$49)*3,(I$4:I$49=AY25)*(N$4:N$49=BP21)*(K$4:K$49&lt;&gt;"")*(L$4:L$49&lt;&gt;"")*(K$4:K$49=L$4:L$49)*1)</f>
        <v>3</v>
      </c>
      <c r="BQ25" s="430">
        <f t="array" aca="1" ref="BQ25" ca="1">SUM((I$4:I$49=AY25)*(N$4:N$49=BQ21)*(K$4:K$49&lt;&gt;"")*(L$4:L$49&lt;&gt;"")*(K$4:K$49&gt;L$4:L$49)*3,(N$4:N$49=AY25)*(I$4:I$49=BQ21)*(K$4:K$49&lt;&gt;"")*(L$4:L$49&lt;&gt;"")*(K$4:K$49=L$4:L$49)*1,(N$4:N$49=AY25)*(I$4:I$49=BQ21)*(K$4:K$49&lt;&gt;"")*(L$4:L$49&lt;&gt;"")*(K$4:K$49&lt;L$4:L$49)*3,(I$4:I$49=AY25)*(N$4:N$49=BQ21)*(K$4:K$49&lt;&gt;"")*(L$4:L$49&lt;&gt;"")*(K$4:K$49=L$4:L$49)*1)</f>
        <v>3</v>
      </c>
      <c r="BR25" s="430">
        <f t="array" aca="1" ref="BR25" ca="1">SUM((I$4:I$49=AY25)*(N$4:N$49=BR21)*(K$4:K$49&lt;&gt;"")*(L$4:L$49&lt;&gt;"")*(K$4:K$49&gt;L$4:L$49)*3,(N$4:N$49=AY25)*(I$4:I$49=BR21)*(K$4:K$49&lt;&gt;"")*(L$4:L$49&lt;&gt;"")*(K$4:K$49=L$4:L$49)*1,(N$4:N$49=AY25)*(I$4:I$49=BR21)*(K$4:K$49&lt;&gt;"")*(L$4:L$49&lt;&gt;"")*(K$4:K$49&lt;L$4:L$49)*3,(I$4:I$49=AY25)*(N$4:N$49=BR21)*(K$4:K$49&lt;&gt;"")*(L$4:L$49&lt;&gt;"")*(K$4:K$49=L$4:L$49)*1)</f>
        <v>3</v>
      </c>
      <c r="BS25" s="430">
        <v>0</v>
      </c>
      <c r="BT25" s="412">
        <v>4</v>
      </c>
      <c r="BU25" s="412">
        <f ca="1">RANK(BW25,$BW$22:$BW$25)</f>
        <v>1</v>
      </c>
      <c r="BV25" s="412" t="str">
        <f ca="1">A24</f>
        <v>Inglaterra</v>
      </c>
      <c r="BW25" s="412">
        <f ca="1">IF(AK25=0,-($AW$15*VLOOKUP(AI25,Tabla3[[NombreEquipo]:[Rank]],3,FALSE)),AJ25*$AW$5+BA25+AQ25*$AW$12+AO25*$AW$13-($AW$15*VLOOKUP(AI25,Tabla3[[NombreEquipo]:[Rank]],3,FALSE)/100))</f>
        <v>1250656263499.8799</v>
      </c>
      <c r="BX25" s="412" t="str">
        <f ca="1">VLOOKUP(Q25,$AH$22:$AI$25,2,0)</f>
        <v>Eslovenia</v>
      </c>
      <c r="BY25" s="412">
        <f ca="1">VLOOKUP($BX25,$AI$22:$AR$25,10,FALSE)</f>
        <v>140966550499.91</v>
      </c>
      <c r="CC25" s="426">
        <f t="shared" ca="1" si="18"/>
        <v>1</v>
      </c>
      <c r="CD25" s="426" t="str">
        <f ca="1">A24</f>
        <v>Inglaterra</v>
      </c>
      <c r="CE25" s="426">
        <f ca="1">IF(AK25=0,-($AW$15*VLOOKUP(AI25,Tabla3[[NombreEquipo]:[Rank]],3,FALSE)),AJ25*$AW$5+BA25+AQ25*$AW$12+AO25*$AW$13-($AW$15*VLOOKUP(AI25,Tabla3[[NombreEquipo]:[Rank]],3,FALSE)/100))</f>
        <v>1250656263499.8799</v>
      </c>
      <c r="CF25" s="426">
        <f ca="1">IF(AK25=0,-($AW$15*VLOOKUP(AI25,Tabla3[[NombreEquipo]:[Rank]],3,FALSE)),AJ25*$AW$5+BA25+AQ25*$AW$12+AO25*$AW$13)</f>
        <v>1250656263500</v>
      </c>
      <c r="CG25" s="426">
        <v>4</v>
      </c>
      <c r="CH25" s="426" t="str">
        <f t="shared" ca="1" si="19"/>
        <v>Eslovenia</v>
      </c>
      <c r="CI25" s="426">
        <f t="shared" ca="1" si="20"/>
        <v>140966550500</v>
      </c>
      <c r="CJ25" s="426">
        <f t="shared" ca="1" si="21"/>
        <v>1</v>
      </c>
      <c r="CM25" s="426">
        <v>4</v>
      </c>
      <c r="CN25" s="426">
        <f ca="1">HLOOKUP(CL22,$CW$4:$DD$9,6,0)</f>
        <v>4</v>
      </c>
      <c r="EG25" s="430">
        <f ca="1">RANK(EH25,EH22:EH25,1)</f>
        <v>1</v>
      </c>
      <c r="EH25" s="426">
        <f ca="1">SUM(IF(AND(AJ25=AJ22,BC25=BC22,BI25=BI22,BO25=BO22),BD25,0),IF(AND(AJ25=AJ23,BC25=BC23,BI25=BI23,BO25=BO23),BE25,0),IF(AND(AJ25=AJ24,BC25=BC24,BI25=BI24,BO25=BO24),BF25,0))</f>
        <v>0</v>
      </c>
      <c r="EI25" s="430">
        <f ca="1">RANK(EJ25,EJ22:EJ25,1)</f>
        <v>1</v>
      </c>
      <c r="EJ25" s="426">
        <f ca="1">SUM(IF(AND(AJ25=AJ22,BC25=BC22,BI25=BI22,BO25=BO22),BJ25,0),IF(AND(AJ25=AJ23,BC25=BC23,BI25=BI23,BO25=BO23),BK25,0),IF(AND(AJ25=AJ24,BC25=BC24,BI25=BI24,BO25=BO24),BL25,0))</f>
        <v>0</v>
      </c>
      <c r="EK25" s="430">
        <f ca="1">RANK(EL25,EL22:EL25,1)</f>
        <v>1</v>
      </c>
      <c r="EL25" s="426">
        <f ca="1">SUM(IF(AND(AJ25=AJ22,BC25=BC22,BI25=BI22,BO25=BO22),BP25,0),IF(AND(AJ25=AJ23,BC25=BC23,BI25=BI23,BO25=BO23),BQ25,0),IF(AND(AJ25=AJ24,BC25=BC24,BI25=BI24,BO25=BO24),BR25,0))</f>
        <v>0</v>
      </c>
    </row>
    <row r="26" spans="1:142" x14ac:dyDescent="0.3">
      <c r="A26" s="187"/>
      <c r="B26" s="187"/>
      <c r="C26" s="187"/>
      <c r="D26" s="170"/>
      <c r="E26" s="78"/>
      <c r="F26" s="89"/>
      <c r="G26" s="78"/>
      <c r="H26" s="78"/>
      <c r="I26" s="78"/>
      <c r="J26" s="78"/>
      <c r="K26" s="78"/>
      <c r="L26" s="78"/>
      <c r="M26" s="78"/>
      <c r="N26" s="78"/>
      <c r="O26" s="78"/>
      <c r="P26" s="78"/>
      <c r="Q26" s="78"/>
      <c r="R26" s="78"/>
      <c r="S26" s="78"/>
      <c r="T26" s="78"/>
      <c r="U26" s="78"/>
      <c r="V26" s="78"/>
      <c r="W26" s="78"/>
      <c r="X26" s="78"/>
      <c r="Y26" s="78"/>
      <c r="Z26" s="78"/>
      <c r="AA26" s="78"/>
      <c r="AB26" s="78"/>
      <c r="AC26" s="87"/>
      <c r="AD26" s="86"/>
      <c r="AE26" s="83"/>
      <c r="AF26" s="427"/>
      <c r="AG26" s="426"/>
      <c r="AH26" s="426"/>
      <c r="AJ26" s="426"/>
      <c r="AK26" s="426"/>
      <c r="AL26" s="426"/>
      <c r="AM26" s="426"/>
      <c r="AN26" s="426"/>
      <c r="AO26" s="426"/>
      <c r="AP26" s="426"/>
      <c r="AQ26" s="426"/>
      <c r="AR26" s="426"/>
      <c r="AS26" s="426"/>
      <c r="AT26" s="426"/>
      <c r="AU26" s="426"/>
      <c r="AV26" s="426"/>
      <c r="AW26" s="429"/>
      <c r="AX26" s="426"/>
      <c r="AY26" s="434"/>
      <c r="AZ26" s="426"/>
      <c r="BA26" s="426"/>
      <c r="BB26" s="430"/>
      <c r="BC26" s="430"/>
      <c r="BD26" s="430"/>
      <c r="BE26" s="430"/>
      <c r="BF26" s="430"/>
      <c r="BG26" s="430"/>
      <c r="BH26" s="430"/>
      <c r="BI26" s="430"/>
      <c r="BJ26" s="430"/>
      <c r="BK26" s="430"/>
      <c r="BL26" s="430"/>
      <c r="BM26" s="430"/>
      <c r="BN26" s="430"/>
      <c r="BO26" s="430"/>
      <c r="BP26" s="430"/>
      <c r="BQ26" s="430"/>
      <c r="BR26" s="430"/>
      <c r="BS26" s="430"/>
      <c r="EG26" s="430"/>
      <c r="EI26" s="430"/>
      <c r="EK26" s="430"/>
    </row>
    <row r="27" spans="1:142" ht="15" thickBot="1" x14ac:dyDescent="0.35">
      <c r="A27" s="187"/>
      <c r="B27" s="371"/>
      <c r="C27" s="187"/>
      <c r="D27" s="78"/>
      <c r="E27" s="99"/>
      <c r="F27" s="96" t="str">
        <f>F11</f>
        <v>Fecha</v>
      </c>
      <c r="G27" s="96" t="str">
        <f t="shared" ref="G27:I27" si="22">G11</f>
        <v>Hora</v>
      </c>
      <c r="H27" s="100" t="str">
        <f t="shared" si="22"/>
        <v>Jor.</v>
      </c>
      <c r="I27" s="101" t="str">
        <f t="shared" si="22"/>
        <v>Casa</v>
      </c>
      <c r="J27" s="96"/>
      <c r="K27" s="102" t="str">
        <f>K3</f>
        <v>Gol</v>
      </c>
      <c r="L27" s="102" t="str">
        <f>L3</f>
        <v>Gol</v>
      </c>
      <c r="M27" s="102"/>
      <c r="N27" s="103" t="str">
        <f t="shared" ref="N27" si="23">N11</f>
        <v>Fuera</v>
      </c>
      <c r="O27" s="81"/>
      <c r="P27" s="81"/>
      <c r="Q27" s="81"/>
      <c r="R27" s="81"/>
      <c r="S27" s="81"/>
      <c r="T27" s="81"/>
      <c r="U27" s="81"/>
      <c r="V27" s="81"/>
      <c r="W27" s="81"/>
      <c r="X27" s="81"/>
      <c r="Y27" s="81"/>
      <c r="Z27" s="81"/>
      <c r="AA27" s="82"/>
      <c r="AB27" s="82"/>
      <c r="AC27" s="82"/>
      <c r="AD27" s="82"/>
      <c r="AE27" s="83"/>
      <c r="AF27" s="427"/>
      <c r="AG27" s="426"/>
      <c r="AH27" s="426"/>
      <c r="AI27" s="426"/>
      <c r="AJ27" s="426"/>
      <c r="AK27" s="426"/>
      <c r="AL27" s="426"/>
      <c r="AM27" s="426"/>
      <c r="AN27" s="426"/>
      <c r="AO27" s="426"/>
      <c r="AP27" s="426"/>
      <c r="AQ27" s="426"/>
      <c r="AR27" s="426"/>
      <c r="AS27" s="426"/>
      <c r="AT27" s="426"/>
      <c r="AU27" s="426"/>
      <c r="AV27" s="426"/>
      <c r="AW27" s="429"/>
      <c r="AX27" s="426"/>
      <c r="AY27" s="426"/>
      <c r="AZ27" s="426"/>
      <c r="BA27" s="426"/>
      <c r="BB27" s="426"/>
      <c r="BC27" s="426"/>
      <c r="BD27" s="426"/>
      <c r="BE27" s="426"/>
      <c r="BF27" s="426"/>
      <c r="BG27" s="426"/>
      <c r="BH27" s="426"/>
      <c r="BI27" s="426"/>
      <c r="BJ27" s="426"/>
      <c r="BK27" s="426"/>
      <c r="BL27" s="426"/>
      <c r="BM27" s="426"/>
      <c r="BN27" s="426"/>
      <c r="BO27" s="426"/>
      <c r="BP27" s="426"/>
      <c r="BQ27" s="426"/>
      <c r="BR27" s="426"/>
      <c r="BS27" s="426"/>
      <c r="BT27" s="426"/>
      <c r="BU27" s="426"/>
      <c r="BV27" s="426"/>
      <c r="BW27" s="426"/>
      <c r="BX27" s="426"/>
      <c r="BY27" s="426"/>
      <c r="BZ27" s="426"/>
      <c r="CA27" s="427"/>
      <c r="CB27" s="427"/>
      <c r="DA27" s="412"/>
      <c r="DB27" s="412"/>
      <c r="DC27" s="412"/>
      <c r="DD27" s="412"/>
      <c r="DE27" s="412"/>
      <c r="DF27" s="412"/>
      <c r="DG27" s="412"/>
      <c r="DH27" s="412"/>
      <c r="DI27" s="412"/>
      <c r="DJ27" s="412"/>
    </row>
    <row r="28" spans="1:142" x14ac:dyDescent="0.3">
      <c r="A28" s="370" t="s">
        <v>17</v>
      </c>
      <c r="B28" s="371" t="s">
        <v>68</v>
      </c>
      <c r="C28" s="372">
        <f>COUNTIF(Equipos!$C$2:$C$25,EURO2024!B28)</f>
        <v>4</v>
      </c>
      <c r="D28" s="170"/>
      <c r="E28" s="813" t="s">
        <v>68</v>
      </c>
      <c r="F28" s="266">
        <f>Horarios!C28</f>
        <v>45459.625</v>
      </c>
      <c r="G28" s="267">
        <f>Horarios!C28</f>
        <v>45459.625</v>
      </c>
      <c r="H28" s="266" t="str">
        <f>$H$4</f>
        <v>J1</v>
      </c>
      <c r="I28" s="268" t="str">
        <f ca="1">A29</f>
        <v>Polonia</v>
      </c>
      <c r="J28" s="269" t="str">
        <f ca="1">VLOOKUP(I28,Equipos!$K$2:$M$56,3,0)</f>
        <v>🇵🇱</v>
      </c>
      <c r="K28" s="270">
        <v>1</v>
      </c>
      <c r="L28" s="270">
        <v>2</v>
      </c>
      <c r="M28" s="271" t="str">
        <f ca="1">VLOOKUP(N28,Equipos!$K$2:$M$56,3,0)</f>
        <v>🇳🇱</v>
      </c>
      <c r="N28" s="272" t="str">
        <f ca="1">A30</f>
        <v>Países Bajos</v>
      </c>
      <c r="O28" s="98">
        <f>IF(NOT(OR(ISBLANK(K28),ISBLANK(L28))),1,0)</f>
        <v>1</v>
      </c>
      <c r="P28" s="95"/>
      <c r="Q28" s="302" t="str">
        <f>CONCATENATE(Q3," ",B28)</f>
        <v>Grupo D</v>
      </c>
      <c r="R28" s="303"/>
      <c r="S28" s="303"/>
      <c r="T28" s="303"/>
      <c r="U28" s="303"/>
      <c r="V28" s="303"/>
      <c r="W28" s="303"/>
      <c r="X28" s="303"/>
      <c r="Y28" s="303"/>
      <c r="Z28" s="304"/>
      <c r="AA28" s="108"/>
      <c r="AB28" s="767" t="str">
        <f ca="1">IF($AA$29&gt;0,AB3,"")</f>
        <v/>
      </c>
      <c r="AC28" s="767"/>
      <c r="AD28" s="767"/>
      <c r="AE28" s="83"/>
      <c r="AF28" s="427"/>
      <c r="AG28" s="426"/>
      <c r="AH28" s="426" t="str">
        <f>CONCATENATE("Auxiliar - ",Q28)</f>
        <v>Auxiliar - Grupo D</v>
      </c>
      <c r="AI28" s="426"/>
      <c r="AJ28" s="426"/>
      <c r="AK28" s="426"/>
      <c r="AL28" s="426"/>
      <c r="AM28" s="426"/>
      <c r="AN28" s="426"/>
      <c r="AO28" s="426"/>
      <c r="AP28" s="426"/>
      <c r="AQ28" s="426"/>
      <c r="AR28" s="426"/>
      <c r="AS28" s="426"/>
      <c r="AT28" s="426"/>
      <c r="AU28" s="426" t="s">
        <v>19</v>
      </c>
      <c r="AV28" s="426"/>
      <c r="AW28" s="429"/>
      <c r="AX28" s="426"/>
      <c r="AY28" s="427" t="str">
        <f>CONCATENATE(Q28," - GOLAVERAGE")</f>
        <v>Grupo D - GOLAVERAGE</v>
      </c>
      <c r="AZ28" s="426"/>
      <c r="BA28" s="426"/>
      <c r="BB28" s="426" t="s">
        <v>21</v>
      </c>
      <c r="BC28" s="426"/>
      <c r="BD28" s="426"/>
      <c r="BE28" s="426"/>
      <c r="BF28" s="426"/>
      <c r="BG28" s="426"/>
      <c r="BH28" s="763" t="s">
        <v>22</v>
      </c>
      <c r="BI28" s="763"/>
      <c r="BJ28" s="763"/>
      <c r="BK28" s="763"/>
      <c r="BL28" s="763"/>
      <c r="BM28" s="763"/>
      <c r="BN28" s="430"/>
      <c r="BO28" s="430"/>
      <c r="BP28" s="430"/>
      <c r="BQ28" s="430"/>
      <c r="BR28" s="430"/>
      <c r="BS28" s="430"/>
      <c r="DA28" s="412"/>
      <c r="DB28" s="412"/>
      <c r="DC28" s="412"/>
      <c r="DD28" s="412"/>
      <c r="DE28" s="412"/>
      <c r="DF28" s="412"/>
      <c r="DG28" s="412"/>
      <c r="DH28" s="412"/>
      <c r="DI28" s="412"/>
      <c r="DJ28" s="412"/>
      <c r="EG28" s="426" t="s">
        <v>21</v>
      </c>
      <c r="EI28" s="426" t="s">
        <v>22</v>
      </c>
      <c r="EK28" s="430"/>
    </row>
    <row r="29" spans="1:142" ht="15" thickBot="1" x14ac:dyDescent="0.35">
      <c r="A29" s="370" t="str">
        <f t="array" aca="1" ref="A29" ca="1">IF(ROWS(A$29:A29)&lt;=$C$28,INDEX(INDIRECT(A$28),SMALL(IF(Nivell=$B$28,ROW(Nivell)-ROW(Equipos!$C$2)+1),ROWS(B$28:B28))),"")</f>
        <v>Polonia</v>
      </c>
      <c r="B29" s="371"/>
      <c r="C29" s="371"/>
      <c r="D29" s="170"/>
      <c r="E29" s="814"/>
      <c r="F29" s="260">
        <f>Horarios!C29</f>
        <v>45460.875</v>
      </c>
      <c r="G29" s="261">
        <f>Horarios!C29</f>
        <v>45460.875</v>
      </c>
      <c r="H29" s="260" t="str">
        <f>$H$4</f>
        <v>J1</v>
      </c>
      <c r="I29" s="262" t="str">
        <f ca="1">A31</f>
        <v>Austria</v>
      </c>
      <c r="J29" s="263" t="str">
        <f ca="1">VLOOKUP(I29,Equipos!$K$2:$M$56,3,0)</f>
        <v>🇦🇹</v>
      </c>
      <c r="K29" s="264">
        <v>0</v>
      </c>
      <c r="L29" s="264">
        <v>3</v>
      </c>
      <c r="M29" s="265" t="str">
        <f ca="1">VLOOKUP(N29,Equipos!$K$2:$M$56,3,0)</f>
        <v>🇫🇷</v>
      </c>
      <c r="N29" s="273" t="str">
        <f ca="1">A32</f>
        <v>Francia</v>
      </c>
      <c r="O29" s="98">
        <f t="shared" ref="O29:O33" si="24">IF(NOT(OR(ISBLANK(K29),ISBLANK(L29))),1,0)</f>
        <v>1</v>
      </c>
      <c r="P29" s="95"/>
      <c r="Q29" s="320" t="str">
        <f>Q5</f>
        <v>Pos</v>
      </c>
      <c r="R29" s="321" t="str">
        <f>R5</f>
        <v>Selección</v>
      </c>
      <c r="S29" s="321" t="str">
        <f t="shared" ref="S29:Y29" si="25">S5</f>
        <v>Pts</v>
      </c>
      <c r="T29" s="321" t="str">
        <f t="shared" si="25"/>
        <v>J</v>
      </c>
      <c r="U29" s="321" t="str">
        <f t="shared" si="25"/>
        <v>G</v>
      </c>
      <c r="V29" s="321" t="str">
        <f t="shared" si="25"/>
        <v>E</v>
      </c>
      <c r="W29" s="321" t="str">
        <f t="shared" si="25"/>
        <v>P</v>
      </c>
      <c r="X29" s="321" t="str">
        <f t="shared" si="25"/>
        <v>GF</v>
      </c>
      <c r="Y29" s="321" t="str">
        <f t="shared" si="25"/>
        <v>GC</v>
      </c>
      <c r="Z29" s="323" t="str">
        <f>Z5</f>
        <v>DG</v>
      </c>
      <c r="AA29" s="108">
        <f ca="1">COUNTIF(AA30:AA33,"&lt;100")</f>
        <v>0</v>
      </c>
      <c r="AB29" s="767"/>
      <c r="AC29" s="767"/>
      <c r="AD29" s="767"/>
      <c r="AE29" s="83"/>
      <c r="AF29" s="427"/>
      <c r="AG29" s="431" t="s">
        <v>19</v>
      </c>
      <c r="AH29" s="431" t="s">
        <v>25</v>
      </c>
      <c r="AI29" s="431" t="s">
        <v>26</v>
      </c>
      <c r="AJ29" s="431" t="s">
        <v>27</v>
      </c>
      <c r="AK29" s="431" t="s">
        <v>28</v>
      </c>
      <c r="AL29" s="431" t="s">
        <v>29</v>
      </c>
      <c r="AM29" s="431" t="s">
        <v>30</v>
      </c>
      <c r="AN29" s="431" t="s">
        <v>31</v>
      </c>
      <c r="AO29" s="431" t="s">
        <v>32</v>
      </c>
      <c r="AP29" s="431" t="s">
        <v>33</v>
      </c>
      <c r="AQ29" s="431" t="s">
        <v>34</v>
      </c>
      <c r="AR29" s="431" t="s">
        <v>35</v>
      </c>
      <c r="AS29" s="431" t="s">
        <v>25</v>
      </c>
      <c r="AT29" s="426"/>
      <c r="AU29" s="426"/>
      <c r="AV29" s="426"/>
      <c r="AW29" s="429"/>
      <c r="AX29" s="426"/>
      <c r="AY29" s="431" t="s">
        <v>26</v>
      </c>
      <c r="AZ29" s="431" t="s">
        <v>37</v>
      </c>
      <c r="BA29" s="431" t="s">
        <v>38</v>
      </c>
      <c r="BB29" s="431" t="s">
        <v>39</v>
      </c>
      <c r="BC29" s="431" t="s">
        <v>40</v>
      </c>
      <c r="BD29" s="431" t="str">
        <f ca="1">AY30</f>
        <v>Polonia</v>
      </c>
      <c r="BE29" s="431" t="str">
        <f ca="1">AY31</f>
        <v>Países Bajos</v>
      </c>
      <c r="BF29" s="431" t="str">
        <f ca="1">AY32</f>
        <v>Austria</v>
      </c>
      <c r="BG29" s="431" t="str">
        <f ca="1">AY33</f>
        <v>Francia</v>
      </c>
      <c r="BH29" s="431" t="s">
        <v>39</v>
      </c>
      <c r="BI29" s="431" t="s">
        <v>40</v>
      </c>
      <c r="BJ29" s="431" t="str">
        <f ca="1">BD29</f>
        <v>Polonia</v>
      </c>
      <c r="BK29" s="431" t="str">
        <f ca="1">BE29</f>
        <v>Países Bajos</v>
      </c>
      <c r="BL29" s="431" t="str">
        <f ca="1">BF29</f>
        <v>Austria</v>
      </c>
      <c r="BM29" s="431" t="str">
        <f ca="1">BG29</f>
        <v>Francia</v>
      </c>
      <c r="BN29" s="431" t="s">
        <v>39</v>
      </c>
      <c r="BO29" s="431" t="s">
        <v>40</v>
      </c>
      <c r="BP29" s="431" t="str">
        <f ca="1">BD29</f>
        <v>Polonia</v>
      </c>
      <c r="BQ29" s="431" t="str">
        <f ca="1">BE29</f>
        <v>Países Bajos</v>
      </c>
      <c r="BR29" s="431" t="str">
        <f ca="1">BF29</f>
        <v>Austria</v>
      </c>
      <c r="BS29" s="431" t="str">
        <f ca="1">BG29</f>
        <v>Francia</v>
      </c>
      <c r="BU29" s="432"/>
      <c r="BV29" s="432" t="s">
        <v>41</v>
      </c>
      <c r="BW29" s="432"/>
      <c r="BX29" s="432" t="s">
        <v>43</v>
      </c>
      <c r="BY29" s="432"/>
      <c r="CC29" s="432" t="s">
        <v>44</v>
      </c>
      <c r="CD29" s="434" t="s">
        <v>69</v>
      </c>
      <c r="CE29" s="431" t="s">
        <v>46</v>
      </c>
      <c r="CF29" s="431" t="s">
        <v>47</v>
      </c>
      <c r="CG29" s="432" t="s">
        <v>48</v>
      </c>
      <c r="CH29" s="431" t="s">
        <v>49</v>
      </c>
      <c r="CI29" s="431"/>
      <c r="CJ29" s="431"/>
      <c r="CK29" s="431"/>
      <c r="CL29" s="431"/>
      <c r="CM29" s="431"/>
      <c r="CN29" s="431"/>
      <c r="CP29" s="426">
        <v>1</v>
      </c>
      <c r="CQ29" s="426">
        <v>2</v>
      </c>
      <c r="CR29" s="426">
        <v>3</v>
      </c>
      <c r="CS29" s="426">
        <v>4</v>
      </c>
      <c r="DA29" s="412"/>
      <c r="DB29" s="412"/>
      <c r="DC29" s="412"/>
      <c r="DD29" s="412"/>
      <c r="DE29" s="412"/>
      <c r="DF29" s="412"/>
      <c r="DG29" s="412"/>
      <c r="DH29" s="412"/>
      <c r="DI29" s="412"/>
      <c r="DJ29" s="412"/>
      <c r="EG29" s="431" t="s">
        <v>39</v>
      </c>
      <c r="EI29" s="431" t="s">
        <v>39</v>
      </c>
      <c r="EK29" s="431" t="s">
        <v>39</v>
      </c>
    </row>
    <row r="30" spans="1:142" x14ac:dyDescent="0.3">
      <c r="A30" s="370" t="str">
        <f t="array" aca="1" ref="A30" ca="1">IF(ROWS(A$29:A30)&lt;=$C$28,INDEX(INDIRECT(A$28),SMALL(IF(Nivell=$B$28,ROW(Nivell)-ROW(Equipos!$C$2)+1),ROWS(B$28:B29))),"")</f>
        <v>Países Bajos</v>
      </c>
      <c r="B30" s="371"/>
      <c r="C30" s="373"/>
      <c r="D30" s="170"/>
      <c r="E30" s="814"/>
      <c r="F30" s="260">
        <f>Horarios!C30</f>
        <v>45464.75</v>
      </c>
      <c r="G30" s="261">
        <f>Horarios!C30</f>
        <v>45464.75</v>
      </c>
      <c r="H30" s="260" t="str">
        <f>$H$6</f>
        <v>J2</v>
      </c>
      <c r="I30" s="262" t="str">
        <f ca="1">A29</f>
        <v>Polonia</v>
      </c>
      <c r="J30" s="263" t="str">
        <f ca="1">VLOOKUP(I30,Equipos!$K$2:$M$56,3,0)</f>
        <v>🇵🇱</v>
      </c>
      <c r="K30" s="264">
        <v>1</v>
      </c>
      <c r="L30" s="264">
        <v>1</v>
      </c>
      <c r="M30" s="265" t="str">
        <f ca="1">VLOOKUP(N30,Equipos!$K$2:$M$56,3,0)</f>
        <v>🇦🇹</v>
      </c>
      <c r="N30" s="273" t="str">
        <f ca="1">A31</f>
        <v>Austria</v>
      </c>
      <c r="O30" s="98">
        <f t="shared" si="24"/>
        <v>1</v>
      </c>
      <c r="P30" s="95"/>
      <c r="Q30" s="324">
        <v>1</v>
      </c>
      <c r="R30" s="325" t="str">
        <f ca="1">VLOOKUP(Q30,$AG$30:$AI$33,3,0)</f>
        <v>Francia</v>
      </c>
      <c r="S30" s="326">
        <f ca="1">VLOOKUP(R30,$AI$30:$AR$33,2,FALSE)</f>
        <v>9</v>
      </c>
      <c r="T30" s="326">
        <f ca="1">VLOOKUP($R30,$AI$30:$AR$33,3,FALSE)</f>
        <v>3</v>
      </c>
      <c r="U30" s="326">
        <f ca="1">VLOOKUP($R30,$AI$30:$AR$33,4,FALSE)</f>
        <v>3</v>
      </c>
      <c r="V30" s="326">
        <f ca="1">VLOOKUP($R30,$AI$30:$AR$33,5,FALSE)</f>
        <v>0</v>
      </c>
      <c r="W30" s="326">
        <f ca="1">VLOOKUP($R30,$AI$30:$AR$33,6,FALSE)</f>
        <v>0</v>
      </c>
      <c r="X30" s="326">
        <f ca="1">VLOOKUP($R30,$AI$30:$AR$33,7,FALSE)</f>
        <v>8</v>
      </c>
      <c r="Y30" s="326">
        <f ca="1">VLOOKUP($R30,$AI$30:$AR$33,8,FALSE)</f>
        <v>0</v>
      </c>
      <c r="Z30" s="327">
        <f ca="1">VLOOKUP($R30,$AI$30:$AR$33,9,FALSE)</f>
        <v>8</v>
      </c>
      <c r="AA30" s="86">
        <f ca="1">IF(SUM($AK$30:$AK$33)=12,MIN(ABS(BY29-BY30),ABS(BY30-BY31)),100)</f>
        <v>416625092499.9801</v>
      </c>
      <c r="AB30" s="109" t="str">
        <f ca="1">IF(AND(AA30&gt;=0,AA30&lt;90),VLOOKUP(Q30,$BU$30:$BV$33,2,0),"")</f>
        <v/>
      </c>
      <c r="AC30" s="85"/>
      <c r="AD30" s="86"/>
      <c r="AE30" s="83"/>
      <c r="AF30" s="427"/>
      <c r="AG30" s="426">
        <f ca="1">RANK(AU30,$AU$30:$AU$33)</f>
        <v>3</v>
      </c>
      <c r="AH30" s="426">
        <f ca="1">RANK(AR30,$AR$30:$AR$33)</f>
        <v>3</v>
      </c>
      <c r="AI30" s="412" t="str">
        <f ca="1">A29</f>
        <v>Polonia</v>
      </c>
      <c r="AJ30" s="426">
        <f ca="1">AL30*3+AM30*1+AN30*0</f>
        <v>1</v>
      </c>
      <c r="AK30" s="426">
        <f ca="1">COUNTIFS($I$4:$I$49,AI30,$K$4:$K$49,"&lt;&gt;",$L$4:$L$49,"&lt;&gt;")+COUNTIFS($N$4:$N$49,AI30,$L$4:$L$49,"&lt;&gt;",$K$4:$K$49,"&lt;&gt;")</f>
        <v>3</v>
      </c>
      <c r="AL30" s="426">
        <f t="array" aca="1" ref="AL30" ca="1">SUM(($I$4:$I$49=AI30)*($K$4:$K$49&lt;&gt;"")*($L$4:$L$49&lt;&gt;"")*($K$4:$K$49&gt;$L$4:$L$49),($N$4:$N$49=AI30)*($K$4:$K$49&lt;&gt;"")*($L$4:$L$49&lt;&gt;"")*($K$4:$K$49&lt;$L$4:$L$49))</f>
        <v>0</v>
      </c>
      <c r="AM30" s="426">
        <f t="array" aca="1" ref="AM30" ca="1">SUM(($I$4:$I$49=AI30)*($K$4:$K$49&lt;&gt;"")*($L$4:$L$49&lt;&gt;"")*($K$4:$K$49=$L$4:$L$49),($N$4:$N$49=AI30)*($K$4:$K$49&lt;&gt;"")*($L$4:$L$49&lt;&gt;"")*($K$4:$K$49=$L$4:$L$49))</f>
        <v>1</v>
      </c>
      <c r="AN30" s="426">
        <f t="array" aca="1" ref="AN30" ca="1">SUM(($I$4:$I$49=AI30)*($L$4:$L$49&lt;&gt;"")*($K$4:$K$49&lt;&gt;"")*($K$4:$K$49&lt;$L$4:$L$49),($K$4:$K$49&lt;&gt;"")*($N$4:$N$49=AI30)*($L$4:$L$49&lt;&gt;"")*($K$4:$K$49&gt;$L$4:$L$49))</f>
        <v>2</v>
      </c>
      <c r="AO30" s="426">
        <f t="array" aca="1" ref="AO30" ca="1">SUMIFS($K$4:$K$49,$I$4:$I$49,AI30,$K$4:$K$49,"&lt;&gt;",$L$4:$L$49,"&lt;&gt;")+SUMIFS($L$4:$L$49,$N$4:$N$49,AI30,$K$4:$K$49,"&lt;&gt;",$L$4:$L$49,"&lt;&gt;")</f>
        <v>2</v>
      </c>
      <c r="AP30" s="426">
        <f t="array" aca="1" ref="AP30" ca="1">SUMIFS($K$4:$K$49,$N$4:$N$49,AI30,$K$4:$K$49,"&lt;&gt;",$L$4:$L$49,"&lt;&gt;")+SUMIFS($L$4:$L$49,$I$4:$I$49,AI30,$K$4:$K$49,"&lt;&gt;",$L$4:$L$49,"&lt;&gt;")</f>
        <v>5</v>
      </c>
      <c r="AQ30" s="426">
        <f ca="1">AO30-AP30</f>
        <v>-3</v>
      </c>
      <c r="AR30" s="426">
        <f ca="1">IF(AK30=0,-($AW$15*VLOOKUP(AI30,Tabla3[[NombreEquipo]:[Rank]],3,FALSE)),AJ30*$AW$5+BA30+AQ30*$AW$12+AO30*$AW$13-($AW$15*VLOOKUP(AI30,Tabla3[[NombreEquipo]:[Rank]],3,FALSE)/100))</f>
        <v>140966570999.87</v>
      </c>
      <c r="AS30" s="426">
        <f ca="1">AH30</f>
        <v>3</v>
      </c>
      <c r="AT30" s="426"/>
      <c r="AU30" s="426">
        <f ca="1">IFERROR(AR30-VLOOKUP(AI30,$AB$30:$AC$33,2,0),AR30)</f>
        <v>140966570999.87</v>
      </c>
      <c r="AV30" s="426"/>
      <c r="AW30" s="429"/>
      <c r="AX30" s="426"/>
      <c r="AY30" s="434" t="str">
        <f ca="1">AI30</f>
        <v>Polonia</v>
      </c>
      <c r="AZ30" s="426">
        <f ca="1">COUNTIF(AJ30:AJ33,AJ30)</f>
        <v>2</v>
      </c>
      <c r="BA30" s="426">
        <f ca="1">(BB30*$AW$8)+(BH30*$AW$7)+(BN30*$AW$6)+(EG30*$AW$11)+(EI30*$AW$10)+(EK30*$AW$9)</f>
        <v>2091600000</v>
      </c>
      <c r="BB30" s="430">
        <f ca="1">RANK(BC30,BC30:BC33,1)</f>
        <v>3</v>
      </c>
      <c r="BC30" s="430">
        <f ca="1">SUM(IF(AND(AJ30=AJ31),BE30,0),IF(AND(AJ30=AJ32),BF30,0),IF(AND(AJ30=AJ33),BG30,0))</f>
        <v>1</v>
      </c>
      <c r="BD30" s="430">
        <v>0</v>
      </c>
      <c r="BE30" s="430">
        <f t="array" aca="1" ref="BE30" ca="1">SUMIFS($K$28:$K$33,$I$28:$I$33,$AY30,$K$28:$K$33,"&lt;&gt;",$L$28:$L$33,"&lt;&gt;",$N$28:$N$33,BE29)+SUMIFS($L$28:$L$33,$I$28:$I$33,BE29,$K$28:$K$33,"&lt;&gt;",$L$28:$L$33,"&lt;&gt;",$N$28:$N$33,$AY30)</f>
        <v>1</v>
      </c>
      <c r="BF30" s="430">
        <f t="array" aca="1" ref="BF30" ca="1">SUMIFS($K$28:$K$33,$I$28:$I$33,$AY30,$K$28:$K$33,"&lt;&gt;",$L$28:$L$33,"&lt;&gt;",$N$28:$N$33,BF29)+SUMIFS($L$28:$L$33,$I$28:$I$33,BF29,$K$28:$K$33,"&lt;&gt;",$L$28:$L$33,"&lt;&gt;",$N$28:$N$33,$AY30)</f>
        <v>1</v>
      </c>
      <c r="BG30" s="430">
        <f t="array" aca="1" ref="BG30" ca="1">SUMIFS($K$28:$K$33,$I$28:$I$33,$AY30,$K$28:$K$33,"&lt;&gt;",$L$28:$L$33,"&lt;&gt;",$N$28:$N$33,BG29)+SUMIFS($L$28:$L$33,$I$28:$I$33,BG29,$K$28:$K$33,"&lt;&gt;",$L$28:$L$33,"&lt;&gt;",$N$28:$N$33,$AY30)</f>
        <v>0</v>
      </c>
      <c r="BH30" s="430">
        <f ca="1">RANK(BI30,BI30:BI33,1)</f>
        <v>1</v>
      </c>
      <c r="BI30" s="430">
        <f ca="1">SUM(IF(AND(AJ30=AJ31),BK30,0),IF(AND(AJ30=AJ32),BL30,0),IF(AND(AJ30=AJ33),BM30,0))</f>
        <v>0</v>
      </c>
      <c r="BJ30" s="430">
        <v>0</v>
      </c>
      <c r="BK30" s="430">
        <f ca="1">BE30-BD31</f>
        <v>-1</v>
      </c>
      <c r="BL30" s="430">
        <f ca="1">BF30-BD32</f>
        <v>0</v>
      </c>
      <c r="BM30" s="430">
        <f ca="1">BG30-BD33</f>
        <v>-2</v>
      </c>
      <c r="BN30" s="430">
        <f ca="1">RANK(BO30,BO30:BO33,1)</f>
        <v>3</v>
      </c>
      <c r="BO30" s="430">
        <f ca="1">SUM(IF(AND(AJ30=AJ31),BQ30,0),IF(AND(AJ30=AJ32),BR30,0),IF(AND(AJ30=AJ33),BS30,0))</f>
        <v>1</v>
      </c>
      <c r="BP30" s="430">
        <v>0</v>
      </c>
      <c r="BQ30" s="430">
        <f t="array" aca="1" ref="BQ30" ca="1">SUM((I$4:I$49=AY30)*(N$4:N$49=BQ29)*(K$4:K$49&lt;&gt;"")*(L$4:L$49&lt;&gt;"")*(K$4:K$49&gt;L$4:L$49)*3,(N$4:N$49=AY30)*(I$4:I$49=BQ29)*(K$4:K$49&lt;&gt;"")*(L$4:L$49&lt;&gt;"")*(K$4:K$49=L$4:L$49)*1,(N$4:N$49=AY30)*(I$4:I$49=BQ29)*(K$4:K$49&lt;&gt;"")*(L$4:L$49&lt;&gt;"")*(K$4:K$49&lt;L$4:L$49)*3,(I$4:I$49=AY30)*(N$4:N$49=BQ29)*(K$4:K$49&lt;&gt;"")*(L$4:L$49&lt;&gt;"")*(K$4:K$49=L$4:L$49)*1)</f>
        <v>0</v>
      </c>
      <c r="BR30" s="430">
        <f t="array" aca="1" ref="BR30" ca="1">SUM((I$4:I$49=AY30)*(N$4:N$49=BR29)*(K$4:K$49&lt;&gt;"")*(L$4:L$49&lt;&gt;"")*(K$4:K$49&gt;L$4:L$49)*3,(N$4:N$49=AY30)*(I$4:I$49=BR29)*(K$4:K$49&lt;&gt;"")*(L$4:L$49&lt;&gt;"")*(K$4:K$49=L$4:L$49)*1,(N$4:N$49=AY30)*(I$4:I$49=BR29)*(K$4:K$49&lt;&gt;"")*(L$4:L$49&lt;&gt;"")*(K$4:K$49&lt;L$4:L$49)*3,(I$4:I$49=AY30)*(N$4:N$49=BR29)*(K$4:K$49&lt;&gt;"")*(L$4:L$49&lt;&gt;"")*(K$4:K$49=L$4:L$49)*1)</f>
        <v>1</v>
      </c>
      <c r="BS30" s="430">
        <f t="array" aca="1" ref="BS30" ca="1">SUM((I$4:I$49=AY30)*(N$4:N$49=BS29)*(K$4:K$49&lt;&gt;"")*(L$4:L$49&lt;&gt;"")*(K$4:K$49&gt;L$4:L$49)*3,(N$4:N$49=AY30)*(I$4:I$49=BS29)*(K$4:K$49&lt;&gt;"")*(L$4:L$49&lt;&gt;"")*(K$4:K$49=L$4:L$49)*1,(N$4:N$49=AY30)*(I$4:I$49=BS29)*(K$4:K$49&lt;&gt;"")*(L$4:L$49&lt;&gt;"")*(K$4:K$49&lt;L$4:L$49)*3,(I$4:I$49=AY30)*(N$4:N$49=BS29)*(K$4:K$49&lt;&gt;"")*(L$4:L$49&lt;&gt;"")*(K$4:K$49=L$4:L$49)*1)</f>
        <v>0</v>
      </c>
      <c r="BT30" s="412">
        <v>1</v>
      </c>
      <c r="BU30" s="412">
        <f ca="1">RANK(BW30,$BW$30:$BW$33)</f>
        <v>3</v>
      </c>
      <c r="BV30" s="412" t="str">
        <f ca="1">A29</f>
        <v>Polonia</v>
      </c>
      <c r="BW30" s="412">
        <f ca="1">IF(AK30=0,-($AW$15*VLOOKUP(AI30,Tabla3[[NombreEquipo]:[Rank]],3,FALSE)),AJ30*$AW$5+BA30+AQ30*$AW$12+AO30*$AW$13-($AW$15*VLOOKUP(AI30,Tabla3[[NombreEquipo]:[Rank]],3,FALSE)/100))</f>
        <v>140966570999.87</v>
      </c>
      <c r="BX30" s="412" t="str">
        <f ca="1">VLOOKUP(Q30,$AH$30:$AI$33,2,0)</f>
        <v>Francia</v>
      </c>
      <c r="BY30" s="412">
        <f ca="1">VLOOKUP($BX30,$AI$30:$AR$33,10,FALSE)</f>
        <v>1250656283999.8401</v>
      </c>
      <c r="CC30" s="426">
        <f ca="1">RANK(CE30,$CE$30:$CE$33)</f>
        <v>3</v>
      </c>
      <c r="CD30" s="426" t="str">
        <f ca="1">A29</f>
        <v>Polonia</v>
      </c>
      <c r="CE30" s="426">
        <f ca="1">IF(AK30=0,-($AW$15*VLOOKUP(AI30,Tabla3[[NombreEquipo]:[Rank]],3,FALSE)),AJ30*$AW$5+BA30+AQ30*$AW$12+AO30*$AW$13-($AW$15*VLOOKUP(AI30,Tabla3[[NombreEquipo]:[Rank]],3,FALSE)/100))</f>
        <v>140966570999.87</v>
      </c>
      <c r="CF30" s="426">
        <f ca="1">IF(AK30=0,-($AW$15*VLOOKUP(AI30,Tabla3[[NombreEquipo]:[Rank]],3,FALSE)),AJ30*$AW$5+BA30+AQ30*$AW$12+AO30*$AW$13)</f>
        <v>140966571000</v>
      </c>
      <c r="CG30" s="426">
        <v>1</v>
      </c>
      <c r="CH30" s="426" t="str">
        <f ca="1">VLOOKUP(CG30,$CC$30:$CD$33,2,0)</f>
        <v>Francia</v>
      </c>
      <c r="CI30" s="426">
        <f ca="1">VLOOKUP(CG30,$CC$30:$CF$33,4,0)</f>
        <v>1250656284000</v>
      </c>
      <c r="CJ30" s="426">
        <f ca="1">COUNTIF($CI$30:$CI$33,CI30)</f>
        <v>1</v>
      </c>
      <c r="CK30" s="426" t="str">
        <f t="shared" ref="CK30" ca="1" si="26">CJ30&amp;CJ31&amp;CJ32&amp;CJ33</f>
        <v>1111</v>
      </c>
      <c r="CL30" s="426">
        <f ca="1">HLOOKUP(CK30,$CW$3:$DD$4,2,0)</f>
        <v>8</v>
      </c>
      <c r="CM30" s="426">
        <v>1</v>
      </c>
      <c r="CN30" s="426">
        <f ca="1">HLOOKUP(CL30,$CW$4:$DD$9,3,0)</f>
        <v>1</v>
      </c>
      <c r="CP30" s="426" cm="1">
        <f t="array" aca="1" ref="CP30" ca="1">OFFSET($DF$4,1,MATCH($CN30,$DG$4:$DP$4,0),HLOOKUP($CN30,$DG$4:$DP$9,6,0),1)</f>
        <v>1</v>
      </c>
      <c r="CQ30" s="426" cm="1">
        <f t="array" aca="1" ref="CQ30" ca="1">OFFSET($DF$4,1,MATCH($CN31,$DG$4:$DP$4,0),HLOOKUP($CN31,$DG$4:$DP$9,6,0),1)</f>
        <v>2</v>
      </c>
      <c r="CR30" s="426" cm="1">
        <f t="array" aca="1" ref="CR30" ca="1">OFFSET($DF$4,1,MATCH($CN32,$DG$4:$DP$4,0),HLOOKUP($CN32,$DG$4:$DP$9,6,0),1)</f>
        <v>3</v>
      </c>
      <c r="CS30" s="426" cm="1">
        <f t="array" aca="1" ref="CS30" ca="1">OFFSET($DF$4,1,MATCH($CN33,$DG$4:$DP$4,0),HLOOKUP($CN33,$DG$4:$DP$9,6,0),1)</f>
        <v>4</v>
      </c>
      <c r="DA30" s="412"/>
      <c r="DB30" s="412"/>
      <c r="DC30" s="412"/>
      <c r="DD30" s="412"/>
      <c r="DE30" s="412"/>
      <c r="DF30" s="412"/>
      <c r="DG30" s="412"/>
      <c r="DH30" s="412"/>
      <c r="DI30" s="412"/>
      <c r="DJ30" s="412"/>
      <c r="EG30" s="430">
        <f ca="1">RANK(EH30,EH30:EH33,1)</f>
        <v>3</v>
      </c>
      <c r="EH30" s="426">
        <f ca="1">SUM(IF(AND(AJ30=AJ31,BC30=BC31,BI30=BI31,BO30=BO31),BE30,0),IF(AND(AJ30=AJ32,BC30=BC32,BI30=BI32,BO30=BO32),BF30,0),IF(AND(AJ30=AJ33,BC30=BC33,BI30=BI33,BO30=BO33),BG30,0))</f>
        <v>1</v>
      </c>
      <c r="EI30" s="430">
        <f ca="1">RANK(EJ30,EJ30:EJ33,1)</f>
        <v>1</v>
      </c>
      <c r="EJ30" s="426">
        <f ca="1">SUM(IF(AND(AJ30=AJ31,BC30=BC31,BI30=BI31,BO30=BO31),BK30,0),IF(AND(AJ30=AJ32,BC30=BC32,BI30=BI32,BO30=BO32),BL30,0),IF(AND(AJ30=AJ33,BC30=BC33,BI30=BI33,BO30=BO33),BM30,0))</f>
        <v>0</v>
      </c>
      <c r="EK30" s="430">
        <f ca="1">RANK(EL30,EL30:EL33,1)</f>
        <v>3</v>
      </c>
      <c r="EL30" s="426">
        <f ca="1">SUM(IF(AND(AJ30=AJ31,BC30=BC31,BI30=BI31,BO30=BO31),BQ30,0),IF(AND(AJ30=AJ32,BC30=BC32,BI30=BI32,BO30=BO32),BR30,0),IF(AND(AJ30=AJ33,BC30=BC33,BI30=BI33,BO30=BO33),BS30,0))</f>
        <v>1</v>
      </c>
    </row>
    <row r="31" spans="1:142" x14ac:dyDescent="0.3">
      <c r="A31" s="370" t="str">
        <f t="array" aca="1" ref="A31" ca="1">IF(ROWS(A$29:A31)&lt;=$C$28,INDEX(INDIRECT(A$28),SMALL(IF(Nivell=$B$28,ROW(Nivell)-ROW(Equipos!$C$2)+1),ROWS(B$28:B30))),"")</f>
        <v>Austria</v>
      </c>
      <c r="B31" s="371"/>
      <c r="C31" s="189"/>
      <c r="D31" s="170"/>
      <c r="E31" s="814"/>
      <c r="F31" s="260">
        <f>Horarios!C31</f>
        <v>45464.875</v>
      </c>
      <c r="G31" s="261">
        <f>Horarios!C31</f>
        <v>45464.875</v>
      </c>
      <c r="H31" s="260" t="str">
        <f>$H$6</f>
        <v>J2</v>
      </c>
      <c r="I31" s="262" t="str">
        <f ca="1">A30</f>
        <v>Países Bajos</v>
      </c>
      <c r="J31" s="263" t="str">
        <f ca="1">(VLOOKUP(I31,Equipos!$K$2:$M$56,3,0))</f>
        <v>🇳🇱</v>
      </c>
      <c r="K31" s="264">
        <v>0</v>
      </c>
      <c r="L31" s="264">
        <v>3</v>
      </c>
      <c r="M31" s="265" t="str">
        <f ca="1">VLOOKUP(N31,Equipos!$K$2:$M$56,3,0)</f>
        <v>🇫🇷</v>
      </c>
      <c r="N31" s="273" t="str">
        <f ca="1">A32</f>
        <v>Francia</v>
      </c>
      <c r="O31" s="98">
        <f t="shared" si="24"/>
        <v>1</v>
      </c>
      <c r="P31" s="95"/>
      <c r="Q31" s="305">
        <v>2</v>
      </c>
      <c r="R31" s="5" t="str">
        <f ca="1">VLOOKUP(Q31,$AG$30:$AI$33,3,0)</f>
        <v>Países Bajos</v>
      </c>
      <c r="S31" s="4">
        <f ca="1">VLOOKUP(R31,$AI$30:$AR$33,2,FALSE)</f>
        <v>6</v>
      </c>
      <c r="T31" s="4">
        <f ca="1">VLOOKUP($R31,$AI$30:$AR$33,3,FALSE)</f>
        <v>3</v>
      </c>
      <c r="U31" s="4">
        <f ca="1">VLOOKUP($R31,$AI$30:$AR$33,4,FALSE)</f>
        <v>2</v>
      </c>
      <c r="V31" s="4">
        <f ca="1">VLOOKUP($R31,$AI$30:$AR$33,5,FALSE)</f>
        <v>0</v>
      </c>
      <c r="W31" s="4">
        <f ca="1">VLOOKUP($R31,$AI$30:$AR$33,6,FALSE)</f>
        <v>1</v>
      </c>
      <c r="X31" s="4">
        <f ca="1">VLOOKUP($R31,$AI$30:$AR$33,7,FALSE)</f>
        <v>3</v>
      </c>
      <c r="Y31" s="4">
        <f ca="1">VLOOKUP($R31,$AI$30:$AR$33,8,FALSE)</f>
        <v>4</v>
      </c>
      <c r="Z31" s="306">
        <f ca="1">VLOOKUP($R31,$AI$30:$AR$33,9,FALSE)</f>
        <v>-1</v>
      </c>
      <c r="AA31" s="86">
        <f ca="1">IF(SUM($AK$30:$AK$33)=12,MIN(ABS(BY30-BY31),ABS(BY31-BY32)),100)</f>
        <v>416625092499.9801</v>
      </c>
      <c r="AB31" s="109" t="str">
        <f ca="1">IF(AND(AA31&gt;=0,AA31&lt;90),VLOOKUP(Q31,$BU$30:$BV$33,2,0),"")</f>
        <v/>
      </c>
      <c r="AC31" s="85"/>
      <c r="AD31" s="86"/>
      <c r="AE31" s="83"/>
      <c r="AF31" s="427"/>
      <c r="AG31" s="426">
        <f ca="1">RANK(AU31,$AU$30:$AU$33)</f>
        <v>2</v>
      </c>
      <c r="AH31" s="426">
        <f ca="1">RANK(AR31,$AR$30:$AR$33)</f>
        <v>2</v>
      </c>
      <c r="AI31" s="412" t="str">
        <f ca="1">A30</f>
        <v>Países Bajos</v>
      </c>
      <c r="AJ31" s="426">
        <f ca="1">AL31*3+AM31*1+AN31*0</f>
        <v>6</v>
      </c>
      <c r="AK31" s="426">
        <f ca="1">COUNTIFS($I$4:$I$49,AI31,$K$4:$K$49,"&lt;&gt;",$L$4:$L$49,"&lt;&gt;")+COUNTIFS($N$4:$N$49,AI31,$L$4:$L$49,"&lt;&gt;",$K$4:$K$49,"&lt;&gt;")</f>
        <v>3</v>
      </c>
      <c r="AL31" s="426">
        <f t="array" aca="1" ref="AL31" ca="1">SUM(($I$4:$I$49=AI31)*($K$4:$K$49&lt;&gt;"")*($L$4:$L$49&lt;&gt;"")*($K$4:$K$49&gt;$L$4:$L$49),($N$4:$N$49=AI31)*($K$4:$K$49&lt;&gt;"")*($L$4:$L$49&lt;&gt;"")*($K$4:$K$49&lt;$L$4:$L$49))</f>
        <v>2</v>
      </c>
      <c r="AM31" s="426">
        <f t="array" aca="1" ref="AM31" ca="1">SUM(($I$4:$I$49=AI31)*($K$4:$K$49&lt;&gt;"")*($L$4:$L$49&lt;&gt;"")*($K$4:$K$49=$L$4:$L$49),($N$4:$N$49=AI31)*($K$4:$K$49&lt;&gt;"")*($L$4:$L$49&lt;&gt;"")*($K$4:$K$49=$L$4:$L$49))</f>
        <v>0</v>
      </c>
      <c r="AN31" s="426">
        <f t="array" aca="1" ref="AN31" ca="1">SUM(($I$4:$I$49=AI31)*($L$4:$L$49&lt;&gt;"")*($K$4:$K$49&lt;&gt;"")*($K$4:$K$49&lt;$L$4:$L$49),($K$4:$K$49&lt;&gt;"")*($N$4:$N$49=AI31)*($L$4:$L$49&lt;&gt;"")*($K$4:$K$49&gt;$L$4:$L$49))</f>
        <v>1</v>
      </c>
      <c r="AO31" s="426">
        <f t="array" aca="1" ref="AO31" ca="1">SUMIFS($K$4:$K$49,$I$4:$I$49,AI31,$K$4:$K$49,"&lt;&gt;",$L$4:$L$49,"&lt;&gt;")+SUMIFS($L$4:$L$49,$N$4:$N$49,AI31,$K$4:$K$49,"&lt;&gt;",$L$4:$L$49,"&lt;&gt;")</f>
        <v>3</v>
      </c>
      <c r="AP31" s="426">
        <f t="array" aca="1" ref="AP31" ca="1">SUMIFS($K$4:$K$49,$N$4:$N$49,AI31,$K$4:$K$49,"&lt;&gt;",$L$4:$L$49,"&lt;&gt;")+SUMIFS($L$4:$L$49,$I$4:$I$49,AI31,$K$4:$K$49,"&lt;&gt;",$L$4:$L$49,"&lt;&gt;")</f>
        <v>4</v>
      </c>
      <c r="AQ31" s="426">
        <f ca="1">AO31-AP31</f>
        <v>-1</v>
      </c>
      <c r="AR31" s="426">
        <f ca="1">IF(AK31=0,-($AW$15*VLOOKUP(AI31,Tabla3[[NombreEquipo]:[Rank]],3,FALSE)),AJ31*$AW$5+BA31+AQ31*$AW$12+AO31*$AW$13-($AW$15*VLOOKUP(AI31,Tabla3[[NombreEquipo]:[Rank]],3,FALSE)/100))</f>
        <v>834031191499.85999</v>
      </c>
      <c r="AS31" s="426">
        <f ca="1">AH31</f>
        <v>2</v>
      </c>
      <c r="AT31" s="426"/>
      <c r="AU31" s="426">
        <f ca="1">IFERROR(AR31-VLOOKUP(AI31,$AB$30:$AC$33,2,0),AR31)</f>
        <v>834031191499.85999</v>
      </c>
      <c r="AV31" s="426"/>
      <c r="AW31" s="429"/>
      <c r="AX31" s="426"/>
      <c r="AY31" s="434" t="str">
        <f ca="1">AI31</f>
        <v>Países Bajos</v>
      </c>
      <c r="AZ31" s="426">
        <f ca="1">COUNTIF(AJ30:AJ33,AJ31)</f>
        <v>1</v>
      </c>
      <c r="BA31" s="426">
        <f ca="1">(BB31*$AW$8)+(BH31*$AW$7)+(BN31*$AW$6)+(EG31*$AW$11)+(EI31*$AW$10)+(EK31*$AW$9)</f>
        <v>781200000</v>
      </c>
      <c r="BB31" s="430">
        <f ca="1">RANK(BC31,BC30:BC33,1)</f>
        <v>1</v>
      </c>
      <c r="BC31" s="430">
        <f ca="1">SUM(IF(AND(AJ31=AJ32),BF31,0),IF(AND(AJ31=AJ33),BG31,0),IF(AND(AJ31=AJ30),BD31,0))</f>
        <v>0</v>
      </c>
      <c r="BD31" s="430">
        <f t="array" aca="1" ref="BD31" ca="1">SUMIFS($K$28:$K$33,$I$28:$I$33,$AY31,$K$28:$K$33,"&lt;&gt;",$L$28:$L$33,"&lt;&gt;",$N$28:$N$33,BD29)+SUMIFS($L$28:$L$33,$I$28:$I$33,BD29,$K$28:$K$33,"&lt;&gt;",$L$28:$L$33,"&lt;&gt;",$N$28:$N$33,$AY31)</f>
        <v>2</v>
      </c>
      <c r="BE31" s="430">
        <v>0</v>
      </c>
      <c r="BF31" s="430">
        <f t="array" aca="1" ref="BF31" ca="1">SUMIFS($K$28:$K$33,$I$28:$I$33,$AY31,$K$28:$K$33,"&lt;&gt;",$L$28:$L$33,"&lt;&gt;",$N$28:$N$33,BF29)+SUMIFS($L$28:$L$33,$I$28:$I$33,BF29,$K$28:$K$33,"&lt;&gt;",$L$28:$L$33,"&lt;&gt;",$N$28:$N$33,$AY31)</f>
        <v>1</v>
      </c>
      <c r="BG31" s="430">
        <f t="array" aca="1" ref="BG31" ca="1">SUMIFS($K$28:$K$33,$I$28:$I$33,$AY31,$K$28:$K$33,"&lt;&gt;",$L$28:$L$33,"&lt;&gt;",$N$28:$N$33,BG29)+SUMIFS($L$28:$L$33,$I$28:$I$33,BG29,$K$28:$K$33,"&lt;&gt;",$L$28:$L$33,"&lt;&gt;",$N$28:$N$33,$AY31)</f>
        <v>0</v>
      </c>
      <c r="BH31" s="430">
        <f ca="1">RANK(BI31,BI30:BI33,1)</f>
        <v>1</v>
      </c>
      <c r="BI31" s="430">
        <f ca="1">SUM(IF(AND(AJ31=AJ32),BL31,0),IF(AND(AJ31=AJ33),BM31,0),IF(AND(AJ31=AJ30),BJ31,0))</f>
        <v>0</v>
      </c>
      <c r="BJ31" s="430">
        <f ca="1">BD31-BE30</f>
        <v>1</v>
      </c>
      <c r="BK31" s="430">
        <v>0</v>
      </c>
      <c r="BL31" s="430">
        <f ca="1">BF31-BE32</f>
        <v>1</v>
      </c>
      <c r="BM31" s="430">
        <f ca="1">BG31-BE33</f>
        <v>-3</v>
      </c>
      <c r="BN31" s="430">
        <f ca="1">RANK(BO31,BO30:BO33,1)</f>
        <v>1</v>
      </c>
      <c r="BO31" s="430">
        <f ca="1">SUM(IF(AND(AJ31=AJ32),BR31,0),IF(AND(AJ31=AJ33),BS31,0),IF(AND(AJ31=AJ30),BP31,0))</f>
        <v>0</v>
      </c>
      <c r="BP31" s="430">
        <f t="array" aca="1" ref="BP31" ca="1">SUM((I$4:I$49=AY31)*(N$4:N$49=BP29)*(K$4:K$49&lt;&gt;"")*(L$4:L$49&lt;&gt;"")*(K$4:K$49&gt;L$4:L$49)*3,(N$4:N$49=AY31)*(I$4:I$49=BP29)*(K$4:K$49&lt;&gt;"")*(L$4:L$49&lt;&gt;"")*(K$4:K$49=L$4:L$49)*1,(N$4:N$49=AY31)*(I$4:I$49=BP29)*(K$4:K$49&lt;&gt;"")*(L$4:L$49&lt;&gt;"")*(K$4:K$49&lt;L$4:L$49)*3,(I$4:I$49=AY31)*(N$4:N$49=BP29)*(K$4:K$49&lt;&gt;"")*(L$4:L$49&lt;&gt;"")*(K$4:K$49=L$4:L$49)*1)</f>
        <v>3</v>
      </c>
      <c r="BQ31" s="430">
        <v>0</v>
      </c>
      <c r="BR31" s="430">
        <f t="array" aca="1" ref="BR31" ca="1">SUM((I$4:I$49=AY31)*(N$4:N$49=BR29)*(K$4:K$49&lt;&gt;"")*(L$4:L$49&lt;&gt;"")*(K$4:K$49&gt;L$4:L$49)*3,(N$4:N$49=AY31)*(I$4:I$49=BR29)*(K$4:K$49&lt;&gt;"")*(L$4:L$49&lt;&gt;"")*(K$4:K$49=L$4:L$49)*1,(N$4:N$49=AY31)*(I$4:I$49=BR29)*(K$4:K$49&lt;&gt;"")*(L$4:L$49&lt;&gt;"")*(K$4:K$49&lt;L$4:L$49)*3,(I$4:I$49=AY31)*(N$4:N$49=BR29)*(K$4:K$49&lt;&gt;"")*(L$4:L$49&lt;&gt;"")*(K$4:K$49=L$4:L$49)*1)</f>
        <v>3</v>
      </c>
      <c r="BS31" s="430">
        <f t="array" aca="1" ref="BS31" ca="1">SUM((I$4:I$49=AY31)*(N$4:N$49=BS29)*(K$4:K$49&lt;&gt;"")*(L$4:L$49&lt;&gt;"")*(K$4:K$49&gt;L$4:L$49)*3,(N$4:N$49=AY31)*(I$4:I$49=BS29)*(K$4:K$49&lt;&gt;"")*(L$4:L$49&lt;&gt;"")*(K$4:K$49=L$4:L$49)*1,(N$4:N$49=AY31)*(I$4:I$49=BS29)*(K$4:K$49&lt;&gt;"")*(L$4:L$49&lt;&gt;"")*(K$4:K$49&lt;L$4:L$49)*3,(I$4:I$49=AY31)*(N$4:N$49=BS29)*(K$4:K$49&lt;&gt;"")*(L$4:L$49&lt;&gt;"")*(K$4:K$49=L$4:L$49)*1)</f>
        <v>0</v>
      </c>
      <c r="BT31" s="412">
        <v>2</v>
      </c>
      <c r="BU31" s="412">
        <f ca="1">RANK(BW31,$BW$30:$BW$33)</f>
        <v>2</v>
      </c>
      <c r="BV31" s="412" t="str">
        <f ca="1">A30</f>
        <v>Países Bajos</v>
      </c>
      <c r="BW31" s="412">
        <f ca="1">IF(AK31=0,-($AW$15*VLOOKUP(AI31,Tabla3[[NombreEquipo]:[Rank]],3,FALSE)),AJ31*$AW$5+BA31+AQ31*$AW$12+AO31*$AW$13-($AW$15*VLOOKUP(AI31,Tabla3[[NombreEquipo]:[Rank]],3,FALSE)/100))</f>
        <v>834031191499.85999</v>
      </c>
      <c r="BX31" s="412" t="str">
        <f ca="1">VLOOKUP(Q31,$AH$30:$AI$33,2,0)</f>
        <v>Países Bajos</v>
      </c>
      <c r="BY31" s="412">
        <f ca="1">VLOOKUP($BX31,$AI$30:$AR$33,10,FALSE)</f>
        <v>834031191499.85999</v>
      </c>
      <c r="CC31" s="426">
        <f t="shared" ref="CC31:CC32" ca="1" si="27">RANK(CE31,$CE$30:$CE$33)</f>
        <v>2</v>
      </c>
      <c r="CD31" s="426" t="str">
        <f ca="1">A30</f>
        <v>Países Bajos</v>
      </c>
      <c r="CE31" s="426">
        <f ca="1">IF(AK31=0,-($AW$15*VLOOKUP(AI31,Tabla3[[NombreEquipo]:[Rank]],3,FALSE)),AJ31*$AW$5+BA31+AQ31*$AW$12+AO31*$AW$13-($AW$15*VLOOKUP(AI31,Tabla3[[NombreEquipo]:[Rank]],3,FALSE)/100))</f>
        <v>834031191499.85999</v>
      </c>
      <c r="CF31" s="426">
        <f ca="1">IF(AK31=0,-($AW$15*VLOOKUP(AI31,Tabla3[[NombreEquipo]:[Rank]],3,FALSE)),AJ31*$AW$5+BA31+AQ31*$AW$12+AO31*$AW$13)</f>
        <v>834031191500</v>
      </c>
      <c r="CG31" s="426">
        <v>2</v>
      </c>
      <c r="CH31" s="426" t="str">
        <f t="shared" ref="CH31:CH33" ca="1" si="28">VLOOKUP(CG31,$CC$30:$CD$33,2,0)</f>
        <v>Países Bajos</v>
      </c>
      <c r="CI31" s="426">
        <f t="shared" ref="CI31:CI33" ca="1" si="29">VLOOKUP(CG31,$CC$30:$CF$33,4,0)</f>
        <v>834031191500</v>
      </c>
      <c r="CJ31" s="426">
        <f t="shared" ref="CJ31:CJ33" ca="1" si="30">COUNTIF($CI$30:$CI$33,CI31)</f>
        <v>1</v>
      </c>
      <c r="CM31" s="426">
        <v>2</v>
      </c>
      <c r="CN31" s="426">
        <f ca="1">HLOOKUP(CL30,$CW$4:$DD$9,4,0)</f>
        <v>2</v>
      </c>
      <c r="DA31" s="412"/>
      <c r="DB31" s="412"/>
      <c r="DC31" s="412"/>
      <c r="DD31" s="412"/>
      <c r="DE31" s="412"/>
      <c r="DF31" s="412"/>
      <c r="DG31" s="412"/>
      <c r="DH31" s="412"/>
      <c r="DI31" s="412"/>
      <c r="DJ31" s="412"/>
      <c r="EG31" s="430">
        <f ca="1">RANK(EH31,EH30:EH33,1)</f>
        <v>1</v>
      </c>
      <c r="EH31" s="426">
        <f ca="1">SUM(IF(AND(AJ31=AJ32,BC31=BC32,BI31=BI32,BO31=BO32),BF31,0),IF(AND(AJ31=AJ33,BC31=BC33,BI31=BI33,BO31=BO33),BG31,0),IF(AND(AJ31=AJ30,BC31=BC30,BI31=BI30,BO31=BO30),BD31,0))</f>
        <v>0</v>
      </c>
      <c r="EI31" s="430">
        <f ca="1">RANK(EJ31,EJ30:EJ33,1)</f>
        <v>1</v>
      </c>
      <c r="EJ31" s="426">
        <f ca="1">SUM(IF(AND(AJ31=AJ32,BC31=BC32,BI31=BI32,BO31=BO32),BL31,0),IF(AND(AJ31=AJ33,BC31=BC33,BI31=BI33,BO31=BO33),BM31,0),IF(AND(AJ31=AJ30,BC31=BC30,BI31=BI30,BO31=BO30),BJ31,0))</f>
        <v>0</v>
      </c>
      <c r="EK31" s="430">
        <f ca="1">RANK(EL31,EL30:EL33,1)</f>
        <v>1</v>
      </c>
      <c r="EL31" s="426">
        <f ca="1">SUM(IF(AND(AJ31=AJ32,BC31=BC32,BI31=BI32,BO31=BO32),BR31,0),IF(AND(AJ31=AJ33,BC31=BC33,BI31=BI33,BO31=BO33),BS31,0),IF(AND(AJ31=AJ30,BC31=BC30,BI31=BI30,BO31=BO30),BP31,0))</f>
        <v>0</v>
      </c>
    </row>
    <row r="32" spans="1:142" x14ac:dyDescent="0.3">
      <c r="A32" s="370" t="str">
        <f t="array" aca="1" ref="A32" ca="1">IF(ROWS(A$29:A32)&lt;=$C$28,INDEX(INDIRECT(A$28),SMALL(IF(Nivell=$B$28,ROW(Nivell)-ROW(Equipos!$C$2)+1),ROWS(B$28:B31))),"")</f>
        <v>Francia</v>
      </c>
      <c r="B32" s="371"/>
      <c r="C32" s="189"/>
      <c r="D32" s="170"/>
      <c r="E32" s="814"/>
      <c r="F32" s="260">
        <f>Horarios!C32</f>
        <v>45468.75</v>
      </c>
      <c r="G32" s="261">
        <f>Horarios!C32</f>
        <v>45468.75</v>
      </c>
      <c r="H32" s="260" t="str">
        <f>$H$8</f>
        <v>J3</v>
      </c>
      <c r="I32" s="262" t="str">
        <f ca="1">A30</f>
        <v>Países Bajos</v>
      </c>
      <c r="J32" s="263" t="str">
        <f ca="1">VLOOKUP(I32,Equipos!$K$2:$M$56,3,0)</f>
        <v>🇳🇱</v>
      </c>
      <c r="K32" s="264">
        <v>1</v>
      </c>
      <c r="L32" s="264">
        <v>0</v>
      </c>
      <c r="M32" s="265" t="str">
        <f ca="1">VLOOKUP(N32,Equipos!$K$2:$M$56,3,0)</f>
        <v>🇦🇹</v>
      </c>
      <c r="N32" s="273" t="str">
        <f ca="1">A31</f>
        <v>Austria</v>
      </c>
      <c r="O32" s="98">
        <f t="shared" si="24"/>
        <v>1</v>
      </c>
      <c r="P32" s="95"/>
      <c r="Q32" s="305">
        <v>3</v>
      </c>
      <c r="R32" s="5" t="str">
        <f ca="1">VLOOKUP(Q32,$AG$30:$AI$33,3,0)</f>
        <v>Polonia</v>
      </c>
      <c r="S32" s="4">
        <f ca="1">VLOOKUP(R32,$AI$30:$AR$33,2,FALSE)</f>
        <v>1</v>
      </c>
      <c r="T32" s="4">
        <f ca="1">VLOOKUP($R32,$AI$30:$AR$33,3,FALSE)</f>
        <v>3</v>
      </c>
      <c r="U32" s="4">
        <f ca="1">VLOOKUP($R32,$AI$30:$AR$33,4,FALSE)</f>
        <v>0</v>
      </c>
      <c r="V32" s="4">
        <f ca="1">VLOOKUP($R32,$AI$30:$AR$33,5,FALSE)</f>
        <v>1</v>
      </c>
      <c r="W32" s="4">
        <f ca="1">VLOOKUP($R32,$AI$30:$AR$33,6,FALSE)</f>
        <v>2</v>
      </c>
      <c r="X32" s="4">
        <f ca="1">VLOOKUP($R32,$AI$30:$AR$33,7,FALSE)</f>
        <v>2</v>
      </c>
      <c r="Y32" s="4">
        <f ca="1">VLOOKUP($R32,$AI$30:$AR$33,8,FALSE)</f>
        <v>5</v>
      </c>
      <c r="Z32" s="306">
        <f ca="1">VLOOKUP($R32,$AI$30:$AR$33,9,FALSE)</f>
        <v>-3</v>
      </c>
      <c r="AA32" s="86">
        <f ca="1">IF(SUM($AK$30:$AK$33)=12,MIN(ABS(BY31-BY32),ABS(BY32-BY33)),100)</f>
        <v>10500.019989013672</v>
      </c>
      <c r="AB32" s="109" t="str">
        <f ca="1">IF(AND(AA32&gt;=0,AA32&lt;90),VLOOKUP(Q32,$BU$30:$BV$33,2,0),"")</f>
        <v/>
      </c>
      <c r="AC32" s="85"/>
      <c r="AD32" s="86"/>
      <c r="AE32" s="83"/>
      <c r="AF32" s="427"/>
      <c r="AG32" s="426">
        <f ca="1">RANK(AU32,$AU$30:$AU$33)</f>
        <v>4</v>
      </c>
      <c r="AH32" s="426">
        <f ca="1">RANK(AR32,$AR$30:$AR$33)</f>
        <v>4</v>
      </c>
      <c r="AI32" s="412" t="str">
        <f ca="1">A31</f>
        <v>Austria</v>
      </c>
      <c r="AJ32" s="426">
        <f ca="1">AL32*3+AM32*1+AN32*0</f>
        <v>1</v>
      </c>
      <c r="AK32" s="426">
        <f ca="1">COUNTIFS($I$4:$I$49,AI32,$K$4:$K$49,"&lt;&gt;",$L$4:$L$49,"&lt;&gt;")+COUNTIFS($N$4:$N$49,AI32,$L$4:$L$49,"&lt;&gt;",$K$4:$K$49,"&lt;&gt;")</f>
        <v>3</v>
      </c>
      <c r="AL32" s="426">
        <f t="array" aca="1" ref="AL32" ca="1">SUM(($I$4:$I$49=AI32)*($K$4:$K$49&lt;&gt;"")*($L$4:$L$49&lt;&gt;"")*($K$4:$K$49&gt;$L$4:$L$49),($N$4:$N$49=AI32)*($K$4:$K$49&lt;&gt;"")*($L$4:$L$49&lt;&gt;"")*($K$4:$K$49&lt;$L$4:$L$49))</f>
        <v>0</v>
      </c>
      <c r="AM32" s="426">
        <f t="array" aca="1" ref="AM32" ca="1">SUM(($I$4:$I$49=AI32)*($K$4:$K$49&lt;&gt;"")*($L$4:$L$49&lt;&gt;"")*($K$4:$K$49=$L$4:$L$49),($N$4:$N$49=AI32)*($K$4:$K$49&lt;&gt;"")*($L$4:$L$49&lt;&gt;"")*($K$4:$K$49=$L$4:$L$49))</f>
        <v>1</v>
      </c>
      <c r="AN32" s="426">
        <f t="array" aca="1" ref="AN32" ca="1">SUM(($I$4:$I$49=AI32)*($L$4:$L$49&lt;&gt;"")*($K$4:$K$49&lt;&gt;"")*($K$4:$K$49&lt;$L$4:$L$49),($K$4:$K$49&lt;&gt;"")*($N$4:$N$49=AI32)*($L$4:$L$49&lt;&gt;"")*($K$4:$K$49&gt;$L$4:$L$49))</f>
        <v>2</v>
      </c>
      <c r="AO32" s="426">
        <f t="array" aca="1" ref="AO32" ca="1">SUMIFS($K$4:$K$49,$I$4:$I$49,AI32,$K$4:$K$49,"&lt;&gt;",$L$4:$L$49,"&lt;&gt;")+SUMIFS($L$4:$L$49,$N$4:$N$49,AI32,$K$4:$K$49,"&lt;&gt;",$L$4:$L$49,"&lt;&gt;")</f>
        <v>1</v>
      </c>
      <c r="AP32" s="426">
        <f t="array" aca="1" ref="AP32" ca="1">SUMIFS($K$4:$K$49,$N$4:$N$49,AI32,$K$4:$K$49,"&lt;&gt;",$L$4:$L$49,"&lt;&gt;")+SUMIFS($L$4:$L$49,$I$4:$I$49,AI32,$K$4:$K$49,"&lt;&gt;",$L$4:$L$49,"&lt;&gt;")</f>
        <v>5</v>
      </c>
      <c r="AQ32" s="426">
        <f ca="1">AO32-AP32</f>
        <v>-4</v>
      </c>
      <c r="AR32" s="426">
        <f ca="1">IF(AK32=0,-($AW$15*VLOOKUP(AI32,Tabla3[[NombreEquipo]:[Rank]],3,FALSE)),AJ32*$AW$5+BA32+AQ32*$AW$12+AO32*$AW$13-($AW$15*VLOOKUP(AI32,Tabla3[[NombreEquipo]:[Rank]],3,FALSE)/100))</f>
        <v>140966560499.85001</v>
      </c>
      <c r="AS32" s="426">
        <f ca="1">AH32</f>
        <v>4</v>
      </c>
      <c r="AT32" s="426"/>
      <c r="AU32" s="426">
        <f ca="1">IFERROR(AR32-VLOOKUP(AI32,$AB$30:$AC$33,2,0),AR32)</f>
        <v>140966560499.85001</v>
      </c>
      <c r="AV32" s="426"/>
      <c r="AW32" s="429"/>
      <c r="AX32" s="426"/>
      <c r="AY32" s="434" t="str">
        <f ca="1">AI32</f>
        <v>Austria</v>
      </c>
      <c r="AZ32" s="426">
        <f ca="1">COUNTIF(AJ30:AJ33,AJ32)</f>
        <v>2</v>
      </c>
      <c r="BA32" s="426">
        <f ca="1">(BB32*$AW$8)+(BH32*$AW$7)+(BN32*$AW$6)+(EG32*$AW$11)+(EI32*$AW$10)+(EK32*$AW$9)</f>
        <v>2091600000</v>
      </c>
      <c r="BB32" s="430">
        <f ca="1">RANK(BC32,BC30:BC33,1)</f>
        <v>3</v>
      </c>
      <c r="BC32" s="430">
        <f ca="1">SUM(IF(AND(AJ32=AJ33),BG32,0),IF(AND(AJ32=AJ30),BD32,0),IF(AND(AJ32=AJ31),BE32,0))</f>
        <v>1</v>
      </c>
      <c r="BD32" s="430">
        <f t="array" aca="1" ref="BD32" ca="1">SUMIFS($K$28:$K$33,$I$28:$I$33,$AY32,$K$28:$K$33,"&lt;&gt;",$L$28:$L$33,"&lt;&gt;",$N$28:$N$33,BD29)+SUMIFS($L$28:$L$33,$I$28:$I$33,BD29,$K$28:$K$33,"&lt;&gt;",$L$28:$L$33,"&lt;&gt;",$N$28:$N$33,$AY32)</f>
        <v>1</v>
      </c>
      <c r="BE32" s="430">
        <f t="array" aca="1" ref="BE32" ca="1">SUMIFS($K$28:$K$33,$I$28:$I$33,$AY32,$K$28:$K$33,"&lt;&gt;",$L$28:$L$33,"&lt;&gt;",$N$28:$N$33,BE29)+SUMIFS($L$28:$L$33,$I$28:$I$33,BE29,$K$28:$K$33,"&lt;&gt;",$L$28:$L$33,"&lt;&gt;",$N$28:$N$33,$AY32)</f>
        <v>0</v>
      </c>
      <c r="BF32" s="430">
        <v>0</v>
      </c>
      <c r="BG32" s="430">
        <f t="array" aca="1" ref="BG32" ca="1">SUMIFS($K$28:$K$33,$I$28:$I$33,$AY32,$K$28:$K$33,"&lt;&gt;",$L$28:$L$33,"&lt;&gt;",$N$28:$N$33,BG29)+SUMIFS($L$28:$L$33,$I$28:$I$33,BG29,$K$28:$K$33,"&lt;&gt;",$L$28:$L$33,"&lt;&gt;",$N$28:$N$33,$AY32)</f>
        <v>0</v>
      </c>
      <c r="BH32" s="430">
        <f ca="1">RANK(BI32,BI30:BI33,1)</f>
        <v>1</v>
      </c>
      <c r="BI32" s="430">
        <f ca="1">SUM(IF(AND(AJ32=AJ33),BM32,0),IF(AND(AJ32=AJ30),BJ32,0),IF(AND(AJ32=AJ31),BK32,0))</f>
        <v>0</v>
      </c>
      <c r="BJ32" s="430">
        <f ca="1">BD32-BF30</f>
        <v>0</v>
      </c>
      <c r="BK32" s="430">
        <f ca="1">BE32-BF31</f>
        <v>-1</v>
      </c>
      <c r="BL32" s="430">
        <v>0</v>
      </c>
      <c r="BM32" s="430">
        <f ca="1">BG32-BF33</f>
        <v>-3</v>
      </c>
      <c r="BN32" s="430">
        <f ca="1">RANK(BO32,BO30:BO33,1)</f>
        <v>3</v>
      </c>
      <c r="BO32" s="430">
        <f ca="1">SUM(IF(AND(AJ32=AJ33),BS32,0),IF(AND(AJ32=AJ30),BP32,0),IF(AND(AJ32=AJ31),BQ32,0))</f>
        <v>1</v>
      </c>
      <c r="BP32" s="430">
        <f t="array" aca="1" ref="BP32" ca="1">SUM((I$4:I$49=AY32)*(N$4:N$49=BP29)*(K$4:K$49&lt;&gt;"")*(L$4:L$49&lt;&gt;"")*(K$4:K$49&gt;L$4:L$49)*3,(N$4:N$49=AY32)*(I$4:I$49=BP29)*(K$4:K$49&lt;&gt;"")*(L$4:L$49&lt;&gt;"")*(K$4:K$49=L$4:L$49)*1,(N$4:N$49=AY32)*(I$4:I$49=BP29)*(K$4:K$49&lt;&gt;"")*(L$4:L$49&lt;&gt;"")*(K$4:K$49&lt;L$4:L$49)*3,(I$4:I$49=AY32)*(N$4:N$49=BP29)*(K$4:K$49&lt;&gt;"")*(L$4:L$49&lt;&gt;"")*(K$4:K$49=L$4:L$49)*1)</f>
        <v>1</v>
      </c>
      <c r="BQ32" s="430">
        <f t="array" aca="1" ref="BQ32" ca="1">SUM((I$4:I$49=AY32)*(N$4:N$49=BQ29)*(K$4:K$49&lt;&gt;"")*(L$4:L$49&lt;&gt;"")*(K$4:K$49&gt;L$4:L$49)*3,(N$4:N$49=AY32)*(I$4:I$49=BQ29)*(K$4:K$49&lt;&gt;"")*(L$4:L$49&lt;&gt;"")*(K$4:K$49=L$4:L$49)*1,(N$4:N$49=AY32)*(I$4:I$49=BQ29)*(K$4:K$49&lt;&gt;"")*(L$4:L$49&lt;&gt;"")*(K$4:K$49&lt;L$4:L$49)*3,(I$4:I$49=AY32)*(N$4:N$49=BQ29)*(K$4:K$49&lt;&gt;"")*(L$4:L$49&lt;&gt;"")*(K$4:K$49=L$4:L$49)*1)</f>
        <v>0</v>
      </c>
      <c r="BR32" s="430">
        <v>0</v>
      </c>
      <c r="BS32" s="430">
        <f t="array" aca="1" ref="BS32" ca="1">SUM((I$4:I$49=AY32)*(N$4:N$49=BS29)*(K$4:K$49&lt;&gt;"")*(L$4:L$49&lt;&gt;"")*(K$4:K$49&gt;L$4:L$49)*3,(N$4:N$49=AY32)*(I$4:I$49=BS29)*(K$4:K$49&lt;&gt;"")*(L$4:L$49&lt;&gt;"")*(K$4:K$49=L$4:L$49)*1,(N$4:N$49=AY32)*(I$4:I$49=BS29)*(K$4:K$49&lt;&gt;"")*(L$4:L$49&lt;&gt;"")*(K$4:K$49&lt;L$4:L$49)*3,(I$4:I$49=AY32)*(N$4:N$49=BS29)*(K$4:K$49&lt;&gt;"")*(L$4:L$49&lt;&gt;"")*(K$4:K$49=L$4:L$49)*1)</f>
        <v>0</v>
      </c>
      <c r="BT32" s="412">
        <v>3</v>
      </c>
      <c r="BU32" s="412">
        <f ca="1">RANK(BW32,$BW$30:$BW$33)</f>
        <v>4</v>
      </c>
      <c r="BV32" s="412" t="str">
        <f ca="1">A31</f>
        <v>Austria</v>
      </c>
      <c r="BW32" s="412">
        <f ca="1">IF(AK32=0,-($AW$15*VLOOKUP(AI32,Tabla3[[NombreEquipo]:[Rank]],3,FALSE)),AJ32*$AW$5+BA32+AQ32*$AW$12+AO32*$AW$13-($AW$15*VLOOKUP(AI32,Tabla3[[NombreEquipo]:[Rank]],3,FALSE)/100))</f>
        <v>140966560499.85001</v>
      </c>
      <c r="BX32" s="412" t="str">
        <f ca="1">VLOOKUP(Q32,$AH$30:$AI$33,2,0)</f>
        <v>Polonia</v>
      </c>
      <c r="BY32" s="412">
        <f ca="1">VLOOKUP($BX32,$AI$30:$AR$33,10,FALSE)</f>
        <v>140966570999.87</v>
      </c>
      <c r="CC32" s="426">
        <f t="shared" ca="1" si="27"/>
        <v>4</v>
      </c>
      <c r="CD32" s="426" t="str">
        <f ca="1">A31</f>
        <v>Austria</v>
      </c>
      <c r="CE32" s="426">
        <f ca="1">IF(AK32=0,-($AW$15*VLOOKUP(AI32,Tabla3[[NombreEquipo]:[Rank]],3,FALSE)),AJ32*$AW$5+BA32+AQ32*$AW$12+AO32*$AW$13-($AW$15*VLOOKUP(AI32,Tabla3[[NombreEquipo]:[Rank]],3,FALSE)/100))</f>
        <v>140966560499.85001</v>
      </c>
      <c r="CF32" s="426">
        <f ca="1">IF(AK32=0,-($AW$15*VLOOKUP(AI32,Tabla3[[NombreEquipo]:[Rank]],3,FALSE)),AJ32*$AW$5+BA32+AQ32*$AW$12+AO32*$AW$13)</f>
        <v>140966560500</v>
      </c>
      <c r="CG32" s="426">
        <v>3</v>
      </c>
      <c r="CH32" s="426" t="str">
        <f t="shared" ca="1" si="28"/>
        <v>Polonia</v>
      </c>
      <c r="CI32" s="426">
        <f t="shared" ca="1" si="29"/>
        <v>140966571000</v>
      </c>
      <c r="CJ32" s="426">
        <f t="shared" ca="1" si="30"/>
        <v>1</v>
      </c>
      <c r="CM32" s="426">
        <v>3</v>
      </c>
      <c r="CN32" s="426">
        <f ca="1">HLOOKUP(CL30,$CW$4:$DD$9,5,0)</f>
        <v>3</v>
      </c>
      <c r="DA32" s="412"/>
      <c r="DB32" s="412"/>
      <c r="DC32" s="412"/>
      <c r="DD32" s="412"/>
      <c r="DE32" s="412"/>
      <c r="DF32" s="412"/>
      <c r="DG32" s="412"/>
      <c r="DH32" s="412"/>
      <c r="DI32" s="412"/>
      <c r="DJ32" s="412"/>
      <c r="EG32" s="430">
        <f ca="1">RANK(EH32,EH30:EH33,1)</f>
        <v>3</v>
      </c>
      <c r="EH32" s="426">
        <f ca="1">SUM(IF(AND(AJ32=AJ33,BC32=BC33,BI32=BI33,BO32=BO33),BG32,0),IF(AND(AJ32=AJ30,BC32=BC30,BI32=BI30,BO32=BO30),BD32,0),IF(AND(AJ32=AJ31,BC32=BC31,BI32=BI31,BO32=BO31),BE32,0))</f>
        <v>1</v>
      </c>
      <c r="EI32" s="430">
        <f ca="1">RANK(EJ32,EJ30:EJ33,1)</f>
        <v>1</v>
      </c>
      <c r="EJ32" s="426">
        <f ca="1">SUM(IF(AND(AJ32=AJ33,BC32=BC33,BI32=BI33,BO32=BO33),BM32,0),IF(AND(AJ32=AJ30,BC32=BC30,BI32=BI30,BO32=BO30),BJ32,0),IF(AND(AJ32=AJ31,BC32=BC31,BI32=BI31,BO32=BO31),BK32,0))</f>
        <v>0</v>
      </c>
      <c r="EK32" s="430">
        <f ca="1">RANK(EL32,EL30:EL33,1)</f>
        <v>3</v>
      </c>
      <c r="EL32" s="426">
        <f ca="1">SUM(IF(AND(AJ32=AJ33,BC32=BC33,BI32=BI33,BO32=BO33),BS32,0),IF(AND(AJ32=AJ30,BC32=BC30,BI32=BI30,BO32=BO30),BP32,0),IF(AND(AJ32=AJ31,BC32=BC31,BI32=BI31,BO32=BO31),BQ32,0))</f>
        <v>1</v>
      </c>
    </row>
    <row r="33" spans="1:142" ht="15" thickBot="1" x14ac:dyDescent="0.35">
      <c r="A33" s="187"/>
      <c r="B33" s="187"/>
      <c r="C33" s="187"/>
      <c r="D33" s="170"/>
      <c r="E33" s="815"/>
      <c r="F33" s="274">
        <f>Horarios!C33</f>
        <v>45468.75</v>
      </c>
      <c r="G33" s="275">
        <f>Horarios!C33</f>
        <v>45468.75</v>
      </c>
      <c r="H33" s="274" t="str">
        <f>$H$8</f>
        <v>J3</v>
      </c>
      <c r="I33" s="276" t="str">
        <f ca="1">A32</f>
        <v>Francia</v>
      </c>
      <c r="J33" s="277" t="str">
        <f ca="1">VLOOKUP(I33,Equipos!$K$2:$M$56,3,0)</f>
        <v>🇫🇷</v>
      </c>
      <c r="K33" s="278">
        <v>2</v>
      </c>
      <c r="L33" s="278">
        <v>0</v>
      </c>
      <c r="M33" s="279" t="str">
        <f ca="1">VLOOKUP(N33,Equipos!$K$2:$M$56,3,0)</f>
        <v>🇵🇱</v>
      </c>
      <c r="N33" s="280" t="str">
        <f ca="1">A29</f>
        <v>Polonia</v>
      </c>
      <c r="O33" s="98">
        <f t="shared" si="24"/>
        <v>1</v>
      </c>
      <c r="P33" s="95"/>
      <c r="Q33" s="307">
        <v>4</v>
      </c>
      <c r="R33" s="308" t="str">
        <f ca="1">VLOOKUP(Q33,$AG$30:$AI$33,3,0)</f>
        <v>Austria</v>
      </c>
      <c r="S33" s="309">
        <f ca="1">VLOOKUP(R33,$AI$30:$AR$33,2,FALSE)</f>
        <v>1</v>
      </c>
      <c r="T33" s="309">
        <f ca="1">VLOOKUP($R33,$AI$30:$AR$33,3,FALSE)</f>
        <v>3</v>
      </c>
      <c r="U33" s="309">
        <f ca="1">VLOOKUP($R33,$AI$30:$AR$33,4,FALSE)</f>
        <v>0</v>
      </c>
      <c r="V33" s="309">
        <f ca="1">VLOOKUP($R33,$AI$30:$AR$33,5,FALSE)</f>
        <v>1</v>
      </c>
      <c r="W33" s="309">
        <f ca="1">VLOOKUP($R33,$AI$30:$AR$33,6,FALSE)</f>
        <v>2</v>
      </c>
      <c r="X33" s="309">
        <f ca="1">VLOOKUP($R33,$AI$30:$AR$33,7,FALSE)</f>
        <v>1</v>
      </c>
      <c r="Y33" s="309">
        <f ca="1">VLOOKUP($R33,$AI$30:$AR$33,8,FALSE)</f>
        <v>5</v>
      </c>
      <c r="Z33" s="310">
        <f ca="1">VLOOKUP($R33,$AI$30:$AR$33,9,FALSE)</f>
        <v>-4</v>
      </c>
      <c r="AA33" s="86">
        <f ca="1">IF(SUM($AK$30:$AK$33)=12,MIN(ABS(BY32-BY33),ABS(BY33-BY34)),100)</f>
        <v>10500.019989013672</v>
      </c>
      <c r="AB33" s="109" t="str">
        <f ca="1">IF(AND(AA33&gt;=0,AA33&lt;90),VLOOKUP(Q33,$BU$30:$BV$33,2,0),"")</f>
        <v/>
      </c>
      <c r="AC33" s="85"/>
      <c r="AD33" s="86"/>
      <c r="AE33" s="83"/>
      <c r="AF33" s="427"/>
      <c r="AG33" s="426">
        <f ca="1">RANK(AU33,$AU$30:$AU$33)</f>
        <v>1</v>
      </c>
      <c r="AH33" s="426">
        <f ca="1">RANK(AR33,$AR$30:$AR$33)</f>
        <v>1</v>
      </c>
      <c r="AI33" s="412" t="str">
        <f ca="1">A32</f>
        <v>Francia</v>
      </c>
      <c r="AJ33" s="426">
        <f ca="1">AL33*3+AM33*1+AN33*0</f>
        <v>9</v>
      </c>
      <c r="AK33" s="426">
        <f ca="1">COUNTIFS($I$4:$I$49,AI33,$K$4:$K$49,"&lt;&gt;",$L$4:$L$49,"&lt;&gt;")+COUNTIFS($N$4:$N$49,AI33,$L$4:$L$49,"&lt;&gt;",$K$4:$K$49,"&lt;&gt;")</f>
        <v>3</v>
      </c>
      <c r="AL33" s="426">
        <f t="array" aca="1" ref="AL33" ca="1">SUM(($I$4:$I$49=AI33)*($K$4:$K$49&lt;&gt;"")*($L$4:$L$49&lt;&gt;"")*($K$4:$K$49&gt;$L$4:$L$49),($N$4:$N$49=AI33)*($K$4:$K$49&lt;&gt;"")*($L$4:$L$49&lt;&gt;"")*($K$4:$K$49&lt;$L$4:$L$49))</f>
        <v>3</v>
      </c>
      <c r="AM33" s="426">
        <f t="array" aca="1" ref="AM33" ca="1">SUM(($I$4:$I$49=AI33)*($K$4:$K$49&lt;&gt;"")*($L$4:$L$49&lt;&gt;"")*($K$4:$K$49=$L$4:$L$49),($N$4:$N$49=AI33)*($K$4:$K$49&lt;&gt;"")*($L$4:$L$49&lt;&gt;"")*($K$4:$K$49=$L$4:$L$49))</f>
        <v>0</v>
      </c>
      <c r="AN33" s="426">
        <f t="array" aca="1" ref="AN33" ca="1">SUM(($I$4:$I$49=AI33)*($L$4:$L$49&lt;&gt;"")*($K$4:$K$49&lt;&gt;"")*($K$4:$K$49&lt;$L$4:$L$49),($K$4:$K$49&lt;&gt;"")*($N$4:$N$49=AI33)*($L$4:$L$49&lt;&gt;"")*($K$4:$K$49&gt;$L$4:$L$49))</f>
        <v>0</v>
      </c>
      <c r="AO33" s="426">
        <f t="array" aca="1" ref="AO33" ca="1">SUMIFS($K$4:$K$49,$I$4:$I$49,AI33,$K$4:$K$49,"&lt;&gt;",$L$4:$L$49,"&lt;&gt;")+SUMIFS($L$4:$L$49,$N$4:$N$49,AI33,$K$4:$K$49,"&lt;&gt;",$L$4:$L$49,"&lt;&gt;")</f>
        <v>8</v>
      </c>
      <c r="AP33" s="426">
        <f t="array" aca="1" ref="AP33" ca="1">SUMIFS($K$4:$K$49,$N$4:$N$49,AI33,$K$4:$K$49,"&lt;&gt;",$L$4:$L$49,"&lt;&gt;")+SUMIFS($L$4:$L$49,$I$4:$I$49,AI33,$K$4:$K$49,"&lt;&gt;",$L$4:$L$49,"&lt;&gt;")</f>
        <v>0</v>
      </c>
      <c r="AQ33" s="426">
        <f ca="1">AO33-AP33</f>
        <v>8</v>
      </c>
      <c r="AR33" s="426">
        <f ca="1">IF(AK33=0,-($AW$15*VLOOKUP(AI33,Tabla3[[NombreEquipo]:[Rank]],3,FALSE)),AJ33*$AW$5+BA33+AQ33*$AW$12+AO33*$AW$13-($AW$15*VLOOKUP(AI33,Tabla3[[NombreEquipo]:[Rank]],3,FALSE)/100))</f>
        <v>1250656283999.8401</v>
      </c>
      <c r="AS33" s="426">
        <f ca="1">AH33</f>
        <v>1</v>
      </c>
      <c r="AT33" s="426"/>
      <c r="AU33" s="426">
        <f ca="1">IFERROR(AR33-VLOOKUP(AI33,$AB$30:$AC$33,2,0),AR33)</f>
        <v>1250656283999.8401</v>
      </c>
      <c r="AV33" s="426"/>
      <c r="AW33" s="429"/>
      <c r="AX33" s="426"/>
      <c r="AY33" s="434" t="str">
        <f ca="1">AI33</f>
        <v>Francia</v>
      </c>
      <c r="AZ33" s="426">
        <f ca="1">COUNTIF(AJ30:AJ33,AJ33)</f>
        <v>1</v>
      </c>
      <c r="BA33" s="426">
        <f ca="1">(BB33*$AW$8)+(BH33*$AW$7)+(BN33*$AW$6)+(EG33*$AW$11)+(EI33*$AW$10)+(EK33*$AW$9)</f>
        <v>781200000</v>
      </c>
      <c r="BB33" s="430">
        <f ca="1">RANK(BC33,BC30:BC33,1)</f>
        <v>1</v>
      </c>
      <c r="BC33" s="430">
        <f ca="1">SUM(IF(AND(AJ33=AJ30),BD33,0),IF(AND(AJ33=AJ31),BE33,0),IF(AND(AJ33=AJ32),BF33,0))</f>
        <v>0</v>
      </c>
      <c r="BD33" s="430">
        <f t="array" aca="1" ref="BD33" ca="1">SUMIFS($K$28:$K$33,$I$28:$I$33,$AY33,$K$28:$K$33,"&lt;&gt;",$L$28:$L$33,"&lt;&gt;",$N$28:$N$33,BD29)+SUMIFS($L$28:$L$33,$I$28:$I$33,BD29,$K$28:$K$33,"&lt;&gt;",$L$28:$L$33,"&lt;&gt;",$N$28:$N$33,$AY33)</f>
        <v>2</v>
      </c>
      <c r="BE33" s="430">
        <f t="array" aca="1" ref="BE33" ca="1">SUMIFS($K$28:$K$33,$I$28:$I$33,$AY33,$K$28:$K$33,"&lt;&gt;",$L$28:$L$33,"&lt;&gt;",$N$28:$N$33,BE29)+SUMIFS($L$28:$L$33,$I$28:$I$33,BE29,$K$28:$K$33,"&lt;&gt;",$L$28:$L$33,"&lt;&gt;",$N$28:$N$33,$AY33)</f>
        <v>3</v>
      </c>
      <c r="BF33" s="430">
        <f t="array" aca="1" ref="BF33" ca="1">SUMIFS($K$28:$K$33,$I$28:$I$33,$AY33,$K$28:$K$33,"&lt;&gt;",$L$28:$L$33,"&lt;&gt;",$N$28:$N$33,BF29)+SUMIFS($L$28:$L$33,$I$28:$I$33,BF29,$K$28:$K$33,"&lt;&gt;",$L$28:$L$33,"&lt;&gt;",$N$28:$N$33,$AY33)</f>
        <v>3</v>
      </c>
      <c r="BG33" s="430">
        <v>0</v>
      </c>
      <c r="BH33" s="430">
        <f ca="1">RANK(BI33,BI30:BI33,1)</f>
        <v>1</v>
      </c>
      <c r="BI33" s="430">
        <f ca="1">SUM(IF(AND(AJ33=AJ30),BJ33,0),IF(AND(AJ33=AJ31),BK33,0),IF(AND(AJ33=AJ32),BL33,0))</f>
        <v>0</v>
      </c>
      <c r="BJ33" s="430">
        <f ca="1">BD33-BG30</f>
        <v>2</v>
      </c>
      <c r="BK33" s="430">
        <f ca="1">BE33-BG31</f>
        <v>3</v>
      </c>
      <c r="BL33" s="430">
        <f ca="1">BF33-BG32</f>
        <v>3</v>
      </c>
      <c r="BM33" s="430">
        <v>0</v>
      </c>
      <c r="BN33" s="430">
        <f ca="1">RANK(BO33,BO30:BO33,1)</f>
        <v>1</v>
      </c>
      <c r="BO33" s="430">
        <f ca="1">SUM(IF(AND(AJ33=AJ30),BP33,0),IF(AND(AJ33=AJ31),BQ33,0),IF(AND(AJ33=AJ32),BR33,0))</f>
        <v>0</v>
      </c>
      <c r="BP33" s="430">
        <f t="array" aca="1" ref="BP33" ca="1">SUM((I$4:I$49=AY33)*(N$4:N$49=BP29)*(K$4:K$49&lt;&gt;"")*(L$4:L$49&lt;&gt;"")*(K$4:K$49&gt;L$4:L$49)*3,(N$4:N$49=AY33)*(I$4:I$49=BP29)*(K$4:K$49&lt;&gt;"")*(L$4:L$49&lt;&gt;"")*(K$4:K$49=L$4:L$49)*1,(N$4:N$49=AY33)*(I$4:I$49=BP29)*(K$4:K$49&lt;&gt;"")*(L$4:L$49&lt;&gt;"")*(K$4:K$49&lt;L$4:L$49)*3,(I$4:I$49=AY33)*(N$4:N$49=BP29)*(K$4:K$49&lt;&gt;"")*(L$4:L$49&lt;&gt;"")*(K$4:K$49=L$4:L$49)*1)</f>
        <v>3</v>
      </c>
      <c r="BQ33" s="430">
        <f t="array" aca="1" ref="BQ33" ca="1">SUM((I$4:I$49=AY33)*(N$4:N$49=BQ29)*(K$4:K$49&lt;&gt;"")*(L$4:L$49&lt;&gt;"")*(K$4:K$49&gt;L$4:L$49)*3,(N$4:N$49=AY33)*(I$4:I$49=BQ29)*(K$4:K$49&lt;&gt;"")*(L$4:L$49&lt;&gt;"")*(K$4:K$49=L$4:L$49)*1,(N$4:N$49=AY33)*(I$4:I$49=BQ29)*(K$4:K$49&lt;&gt;"")*(L$4:L$49&lt;&gt;"")*(K$4:K$49&lt;L$4:L$49)*3,(I$4:I$49=AY33)*(N$4:N$49=BQ29)*(K$4:K$49&lt;&gt;"")*(L$4:L$49&lt;&gt;"")*(K$4:K$49=L$4:L$49)*1)</f>
        <v>3</v>
      </c>
      <c r="BR33" s="430">
        <f t="array" aca="1" ref="BR33" ca="1">SUM((I$4:I$49=AY33)*(N$4:N$49=BR29)*(K$4:K$49&lt;&gt;"")*(L$4:L$49&lt;&gt;"")*(K$4:K$49&gt;L$4:L$49)*3,(N$4:N$49=AY33)*(I$4:I$49=BR29)*(K$4:K$49&lt;&gt;"")*(L$4:L$49&lt;&gt;"")*(K$4:K$49=L$4:L$49)*1,(N$4:N$49=AY33)*(I$4:I$49=BR29)*(K$4:K$49&lt;&gt;"")*(L$4:L$49&lt;&gt;"")*(K$4:K$49&lt;L$4:L$49)*3,(I$4:I$49=AY33)*(N$4:N$49=BR29)*(K$4:K$49&lt;&gt;"")*(L$4:L$49&lt;&gt;"")*(K$4:K$49=L$4:L$49)*1)</f>
        <v>3</v>
      </c>
      <c r="BS33" s="430">
        <v>0</v>
      </c>
      <c r="BT33" s="412">
        <v>4</v>
      </c>
      <c r="BU33" s="412">
        <f ca="1">RANK(BW33,$BW$30:$BW$33)</f>
        <v>1</v>
      </c>
      <c r="BV33" s="412" t="str">
        <f ca="1">A32</f>
        <v>Francia</v>
      </c>
      <c r="BW33" s="412">
        <f ca="1">IF(AK33=0,-($AW$15*VLOOKUP(AI33,Tabla3[[NombreEquipo]:[Rank]],3,FALSE)),AJ33*$AW$5+BA33+AQ33*$AW$12+AO33*$AW$13-($AW$15*VLOOKUP(AI33,Tabla3[[NombreEquipo]:[Rank]],3,FALSE)/100))</f>
        <v>1250656283999.8401</v>
      </c>
      <c r="BX33" s="412" t="str">
        <f ca="1">VLOOKUP(Q33,$AH$30:$AI$33,2,0)</f>
        <v>Austria</v>
      </c>
      <c r="BY33" s="412">
        <f ca="1">VLOOKUP($BX33,$AI$30:$AR$33,10,FALSE)</f>
        <v>140966560499.85001</v>
      </c>
      <c r="CC33" s="426">
        <f ca="1">RANK(CE33,$CE$30:$CE$33)</f>
        <v>1</v>
      </c>
      <c r="CD33" s="426" t="str">
        <f ca="1">A32</f>
        <v>Francia</v>
      </c>
      <c r="CE33" s="426">
        <f ca="1">IF(AK33=0,-($AW$15*VLOOKUP(AI33,Tabla3[[NombreEquipo]:[Rank]],3,FALSE)),AJ33*$AW$5+BA33+AQ33*$AW$12+AO33*$AW$13-($AW$15*VLOOKUP(AI33,Tabla3[[NombreEquipo]:[Rank]],3,FALSE)/100))</f>
        <v>1250656283999.8401</v>
      </c>
      <c r="CF33" s="426">
        <f ca="1">IF(AK33=0,-($AW$15*VLOOKUP(AI33,Tabla3[[NombreEquipo]:[Rank]],3,FALSE)),AJ33*$AW$5+BA33+AQ33*$AW$12+AO33*$AW$13)</f>
        <v>1250656284000</v>
      </c>
      <c r="CG33" s="426">
        <v>4</v>
      </c>
      <c r="CH33" s="426" t="str">
        <f t="shared" ca="1" si="28"/>
        <v>Austria</v>
      </c>
      <c r="CI33" s="426">
        <f t="shared" ca="1" si="29"/>
        <v>140966560500</v>
      </c>
      <c r="CJ33" s="426">
        <f t="shared" ca="1" si="30"/>
        <v>1</v>
      </c>
      <c r="CM33" s="426">
        <v>4</v>
      </c>
      <c r="CN33" s="426">
        <f ca="1">HLOOKUP(CL30,$CW$4:$DD$9,6,0)</f>
        <v>4</v>
      </c>
      <c r="EG33" s="430">
        <f ca="1">RANK(EH33,EH30:EH33,1)</f>
        <v>1</v>
      </c>
      <c r="EH33" s="426">
        <f ca="1">SUM(IF(AND(AJ33=AJ30,BC33=BC30,BI33=BI30,BO33=BO30),BD33,0),IF(AND(AJ33=AJ31,BC33=BC31,BI33=BI31,BO33=BO31),BE33,0),IF(AND(AJ33=AJ32,BC33=BC32,BI33=BI32,BO33=BO32),BF33,0))</f>
        <v>0</v>
      </c>
      <c r="EI33" s="430">
        <f ca="1">RANK(EJ33,EJ30:EJ33,1)</f>
        <v>1</v>
      </c>
      <c r="EJ33" s="426">
        <f ca="1">SUM(IF(AND(AJ33=AJ30,BC33=BC30,BI33=BI30,BO33=BO30),BJ33,0),IF(AND(AJ33=AJ31,BC33=BC31,BI33=BI31,BO33=BO31),BK33,0),IF(AND(AJ33=AJ32,BC33=BC32,BI33=BI32,BO33=BO32),BL33,0))</f>
        <v>0</v>
      </c>
      <c r="EK33" s="430">
        <f ca="1">RANK(EL33,EL30:EL33,1)</f>
        <v>1</v>
      </c>
      <c r="EL33" s="426">
        <f ca="1">SUM(IF(AND(AJ33=AJ30,BC33=BC30,BI33=BI30,BO33=BO30),BP33,0),IF(AND(AJ33=AJ31,BC33=BC31,BI33=BI31,BO33=BO31),BQ33,0),IF(AND(AJ33=AJ32,BC33=BC32,BI33=BI32,BO33=BO32),BR33,0))</f>
        <v>0</v>
      </c>
    </row>
    <row r="34" spans="1:142" x14ac:dyDescent="0.3">
      <c r="A34" s="187"/>
      <c r="B34" s="187"/>
      <c r="C34" s="187"/>
      <c r="D34" s="170"/>
      <c r="E34" s="78"/>
      <c r="F34" s="89"/>
      <c r="G34" s="78"/>
      <c r="H34" s="78"/>
      <c r="I34" s="78"/>
      <c r="J34" s="78"/>
      <c r="K34" s="78"/>
      <c r="L34" s="78"/>
      <c r="M34" s="78"/>
      <c r="N34" s="78"/>
      <c r="O34" s="78"/>
      <c r="P34" s="78"/>
      <c r="Q34" s="78"/>
      <c r="R34" s="78"/>
      <c r="S34" s="78"/>
      <c r="T34" s="78"/>
      <c r="U34" s="78"/>
      <c r="V34" s="78"/>
      <c r="W34" s="78"/>
      <c r="X34" s="78"/>
      <c r="Y34" s="78"/>
      <c r="Z34" s="78"/>
      <c r="AA34" s="78"/>
      <c r="AB34" s="78"/>
      <c r="AC34" s="87"/>
      <c r="AD34" s="86"/>
      <c r="AE34" s="83"/>
      <c r="AF34" s="427"/>
      <c r="AG34" s="426"/>
      <c r="AH34" s="426"/>
      <c r="AJ34" s="426"/>
      <c r="AK34" s="426"/>
      <c r="AL34" s="426"/>
      <c r="AM34" s="426"/>
      <c r="AN34" s="426"/>
      <c r="AO34" s="426"/>
      <c r="AP34" s="426"/>
      <c r="AQ34" s="426"/>
      <c r="AR34" s="426"/>
      <c r="AS34" s="426"/>
      <c r="AT34" s="426"/>
      <c r="AU34" s="426"/>
      <c r="AV34" s="426"/>
      <c r="AW34" s="429"/>
      <c r="AX34" s="426"/>
      <c r="AY34" s="434"/>
      <c r="AZ34" s="426"/>
      <c r="BA34" s="426"/>
      <c r="BB34" s="430"/>
      <c r="BC34" s="430"/>
      <c r="BD34" s="430"/>
      <c r="BE34" s="430"/>
      <c r="BF34" s="430"/>
      <c r="BG34" s="430"/>
      <c r="BH34" s="430"/>
      <c r="BI34" s="430"/>
      <c r="BJ34" s="430"/>
      <c r="BK34" s="430"/>
      <c r="BL34" s="430"/>
      <c r="BM34" s="430"/>
      <c r="BN34" s="430"/>
      <c r="BO34" s="430"/>
      <c r="BP34" s="430"/>
      <c r="BQ34" s="430"/>
      <c r="BR34" s="430"/>
      <c r="BS34" s="430"/>
      <c r="EG34" s="430"/>
      <c r="EI34" s="430"/>
      <c r="EK34" s="430"/>
    </row>
    <row r="35" spans="1:142" ht="15" thickBot="1" x14ac:dyDescent="0.35">
      <c r="A35" s="187"/>
      <c r="B35" s="371"/>
      <c r="C35" s="187"/>
      <c r="D35" s="78"/>
      <c r="E35" s="99"/>
      <c r="F35" s="96" t="str">
        <f>F19</f>
        <v>Fecha</v>
      </c>
      <c r="G35" s="96" t="str">
        <f t="shared" ref="G35:I35" si="31">G19</f>
        <v>Hora</v>
      </c>
      <c r="H35" s="100" t="str">
        <f t="shared" si="31"/>
        <v>Jor.</v>
      </c>
      <c r="I35" s="101" t="str">
        <f t="shared" si="31"/>
        <v>Casa</v>
      </c>
      <c r="J35" s="96"/>
      <c r="K35" s="102" t="str">
        <f>K3</f>
        <v>Gol</v>
      </c>
      <c r="L35" s="102" t="str">
        <f>L3</f>
        <v>Gol</v>
      </c>
      <c r="M35" s="102"/>
      <c r="N35" s="103" t="str">
        <f t="shared" ref="N35" si="32">N19</f>
        <v>Fuera</v>
      </c>
      <c r="O35" s="81"/>
      <c r="P35" s="81"/>
      <c r="Q35" s="81"/>
      <c r="R35" s="81"/>
      <c r="S35" s="81"/>
      <c r="T35" s="81"/>
      <c r="U35" s="81"/>
      <c r="V35" s="81"/>
      <c r="W35" s="81"/>
      <c r="X35" s="81"/>
      <c r="Y35" s="81"/>
      <c r="Z35" s="81"/>
      <c r="AA35" s="82"/>
      <c r="AB35" s="82"/>
      <c r="AC35" s="82"/>
      <c r="AD35" s="82"/>
      <c r="AE35" s="83"/>
      <c r="AF35" s="427"/>
      <c r="AG35" s="426"/>
      <c r="AH35" s="426"/>
      <c r="AI35" s="426"/>
      <c r="AJ35" s="426"/>
      <c r="AK35" s="426"/>
      <c r="AL35" s="426"/>
      <c r="AM35" s="426"/>
      <c r="AN35" s="426"/>
      <c r="AO35" s="426"/>
      <c r="AP35" s="426"/>
      <c r="AQ35" s="426"/>
      <c r="AR35" s="426"/>
      <c r="AS35" s="426"/>
      <c r="AT35" s="426"/>
      <c r="AU35" s="426"/>
      <c r="AV35" s="426"/>
      <c r="AW35" s="429"/>
      <c r="AX35" s="426"/>
      <c r="AY35" s="426"/>
      <c r="AZ35" s="426"/>
      <c r="BA35" s="426"/>
      <c r="BB35" s="426"/>
      <c r="BC35" s="426"/>
      <c r="BD35" s="426"/>
      <c r="BE35" s="426"/>
      <c r="BF35" s="426"/>
      <c r="BG35" s="426"/>
      <c r="BH35" s="426"/>
      <c r="BI35" s="426"/>
      <c r="BJ35" s="426"/>
      <c r="BK35" s="426"/>
      <c r="BL35" s="426"/>
      <c r="BM35" s="426"/>
      <c r="BN35" s="426"/>
      <c r="BO35" s="426"/>
      <c r="BP35" s="426"/>
      <c r="BQ35" s="426"/>
      <c r="BR35" s="426"/>
      <c r="BS35" s="426"/>
      <c r="BT35" s="426"/>
      <c r="BU35" s="426"/>
      <c r="BV35" s="426"/>
      <c r="BW35" s="426"/>
      <c r="BX35" s="426"/>
      <c r="BY35" s="426"/>
      <c r="BZ35" s="426"/>
      <c r="CA35" s="427"/>
      <c r="CB35" s="427"/>
      <c r="DA35" s="412"/>
      <c r="DB35" s="412"/>
      <c r="DC35" s="412"/>
      <c r="DD35" s="412"/>
      <c r="DE35" s="412"/>
      <c r="DF35" s="412"/>
      <c r="DG35" s="412"/>
      <c r="DH35" s="412"/>
      <c r="DI35" s="412"/>
      <c r="DJ35" s="412"/>
    </row>
    <row r="36" spans="1:142" x14ac:dyDescent="0.3">
      <c r="A36" s="370" t="s">
        <v>17</v>
      </c>
      <c r="B36" s="371" t="s">
        <v>30</v>
      </c>
      <c r="C36" s="372">
        <f>COUNTIF(Equipos!$C$2:$C$25,EURO2024!B36)</f>
        <v>4</v>
      </c>
      <c r="D36" s="170"/>
      <c r="E36" s="816" t="s">
        <v>30</v>
      </c>
      <c r="F36" s="245">
        <f>Horarios!C36</f>
        <v>45460.625</v>
      </c>
      <c r="G36" s="246">
        <f>Horarios!C36</f>
        <v>45460.625</v>
      </c>
      <c r="H36" s="245" t="str">
        <f>$H$4</f>
        <v>J1</v>
      </c>
      <c r="I36" s="247" t="str">
        <f ca="1">A39</f>
        <v>Rumanía</v>
      </c>
      <c r="J36" s="248" t="str">
        <f ca="1">VLOOKUP(I36,Equipos!$K$2:$M$56,3,0)</f>
        <v>🇷🇴</v>
      </c>
      <c r="K36" s="249">
        <v>0</v>
      </c>
      <c r="L36" s="249">
        <v>2</v>
      </c>
      <c r="M36" s="250" t="str">
        <f ca="1">VLOOKUP(N36,Equipos!$K$2:$M$56,3,0)</f>
        <v>🇺🇦</v>
      </c>
      <c r="N36" s="251" t="str">
        <f ca="1">A40</f>
        <v>Ucrania</v>
      </c>
      <c r="O36" s="98">
        <f>IF(NOT(OR(ISBLANK(K36),ISBLANK(L36))),1,0)</f>
        <v>1</v>
      </c>
      <c r="P36" s="95"/>
      <c r="Q36" s="311" t="str">
        <f>CONCATENATE(Q3," ",B36)</f>
        <v>Grupo E</v>
      </c>
      <c r="R36" s="312"/>
      <c r="S36" s="312"/>
      <c r="T36" s="312"/>
      <c r="U36" s="312"/>
      <c r="V36" s="312"/>
      <c r="W36" s="312"/>
      <c r="X36" s="312"/>
      <c r="Y36" s="312"/>
      <c r="Z36" s="313"/>
      <c r="AA36" s="108"/>
      <c r="AB36" s="767" t="str">
        <f ca="1">IF($AA$37&gt;0,AB3,"")</f>
        <v>¡EMPATE! Puedes seleccionar el orden de los empatados.</v>
      </c>
      <c r="AC36" s="767"/>
      <c r="AD36" s="767"/>
      <c r="AE36" s="83"/>
      <c r="AF36" s="427"/>
      <c r="AG36" s="426"/>
      <c r="AH36" s="426" t="str">
        <f>CONCATENATE("Auxiliar - ",Q36)</f>
        <v>Auxiliar - Grupo E</v>
      </c>
      <c r="AI36" s="426"/>
      <c r="AJ36" s="426"/>
      <c r="AK36" s="426"/>
      <c r="AL36" s="426"/>
      <c r="AM36" s="426"/>
      <c r="AN36" s="426"/>
      <c r="AO36" s="426"/>
      <c r="AP36" s="426"/>
      <c r="AQ36" s="426"/>
      <c r="AR36" s="426"/>
      <c r="AS36" s="426"/>
      <c r="AT36" s="426"/>
      <c r="AU36" s="426" t="s">
        <v>19</v>
      </c>
      <c r="AV36" s="426"/>
      <c r="AW36" s="429"/>
      <c r="AX36" s="426"/>
      <c r="AY36" s="427" t="str">
        <f>CONCATENATE(Q36," - GOLAVERAGE")</f>
        <v>Grupo E - GOLAVERAGE</v>
      </c>
      <c r="AZ36" s="426"/>
      <c r="BA36" s="426"/>
      <c r="BB36" s="426" t="s">
        <v>21</v>
      </c>
      <c r="BC36" s="426"/>
      <c r="BD36" s="426"/>
      <c r="BE36" s="426"/>
      <c r="BF36" s="426"/>
      <c r="BG36" s="426"/>
      <c r="BH36" s="763" t="s">
        <v>22</v>
      </c>
      <c r="BI36" s="763"/>
      <c r="BJ36" s="763"/>
      <c r="BK36" s="763"/>
      <c r="BL36" s="763"/>
      <c r="BM36" s="763"/>
      <c r="BN36" s="430"/>
      <c r="BO36" s="430"/>
      <c r="BP36" s="430"/>
      <c r="BQ36" s="430"/>
      <c r="BR36" s="430"/>
      <c r="BS36" s="430"/>
      <c r="DA36" s="412"/>
      <c r="DB36" s="412"/>
      <c r="DC36" s="412"/>
      <c r="DD36" s="412"/>
      <c r="DE36" s="412"/>
      <c r="DF36" s="412"/>
      <c r="DG36" s="412"/>
      <c r="DH36" s="412"/>
      <c r="DI36" s="412"/>
      <c r="DJ36" s="412"/>
      <c r="EG36" s="426" t="s">
        <v>21</v>
      </c>
      <c r="EI36" s="426" t="s">
        <v>22</v>
      </c>
      <c r="EK36" s="430"/>
    </row>
    <row r="37" spans="1:142" ht="15" thickBot="1" x14ac:dyDescent="0.35">
      <c r="A37" s="370" t="str">
        <f t="array" aca="1" ref="A37" ca="1">IF(ROWS(A$37:A37)&lt;=$C$36,INDEX(INDIRECT(A$36),SMALL(IF(Nivell=$B$36,ROW(Nivell)-ROW(Equipos!$C$2)+1),ROWS(B$36:B36))),"")</f>
        <v>Bélgica</v>
      </c>
      <c r="B37" s="371"/>
      <c r="C37" s="371"/>
      <c r="D37" s="170"/>
      <c r="E37" s="817"/>
      <c r="F37" s="239">
        <f>Horarios!C37</f>
        <v>45460.75</v>
      </c>
      <c r="G37" s="240">
        <f>Horarios!C37</f>
        <v>45460.75</v>
      </c>
      <c r="H37" s="239" t="str">
        <f>$H$4</f>
        <v>J1</v>
      </c>
      <c r="I37" s="241" t="str">
        <f ca="1">A37</f>
        <v>Bélgica</v>
      </c>
      <c r="J37" s="242" t="str">
        <f ca="1">VLOOKUP(I37,Equipos!$K$2:$M$56,3,0)</f>
        <v>🇧🇪</v>
      </c>
      <c r="K37" s="243">
        <v>2</v>
      </c>
      <c r="L37" s="243">
        <v>0</v>
      </c>
      <c r="M37" s="244" t="str">
        <f ca="1">VLOOKUP(N37,Equipos!$K$2:$M$56,3,0)</f>
        <v>🇸🇰</v>
      </c>
      <c r="N37" s="252" t="str">
        <f ca="1">A38</f>
        <v>Eslovaquia</v>
      </c>
      <c r="O37" s="98">
        <f t="shared" ref="O37:O41" si="33">IF(NOT(OR(ISBLANK(K37),ISBLANK(L37))),1,0)</f>
        <v>1</v>
      </c>
      <c r="P37" s="95"/>
      <c r="Q37" s="328" t="str">
        <f>Q5</f>
        <v>Pos</v>
      </c>
      <c r="R37" s="329" t="str">
        <f>R5</f>
        <v>Selección</v>
      </c>
      <c r="S37" s="329" t="str">
        <f t="shared" ref="S37:Y37" si="34">S5</f>
        <v>Pts</v>
      </c>
      <c r="T37" s="329" t="str">
        <f t="shared" si="34"/>
        <v>J</v>
      </c>
      <c r="U37" s="329" t="str">
        <f t="shared" si="34"/>
        <v>G</v>
      </c>
      <c r="V37" s="329" t="str">
        <f t="shared" si="34"/>
        <v>E</v>
      </c>
      <c r="W37" s="329" t="str">
        <f t="shared" si="34"/>
        <v>P</v>
      </c>
      <c r="X37" s="329" t="str">
        <f t="shared" si="34"/>
        <v>GF</v>
      </c>
      <c r="Y37" s="329" t="str">
        <f t="shared" si="34"/>
        <v>GC</v>
      </c>
      <c r="Z37" s="331" t="str">
        <f>Z5</f>
        <v>DG</v>
      </c>
      <c r="AA37" s="108">
        <f ca="1">COUNTIF(AA38:AA41,"&lt;100")</f>
        <v>2</v>
      </c>
      <c r="AB37" s="767"/>
      <c r="AC37" s="767"/>
      <c r="AD37" s="767"/>
      <c r="AE37" s="83"/>
      <c r="AF37" s="427"/>
      <c r="AG37" s="431" t="s">
        <v>19</v>
      </c>
      <c r="AH37" s="431" t="s">
        <v>25</v>
      </c>
      <c r="AI37" s="431" t="s">
        <v>26</v>
      </c>
      <c r="AJ37" s="431" t="s">
        <v>27</v>
      </c>
      <c r="AK37" s="431" t="s">
        <v>28</v>
      </c>
      <c r="AL37" s="431" t="s">
        <v>29</v>
      </c>
      <c r="AM37" s="431" t="s">
        <v>30</v>
      </c>
      <c r="AN37" s="431" t="s">
        <v>31</v>
      </c>
      <c r="AO37" s="431" t="s">
        <v>32</v>
      </c>
      <c r="AP37" s="431" t="s">
        <v>33</v>
      </c>
      <c r="AQ37" s="431" t="s">
        <v>34</v>
      </c>
      <c r="AR37" s="431" t="s">
        <v>35</v>
      </c>
      <c r="AS37" s="431" t="s">
        <v>25</v>
      </c>
      <c r="AT37" s="426"/>
      <c r="AU37" s="426"/>
      <c r="AV37" s="426"/>
      <c r="AW37" s="429"/>
      <c r="AX37" s="426"/>
      <c r="AY37" s="431" t="s">
        <v>26</v>
      </c>
      <c r="AZ37" s="431" t="s">
        <v>37</v>
      </c>
      <c r="BA37" s="431" t="s">
        <v>38</v>
      </c>
      <c r="BB37" s="431" t="s">
        <v>39</v>
      </c>
      <c r="BC37" s="431" t="s">
        <v>40</v>
      </c>
      <c r="BD37" s="431" t="str">
        <f ca="1">AY38</f>
        <v>Bélgica</v>
      </c>
      <c r="BE37" s="431" t="str">
        <f ca="1">AY39</f>
        <v>Eslovaquia</v>
      </c>
      <c r="BF37" s="431" t="str">
        <f ca="1">AY40</f>
        <v>Rumanía</v>
      </c>
      <c r="BG37" s="431" t="str">
        <f ca="1">AY41</f>
        <v>Ucrania</v>
      </c>
      <c r="BH37" s="431" t="s">
        <v>39</v>
      </c>
      <c r="BI37" s="431" t="s">
        <v>40</v>
      </c>
      <c r="BJ37" s="431" t="str">
        <f ca="1">BD37</f>
        <v>Bélgica</v>
      </c>
      <c r="BK37" s="431" t="str">
        <f ca="1">BE37</f>
        <v>Eslovaquia</v>
      </c>
      <c r="BL37" s="431" t="str">
        <f ca="1">BF37</f>
        <v>Rumanía</v>
      </c>
      <c r="BM37" s="431" t="str">
        <f ca="1">BG37</f>
        <v>Ucrania</v>
      </c>
      <c r="BN37" s="431" t="s">
        <v>39</v>
      </c>
      <c r="BO37" s="431" t="s">
        <v>40</v>
      </c>
      <c r="BP37" s="431" t="str">
        <f ca="1">BD37</f>
        <v>Bélgica</v>
      </c>
      <c r="BQ37" s="431" t="str">
        <f ca="1">BE37</f>
        <v>Eslovaquia</v>
      </c>
      <c r="BR37" s="431" t="str">
        <f ca="1">BF37</f>
        <v>Rumanía</v>
      </c>
      <c r="BS37" s="431" t="str">
        <f ca="1">BG37</f>
        <v>Ucrania</v>
      </c>
      <c r="BU37" s="432"/>
      <c r="BV37" s="432" t="s">
        <v>41</v>
      </c>
      <c r="BW37" s="432"/>
      <c r="BX37" s="432" t="s">
        <v>43</v>
      </c>
      <c r="BY37" s="432"/>
      <c r="CC37" s="432" t="s">
        <v>44</v>
      </c>
      <c r="CD37" s="434" t="s">
        <v>70</v>
      </c>
      <c r="CE37" s="431" t="s">
        <v>46</v>
      </c>
      <c r="CF37" s="431" t="s">
        <v>47</v>
      </c>
      <c r="CG37" s="432" t="s">
        <v>48</v>
      </c>
      <c r="CH37" s="431" t="s">
        <v>49</v>
      </c>
      <c r="CI37" s="431"/>
      <c r="CJ37" s="431"/>
      <c r="CK37" s="431"/>
      <c r="CL37" s="431"/>
      <c r="CM37" s="431"/>
      <c r="CN37" s="431"/>
      <c r="CP37" s="426">
        <v>1</v>
      </c>
      <c r="CQ37" s="426">
        <v>2</v>
      </c>
      <c r="CR37" s="426">
        <v>3</v>
      </c>
      <c r="CS37" s="426">
        <v>4</v>
      </c>
      <c r="DA37" s="412"/>
      <c r="DB37" s="412"/>
      <c r="DC37" s="412"/>
      <c r="DD37" s="412"/>
      <c r="DE37" s="412"/>
      <c r="DF37" s="412"/>
      <c r="DG37" s="412"/>
      <c r="DH37" s="412"/>
      <c r="DI37" s="412"/>
      <c r="DJ37" s="412"/>
      <c r="EG37" s="431" t="s">
        <v>39</v>
      </c>
      <c r="EI37" s="431" t="s">
        <v>39</v>
      </c>
      <c r="EK37" s="431" t="s">
        <v>39</v>
      </c>
    </row>
    <row r="38" spans="1:142" x14ac:dyDescent="0.3">
      <c r="A38" s="370" t="str">
        <f t="array" aca="1" ref="A38" ca="1">IF(ROWS(A$37:A38)&lt;=$C$36,INDEX(INDIRECT(A$36),SMALL(IF(Nivell=$B$36,ROW(Nivell)-ROW(Equipos!$C$2)+1),ROWS(B$36:B37))),"")</f>
        <v>Eslovaquia</v>
      </c>
      <c r="B38" s="371"/>
      <c r="C38" s="373"/>
      <c r="D38" s="170"/>
      <c r="E38" s="817"/>
      <c r="F38" s="239">
        <f>Horarios!C38</f>
        <v>45464.625</v>
      </c>
      <c r="G38" s="240">
        <f>Horarios!C38</f>
        <v>45464.625</v>
      </c>
      <c r="H38" s="239" t="str">
        <f>$H$6</f>
        <v>J2</v>
      </c>
      <c r="I38" s="241" t="str">
        <f ca="1">A38</f>
        <v>Eslovaquia</v>
      </c>
      <c r="J38" s="242" t="str">
        <f ca="1">VLOOKUP(I38,Equipos!$K$2:$M$56,3,0)</f>
        <v>🇸🇰</v>
      </c>
      <c r="K38" s="243">
        <v>0</v>
      </c>
      <c r="L38" s="243">
        <v>2</v>
      </c>
      <c r="M38" s="244" t="str">
        <f ca="1">VLOOKUP(N38,Equipos!$K$2:$M$56,3,0)</f>
        <v>🇺🇦</v>
      </c>
      <c r="N38" s="252" t="str">
        <f ca="1">A40</f>
        <v>Ucrania</v>
      </c>
      <c r="O38" s="98">
        <f t="shared" si="33"/>
        <v>1</v>
      </c>
      <c r="P38" s="95"/>
      <c r="Q38" s="332">
        <v>1</v>
      </c>
      <c r="R38" s="333" t="str">
        <f ca="1">VLOOKUP(Q38,$AG$38:$AI$41,3,0)</f>
        <v>Bélgica</v>
      </c>
      <c r="S38" s="334">
        <f ca="1">VLOOKUP(R38,$AI$38:$AR$41,2,FALSE)</f>
        <v>9</v>
      </c>
      <c r="T38" s="334">
        <f ca="1">VLOOKUP($R38,$AI$38:$AR$41,3,FALSE)</f>
        <v>3</v>
      </c>
      <c r="U38" s="334">
        <f ca="1">VLOOKUP($R38,$AI$38:$AR$41,4,FALSE)</f>
        <v>3</v>
      </c>
      <c r="V38" s="334">
        <f ca="1">VLOOKUP($R38,$AI$38:$AR$41,5,FALSE)</f>
        <v>0</v>
      </c>
      <c r="W38" s="334">
        <f ca="1">VLOOKUP($R38,$AI$38:$AR$41,6,FALSE)</f>
        <v>0</v>
      </c>
      <c r="X38" s="334">
        <f ca="1">VLOOKUP($R38,$AI$38:$AR$41,7,FALSE)</f>
        <v>6</v>
      </c>
      <c r="Y38" s="334">
        <f ca="1">VLOOKUP($R38,$AI$38:$AR$41,8,FALSE)</f>
        <v>1</v>
      </c>
      <c r="Z38" s="335">
        <f ca="1">VLOOKUP($R38,$AI$38:$AR$41,9,FALSE)</f>
        <v>5</v>
      </c>
      <c r="AA38" s="86">
        <f ca="1">IF(SUM($AK$38:$AK$41)=12,MIN(ABS(BY37-BY38),ABS(BY38-BY39)),100)</f>
        <v>416625020500.03003</v>
      </c>
      <c r="AB38" s="109" t="str">
        <f ca="1">IF(AND(AA38&gt;=0,AA38&lt;90),VLOOKUP(Q38,$BU$38:$BV$41,2,0),"")</f>
        <v/>
      </c>
      <c r="AC38" s="85"/>
      <c r="AD38" s="86"/>
      <c r="AE38" s="83"/>
      <c r="AF38" s="427"/>
      <c r="AG38" s="426">
        <f ca="1">RANK(AU38,$AU$38:$AU$41)</f>
        <v>1</v>
      </c>
      <c r="AH38" s="426">
        <f ca="1">RANK(AR38,$AR$38:$AR$41)</f>
        <v>1</v>
      </c>
      <c r="AI38" s="412" t="str">
        <f ca="1">A37</f>
        <v>Bélgica</v>
      </c>
      <c r="AJ38" s="426">
        <f ca="1">AL38*3+AM38*1+AN38*0</f>
        <v>9</v>
      </c>
      <c r="AK38" s="426">
        <f ca="1">COUNTIFS($I$4:$I$49,AI38,$K$4:$K$49,"&lt;&gt;",$L$4:$L$49,"&lt;&gt;")+COUNTIFS($N$4:$N$49,AI38,$L$4:$L$49,"&lt;&gt;",$K$4:$K$49,"&lt;&gt;")</f>
        <v>3</v>
      </c>
      <c r="AL38" s="426">
        <f t="array" aca="1" ref="AL38" ca="1">SUM(($I$4:$I$49=AI38)*($K$4:$K$49&lt;&gt;"")*($L$4:$L$49&lt;&gt;"")*($K$4:$K$49&gt;$L$4:$L$49),($N$4:$N$49=AI38)*($K$4:$K$49&lt;&gt;"")*($L$4:$L$49&lt;&gt;"")*($K$4:$K$49&lt;$L$4:$L$49))</f>
        <v>3</v>
      </c>
      <c r="AM38" s="426">
        <f t="array" aca="1" ref="AM38" ca="1">SUM(($I$4:$I$49=AI38)*($K$4:$K$49&lt;&gt;"")*($L$4:$L$49&lt;&gt;"")*($K$4:$K$49=$L$4:$L$49),($N$4:$N$49=AI38)*($K$4:$K$49&lt;&gt;"")*($L$4:$L$49&lt;&gt;"")*($K$4:$K$49=$L$4:$L$49))</f>
        <v>0</v>
      </c>
      <c r="AN38" s="426">
        <f t="array" aca="1" ref="AN38" ca="1">SUM(($I$4:$I$49=AI38)*($L$4:$L$49&lt;&gt;"")*($K$4:$K$49&lt;&gt;"")*($K$4:$K$49&lt;$L$4:$L$49),($K$4:$K$49&lt;&gt;"")*($N$4:$N$49=AI38)*($L$4:$L$49&lt;&gt;"")*($K$4:$K$49&gt;$L$4:$L$49))</f>
        <v>0</v>
      </c>
      <c r="AO38" s="426">
        <f t="array" aca="1" ref="AO38" ca="1">SUMIFS($K$4:$K$49,$I$4:$I$49,AI38,$K$4:$K$49,"&lt;&gt;",$L$4:$L$49,"&lt;&gt;")+SUMIFS($L$4:$L$49,$N$4:$N$49,AI38,$K$4:$K$49,"&lt;&gt;",$L$4:$L$49,"&lt;&gt;")</f>
        <v>6</v>
      </c>
      <c r="AP38" s="426">
        <f t="array" aca="1" ref="AP38" ca="1">SUMIFS($K$4:$K$49,$N$4:$N$49,AI38,$K$4:$K$49,"&lt;&gt;",$L$4:$L$49,"&lt;&gt;")+SUMIFS($L$4:$L$49,$I$4:$I$49,AI38,$K$4:$K$49,"&lt;&gt;",$L$4:$L$49,"&lt;&gt;")</f>
        <v>1</v>
      </c>
      <c r="AQ38" s="426">
        <f ca="1">AO38-AP38</f>
        <v>5</v>
      </c>
      <c r="AR38" s="426">
        <f ca="1">IF(AK38=0,-($AW$15*VLOOKUP(AI38,Tabla3[[NombreEquipo]:[Rank]],3,FALSE)),AJ38*$AW$5+BA38+AQ38*$AW$12+AO38*$AW$13-($AW$15*VLOOKUP(AI38,Tabla3[[NombreEquipo]:[Rank]],3,FALSE)/100))</f>
        <v>1250656252999.8301</v>
      </c>
      <c r="AS38" s="426">
        <f ca="1">AH38</f>
        <v>1</v>
      </c>
      <c r="AT38" s="426"/>
      <c r="AU38" s="426">
        <f ca="1">IFERROR(AR38-VLOOKUP(AI38,$AB$38:$AC$41,2,0),AR38)</f>
        <v>1250656252999.8301</v>
      </c>
      <c r="AV38" s="426"/>
      <c r="AW38" s="429"/>
      <c r="AX38" s="426"/>
      <c r="AY38" s="434" t="str">
        <f ca="1">AI38</f>
        <v>Bélgica</v>
      </c>
      <c r="AZ38" s="426">
        <f ca="1">COUNTIF(AJ38:AJ41,AJ38)</f>
        <v>1</v>
      </c>
      <c r="BA38" s="426">
        <f ca="1">(BB38*$AW$8)+(BH38*$AW$7)+(BN38*$AW$6)+(EG38*$AW$11)+(EI38*$AW$10)+(EK38*$AW$9)</f>
        <v>781200000</v>
      </c>
      <c r="BB38" s="430">
        <f ca="1">RANK(BC38,BC38:BC41,1)</f>
        <v>1</v>
      </c>
      <c r="BC38" s="430">
        <f ca="1">SUM(IF(AND(AJ38=AJ39),BE38,0),IF(AND(AJ38=AJ40),BF38,0),IF(AND(AJ38=AJ41),BG38,0))</f>
        <v>0</v>
      </c>
      <c r="BD38" s="430">
        <v>0</v>
      </c>
      <c r="BE38" s="430">
        <f t="array" aca="1" ref="BE38" ca="1">SUMIFS($K$36:$K$41,$I$36:$I$41,$AY38,$K$36:$K$41,"&lt;&gt;",$L$36:$L$41,"&lt;&gt;",$N$36:$N$41,BE37)+SUMIFS($L$36:$L$41,$I$36:$I$41,BE37,$K$36:$K$41,"&lt;&gt;",$L$36:$L$41,"&lt;&gt;",$N$36:$N$41,$AY38)</f>
        <v>2</v>
      </c>
      <c r="BF38" s="430">
        <f t="array" aca="1" ref="BF38" ca="1">SUMIFS($K$36:$K$41,$I$36:$I$41,$AY38,$K$36:$K$41,"&lt;&gt;",$L$36:$L$41,"&lt;&gt;",$N$36:$N$41,BF37)+SUMIFS($L$36:$L$41,$I$36:$I$41,BF37,$K$36:$K$41,"&lt;&gt;",$L$36:$L$41,"&lt;&gt;",$N$36:$N$41,$AY38)</f>
        <v>2</v>
      </c>
      <c r="BG38" s="430">
        <f t="array" aca="1" ref="BG38" ca="1">SUMIFS($K$36:$K$41,$I$36:$I$41,$AY38,$K$36:$K$41,"&lt;&gt;",$L$36:$L$41,"&lt;&gt;",$N$36:$N$41,BG37)+SUMIFS($L$36:$L$41,$I$36:$I$41,BG37,$K$36:$K$41,"&lt;&gt;",$L$36:$L$41,"&lt;&gt;",$N$36:$N$41,$AY38)</f>
        <v>2</v>
      </c>
      <c r="BH38" s="430">
        <f ca="1">RANK(BI38,BI38:BI41,1)</f>
        <v>1</v>
      </c>
      <c r="BI38" s="430">
        <f ca="1">SUM(IF(AND(AJ38=AJ39),BK38,0),IF(AND(AJ38=AJ40),BL38,0),IF(AND(AJ38=AJ41),BM38,0))</f>
        <v>0</v>
      </c>
      <c r="BJ38" s="430">
        <v>0</v>
      </c>
      <c r="BK38" s="430">
        <f ca="1">BE38-BD39</f>
        <v>2</v>
      </c>
      <c r="BL38" s="430">
        <f ca="1">BF38-BD40</f>
        <v>2</v>
      </c>
      <c r="BM38" s="430">
        <f ca="1">BG38-BD41</f>
        <v>1</v>
      </c>
      <c r="BN38" s="430">
        <f ca="1">RANK(BO38,BO38:BO41,1)</f>
        <v>1</v>
      </c>
      <c r="BO38" s="430">
        <f ca="1">SUM(IF(AND(AJ38=AJ39),BQ38,0),IF(AND(AJ38=AJ40),BR38,0),IF(AND(AJ38=AJ41),BS38,0))</f>
        <v>0</v>
      </c>
      <c r="BP38" s="430">
        <v>0</v>
      </c>
      <c r="BQ38" s="430">
        <f t="array" aca="1" ref="BQ38" ca="1">SUM((I$4:I$49=AY38)*(N$4:N$49=BQ37)*(K$4:K$49&lt;&gt;"")*(L$4:L$49&lt;&gt;"")*(K$4:K$49&gt;L$4:L$49)*3,(N$4:N$49=AY38)*(I$4:I$49=BQ37)*(K$4:K$49&lt;&gt;"")*(L$4:L$49&lt;&gt;"")*(K$4:K$49=L$4:L$49)*1,(N$4:N$49=AY38)*(I$4:I$49=BQ37)*(K$4:K$49&lt;&gt;"")*(L$4:L$49&lt;&gt;"")*(K$4:K$49&lt;L$4:L$49)*3,(I$4:I$49=AY38)*(N$4:N$49=BQ37)*(K$4:K$49&lt;&gt;"")*(L$4:L$49&lt;&gt;"")*(K$4:K$49=L$4:L$49)*1)</f>
        <v>3</v>
      </c>
      <c r="BR38" s="430">
        <f t="array" aca="1" ref="BR38" ca="1">SUM((I$4:I$49=AY38)*(N$4:N$49=BR37)*(K$4:K$49&lt;&gt;"")*(L$4:L$49&lt;&gt;"")*(K$4:K$49&gt;L$4:L$49)*3,(N$4:N$49=AY38)*(I$4:I$49=BR37)*(K$4:K$49&lt;&gt;"")*(L$4:L$49&lt;&gt;"")*(K$4:K$49=L$4:L$49)*1,(N$4:N$49=AY38)*(I$4:I$49=BR37)*(K$4:K$49&lt;&gt;"")*(L$4:L$49&lt;&gt;"")*(K$4:K$49&lt;L$4:L$49)*3,(I$4:I$49=AY38)*(N$4:N$49=BR37)*(K$4:K$49&lt;&gt;"")*(L$4:L$49&lt;&gt;"")*(K$4:K$49=L$4:L$49)*1)</f>
        <v>3</v>
      </c>
      <c r="BS38" s="430">
        <f t="array" aca="1" ref="BS38" ca="1">SUM((I$4:I$49=AY38)*(N$4:N$49=BS37)*(K$4:K$49&lt;&gt;"")*(L$4:L$49&lt;&gt;"")*(K$4:K$49&gt;L$4:L$49)*3,(N$4:N$49=AY38)*(I$4:I$49=BS37)*(K$4:K$49&lt;&gt;"")*(L$4:L$49&lt;&gt;"")*(K$4:K$49=L$4:L$49)*1,(N$4:N$49=AY38)*(I$4:I$49=BS37)*(K$4:K$49&lt;&gt;"")*(L$4:L$49&lt;&gt;"")*(K$4:K$49&lt;L$4:L$49)*3,(I$4:I$49=AY38)*(N$4:N$49=BS37)*(K$4:K$49&lt;&gt;"")*(L$4:L$49&lt;&gt;"")*(K$4:K$49=L$4:L$49)*1)</f>
        <v>3</v>
      </c>
      <c r="BT38" s="412">
        <v>1</v>
      </c>
      <c r="BU38" s="412">
        <f ca="1">RANK(BW38,$BW$38:$BW$41)</f>
        <v>1</v>
      </c>
      <c r="BV38" s="412" t="str">
        <f ca="1">A37</f>
        <v>Bélgica</v>
      </c>
      <c r="BW38" s="412">
        <f ca="1">IF(AK38=0,-($AW$15*VLOOKUP(AI38,Tabla3[[NombreEquipo]:[Rank]],3,FALSE)),AJ38*$AW$5+BA38+AQ38*$AW$12+AO38*$AW$13-($AW$15*VLOOKUP(AI38,Tabla3[[NombreEquipo]:[Rank]],3,FALSE)/100))</f>
        <v>1250656252999.8301</v>
      </c>
      <c r="BX38" s="412" t="str">
        <f ca="1">VLOOKUP(Q38,$AH$38:$AI$41,2,0)</f>
        <v>Bélgica</v>
      </c>
      <c r="BY38" s="412">
        <f ca="1">VLOOKUP($BX38,$AI$38:$AR$41,10,FALSE)</f>
        <v>1250656252999.8301</v>
      </c>
      <c r="CC38" s="426">
        <f ca="1">RANK(CE38,$CE$38:$CE$41)</f>
        <v>1</v>
      </c>
      <c r="CD38" s="426" t="str">
        <f ca="1">A37</f>
        <v>Bélgica</v>
      </c>
      <c r="CE38" s="426">
        <f ca="1">IF(AK38=0,-($AW$15*VLOOKUP(AI38,Tabla3[[NombreEquipo]:[Rank]],3,FALSE)),AJ38*$AW$5+BA38+AQ38*$AW$12+AO38*$AW$13-($AW$15*VLOOKUP(AI38,Tabla3[[NombreEquipo]:[Rank]],3,FALSE)/100))</f>
        <v>1250656252999.8301</v>
      </c>
      <c r="CF38" s="426">
        <f ca="1">IF(AK38=0,-($AW$15*VLOOKUP(AI38,Tabla3[[NombreEquipo]:[Rank]],3,FALSE)),AJ38*$AW$5+BA38+AQ38*$AW$12+AO38*$AW$13)</f>
        <v>1250656253000</v>
      </c>
      <c r="CG38" s="426">
        <v>1</v>
      </c>
      <c r="CH38" s="426" t="str">
        <f ca="1">VLOOKUP(CG38,$CC$38:$CD$41,2,0)</f>
        <v>Bélgica</v>
      </c>
      <c r="CI38" s="426">
        <f ca="1">VLOOKUP(CG38,$CC$38:$CF$41,4,0)</f>
        <v>1250656253000</v>
      </c>
      <c r="CJ38" s="426">
        <f ca="1">COUNTIF($CI$38:$CI$41,CI38)</f>
        <v>1</v>
      </c>
      <c r="CK38" s="426" t="str">
        <f t="shared" ref="CK38" ca="1" si="35">CJ38&amp;CJ39&amp;CJ40&amp;CJ41</f>
        <v>1122</v>
      </c>
      <c r="CL38" s="426">
        <f ca="1">HLOOKUP(CK38,$CW$3:$DD$4,2,0)</f>
        <v>7</v>
      </c>
      <c r="CM38" s="426">
        <v>1</v>
      </c>
      <c r="CN38" s="426">
        <f ca="1">HLOOKUP(CL38,$CW$4:$DD$9,3,0)</f>
        <v>1</v>
      </c>
      <c r="CP38" s="426" cm="1">
        <f t="array" aca="1" ref="CP38" ca="1">OFFSET($DF$4,1,MATCH($CN38,$DG$4:$DP$4,0),HLOOKUP($CN38,$DG$4:$DP$9,6,0),1)</f>
        <v>1</v>
      </c>
      <c r="CQ38" s="426" cm="1">
        <f t="array" aca="1" ref="CQ38" ca="1">OFFSET($DF$4,1,MATCH($CN39,$DG$4:$DP$4,0),HLOOKUP($CN39,$DG$4:$DP$9,6,0),1)</f>
        <v>2</v>
      </c>
      <c r="CR38" s="426" cm="1">
        <f t="array" aca="1" ref="CR38:CR39" ca="1">OFFSET($DF$4,1,MATCH($CN40,$DG$4:$DP$4,0),HLOOKUP($CN40,$DG$4:$DP$9,6,0),1)</f>
        <v>3</v>
      </c>
      <c r="CS38" s="426" cm="1">
        <f t="array" aca="1" ref="CS38:CS39" ca="1">OFFSET($DF$4,1,MATCH($CN41,$DG$4:$DP$4,0),HLOOKUP($CN41,$DG$4:$DP$9,6,0),1)</f>
        <v>3</v>
      </c>
      <c r="DA38" s="412"/>
      <c r="DB38" s="412"/>
      <c r="DC38" s="412"/>
      <c r="DD38" s="412"/>
      <c r="DE38" s="412"/>
      <c r="DF38" s="412"/>
      <c r="DG38" s="412"/>
      <c r="DH38" s="412"/>
      <c r="DI38" s="412"/>
      <c r="DJ38" s="412"/>
      <c r="EG38" s="430">
        <f ca="1">RANK(EH38,EH38:EH41,1)</f>
        <v>1</v>
      </c>
      <c r="EH38" s="426">
        <f ca="1">SUM(IF(AND(AJ38=AJ39,BC38=BC39,BI38=BI39,BO38=BO39),BE38,0),IF(AND(AJ38=AJ40,BC38=BC40,BI38=BI40,BO38=BO40),BF38,0),IF(AND(AJ38=AJ41,BC38=BC41,BI38=BI41,BO38=BO41),BG38,0))</f>
        <v>0</v>
      </c>
      <c r="EI38" s="430">
        <f ca="1">RANK(EJ38,EJ38:EJ41,1)</f>
        <v>1</v>
      </c>
      <c r="EJ38" s="426">
        <f ca="1">SUM(IF(AND(AJ38=AJ39,BC38=BC39,BI38=BI39,BO38=BO39),BK38,0),IF(AND(AJ38=AJ40,BC38=BC40,BI38=BI40,BO38=BO40),BL38,0),IF(AND(AJ38=AJ41,BC38=BC41,BI38=BI41,BO38=BO41),BM38,0))</f>
        <v>0</v>
      </c>
      <c r="EK38" s="430">
        <f ca="1">RANK(EL38,EL38:EL41,1)</f>
        <v>1</v>
      </c>
      <c r="EL38" s="426">
        <f ca="1">SUM(IF(AND(AJ38=AJ39,BC38=BC39,BI38=BI39,BO38=BO39),BQ38,0),IF(AND(AJ38=AJ40,BC38=BC40,BI38=BI40,BO38=BO40),BR38,0),IF(AND(AJ38=AJ41,BC38=BC41,BI38=BI41,BO38=BO41),BS38,0))</f>
        <v>0</v>
      </c>
    </row>
    <row r="39" spans="1:142" x14ac:dyDescent="0.3">
      <c r="A39" s="370" t="str">
        <f t="array" aca="1" ref="A39" ca="1">IF(ROWS(A$37:A39)&lt;=$C$36,INDEX(INDIRECT(A$36),SMALL(IF(Nivell=$B$36,ROW(Nivell)-ROW(Equipos!$C$2)+1),ROWS(B$36:B38))),"")</f>
        <v>Rumanía</v>
      </c>
      <c r="B39" s="371"/>
      <c r="C39" s="189"/>
      <c r="D39" s="170"/>
      <c r="E39" s="817"/>
      <c r="F39" s="239">
        <f>Horarios!C39</f>
        <v>45465.875</v>
      </c>
      <c r="G39" s="240">
        <f>Horarios!C39</f>
        <v>45465.875</v>
      </c>
      <c r="H39" s="239" t="str">
        <f>$H$6</f>
        <v>J2</v>
      </c>
      <c r="I39" s="241" t="str">
        <f ca="1">A37</f>
        <v>Bélgica</v>
      </c>
      <c r="J39" s="242" t="str">
        <f ca="1">VLOOKUP(I39,Equipos!$K$2:$M$56,3,0)</f>
        <v>🇧🇪</v>
      </c>
      <c r="K39" s="243">
        <v>2</v>
      </c>
      <c r="L39" s="243">
        <v>0</v>
      </c>
      <c r="M39" s="244" t="str">
        <f ca="1">VLOOKUP(N39,Equipos!$K$2:$M$56,3,0)</f>
        <v>🇷🇴</v>
      </c>
      <c r="N39" s="252" t="str">
        <f ca="1">A39</f>
        <v>Rumanía</v>
      </c>
      <c r="O39" s="98">
        <f t="shared" si="33"/>
        <v>1</v>
      </c>
      <c r="P39" s="95"/>
      <c r="Q39" s="314">
        <v>2</v>
      </c>
      <c r="R39" s="5" t="str">
        <f ca="1">VLOOKUP(Q39,$AG$38:$AI$41,3,0)</f>
        <v>Ucrania</v>
      </c>
      <c r="S39" s="4">
        <f ca="1">VLOOKUP(R39,$AI$38:$AR$41,2,FALSE)</f>
        <v>6</v>
      </c>
      <c r="T39" s="4">
        <f ca="1">VLOOKUP($R39,$AI$38:$AR$41,3,FALSE)</f>
        <v>3</v>
      </c>
      <c r="U39" s="4">
        <f ca="1">VLOOKUP($R39,$AI$38:$AR$41,4,FALSE)</f>
        <v>2</v>
      </c>
      <c r="V39" s="4">
        <f ca="1">VLOOKUP($R39,$AI$38:$AR$41,5,FALSE)</f>
        <v>0</v>
      </c>
      <c r="W39" s="4">
        <f ca="1">VLOOKUP($R39,$AI$38:$AR$41,6,FALSE)</f>
        <v>1</v>
      </c>
      <c r="X39" s="4">
        <f ca="1">VLOOKUP($R39,$AI$38:$AR$41,7,FALSE)</f>
        <v>5</v>
      </c>
      <c r="Y39" s="4">
        <f ca="1">VLOOKUP($R39,$AI$38:$AR$41,8,FALSE)</f>
        <v>2</v>
      </c>
      <c r="Z39" s="315">
        <f ca="1">VLOOKUP($R39,$AI$38:$AR$41,9,FALSE)</f>
        <v>3</v>
      </c>
      <c r="AA39" s="86">
        <f ca="1">IF(SUM($AK$38:$AK$41)=12,MIN(ABS(BY38-BY39),ABS(BY39-BY40)),100)</f>
        <v>416625020500.03003</v>
      </c>
      <c r="AB39" s="109" t="str">
        <f ca="1">IF(AND(AA39&gt;=0,AA39&lt;90),VLOOKUP(Q39,$BU$38:$BV$41,2,0),"")</f>
        <v/>
      </c>
      <c r="AC39" s="85"/>
      <c r="AD39" s="86"/>
      <c r="AE39" s="83"/>
      <c r="AF39" s="427"/>
      <c r="AG39" s="426">
        <f ca="1">RANK(AU39,$AU$38:$AU$41)</f>
        <v>4</v>
      </c>
      <c r="AH39" s="426">
        <f ca="1">RANK(AR39,$AR$38:$AR$41)</f>
        <v>3</v>
      </c>
      <c r="AI39" s="412" t="str">
        <f ca="1">A38</f>
        <v>Eslovaquia</v>
      </c>
      <c r="AJ39" s="426">
        <f ca="1">AL39*3+AM39*1+AN39*0</f>
        <v>1</v>
      </c>
      <c r="AK39" s="426">
        <f ca="1">COUNTIFS($I$4:$I$49,AI39,$K$4:$K$49,"&lt;&gt;",$L$4:$L$49,"&lt;&gt;")+COUNTIFS($N$4:$N$49,AI39,$L$4:$L$49,"&lt;&gt;",$K$4:$K$49,"&lt;&gt;")</f>
        <v>3</v>
      </c>
      <c r="AL39" s="426">
        <f t="array" aca="1" ref="AL39" ca="1">SUM(($I$4:$I$49=AI39)*($K$4:$K$49&lt;&gt;"")*($L$4:$L$49&lt;&gt;"")*($K$4:$K$49&gt;$L$4:$L$49),($N$4:$N$49=AI39)*($K$4:$K$49&lt;&gt;"")*($L$4:$L$49&lt;&gt;"")*($K$4:$K$49&lt;$L$4:$L$49))</f>
        <v>0</v>
      </c>
      <c r="AM39" s="426">
        <f t="array" aca="1" ref="AM39" ca="1">SUM(($I$4:$I$49=AI39)*($K$4:$K$49&lt;&gt;"")*($L$4:$L$49&lt;&gt;"")*($K$4:$K$49=$L$4:$L$49),($N$4:$N$49=AI39)*($K$4:$K$49&lt;&gt;"")*($L$4:$L$49&lt;&gt;"")*($K$4:$K$49=$L$4:$L$49))</f>
        <v>1</v>
      </c>
      <c r="AN39" s="426">
        <f t="array" aca="1" ref="AN39" ca="1">SUM(($I$4:$I$49=AI39)*($L$4:$L$49&lt;&gt;"")*($K$4:$K$49&lt;&gt;"")*($K$4:$K$49&lt;$L$4:$L$49),($K$4:$K$49&lt;&gt;"")*($N$4:$N$49=AI39)*($L$4:$L$49&lt;&gt;"")*($K$4:$K$49&gt;$L$4:$L$49))</f>
        <v>2</v>
      </c>
      <c r="AO39" s="426">
        <f t="array" aca="1" ref="AO39" ca="1">SUMIFS($K$4:$K$49,$I$4:$I$49,AI39,$K$4:$K$49,"&lt;&gt;",$L$4:$L$49,"&lt;&gt;")+SUMIFS($L$4:$L$49,$N$4:$N$49,AI39,$K$4:$K$49,"&lt;&gt;",$L$4:$L$49,"&lt;&gt;")</f>
        <v>0</v>
      </c>
      <c r="AP39" s="426">
        <f t="array" aca="1" ref="AP39" ca="1">SUMIFS($K$4:$K$49,$N$4:$N$49,AI39,$K$4:$K$49,"&lt;&gt;",$L$4:$L$49,"&lt;&gt;")+SUMIFS($L$4:$L$49,$I$4:$I$49,AI39,$K$4:$K$49,"&lt;&gt;",$L$4:$L$49,"&lt;&gt;")</f>
        <v>4</v>
      </c>
      <c r="AQ39" s="426">
        <f ca="1">AO39-AP39</f>
        <v>-4</v>
      </c>
      <c r="AR39" s="426">
        <f ca="1">IF(AK39=0,-($AW$15*VLOOKUP(AI39,Tabla3[[NombreEquipo]:[Rank]],3,FALSE)),AJ39*$AW$5+BA39+AQ39*$AW$12+AO39*$AW$13-($AW$15*VLOOKUP(AI39,Tabla3[[NombreEquipo]:[Rank]],3,FALSE)/100))</f>
        <v>140916159999.82001</v>
      </c>
      <c r="AS39" s="426">
        <f ca="1">AH39</f>
        <v>3</v>
      </c>
      <c r="AT39" s="426"/>
      <c r="AU39" s="426">
        <f ca="1">IFERROR(AR39-VLOOKUP(AI39,$AB$38:$AC$41,2,0),AR39)</f>
        <v>140916159995.82001</v>
      </c>
      <c r="AV39" s="426"/>
      <c r="AW39" s="429"/>
      <c r="AX39" s="426"/>
      <c r="AY39" s="434" t="str">
        <f ca="1">AI39</f>
        <v>Eslovaquia</v>
      </c>
      <c r="AZ39" s="426">
        <f ca="1">COUNTIF(AJ38:AJ41,AJ39)</f>
        <v>2</v>
      </c>
      <c r="BA39" s="426">
        <f ca="1">(BB39*$AW$8)+(BH39*$AW$7)+(BN39*$AW$6)+(EG39*$AW$11)+(EI39*$AW$10)+(EK39*$AW$9)</f>
        <v>2041200000</v>
      </c>
      <c r="BB39" s="430">
        <f ca="1">RANK(BC39,BC38:BC41,1)</f>
        <v>1</v>
      </c>
      <c r="BC39" s="430">
        <f ca="1">SUM(IF(AND(AJ39=AJ40),BF39,0),IF(AND(AJ39=AJ41),BG39,0),IF(AND(AJ39=AJ38),BD39,0))</f>
        <v>0</v>
      </c>
      <c r="BD39" s="430">
        <f t="array" aca="1" ref="BD39" ca="1">SUMIFS($K$36:$K$41,$I$36:$I$41,$AY39,$K$36:$K$41,"&lt;&gt;",$L$36:$L$41,"&lt;&gt;",$N$36:$N$41,BD37)+SUMIFS($L$36:$L$41,$I$36:$I$41,BD37,$K$36:$K$41,"&lt;&gt;",$L$36:$L$41,"&lt;&gt;",$N$36:$N$41,$AY39)</f>
        <v>0</v>
      </c>
      <c r="BE39" s="430">
        <v>0</v>
      </c>
      <c r="BF39" s="430">
        <f t="array" aca="1" ref="BF39" ca="1">SUMIFS($K$36:$K$41,$I$36:$I$41,$AY39,$K$36:$K$41,"&lt;&gt;",$L$36:$L$41,"&lt;&gt;",$N$36:$N$41,BF37)+SUMIFS($L$36:$L$41,$I$36:$I$41,BF37,$K$36:$K$41,"&lt;&gt;",$L$36:$L$41,"&lt;&gt;",$N$36:$N$41,$AY39)</f>
        <v>0</v>
      </c>
      <c r="BG39" s="430">
        <f t="array" aca="1" ref="BG39" ca="1">SUMIFS($K$36:$K$41,$I$36:$I$41,$AY39,$K$36:$K$41,"&lt;&gt;",$L$36:$L$41,"&lt;&gt;",$N$36:$N$41,BG37)+SUMIFS($L$36:$L$41,$I$36:$I$41,BG37,$K$36:$K$41,"&lt;&gt;",$L$36:$L$41,"&lt;&gt;",$N$36:$N$41,$AY39)</f>
        <v>0</v>
      </c>
      <c r="BH39" s="430">
        <f ca="1">RANK(BI39,BI38:BI41,1)</f>
        <v>1</v>
      </c>
      <c r="BI39" s="430">
        <f ca="1">SUM(IF(AND(AJ39=AJ40),BL39,0),IF(AND(AJ39=AJ41),BM39,0),IF(AND(AJ39=AJ38),BJ39,0))</f>
        <v>0</v>
      </c>
      <c r="BJ39" s="430">
        <f ca="1">BD39-BE38</f>
        <v>-2</v>
      </c>
      <c r="BK39" s="430">
        <v>0</v>
      </c>
      <c r="BL39" s="430">
        <f ca="1">BF39-BE40</f>
        <v>0</v>
      </c>
      <c r="BM39" s="430">
        <f ca="1">BG39-BE41</f>
        <v>-2</v>
      </c>
      <c r="BN39" s="430">
        <f ca="1">RANK(BO39,BO38:BO41,1)</f>
        <v>3</v>
      </c>
      <c r="BO39" s="430">
        <f ca="1">SUM(IF(AND(AJ39=AJ40),BR39,0),IF(AND(AJ39=AJ41),BS39,0),IF(AND(AJ39=AJ38),BP39,0))</f>
        <v>1</v>
      </c>
      <c r="BP39" s="430">
        <f t="array" aca="1" ref="BP39" ca="1">SUM((I$4:I$49=AY39)*(N$4:N$49=BP37)*(K$4:K$49&lt;&gt;"")*(L$4:L$49&lt;&gt;"")*(K$4:K$49&gt;L$4:L$49)*3,(N$4:N$49=AY39)*(I$4:I$49=BP37)*(K$4:K$49&lt;&gt;"")*(L$4:L$49&lt;&gt;"")*(K$4:K$49=L$4:L$49)*1,(N$4:N$49=AY39)*(I$4:I$49=BP37)*(K$4:K$49&lt;&gt;"")*(L$4:L$49&lt;&gt;"")*(K$4:K$49&lt;L$4:L$49)*3,(I$4:I$49=AY39)*(N$4:N$49=BP37)*(K$4:K$49&lt;&gt;"")*(L$4:L$49&lt;&gt;"")*(K$4:K$49=L$4:L$49)*1)</f>
        <v>0</v>
      </c>
      <c r="BQ39" s="430">
        <v>0</v>
      </c>
      <c r="BR39" s="430">
        <f t="array" aca="1" ref="BR39" ca="1">SUM((I$4:I$49=AY39)*(N$4:N$49=BR37)*(K$4:K$49&lt;&gt;"")*(L$4:L$49&lt;&gt;"")*(K$4:K$49&gt;L$4:L$49)*3,(N$4:N$49=AY39)*(I$4:I$49=BR37)*(K$4:K$49&lt;&gt;"")*(L$4:L$49&lt;&gt;"")*(K$4:K$49=L$4:L$49)*1,(N$4:N$49=AY39)*(I$4:I$49=BR37)*(K$4:K$49&lt;&gt;"")*(L$4:L$49&lt;&gt;"")*(K$4:K$49&lt;L$4:L$49)*3,(I$4:I$49=AY39)*(N$4:N$49=BR37)*(K$4:K$49&lt;&gt;"")*(L$4:L$49&lt;&gt;"")*(K$4:K$49=L$4:L$49)*1)</f>
        <v>1</v>
      </c>
      <c r="BS39" s="430">
        <f t="array" aca="1" ref="BS39" ca="1">SUM((I$4:I$49=AY39)*(N$4:N$49=BS37)*(K$4:K$49&lt;&gt;"")*(L$4:L$49&lt;&gt;"")*(K$4:K$49&gt;L$4:L$49)*3,(N$4:N$49=AY39)*(I$4:I$49=BS37)*(K$4:K$49&lt;&gt;"")*(L$4:L$49&lt;&gt;"")*(K$4:K$49=L$4:L$49)*1,(N$4:N$49=AY39)*(I$4:I$49=BS37)*(K$4:K$49&lt;&gt;"")*(L$4:L$49&lt;&gt;"")*(K$4:K$49&lt;L$4:L$49)*3,(I$4:I$49=AY39)*(N$4:N$49=BS37)*(K$4:K$49&lt;&gt;"")*(L$4:L$49&lt;&gt;"")*(K$4:K$49=L$4:L$49)*1)</f>
        <v>0</v>
      </c>
      <c r="BT39" s="412">
        <v>2</v>
      </c>
      <c r="BU39" s="412">
        <f ca="1">RANK(BW39,$BW$38:$BW$41)</f>
        <v>3</v>
      </c>
      <c r="BV39" s="412" t="str">
        <f ca="1">A38</f>
        <v>Eslovaquia</v>
      </c>
      <c r="BW39" s="412">
        <f ca="1">IF(AK39=0,-($AW$15*VLOOKUP(AI39,Tabla3[[NombreEquipo]:[Rank]],3,FALSE)),AJ39*$AW$5+BA39+AQ39*$AW$12+AO39*$AW$13-($AW$15*VLOOKUP(AI39,Tabla3[[NombreEquipo]:[Rank]],3,FALSE)/100))</f>
        <v>140916159999.82001</v>
      </c>
      <c r="BX39" s="412" t="str">
        <f ca="1">VLOOKUP(Q39,$AH$38:$AI$41,2,0)</f>
        <v>Ucrania</v>
      </c>
      <c r="BY39" s="412">
        <f ca="1">VLOOKUP($BX39,$AI$38:$AR$41,10,FALSE)</f>
        <v>834031232499.80005</v>
      </c>
      <c r="CC39" s="426">
        <f t="shared" ref="CC39:CC41" ca="1" si="36">RANK(CE39,$CE$38:$CE$41)</f>
        <v>3</v>
      </c>
      <c r="CD39" s="426" t="str">
        <f ca="1">A38</f>
        <v>Eslovaquia</v>
      </c>
      <c r="CE39" s="426">
        <f ca="1">IF(AK39=0,-($AW$15*VLOOKUP(AI39,Tabla3[[NombreEquipo]:[Rank]],3,FALSE)),AJ39*$AW$5+BA39+AQ39*$AW$12+AO39*$AW$13-($AW$15*VLOOKUP(AI39,Tabla3[[NombreEquipo]:[Rank]],3,FALSE)/100))</f>
        <v>140916159999.82001</v>
      </c>
      <c r="CF39" s="426">
        <f ca="1">IF(AK39=0,-($AW$15*VLOOKUP(AI39,Tabla3[[NombreEquipo]:[Rank]],3,FALSE)),AJ39*$AW$5+BA39+AQ39*$AW$12+AO39*$AW$13)</f>
        <v>140916160000</v>
      </c>
      <c r="CG39" s="426">
        <v>2</v>
      </c>
      <c r="CH39" s="426" t="str">
        <f t="shared" ref="CH39:CH41" ca="1" si="37">VLOOKUP(CG39,$CC$38:$CD$41,2,0)</f>
        <v>Ucrania</v>
      </c>
      <c r="CI39" s="426">
        <f t="shared" ref="CI39:CI41" ca="1" si="38">VLOOKUP(CG39,$CC$38:$CF$41,4,0)</f>
        <v>834031232500</v>
      </c>
      <c r="CJ39" s="426">
        <f t="shared" ref="CJ39:CJ41" ca="1" si="39">COUNTIF($CI$38:$CI$41,CI39)</f>
        <v>1</v>
      </c>
      <c r="CM39" s="426">
        <v>2</v>
      </c>
      <c r="CN39" s="426">
        <f ca="1">HLOOKUP(CL38,$CW$4:$DD$9,4,0)</f>
        <v>2</v>
      </c>
      <c r="CR39" s="426">
        <f ca="1"/>
        <v>4</v>
      </c>
      <c r="CS39" s="426">
        <f ca="1"/>
        <v>4</v>
      </c>
      <c r="DA39" s="412"/>
      <c r="DB39" s="412"/>
      <c r="DC39" s="412"/>
      <c r="DD39" s="412"/>
      <c r="DE39" s="412"/>
      <c r="DF39" s="412"/>
      <c r="DG39" s="412"/>
      <c r="DH39" s="412"/>
      <c r="DI39" s="412"/>
      <c r="DJ39" s="412"/>
      <c r="EG39" s="430">
        <f ca="1">RANK(EH39,EH38:EH41,1)</f>
        <v>1</v>
      </c>
      <c r="EH39" s="426">
        <f ca="1">SUM(IF(AND(AJ39=AJ40,BC39=BC40,BI39=BI40,BO39=BO40),BF39,0),IF(AND(AJ39=AJ41,BC39=BC41,BI39=BI41,BO39=BO41),BG39,0),IF(AND(AJ39=AJ38,BC39=BC38,BI39=BI38,BO39=BO38),BD39,0))</f>
        <v>0</v>
      </c>
      <c r="EI39" s="430">
        <f ca="1">RANK(EJ39,EJ38:EJ41,1)</f>
        <v>1</v>
      </c>
      <c r="EJ39" s="426">
        <f ca="1">SUM(IF(AND(AJ39=AJ40,BC39=BC40,BI39=BI40,BO39=BO40),BL39,0),IF(AND(AJ39=AJ41,BC39=BC41,BI39=BI41,BO39=BO41),BM39,0),IF(AND(AJ39=AJ38,BC39=BC38,BI39=BI38,BO39=BO38),BJ39,0))</f>
        <v>0</v>
      </c>
      <c r="EK39" s="430">
        <f ca="1">RANK(EL39,EL38:EL41,1)</f>
        <v>3</v>
      </c>
      <c r="EL39" s="426">
        <f ca="1">SUM(IF(AND(AJ39=AJ40,BC39=BC40,BI39=BI40,BO39=BO40),BR39,0),IF(AND(AJ39=AJ41,BC39=BC41,BI39=BI41,BO39=BO41),BS39,0),IF(AND(AJ39=AJ38,BC39=BC38,BI39=BI38,BO39=BO38),BP39,0))</f>
        <v>1</v>
      </c>
    </row>
    <row r="40" spans="1:142" x14ac:dyDescent="0.3">
      <c r="A40" s="370" t="str">
        <f t="array" aca="1" ref="A40" ca="1">IF(ROWS(A$37:A40)&lt;=$C$36,INDEX(INDIRECT(A$36),SMALL(IF(Nivell=$B$36,ROW(Nivell)-ROW(Equipos!$C$2)+1),ROWS(B$36:B39))),"")</f>
        <v>Ucrania</v>
      </c>
      <c r="B40" s="371"/>
      <c r="C40" s="189"/>
      <c r="D40" s="170"/>
      <c r="E40" s="817"/>
      <c r="F40" s="239">
        <f>Horarios!C40</f>
        <v>45469.75</v>
      </c>
      <c r="G40" s="240">
        <f>Horarios!C40</f>
        <v>45469.75</v>
      </c>
      <c r="H40" s="239" t="str">
        <f>$H$8</f>
        <v>J3</v>
      </c>
      <c r="I40" s="241" t="str">
        <f ca="1">A38</f>
        <v>Eslovaquia</v>
      </c>
      <c r="J40" s="242" t="str">
        <f ca="1">VLOOKUP(I40,Equipos!$K$2:$M$56,3,0)</f>
        <v>🇸🇰</v>
      </c>
      <c r="K40" s="243">
        <v>0</v>
      </c>
      <c r="L40" s="243">
        <v>0</v>
      </c>
      <c r="M40" s="244" t="str">
        <f ca="1">VLOOKUP(N40,Equipos!$K$2:$M$56,3,0)</f>
        <v>🇷🇴</v>
      </c>
      <c r="N40" s="252" t="str">
        <f ca="1">A39</f>
        <v>Rumanía</v>
      </c>
      <c r="O40" s="98">
        <f t="shared" si="33"/>
        <v>1</v>
      </c>
      <c r="P40" s="95"/>
      <c r="Q40" s="314">
        <v>3</v>
      </c>
      <c r="R40" s="5" t="str">
        <f ca="1">VLOOKUP(Q40,$AG$38:$AI$41,3,0)</f>
        <v>Rumanía</v>
      </c>
      <c r="S40" s="4">
        <f ca="1">VLOOKUP(R40,$AI$38:$AR$41,2,FALSE)</f>
        <v>1</v>
      </c>
      <c r="T40" s="4">
        <f ca="1">VLOOKUP($R40,$AI$38:$AR$41,3,FALSE)</f>
        <v>3</v>
      </c>
      <c r="U40" s="4">
        <f ca="1">VLOOKUP($R40,$AI$38:$AR$41,4,FALSE)</f>
        <v>0</v>
      </c>
      <c r="V40" s="4">
        <f ca="1">VLOOKUP($R40,$AI$38:$AR$41,5,FALSE)</f>
        <v>1</v>
      </c>
      <c r="W40" s="4">
        <f ca="1">VLOOKUP($R40,$AI$38:$AR$41,6,FALSE)</f>
        <v>2</v>
      </c>
      <c r="X40" s="4">
        <f ca="1">VLOOKUP($R40,$AI$38:$AR$41,7,FALSE)</f>
        <v>0</v>
      </c>
      <c r="Y40" s="4">
        <f ca="1">VLOOKUP($R40,$AI$38:$AR$41,8,FALSE)</f>
        <v>4</v>
      </c>
      <c r="Z40" s="315">
        <f ca="1">VLOOKUP($R40,$AI$38:$AR$41,9,FALSE)</f>
        <v>-4</v>
      </c>
      <c r="AA40" s="86">
        <f ca="1">IF(SUM($AK$38:$AK$41)=12,MIN(ABS(BY39-BY40),ABS(BY40-BY41)),100)</f>
        <v>1.0009765625E-2</v>
      </c>
      <c r="AB40" s="109" t="str">
        <f ca="1">IF(AND(AA40&gt;=0,AA40&lt;90),VLOOKUP(Q40,$BU$38:$BV$41,2,0),"")</f>
        <v>Eslovaquia</v>
      </c>
      <c r="AC40" s="85">
        <v>4</v>
      </c>
      <c r="AD40" s="86"/>
      <c r="AE40" s="83"/>
      <c r="AF40" s="427"/>
      <c r="AG40" s="426">
        <f ca="1">RANK(AU40,$AU$38:$AU$41)</f>
        <v>3</v>
      </c>
      <c r="AH40" s="426">
        <f ca="1">RANK(AR40,$AR$38:$AR$41)</f>
        <v>4</v>
      </c>
      <c r="AI40" s="412" t="str">
        <f ca="1">A39</f>
        <v>Rumanía</v>
      </c>
      <c r="AJ40" s="426">
        <f ca="1">AL40*3+AM40*1+AN40*0</f>
        <v>1</v>
      </c>
      <c r="AK40" s="426">
        <f ca="1">COUNTIFS($I$4:$I$49,AI40,$K$4:$K$49,"&lt;&gt;",$L$4:$L$49,"&lt;&gt;")+COUNTIFS($N$4:$N$49,AI40,$L$4:$L$49,"&lt;&gt;",$K$4:$K$49,"&lt;&gt;")</f>
        <v>3</v>
      </c>
      <c r="AL40" s="426">
        <f t="array" aca="1" ref="AL40" ca="1">SUM(($I$4:$I$49=AI40)*($K$4:$K$49&lt;&gt;"")*($L$4:$L$49&lt;&gt;"")*($K$4:$K$49&gt;$L$4:$L$49),($N$4:$N$49=AI40)*($K$4:$K$49&lt;&gt;"")*($L$4:$L$49&lt;&gt;"")*($K$4:$K$49&lt;$L$4:$L$49))</f>
        <v>0</v>
      </c>
      <c r="AM40" s="426">
        <f t="array" aca="1" ref="AM40" ca="1">SUM(($I$4:$I$49=AI40)*($K$4:$K$49&lt;&gt;"")*($L$4:$L$49&lt;&gt;"")*($K$4:$K$49=$L$4:$L$49),($N$4:$N$49=AI40)*($K$4:$K$49&lt;&gt;"")*($L$4:$L$49&lt;&gt;"")*($K$4:$K$49=$L$4:$L$49))</f>
        <v>1</v>
      </c>
      <c r="AN40" s="426">
        <f t="array" aca="1" ref="AN40" ca="1">SUM(($I$4:$I$49=AI40)*($L$4:$L$49&lt;&gt;"")*($K$4:$K$49&lt;&gt;"")*($K$4:$K$49&lt;$L$4:$L$49),($K$4:$K$49&lt;&gt;"")*($N$4:$N$49=AI40)*($L$4:$L$49&lt;&gt;"")*($K$4:$K$49&gt;$L$4:$L$49))</f>
        <v>2</v>
      </c>
      <c r="AO40" s="426">
        <f t="array" aca="1" ref="AO40" ca="1">SUMIFS($K$4:$K$49,$I$4:$I$49,AI40,$K$4:$K$49,"&lt;&gt;",$L$4:$L$49,"&lt;&gt;")+SUMIFS($L$4:$L$49,$N$4:$N$49,AI40,$K$4:$K$49,"&lt;&gt;",$L$4:$L$49,"&lt;&gt;")</f>
        <v>0</v>
      </c>
      <c r="AP40" s="426">
        <f t="array" aca="1" ref="AP40" ca="1">SUMIFS($K$4:$K$49,$N$4:$N$49,AI40,$K$4:$K$49,"&lt;&gt;",$L$4:$L$49,"&lt;&gt;")+SUMIFS($L$4:$L$49,$I$4:$I$49,AI40,$K$4:$K$49,"&lt;&gt;",$L$4:$L$49,"&lt;&gt;")</f>
        <v>4</v>
      </c>
      <c r="AQ40" s="426">
        <f ca="1">AO40-AP40</f>
        <v>-4</v>
      </c>
      <c r="AR40" s="426">
        <f ca="1">IF(AK40=0,-($AW$15*VLOOKUP(AI40,Tabla3[[NombreEquipo]:[Rank]],3,FALSE)),AJ40*$AW$5+BA40+AQ40*$AW$12+AO40*$AW$13-($AW$15*VLOOKUP(AI40,Tabla3[[NombreEquipo]:[Rank]],3,FALSE)/100))</f>
        <v>140916159999.81</v>
      </c>
      <c r="AS40" s="426">
        <f ca="1">AH40</f>
        <v>4</v>
      </c>
      <c r="AT40" s="426"/>
      <c r="AU40" s="426">
        <f ca="1">IFERROR(AR40-VLOOKUP(AI40,$AB$38:$AC$41,2,0),AR40)</f>
        <v>140916159996.81</v>
      </c>
      <c r="AV40" s="426"/>
      <c r="AW40" s="429"/>
      <c r="AX40" s="426"/>
      <c r="AY40" s="434" t="str">
        <f ca="1">AI40</f>
        <v>Rumanía</v>
      </c>
      <c r="AZ40" s="426">
        <f ca="1">COUNTIF(AJ38:AJ41,AJ40)</f>
        <v>2</v>
      </c>
      <c r="BA40" s="426">
        <f ca="1">(BB40*$AW$8)+(BH40*$AW$7)+(BN40*$AW$6)+(EG40*$AW$11)+(EI40*$AW$10)+(EK40*$AW$9)</f>
        <v>2041200000</v>
      </c>
      <c r="BB40" s="430">
        <f ca="1">RANK(BC40,BC38:BC41,1)</f>
        <v>1</v>
      </c>
      <c r="BC40" s="430">
        <f ca="1">SUM(IF(AND(AJ40=AJ41),BG40,0),IF(AND(AJ40=AJ38),BD40,0),IF(AND(AJ40=AJ39),BE40,0))</f>
        <v>0</v>
      </c>
      <c r="BD40" s="430">
        <f t="array" aca="1" ref="BD40" ca="1">SUMIFS($K$36:$K$41,$I$36:$I$41,$AY40,$K$36:$K$41,"&lt;&gt;",$L$36:$L$41,"&lt;&gt;",$N$36:$N$41,BD37)+SUMIFS($L$36:$L$41,$I$36:$I$41,BD37,$K$36:$K$41,"&lt;&gt;",$L$36:$L$41,"&lt;&gt;",$N$36:$N$41,$AY40)</f>
        <v>0</v>
      </c>
      <c r="BE40" s="430">
        <f t="array" aca="1" ref="BE40" ca="1">SUMIFS($K$36:$K$41,$I$36:$I$41,$AY40,$K$36:$K$41,"&lt;&gt;",$L$36:$L$41,"&lt;&gt;",$N$36:$N$41,BE37)+SUMIFS($L$36:$L$41,$I$36:$I$41,BE37,$K$36:$K$41,"&lt;&gt;",$L$36:$L$41,"&lt;&gt;",$N$36:$N$41,$AY40)</f>
        <v>0</v>
      </c>
      <c r="BF40" s="430">
        <v>0</v>
      </c>
      <c r="BG40" s="430">
        <f t="array" aca="1" ref="BG40" ca="1">SUMIFS($K$36:$K$41,$I$36:$I$41,$AY40,$K$36:$K$41,"&lt;&gt;",$L$36:$L$41,"&lt;&gt;",$N$36:$N$41,BG37)+SUMIFS($L$36:$L$41,$I$36:$I$41,BG37,$K$36:$K$41,"&lt;&gt;",$L$36:$L$41,"&lt;&gt;",$N$36:$N$41,$AY40)</f>
        <v>0</v>
      </c>
      <c r="BH40" s="430">
        <f ca="1">RANK(BI40,BI38:BI41,1)</f>
        <v>1</v>
      </c>
      <c r="BI40" s="430">
        <f ca="1">SUM(IF(AND(AJ40=AJ41),BM40,0),IF(AND(AJ40=AJ38),BJ40,0),IF(AND(AJ40=AJ39),BK40,0))</f>
        <v>0</v>
      </c>
      <c r="BJ40" s="430">
        <f ca="1">BD40-BF38</f>
        <v>-2</v>
      </c>
      <c r="BK40" s="430">
        <f ca="1">BE40-BF39</f>
        <v>0</v>
      </c>
      <c r="BL40" s="430">
        <v>0</v>
      </c>
      <c r="BM40" s="430">
        <f ca="1">BG40-BF41</f>
        <v>-2</v>
      </c>
      <c r="BN40" s="430">
        <f ca="1">RANK(BO40,BO38:BO41,1)</f>
        <v>3</v>
      </c>
      <c r="BO40" s="430">
        <f ca="1">SUM(IF(AND(AJ40=AJ41),BS40,0),IF(AND(AJ40=AJ38),BP40,0),IF(AND(AJ40=AJ39),BQ40,0))</f>
        <v>1</v>
      </c>
      <c r="BP40" s="430">
        <f t="array" aca="1" ref="BP40" ca="1">SUM((I$4:I$49=AY40)*(N$4:N$49=BP37)*(K$4:K$49&lt;&gt;"")*(L$4:L$49&lt;&gt;"")*(K$4:K$49&gt;L$4:L$49)*3,(N$4:N$49=AY40)*(I$4:I$49=BP37)*(K$4:K$49&lt;&gt;"")*(L$4:L$49&lt;&gt;"")*(K$4:K$49=L$4:L$49)*1,(N$4:N$49=AY40)*(I$4:I$49=BP37)*(K$4:K$49&lt;&gt;"")*(L$4:L$49&lt;&gt;"")*(K$4:K$49&lt;L$4:L$49)*3,(I$4:I$49=AY40)*(N$4:N$49=BP37)*(K$4:K$49&lt;&gt;"")*(L$4:L$49&lt;&gt;"")*(K$4:K$49=L$4:L$49)*1)</f>
        <v>0</v>
      </c>
      <c r="BQ40" s="430">
        <f t="array" aca="1" ref="BQ40" ca="1">SUM((I$4:I$49=AY40)*(N$4:N$49=BQ37)*(K$4:K$49&lt;&gt;"")*(L$4:L$49&lt;&gt;"")*(K$4:K$49&gt;L$4:L$49)*3,(N$4:N$49=AY40)*(I$4:I$49=BQ37)*(K$4:K$49&lt;&gt;"")*(L$4:L$49&lt;&gt;"")*(K$4:K$49=L$4:L$49)*1,(N$4:N$49=AY40)*(I$4:I$49=BQ37)*(K$4:K$49&lt;&gt;"")*(L$4:L$49&lt;&gt;"")*(K$4:K$49&lt;L$4:L$49)*3,(I$4:I$49=AY40)*(N$4:N$49=BQ37)*(K$4:K$49&lt;&gt;"")*(L$4:L$49&lt;&gt;"")*(K$4:K$49=L$4:L$49)*1)</f>
        <v>1</v>
      </c>
      <c r="BR40" s="430">
        <v>0</v>
      </c>
      <c r="BS40" s="430">
        <f t="array" aca="1" ref="BS40" ca="1">SUM((I$4:I$49=AY40)*(N$4:N$49=BS37)*(K$4:K$49&lt;&gt;"")*(L$4:L$49&lt;&gt;"")*(K$4:K$49&gt;L$4:L$49)*3,(N$4:N$49=AY40)*(I$4:I$49=BS37)*(K$4:K$49&lt;&gt;"")*(L$4:L$49&lt;&gt;"")*(K$4:K$49=L$4:L$49)*1,(N$4:N$49=AY40)*(I$4:I$49=BS37)*(K$4:K$49&lt;&gt;"")*(L$4:L$49&lt;&gt;"")*(K$4:K$49&lt;L$4:L$49)*3,(I$4:I$49=AY40)*(N$4:N$49=BS37)*(K$4:K$49&lt;&gt;"")*(L$4:L$49&lt;&gt;"")*(K$4:K$49=L$4:L$49)*1)</f>
        <v>0</v>
      </c>
      <c r="BT40" s="412">
        <v>3</v>
      </c>
      <c r="BU40" s="412">
        <f ca="1">RANK(BW40,$BW$38:$BW$41)</f>
        <v>4</v>
      </c>
      <c r="BV40" s="412" t="str">
        <f ca="1">A39</f>
        <v>Rumanía</v>
      </c>
      <c r="BW40" s="412">
        <f ca="1">IF(AK40=0,-($AW$15*VLOOKUP(AI40,Tabla3[[NombreEquipo]:[Rank]],3,FALSE)),AJ40*$AW$5+BA40+AQ40*$AW$12+AO40*$AW$13-($AW$15*VLOOKUP(AI40,Tabla3[[NombreEquipo]:[Rank]],3,FALSE)/100))</f>
        <v>140916159999.81</v>
      </c>
      <c r="BX40" s="412" t="str">
        <f ca="1">VLOOKUP(Q40,$AH$38:$AI$41,2,0)</f>
        <v>Eslovaquia</v>
      </c>
      <c r="BY40" s="412">
        <f ca="1">VLOOKUP($BX40,$AI$38:$AR$41,10,FALSE)</f>
        <v>140916159999.82001</v>
      </c>
      <c r="CC40" s="426">
        <f t="shared" ca="1" si="36"/>
        <v>4</v>
      </c>
      <c r="CD40" s="426" t="str">
        <f ca="1">A39</f>
        <v>Rumanía</v>
      </c>
      <c r="CE40" s="426">
        <f ca="1">IF(AK40=0,-($AW$15*VLOOKUP(AI40,Tabla3[[NombreEquipo]:[Rank]],3,FALSE)),AJ40*$AW$5+BA40+AQ40*$AW$12+AO40*$AW$13-($AW$15*VLOOKUP(AI40,Tabla3[[NombreEquipo]:[Rank]],3,FALSE)/100))</f>
        <v>140916159999.81</v>
      </c>
      <c r="CF40" s="426">
        <f ca="1">IF(AK40=0,-($AW$15*VLOOKUP(AI40,Tabla3[[NombreEquipo]:[Rank]],3,FALSE)),AJ40*$AW$5+BA40+AQ40*$AW$12+AO40*$AW$13)</f>
        <v>140916160000</v>
      </c>
      <c r="CG40" s="426">
        <v>3</v>
      </c>
      <c r="CH40" s="426" t="str">
        <f t="shared" ca="1" si="37"/>
        <v>Eslovaquia</v>
      </c>
      <c r="CI40" s="426">
        <f t="shared" ca="1" si="38"/>
        <v>140916160000</v>
      </c>
      <c r="CJ40" s="426">
        <f t="shared" ca="1" si="39"/>
        <v>2</v>
      </c>
      <c r="CM40" s="426">
        <v>3</v>
      </c>
      <c r="CN40" s="426">
        <f ca="1">HLOOKUP(CL38,$CW$4:$DD$9,5,0)</f>
        <v>34</v>
      </c>
      <c r="DA40" s="412"/>
      <c r="DB40" s="412"/>
      <c r="DC40" s="412"/>
      <c r="DD40" s="412"/>
      <c r="DE40" s="412"/>
      <c r="DF40" s="412"/>
      <c r="DG40" s="412"/>
      <c r="DH40" s="412"/>
      <c r="DI40" s="412"/>
      <c r="DJ40" s="412"/>
      <c r="EG40" s="430">
        <f ca="1">RANK(EH40,EH38:EH41,1)</f>
        <v>1</v>
      </c>
      <c r="EH40" s="426">
        <f ca="1">SUM(IF(AND(AJ40=AJ41,BC40=BC41,BI40=BI41,BO40=BO41),BG40,0),IF(AND(AJ40=AJ38,BC40=BC38,BI40=BI38,BO40=BO38),BD40,0),IF(AND(AJ40=AJ39,BC40=BC39,BI40=BI39,BO40=BO39),BE40,0))</f>
        <v>0</v>
      </c>
      <c r="EI40" s="430">
        <f ca="1">RANK(EJ40,EJ38:EJ41,1)</f>
        <v>1</v>
      </c>
      <c r="EJ40" s="426">
        <f ca="1">SUM(IF(AND(AJ40=AJ41,BC40=BC41,BI40=BI41,BO40=BO41),BM40,0),IF(AND(AJ40=AJ38,BC40=BC38,BI40=BI38,BO40=BO38),BJ40,0),IF(AND(AJ40=AJ39,BC40=BC39,BI40=BI39,BO40=BO39),BK40,0))</f>
        <v>0</v>
      </c>
      <c r="EK40" s="430">
        <f ca="1">RANK(EL40,EL38:EL41,1)</f>
        <v>3</v>
      </c>
      <c r="EL40" s="426">
        <f ca="1">SUM(IF(AND(AJ40=AJ41,BC40=BC41,BI40=BI41,BO40=BO41),BS40,0),IF(AND(AJ40=AJ38,BC40=BC38,BI40=BI38,BO40=BO38),BP40,0),IF(AND(AJ40=AJ39,BC40=BC39,BI40=BI39,BO40=BO39),BQ40,0))</f>
        <v>1</v>
      </c>
    </row>
    <row r="41" spans="1:142" ht="15" thickBot="1" x14ac:dyDescent="0.35">
      <c r="A41" s="187"/>
      <c r="B41" s="187"/>
      <c r="C41" s="187"/>
      <c r="D41" s="170"/>
      <c r="E41" s="818"/>
      <c r="F41" s="253">
        <f>Horarios!C41</f>
        <v>45469.75</v>
      </c>
      <c r="G41" s="254">
        <f>Horarios!C41</f>
        <v>45469.75</v>
      </c>
      <c r="H41" s="253" t="str">
        <f>$H$8</f>
        <v>J3</v>
      </c>
      <c r="I41" s="255" t="str">
        <f ca="1">A40</f>
        <v>Ucrania</v>
      </c>
      <c r="J41" s="256" t="str">
        <f ca="1">VLOOKUP(I41,Equipos!$K$2:$M$56,3,0)</f>
        <v>🇺🇦</v>
      </c>
      <c r="K41" s="257">
        <v>1</v>
      </c>
      <c r="L41" s="257">
        <v>2</v>
      </c>
      <c r="M41" s="258" t="str">
        <f ca="1">VLOOKUP(N41,Equipos!$K$2:$M$56,3,0)</f>
        <v>🇧🇪</v>
      </c>
      <c r="N41" s="259" t="str">
        <f ca="1">A37</f>
        <v>Bélgica</v>
      </c>
      <c r="O41" s="98">
        <f t="shared" si="33"/>
        <v>1</v>
      </c>
      <c r="P41" s="95"/>
      <c r="Q41" s="316">
        <v>4</v>
      </c>
      <c r="R41" s="317" t="str">
        <f ca="1">VLOOKUP(Q41,$AG$38:$AI$41,3,0)</f>
        <v>Eslovaquia</v>
      </c>
      <c r="S41" s="318">
        <f ca="1">VLOOKUP(R41,$AI$38:$AR$41,2,FALSE)</f>
        <v>1</v>
      </c>
      <c r="T41" s="318">
        <f ca="1">VLOOKUP($R41,$AI$38:$AR$41,3,FALSE)</f>
        <v>3</v>
      </c>
      <c r="U41" s="318">
        <f ca="1">VLOOKUP($R41,$AI$38:$AR$41,4,FALSE)</f>
        <v>0</v>
      </c>
      <c r="V41" s="318">
        <f ca="1">VLOOKUP($R41,$AI$38:$AR$41,5,FALSE)</f>
        <v>1</v>
      </c>
      <c r="W41" s="318">
        <f ca="1">VLOOKUP($R41,$AI$38:$AR$41,6,FALSE)</f>
        <v>2</v>
      </c>
      <c r="X41" s="318">
        <f ca="1">VLOOKUP($R41,$AI$38:$AR$41,7,FALSE)</f>
        <v>0</v>
      </c>
      <c r="Y41" s="318">
        <f ca="1">VLOOKUP($R41,$AI$38:$AR$41,8,FALSE)</f>
        <v>4</v>
      </c>
      <c r="Z41" s="319">
        <f ca="1">VLOOKUP($R41,$AI$38:$AR$41,9,FALSE)</f>
        <v>-4</v>
      </c>
      <c r="AA41" s="86">
        <f ca="1">IF(SUM($AK$38:$AK$41)=12,MIN(ABS(BY40-BY41),ABS(BY41-BY42)),100)</f>
        <v>1.0009765625E-2</v>
      </c>
      <c r="AB41" s="109" t="str">
        <f ca="1">IF(AND(AA41&gt;=0,AA41&lt;90),VLOOKUP(Q41,$BU$38:$BV$41,2,0),"")</f>
        <v>Rumanía</v>
      </c>
      <c r="AC41" s="85">
        <v>3</v>
      </c>
      <c r="AD41" s="86"/>
      <c r="AE41" s="83"/>
      <c r="AF41" s="427"/>
      <c r="AG41" s="426">
        <f ca="1">RANK(AU41,$AU$38:$AU$41)</f>
        <v>2</v>
      </c>
      <c r="AH41" s="426">
        <f ca="1">RANK(AR41,$AR$38:$AR$41)</f>
        <v>2</v>
      </c>
      <c r="AI41" s="412" t="str">
        <f ca="1">A40</f>
        <v>Ucrania</v>
      </c>
      <c r="AJ41" s="426">
        <f ca="1">AL41*3+AM41*1+AN41*0</f>
        <v>6</v>
      </c>
      <c r="AK41" s="426">
        <f ca="1">COUNTIFS($I$4:$I$49,AI41,$K$4:$K$49,"&lt;&gt;",$L$4:$L$49,"&lt;&gt;")+COUNTIFS($N$4:$N$49,AI41,$L$4:$L$49,"&lt;&gt;",$K$4:$K$49,"&lt;&gt;")</f>
        <v>3</v>
      </c>
      <c r="AL41" s="426">
        <f t="array" aca="1" ref="AL41" ca="1">SUM(($I$4:$I$49=AI41)*($K$4:$K$49&lt;&gt;"")*($L$4:$L$49&lt;&gt;"")*($K$4:$K$49&gt;$L$4:$L$49),($N$4:$N$49=AI41)*($K$4:$K$49&lt;&gt;"")*($L$4:$L$49&lt;&gt;"")*($K$4:$K$49&lt;$L$4:$L$49))</f>
        <v>2</v>
      </c>
      <c r="AM41" s="426">
        <f t="array" aca="1" ref="AM41" ca="1">SUM(($I$4:$I$49=AI41)*($K$4:$K$49&lt;&gt;"")*($L$4:$L$49&lt;&gt;"")*($K$4:$K$49=$L$4:$L$49),($N$4:$N$49=AI41)*($K$4:$K$49&lt;&gt;"")*($L$4:$L$49&lt;&gt;"")*($K$4:$K$49=$L$4:$L$49))</f>
        <v>0</v>
      </c>
      <c r="AN41" s="426">
        <f t="array" aca="1" ref="AN41" ca="1">SUM(($I$4:$I$49=AI41)*($L$4:$L$49&lt;&gt;"")*($K$4:$K$49&lt;&gt;"")*($K$4:$K$49&lt;$L$4:$L$49),($K$4:$K$49&lt;&gt;"")*($N$4:$N$49=AI41)*($L$4:$L$49&lt;&gt;"")*($K$4:$K$49&gt;$L$4:$L$49))</f>
        <v>1</v>
      </c>
      <c r="AO41" s="426">
        <f t="array" aca="1" ref="AO41" ca="1">SUMIFS($K$4:$K$49,$I$4:$I$49,AI41,$K$4:$K$49,"&lt;&gt;",$L$4:$L$49,"&lt;&gt;")+SUMIFS($L$4:$L$49,$N$4:$N$49,AI41,$K$4:$K$49,"&lt;&gt;",$L$4:$L$49,"&lt;&gt;")</f>
        <v>5</v>
      </c>
      <c r="AP41" s="426">
        <f t="array" aca="1" ref="AP41" ca="1">SUMIFS($K$4:$K$49,$N$4:$N$49,AI41,$K$4:$K$49,"&lt;&gt;",$L$4:$L$49,"&lt;&gt;")+SUMIFS($L$4:$L$49,$I$4:$I$49,AI41,$K$4:$K$49,"&lt;&gt;",$L$4:$L$49,"&lt;&gt;")</f>
        <v>2</v>
      </c>
      <c r="AQ41" s="426">
        <f ca="1">AO41-AP41</f>
        <v>3</v>
      </c>
      <c r="AR41" s="426">
        <f ca="1">IF(AK41=0,-($AW$15*VLOOKUP(AI41,Tabla3[[NombreEquipo]:[Rank]],3,FALSE)),AJ41*$AW$5+BA41+AQ41*$AW$12+AO41*$AW$13-($AW$15*VLOOKUP(AI41,Tabla3[[NombreEquipo]:[Rank]],3,FALSE)/100))</f>
        <v>834031232499.80005</v>
      </c>
      <c r="AS41" s="426">
        <f ca="1">AH41</f>
        <v>2</v>
      </c>
      <c r="AT41" s="426"/>
      <c r="AU41" s="426">
        <f ca="1">IFERROR(AR41-VLOOKUP(AI41,$AB$38:$AC$41,2,0),AR41)</f>
        <v>834031232499.80005</v>
      </c>
      <c r="AV41" s="426"/>
      <c r="AW41" s="429"/>
      <c r="AX41" s="426"/>
      <c r="AY41" s="434" t="str">
        <f ca="1">AI41</f>
        <v>Ucrania</v>
      </c>
      <c r="AZ41" s="426">
        <f ca="1">COUNTIF(AJ38:AJ41,AJ41)</f>
        <v>1</v>
      </c>
      <c r="BA41" s="426">
        <f ca="1">(BB41*$AW$8)+(BH41*$AW$7)+(BN41*$AW$6)+(EG41*$AW$11)+(EI41*$AW$10)+(EK41*$AW$9)</f>
        <v>781200000</v>
      </c>
      <c r="BB41" s="430">
        <f ca="1">RANK(BC41,BC38:BC41,1)</f>
        <v>1</v>
      </c>
      <c r="BC41" s="430">
        <f ca="1">SUM(IF(AND(AJ41=AJ38),BD41,0),IF(AND(AJ41=AJ39),BE41,0),IF(AND(AJ41=AJ40),BF41,0))</f>
        <v>0</v>
      </c>
      <c r="BD41" s="430">
        <f t="array" aca="1" ref="BD41" ca="1">SUMIFS($K$36:$K$41,$I$36:$I$41,$AY41,$K$36:$K$41,"&lt;&gt;",$L$36:$L$41,"&lt;&gt;",$N$36:$N$41,BD37)+SUMIFS($L$36:$L$41,$I$36:$I$41,BD37,$K$36:$K$41,"&lt;&gt;",$L$36:$L$41,"&lt;&gt;",$N$36:$N$41,$AY41)</f>
        <v>1</v>
      </c>
      <c r="BE41" s="430">
        <f t="array" aca="1" ref="BE41" ca="1">SUMIFS($K$36:$K$41,$I$36:$I$41,$AY41,$K$36:$K$41,"&lt;&gt;",$L$36:$L$41,"&lt;&gt;",$N$36:$N$41,BE37)+SUMIFS($L$36:$L$41,$I$36:$I$41,BE37,$K$36:$K$41,"&lt;&gt;",$L$36:$L$41,"&lt;&gt;",$N$36:$N$41,$AY41)</f>
        <v>2</v>
      </c>
      <c r="BF41" s="430">
        <f t="array" aca="1" ref="BF41" ca="1">SUMIFS($K$36:$K$41,$I$36:$I$41,$AY41,$K$36:$K$41,"&lt;&gt;",$L$36:$L$41,"&lt;&gt;",$N$36:$N$41,BF37)+SUMIFS($L$36:$L$41,$I$36:$I$41,BF37,$K$36:$K$41,"&lt;&gt;",$L$36:$L$41,"&lt;&gt;",$N$36:$N$41,$AY41)</f>
        <v>2</v>
      </c>
      <c r="BG41" s="430">
        <v>0</v>
      </c>
      <c r="BH41" s="430">
        <f ca="1">RANK(BI41,BI38:BI41,1)</f>
        <v>1</v>
      </c>
      <c r="BI41" s="430">
        <f ca="1">SUM(IF(AND(AJ41=AJ38),BJ41,0),IF(AND(AJ41=AJ39),BK41,0),IF(AND(AJ41=AJ40),BL41,0))</f>
        <v>0</v>
      </c>
      <c r="BJ41" s="430">
        <f ca="1">BD41-BG38</f>
        <v>-1</v>
      </c>
      <c r="BK41" s="430">
        <f ca="1">BE41-BG39</f>
        <v>2</v>
      </c>
      <c r="BL41" s="430">
        <f ca="1">BF41-BG40</f>
        <v>2</v>
      </c>
      <c r="BM41" s="430">
        <v>0</v>
      </c>
      <c r="BN41" s="430">
        <f ca="1">RANK(BO41,BO38:BO41,1)</f>
        <v>1</v>
      </c>
      <c r="BO41" s="430">
        <f ca="1">SUM(IF(AND(AJ41=AJ38),BP41,0),IF(AND(AJ41=AJ39),BQ41,0),IF(AND(AJ41=AJ40),BR41,0))</f>
        <v>0</v>
      </c>
      <c r="BP41" s="430">
        <f t="array" aca="1" ref="BP41" ca="1">SUM((I$4:I$49=AY41)*(N$4:N$49=BP37)*(K$4:K$49&lt;&gt;"")*(L$4:L$49&lt;&gt;"")*(K$4:K$49&gt;L$4:L$49)*3,(N$4:N$49=AY41)*(I$4:I$49=BP37)*(K$4:K$49&lt;&gt;"")*(L$4:L$49&lt;&gt;"")*(K$4:K$49=L$4:L$49)*1,(N$4:N$49=AY41)*(I$4:I$49=BP37)*(K$4:K$49&lt;&gt;"")*(L$4:L$49&lt;&gt;"")*(K$4:K$49&lt;L$4:L$49)*3,(I$4:I$49=AY41)*(N$4:N$49=BP37)*(K$4:K$49&lt;&gt;"")*(L$4:L$49&lt;&gt;"")*(K$4:K$49=L$4:L$49)*1)</f>
        <v>0</v>
      </c>
      <c r="BQ41" s="430">
        <f t="array" aca="1" ref="BQ41" ca="1">SUM((I$4:I$49=AY41)*(N$4:N$49=BQ37)*(K$4:K$49&lt;&gt;"")*(L$4:L$49&lt;&gt;"")*(K$4:K$49&gt;L$4:L$49)*3,(N$4:N$49=AY41)*(I$4:I$49=BQ37)*(K$4:K$49&lt;&gt;"")*(L$4:L$49&lt;&gt;"")*(K$4:K$49=L$4:L$49)*1,(N$4:N$49=AY41)*(I$4:I$49=BQ37)*(K$4:K$49&lt;&gt;"")*(L$4:L$49&lt;&gt;"")*(K$4:K$49&lt;L$4:L$49)*3,(I$4:I$49=AY41)*(N$4:N$49=BQ37)*(K$4:K$49&lt;&gt;"")*(L$4:L$49&lt;&gt;"")*(K$4:K$49=L$4:L$49)*1)</f>
        <v>3</v>
      </c>
      <c r="BR41" s="430">
        <f t="array" aca="1" ref="BR41" ca="1">SUM((I$4:I$49=AY41)*(N$4:N$49=BR37)*(K$4:K$49&lt;&gt;"")*(L$4:L$49&lt;&gt;"")*(K$4:K$49&gt;L$4:L$49)*3,(N$4:N$49=AY41)*(I$4:I$49=BR37)*(K$4:K$49&lt;&gt;"")*(L$4:L$49&lt;&gt;"")*(K$4:K$49=L$4:L$49)*1,(N$4:N$49=AY41)*(I$4:I$49=BR37)*(K$4:K$49&lt;&gt;"")*(L$4:L$49&lt;&gt;"")*(K$4:K$49&lt;L$4:L$49)*3,(I$4:I$49=AY41)*(N$4:N$49=BR37)*(K$4:K$49&lt;&gt;"")*(L$4:L$49&lt;&gt;"")*(K$4:K$49=L$4:L$49)*1)</f>
        <v>3</v>
      </c>
      <c r="BS41" s="430">
        <v>0</v>
      </c>
      <c r="BT41" s="412">
        <v>4</v>
      </c>
      <c r="BU41" s="412">
        <f ca="1">RANK(BW41,$BW$38:$BW$41)</f>
        <v>2</v>
      </c>
      <c r="BV41" s="412" t="str">
        <f ca="1">A40</f>
        <v>Ucrania</v>
      </c>
      <c r="BW41" s="412">
        <f ca="1">IF(AK41=0,-($AW$15*VLOOKUP(AI41,Tabla3[[NombreEquipo]:[Rank]],3,FALSE)),AJ41*$AW$5+BA41+AQ41*$AW$12+AO41*$AW$13-($AW$15*VLOOKUP(AI41,Tabla3[[NombreEquipo]:[Rank]],3,FALSE)/100))</f>
        <v>834031232499.80005</v>
      </c>
      <c r="BX41" s="412" t="str">
        <f ca="1">VLOOKUP(Q41,$AH$38:$AI$41,2,0)</f>
        <v>Rumanía</v>
      </c>
      <c r="BY41" s="412">
        <f ca="1">VLOOKUP($BX41,$AI$38:$AR$41,10,FALSE)</f>
        <v>140916159999.81</v>
      </c>
      <c r="CC41" s="426">
        <f t="shared" ca="1" si="36"/>
        <v>2</v>
      </c>
      <c r="CD41" s="426" t="str">
        <f ca="1">A40</f>
        <v>Ucrania</v>
      </c>
      <c r="CE41" s="426">
        <f ca="1">IF(AK41=0,-($AW$15*VLOOKUP(AI41,Tabla3[[NombreEquipo]:[Rank]],3,FALSE)),AJ41*$AW$5+BA41+AQ41*$AW$12+AO41*$AW$13-($AW$15*VLOOKUP(AI41,Tabla3[[NombreEquipo]:[Rank]],3,FALSE)/100))</f>
        <v>834031232499.80005</v>
      </c>
      <c r="CF41" s="426">
        <f ca="1">IF(AK41=0,-($AW$15*VLOOKUP(AI41,Tabla3[[NombreEquipo]:[Rank]],3,FALSE)),AJ41*$AW$5+BA41+AQ41*$AW$12+AO41*$AW$13)</f>
        <v>834031232500</v>
      </c>
      <c r="CG41" s="426">
        <v>4</v>
      </c>
      <c r="CH41" s="426" t="str">
        <f t="shared" ca="1" si="37"/>
        <v>Rumanía</v>
      </c>
      <c r="CI41" s="426">
        <f t="shared" ca="1" si="38"/>
        <v>140916160000</v>
      </c>
      <c r="CJ41" s="426">
        <f t="shared" ca="1" si="39"/>
        <v>2</v>
      </c>
      <c r="CM41" s="426">
        <v>4</v>
      </c>
      <c r="CN41" s="426">
        <f ca="1">HLOOKUP(CL38,$CW$4:$DD$9,6,0)</f>
        <v>34</v>
      </c>
      <c r="EG41" s="430">
        <f ca="1">RANK(EH41,EH38:EH41,1)</f>
        <v>1</v>
      </c>
      <c r="EH41" s="426">
        <f ca="1">SUM(IF(AND(AJ41=AJ38,BC41=BC38,BI41=BI38,BO41=BO38),BD41,0),IF(AND(AJ41=AJ39,BC41=BC39,BI41=BI39,BO41=BO39),BE41,0),IF(AND(AJ41=AJ40,BC41=BC40,BI41=BI40,BO41=BO40),BF41,0))</f>
        <v>0</v>
      </c>
      <c r="EI41" s="430">
        <f ca="1">RANK(EJ41,EJ38:EJ41,1)</f>
        <v>1</v>
      </c>
      <c r="EJ41" s="426">
        <f ca="1">SUM(IF(AND(AJ41=AJ38,BC41=BC38,BI41=BI38,BO41=BO38),BJ41,0),IF(AND(AJ41=AJ39,BC41=BC39,BI41=BI39,BO41=BO39),BK41,0),IF(AND(AJ41=AJ40,BC41=BC40,BI41=BI40,BO41=BO40),BL41,0))</f>
        <v>0</v>
      </c>
      <c r="EK41" s="430">
        <f ca="1">RANK(EL41,EL38:EL41,1)</f>
        <v>1</v>
      </c>
      <c r="EL41" s="426">
        <f ca="1">SUM(IF(AND(AJ41=AJ38,BC41=BC38,BI41=BI38,BO41=BO38),BP41,0),IF(AND(AJ41=AJ39,BC41=BC39,BI41=BI39,BO41=BO39),BQ41,0),IF(AND(AJ41=AJ40,BC41=BC40,BI41=BI40,BO41=BO40),BR41,0))</f>
        <v>0</v>
      </c>
    </row>
    <row r="42" spans="1:142" x14ac:dyDescent="0.3">
      <c r="A42" s="187"/>
      <c r="B42" s="187"/>
      <c r="C42" s="187"/>
      <c r="D42" s="170"/>
      <c r="E42" s="78"/>
      <c r="F42" s="89"/>
      <c r="G42" s="78"/>
      <c r="H42" s="78"/>
      <c r="I42" s="78"/>
      <c r="J42" s="78"/>
      <c r="K42" s="78"/>
      <c r="L42" s="78"/>
      <c r="M42" s="78"/>
      <c r="N42" s="78"/>
      <c r="O42" s="78"/>
      <c r="P42" s="78"/>
      <c r="Q42" s="78"/>
      <c r="R42" s="78"/>
      <c r="S42" s="78"/>
      <c r="T42" s="78"/>
      <c r="U42" s="78"/>
      <c r="V42" s="78"/>
      <c r="W42" s="78"/>
      <c r="X42" s="78"/>
      <c r="Y42" s="78"/>
      <c r="Z42" s="78"/>
      <c r="AA42" s="78"/>
      <c r="AB42" s="78"/>
      <c r="AC42" s="87"/>
      <c r="AD42" s="86"/>
      <c r="AE42" s="83"/>
      <c r="AF42" s="427"/>
      <c r="AG42" s="426"/>
      <c r="AH42" s="426"/>
      <c r="AJ42" s="426"/>
      <c r="AK42" s="426"/>
      <c r="AL42" s="426"/>
      <c r="AM42" s="426"/>
      <c r="AN42" s="426"/>
      <c r="AO42" s="426"/>
      <c r="AP42" s="426"/>
      <c r="AQ42" s="426"/>
      <c r="AR42" s="426"/>
      <c r="AS42" s="426"/>
      <c r="AT42" s="426"/>
      <c r="AU42" s="426"/>
      <c r="AV42" s="426"/>
      <c r="AW42" s="429"/>
      <c r="AX42" s="426"/>
      <c r="AY42" s="434"/>
      <c r="AZ42" s="426"/>
      <c r="BA42" s="426"/>
      <c r="BB42" s="430"/>
      <c r="BC42" s="430"/>
      <c r="BD42" s="430"/>
      <c r="BE42" s="430"/>
      <c r="BF42" s="430"/>
      <c r="BG42" s="430"/>
      <c r="BH42" s="430"/>
      <c r="BI42" s="430"/>
      <c r="BJ42" s="430"/>
      <c r="BK42" s="430"/>
      <c r="BL42" s="430"/>
      <c r="BM42" s="430"/>
      <c r="BN42" s="430"/>
      <c r="BO42" s="430"/>
      <c r="BP42" s="430"/>
      <c r="BQ42" s="430"/>
      <c r="BR42" s="430"/>
      <c r="BS42" s="430"/>
      <c r="EG42" s="430"/>
      <c r="EI42" s="430"/>
      <c r="EK42" s="430"/>
    </row>
    <row r="43" spans="1:142" ht="15" thickBot="1" x14ac:dyDescent="0.35">
      <c r="A43" s="187"/>
      <c r="B43" s="371"/>
      <c r="C43" s="187"/>
      <c r="D43" s="78"/>
      <c r="E43" s="99"/>
      <c r="F43" s="96" t="str">
        <f>F27</f>
        <v>Fecha</v>
      </c>
      <c r="G43" s="96" t="str">
        <f t="shared" ref="G43:I43" si="40">G27</f>
        <v>Hora</v>
      </c>
      <c r="H43" s="100" t="str">
        <f t="shared" si="40"/>
        <v>Jor.</v>
      </c>
      <c r="I43" s="101" t="str">
        <f t="shared" si="40"/>
        <v>Casa</v>
      </c>
      <c r="J43" s="96"/>
      <c r="K43" s="102" t="str">
        <f>K3</f>
        <v>Gol</v>
      </c>
      <c r="L43" s="102" t="str">
        <f>L3</f>
        <v>Gol</v>
      </c>
      <c r="M43" s="102"/>
      <c r="N43" s="103" t="str">
        <f t="shared" ref="N43" si="41">N27</f>
        <v>Fuera</v>
      </c>
      <c r="O43" s="81"/>
      <c r="P43" s="81"/>
      <c r="Q43" s="81"/>
      <c r="R43" s="81"/>
      <c r="S43" s="81"/>
      <c r="T43" s="81"/>
      <c r="U43" s="81"/>
      <c r="V43" s="81"/>
      <c r="W43" s="81"/>
      <c r="X43" s="81"/>
      <c r="Y43" s="81"/>
      <c r="Z43" s="81"/>
      <c r="AA43" s="82"/>
      <c r="AB43" s="82"/>
      <c r="AC43" s="82"/>
      <c r="AD43" s="82"/>
      <c r="AE43" s="83"/>
      <c r="AF43" s="427"/>
      <c r="AG43" s="426"/>
      <c r="AH43" s="426"/>
      <c r="AI43" s="426"/>
      <c r="AJ43" s="426"/>
      <c r="AK43" s="426"/>
      <c r="AL43" s="426"/>
      <c r="AM43" s="426"/>
      <c r="AN43" s="426"/>
      <c r="AO43" s="426"/>
      <c r="AP43" s="426"/>
      <c r="AQ43" s="426"/>
      <c r="AR43" s="426"/>
      <c r="AS43" s="426"/>
      <c r="AT43" s="426"/>
      <c r="AU43" s="426"/>
      <c r="AV43" s="426"/>
      <c r="AW43" s="429"/>
      <c r="AX43" s="426"/>
      <c r="AY43" s="426"/>
      <c r="AZ43" s="426"/>
      <c r="BA43" s="426"/>
      <c r="BB43" s="426"/>
      <c r="BC43" s="426"/>
      <c r="BD43" s="426"/>
      <c r="BE43" s="426"/>
      <c r="BF43" s="426"/>
      <c r="BG43" s="426"/>
      <c r="BH43" s="426"/>
      <c r="BI43" s="426"/>
      <c r="BJ43" s="426"/>
      <c r="BK43" s="426"/>
      <c r="BL43" s="426"/>
      <c r="BM43" s="426"/>
      <c r="BN43" s="426"/>
      <c r="BO43" s="426"/>
      <c r="BP43" s="426"/>
      <c r="BQ43" s="426"/>
      <c r="BR43" s="426"/>
      <c r="BS43" s="426"/>
      <c r="BT43" s="426"/>
      <c r="BU43" s="426"/>
      <c r="BV43" s="426"/>
      <c r="BW43" s="426"/>
      <c r="BX43" s="426"/>
      <c r="BY43" s="426"/>
      <c r="BZ43" s="426"/>
      <c r="CA43" s="427"/>
      <c r="CB43" s="427"/>
      <c r="DA43" s="412"/>
      <c r="DB43" s="412"/>
      <c r="DC43" s="412"/>
      <c r="DD43" s="412"/>
      <c r="DE43" s="412"/>
      <c r="DF43" s="412"/>
      <c r="DG43" s="412"/>
      <c r="DH43" s="412"/>
      <c r="DI43" s="412"/>
      <c r="DJ43" s="412"/>
    </row>
    <row r="44" spans="1:142" x14ac:dyDescent="0.3">
      <c r="A44" s="370" t="s">
        <v>17</v>
      </c>
      <c r="B44" s="371" t="s">
        <v>71</v>
      </c>
      <c r="C44" s="372">
        <f>COUNTIF(Equipos!$C$2:$C$25,EURO2024!B44)</f>
        <v>4</v>
      </c>
      <c r="D44" s="170"/>
      <c r="E44" s="764" t="s">
        <v>71</v>
      </c>
      <c r="F44" s="287">
        <f>Horarios!C44</f>
        <v>45461.75</v>
      </c>
      <c r="G44" s="288">
        <f>Horarios!C44</f>
        <v>45461.75</v>
      </c>
      <c r="H44" s="287" t="str">
        <f>$H$4</f>
        <v>J1</v>
      </c>
      <c r="I44" s="289" t="str">
        <f ca="1">A45</f>
        <v>Turquía</v>
      </c>
      <c r="J44" s="290" t="str">
        <f ca="1">VLOOKUP(I44,Equipos!$K$2:$M$56,3,0)</f>
        <v>🇹🇷</v>
      </c>
      <c r="K44" s="291">
        <v>3</v>
      </c>
      <c r="L44" s="291">
        <v>1</v>
      </c>
      <c r="M44" s="292" t="str">
        <f ca="1">VLOOKUP(N44,Equipos!$K$2:$M$56,3,0)</f>
        <v>🇬🇪</v>
      </c>
      <c r="N44" s="293" t="str">
        <f ca="1">A46</f>
        <v>Georgia</v>
      </c>
      <c r="O44" s="98">
        <f>IF(NOT(OR(ISBLANK(K44),ISBLANK(L44))),1,0)</f>
        <v>1</v>
      </c>
      <c r="P44" s="95"/>
      <c r="Q44" s="336" t="str">
        <f>CONCATENATE(Q3," ",B44)</f>
        <v>Grupo F</v>
      </c>
      <c r="R44" s="337"/>
      <c r="S44" s="337"/>
      <c r="T44" s="337"/>
      <c r="U44" s="337"/>
      <c r="V44" s="337"/>
      <c r="W44" s="337"/>
      <c r="X44" s="337"/>
      <c r="Y44" s="337"/>
      <c r="Z44" s="338"/>
      <c r="AA44" s="108"/>
      <c r="AB44" s="767" t="str">
        <f ca="1">IF($AA$45&gt;0,AB3,"")</f>
        <v/>
      </c>
      <c r="AC44" s="767"/>
      <c r="AD44" s="767"/>
      <c r="AE44" s="83"/>
      <c r="AF44" s="427"/>
      <c r="AG44" s="426"/>
      <c r="AH44" s="426" t="str">
        <f>CONCATENATE("Auxiliar - ",Q44)</f>
        <v>Auxiliar - Grupo F</v>
      </c>
      <c r="AI44" s="426"/>
      <c r="AJ44" s="426"/>
      <c r="AK44" s="426"/>
      <c r="AL44" s="426"/>
      <c r="AM44" s="426"/>
      <c r="AN44" s="426"/>
      <c r="AO44" s="426"/>
      <c r="AP44" s="426"/>
      <c r="AQ44" s="426"/>
      <c r="AR44" s="426"/>
      <c r="AS44" s="426"/>
      <c r="AT44" s="426"/>
      <c r="AU44" s="426" t="s">
        <v>19</v>
      </c>
      <c r="AV44" s="426"/>
      <c r="AW44" s="429"/>
      <c r="AX44" s="426"/>
      <c r="AY44" s="427" t="str">
        <f>CONCATENATE(Q44," - GOLAVERAGE")</f>
        <v>Grupo F - GOLAVERAGE</v>
      </c>
      <c r="AZ44" s="426"/>
      <c r="BA44" s="426"/>
      <c r="BB44" s="426" t="s">
        <v>21</v>
      </c>
      <c r="BC44" s="426"/>
      <c r="BD44" s="426"/>
      <c r="BE44" s="426"/>
      <c r="BF44" s="426"/>
      <c r="BG44" s="426"/>
      <c r="BH44" s="763" t="s">
        <v>22</v>
      </c>
      <c r="BI44" s="763"/>
      <c r="BJ44" s="763"/>
      <c r="BK44" s="763"/>
      <c r="BL44" s="763"/>
      <c r="BM44" s="763"/>
      <c r="BN44" s="430"/>
      <c r="BO44" s="430"/>
      <c r="BP44" s="430"/>
      <c r="BQ44" s="430"/>
      <c r="BR44" s="430"/>
      <c r="BS44" s="430"/>
      <c r="DA44" s="412"/>
      <c r="DB44" s="412"/>
      <c r="DC44" s="412"/>
      <c r="DD44" s="412"/>
      <c r="DE44" s="412"/>
      <c r="DF44" s="412"/>
      <c r="DG44" s="412"/>
      <c r="DH44" s="412"/>
      <c r="DI44" s="412"/>
      <c r="DJ44" s="412"/>
      <c r="EG44" s="426" t="s">
        <v>21</v>
      </c>
      <c r="EI44" s="426" t="s">
        <v>22</v>
      </c>
      <c r="EK44" s="430"/>
    </row>
    <row r="45" spans="1:142" ht="15" thickBot="1" x14ac:dyDescent="0.35">
      <c r="A45" s="370" t="str">
        <f t="array" aca="1" ref="A45" ca="1">IF(ROWS(A$45:A45)&lt;=$C$44,INDEX(INDIRECT(A$44),SMALL(IF(Nivell=$B$44,ROW(Nivell)-ROW(Equipos!$C$2)+1),ROWS(B$44:B44))),"")</f>
        <v>Turquía</v>
      </c>
      <c r="B45" s="371"/>
      <c r="C45" s="371"/>
      <c r="D45" s="170"/>
      <c r="E45" s="765"/>
      <c r="F45" s="281">
        <f>Horarios!C45</f>
        <v>45461.875</v>
      </c>
      <c r="G45" s="282">
        <f>Horarios!C45</f>
        <v>45461.875</v>
      </c>
      <c r="H45" s="281" t="str">
        <f>$H$4</f>
        <v>J1</v>
      </c>
      <c r="I45" s="283" t="str">
        <f ca="1">A47</f>
        <v>Portugal</v>
      </c>
      <c r="J45" s="284" t="str">
        <f ca="1">VLOOKUP(I45,Equipos!$K$2:$M$56,3,0)</f>
        <v>🇵🇹</v>
      </c>
      <c r="K45" s="285">
        <v>3</v>
      </c>
      <c r="L45" s="285">
        <v>0</v>
      </c>
      <c r="M45" s="286" t="str">
        <f ca="1">VLOOKUP(N45,Equipos!$K$2:$M$56,3,0)</f>
        <v>🇨🇿</v>
      </c>
      <c r="N45" s="294" t="str">
        <f ca="1">A48</f>
        <v>República Checa</v>
      </c>
      <c r="O45" s="98">
        <f t="shared" ref="O45:O49" si="42">IF(NOT(OR(ISBLANK(K45),ISBLANK(L45))),1,0)</f>
        <v>1</v>
      </c>
      <c r="P45" s="95"/>
      <c r="Q45" s="345" t="str">
        <f>Q5</f>
        <v>Pos</v>
      </c>
      <c r="R45" s="346" t="str">
        <f>R5</f>
        <v>Selección</v>
      </c>
      <c r="S45" s="346" t="str">
        <f t="shared" ref="S45:Y45" si="43">S5</f>
        <v>Pts</v>
      </c>
      <c r="T45" s="346" t="str">
        <f t="shared" si="43"/>
        <v>J</v>
      </c>
      <c r="U45" s="346" t="str">
        <f t="shared" si="43"/>
        <v>G</v>
      </c>
      <c r="V45" s="346" t="str">
        <f t="shared" si="43"/>
        <v>E</v>
      </c>
      <c r="W45" s="346" t="str">
        <f t="shared" si="43"/>
        <v>P</v>
      </c>
      <c r="X45" s="346" t="str">
        <f t="shared" si="43"/>
        <v>GF</v>
      </c>
      <c r="Y45" s="346" t="str">
        <f t="shared" si="43"/>
        <v>GC</v>
      </c>
      <c r="Z45" s="348" t="str">
        <f>Z5</f>
        <v>DG</v>
      </c>
      <c r="AA45" s="108">
        <f ca="1">COUNTIF(AA46:AA49,"&lt;100")</f>
        <v>0</v>
      </c>
      <c r="AB45" s="767"/>
      <c r="AC45" s="767"/>
      <c r="AD45" s="767"/>
      <c r="AE45" s="83"/>
      <c r="AF45" s="427"/>
      <c r="AG45" s="431" t="s">
        <v>19</v>
      </c>
      <c r="AH45" s="431" t="s">
        <v>25</v>
      </c>
      <c r="AI45" s="431" t="s">
        <v>26</v>
      </c>
      <c r="AJ45" s="431" t="s">
        <v>27</v>
      </c>
      <c r="AK45" s="431" t="s">
        <v>28</v>
      </c>
      <c r="AL45" s="431" t="s">
        <v>29</v>
      </c>
      <c r="AM45" s="431" t="s">
        <v>30</v>
      </c>
      <c r="AN45" s="431" t="s">
        <v>31</v>
      </c>
      <c r="AO45" s="431" t="s">
        <v>32</v>
      </c>
      <c r="AP45" s="431" t="s">
        <v>33</v>
      </c>
      <c r="AQ45" s="431" t="s">
        <v>34</v>
      </c>
      <c r="AR45" s="431" t="s">
        <v>35</v>
      </c>
      <c r="AS45" s="431" t="s">
        <v>25</v>
      </c>
      <c r="AT45" s="426"/>
      <c r="AU45" s="426"/>
      <c r="AV45" s="426"/>
      <c r="AW45" s="429"/>
      <c r="AX45" s="426"/>
      <c r="AY45" s="431" t="s">
        <v>26</v>
      </c>
      <c r="AZ45" s="431" t="s">
        <v>37</v>
      </c>
      <c r="BA45" s="431" t="s">
        <v>38</v>
      </c>
      <c r="BB45" s="431" t="s">
        <v>39</v>
      </c>
      <c r="BC45" s="431" t="s">
        <v>40</v>
      </c>
      <c r="BD45" s="431" t="str">
        <f ca="1">AY46</f>
        <v>Turquía</v>
      </c>
      <c r="BE45" s="431" t="str">
        <f ca="1">AY47</f>
        <v>Georgia</v>
      </c>
      <c r="BF45" s="431" t="str">
        <f ca="1">AY48</f>
        <v>Portugal</v>
      </c>
      <c r="BG45" s="431" t="str">
        <f ca="1">AY49</f>
        <v>República Checa</v>
      </c>
      <c r="BH45" s="431" t="s">
        <v>39</v>
      </c>
      <c r="BI45" s="431" t="s">
        <v>40</v>
      </c>
      <c r="BJ45" s="431" t="str">
        <f ca="1">BD45</f>
        <v>Turquía</v>
      </c>
      <c r="BK45" s="431" t="str">
        <f ca="1">BE45</f>
        <v>Georgia</v>
      </c>
      <c r="BL45" s="431" t="str">
        <f ca="1">BF45</f>
        <v>Portugal</v>
      </c>
      <c r="BM45" s="431" t="str">
        <f ca="1">BG45</f>
        <v>República Checa</v>
      </c>
      <c r="BN45" s="431" t="s">
        <v>39</v>
      </c>
      <c r="BO45" s="431" t="s">
        <v>40</v>
      </c>
      <c r="BP45" s="431" t="str">
        <f ca="1">BD45</f>
        <v>Turquía</v>
      </c>
      <c r="BQ45" s="431" t="str">
        <f ca="1">BE45</f>
        <v>Georgia</v>
      </c>
      <c r="BR45" s="431" t="str">
        <f ca="1">BF45</f>
        <v>Portugal</v>
      </c>
      <c r="BS45" s="431" t="str">
        <f ca="1">BG45</f>
        <v>República Checa</v>
      </c>
      <c r="BU45" s="432"/>
      <c r="BV45" s="432" t="s">
        <v>41</v>
      </c>
      <c r="BW45" s="432"/>
      <c r="BX45" s="432" t="s">
        <v>43</v>
      </c>
      <c r="BY45" s="432"/>
      <c r="CC45" s="432" t="s">
        <v>44</v>
      </c>
      <c r="CD45" s="434" t="s">
        <v>72</v>
      </c>
      <c r="CE45" s="431" t="s">
        <v>46</v>
      </c>
      <c r="CF45" s="431" t="s">
        <v>47</v>
      </c>
      <c r="CG45" s="432" t="s">
        <v>48</v>
      </c>
      <c r="CH45" s="431" t="s">
        <v>49</v>
      </c>
      <c r="CI45" s="431"/>
      <c r="CJ45" s="431"/>
      <c r="CK45" s="431"/>
      <c r="CL45" s="431"/>
      <c r="CM45" s="431"/>
      <c r="CN45" s="431"/>
      <c r="CP45" s="426">
        <v>1</v>
      </c>
      <c r="CQ45" s="426">
        <v>2</v>
      </c>
      <c r="CR45" s="426">
        <v>3</v>
      </c>
      <c r="CS45" s="426">
        <v>4</v>
      </c>
      <c r="DA45" s="412"/>
      <c r="DB45" s="412"/>
      <c r="DC45" s="412"/>
      <c r="DD45" s="412"/>
      <c r="DE45" s="412"/>
      <c r="DF45" s="412"/>
      <c r="DG45" s="412"/>
      <c r="DH45" s="412"/>
      <c r="DI45" s="412"/>
      <c r="DJ45" s="412"/>
      <c r="EG45" s="431" t="s">
        <v>39</v>
      </c>
      <c r="EI45" s="431" t="s">
        <v>39</v>
      </c>
      <c r="EK45" s="431" t="s">
        <v>39</v>
      </c>
    </row>
    <row r="46" spans="1:142" x14ac:dyDescent="0.3">
      <c r="A46" s="370" t="str">
        <f t="array" aca="1" ref="A46" ca="1">IF(ROWS(A$45:A46)&lt;=$C$44,INDEX(INDIRECT(A$44),SMALL(IF(Nivell=$B$44,ROW(Nivell)-ROW(Equipos!$C$2)+1),ROWS(B$44:B45))),"")</f>
        <v>Georgia</v>
      </c>
      <c r="B46" s="371"/>
      <c r="C46" s="373"/>
      <c r="D46" s="170"/>
      <c r="E46" s="765"/>
      <c r="F46" s="281">
        <f>Horarios!C46</f>
        <v>45465.625</v>
      </c>
      <c r="G46" s="282">
        <f>Horarios!C46</f>
        <v>45465.625</v>
      </c>
      <c r="H46" s="281" t="str">
        <f>$H$6</f>
        <v>J2</v>
      </c>
      <c r="I46" s="283" t="str">
        <f ca="1">A46</f>
        <v>Georgia</v>
      </c>
      <c r="J46" s="284" t="str">
        <f ca="1">VLOOKUP(I46,Equipos!$K$2:$M$56,3,0)</f>
        <v>🇬🇪</v>
      </c>
      <c r="K46" s="285">
        <v>1</v>
      </c>
      <c r="L46" s="285">
        <v>1</v>
      </c>
      <c r="M46" s="286" t="str">
        <f ca="1">VLOOKUP(N46,Equipos!$K$2:$M$56,3,0)</f>
        <v>🇨🇿</v>
      </c>
      <c r="N46" s="294" t="str">
        <f ca="1">A48</f>
        <v>República Checa</v>
      </c>
      <c r="O46" s="98">
        <f t="shared" si="42"/>
        <v>1</v>
      </c>
      <c r="P46" s="95"/>
      <c r="Q46" s="349">
        <v>1</v>
      </c>
      <c r="R46" s="350" t="str">
        <f ca="1">VLOOKUP(Q46,$AG$46:$AI$49,3,0)</f>
        <v>Portugal</v>
      </c>
      <c r="S46" s="351">
        <f ca="1">VLOOKUP(R46,$AI$46:$AR$49,2,FALSE)</f>
        <v>9</v>
      </c>
      <c r="T46" s="351">
        <f ca="1">VLOOKUP($R46,$AI$46:$AR$49,3,FALSE)</f>
        <v>3</v>
      </c>
      <c r="U46" s="351">
        <f ca="1">VLOOKUP($R46,$AI$46:$AR$49,4,FALSE)</f>
        <v>3</v>
      </c>
      <c r="V46" s="351">
        <f ca="1">VLOOKUP($R46,$AI$46:$AR$49,5,FALSE)</f>
        <v>0</v>
      </c>
      <c r="W46" s="351">
        <f ca="1">VLOOKUP($R46,$AI$46:$AR$49,6,FALSE)</f>
        <v>0</v>
      </c>
      <c r="X46" s="351">
        <f ca="1">VLOOKUP($R46,$AI$46:$AR$49,7,FALSE)</f>
        <v>7</v>
      </c>
      <c r="Y46" s="351">
        <f ca="1">VLOOKUP($R46,$AI$46:$AR$49,8,FALSE)</f>
        <v>1</v>
      </c>
      <c r="Z46" s="352">
        <f ca="1">VLOOKUP($R46,$AI$46:$AR$49,9,FALSE)</f>
        <v>6</v>
      </c>
      <c r="AA46" s="86">
        <f ca="1">IF(SUM($AK$46:$AK$49)=12,MIN(ABS(BY45-BY46),ABS(BY46-BY47)),100)</f>
        <v>416625030499.97998</v>
      </c>
      <c r="AB46" s="109" t="str">
        <f ca="1">IF(AND(AA46&gt;=0,AA46&lt;90),VLOOKUP(Q46,$BU$46:$BV$49,2,0),"")</f>
        <v/>
      </c>
      <c r="AC46" s="85"/>
      <c r="AD46" s="86"/>
      <c r="AE46" s="83"/>
      <c r="AF46" s="427"/>
      <c r="AG46" s="426">
        <f ca="1">RANK(AU46,$AU$46:$AU$49)</f>
        <v>2</v>
      </c>
      <c r="AH46" s="426">
        <f ca="1">RANK(AR46,$AR$46:$AR$49)</f>
        <v>2</v>
      </c>
      <c r="AI46" s="412" t="str">
        <f ca="1">A45</f>
        <v>Turquía</v>
      </c>
      <c r="AJ46" s="426">
        <f ca="1">AL46*3+AM46*1+AN46*0</f>
        <v>6</v>
      </c>
      <c r="AK46" s="426">
        <f ca="1">COUNTIFS($I$4:$I$49,AI46,$K$4:$K$49,"&lt;&gt;",$L$4:$L$49,"&lt;&gt;")+COUNTIFS($N$4:$N$49,AI46,$L$4:$L$49,"&lt;&gt;",$K$4:$K$49,"&lt;&gt;")</f>
        <v>3</v>
      </c>
      <c r="AL46" s="426">
        <f t="array" aca="1" ref="AL46" ca="1">SUM(($I$4:$I$49=AI46)*($K$4:$K$49&lt;&gt;"")*($L$4:$L$49&lt;&gt;"")*($K$4:$K$49&gt;$L$4:$L$49),($N$4:$N$49=AI46)*($K$4:$K$49&lt;&gt;"")*($L$4:$L$49&lt;&gt;"")*($K$4:$K$49&lt;$L$4:$L$49))</f>
        <v>2</v>
      </c>
      <c r="AM46" s="426">
        <f t="array" aca="1" ref="AM46" ca="1">SUM(($I$4:$I$49=AI46)*($K$4:$K$49&lt;&gt;"")*($L$4:$L$49&lt;&gt;"")*($K$4:$K$49=$L$4:$L$49),($N$4:$N$49=AI46)*($K$4:$K$49&lt;&gt;"")*($L$4:$L$49&lt;&gt;"")*($K$4:$K$49=$L$4:$L$49))</f>
        <v>0</v>
      </c>
      <c r="AN46" s="426">
        <f t="array" aca="1" ref="AN46" ca="1">SUM(($I$4:$I$49=AI46)*($L$4:$L$49&lt;&gt;"")*($K$4:$K$49&lt;&gt;"")*($K$4:$K$49&lt;$L$4:$L$49),($K$4:$K$49&lt;&gt;"")*($N$4:$N$49=AI46)*($L$4:$L$49&lt;&gt;"")*($K$4:$K$49&gt;$L$4:$L$49))</f>
        <v>1</v>
      </c>
      <c r="AO46" s="426">
        <f t="array" aca="1" ref="AO46" ca="1">SUMIFS($K$4:$K$49,$I$4:$I$49,AI46,$K$4:$K$49,"&lt;&gt;",$L$4:$L$49,"&lt;&gt;")+SUMIFS($L$4:$L$49,$N$4:$N$49,AI46,$K$4:$K$49,"&lt;&gt;",$L$4:$L$49,"&lt;&gt;")</f>
        <v>6</v>
      </c>
      <c r="AP46" s="426">
        <f t="array" aca="1" ref="AP46" ca="1">SUMIFS($K$4:$K$49,$N$4:$N$49,AI46,$K$4:$K$49,"&lt;&gt;",$L$4:$L$49,"&lt;&gt;")+SUMIFS($L$4:$L$49,$I$4:$I$49,AI46,$K$4:$K$49,"&lt;&gt;",$L$4:$L$49,"&lt;&gt;")</f>
        <v>3</v>
      </c>
      <c r="AQ46" s="426">
        <f ca="1">AO46-AP46</f>
        <v>3</v>
      </c>
      <c r="AR46" s="426">
        <f ca="1">IF(AK46=0,-($AW$15*VLOOKUP(AI46,Tabla3[[NombreEquipo]:[Rank]],3,FALSE)),AJ46*$AW$5+BA46+AQ46*$AW$12+AO46*$AW$13-($AW$15*VLOOKUP(AI46,Tabla3[[NombreEquipo]:[Rank]],3,FALSE)/100))</f>
        <v>834031232999.79004</v>
      </c>
      <c r="AS46" s="426">
        <f ca="1">AH46</f>
        <v>2</v>
      </c>
      <c r="AT46" s="426"/>
      <c r="AU46" s="426">
        <f ca="1">IFERROR(AR46-VLOOKUP(AI46,$AB$46:$AC$49,2,0),AR46)</f>
        <v>834031232999.79004</v>
      </c>
      <c r="AV46" s="426"/>
      <c r="AW46" s="429"/>
      <c r="AX46" s="426"/>
      <c r="AY46" s="434" t="str">
        <f ca="1">AI46</f>
        <v>Turquía</v>
      </c>
      <c r="AZ46" s="426">
        <f ca="1">COUNTIF(AJ46:AJ49,AJ46)</f>
        <v>1</v>
      </c>
      <c r="BA46" s="426">
        <f ca="1">(BB46*$AW$8)+(BH46*$AW$7)+(BN46*$AW$6)+(EG46*$AW$11)+(EI46*$AW$10)+(EK46*$AW$9)</f>
        <v>781200000</v>
      </c>
      <c r="BB46" s="430">
        <f ca="1">RANK(BC46,BC46:BC49,1)</f>
        <v>1</v>
      </c>
      <c r="BC46" s="430">
        <f ca="1">SUM(IF(AND(AJ46=AJ47),BE46,0),IF(AND(AJ46=AJ48),BF46,0),IF(AND(AJ46=AJ49),BG46,0))</f>
        <v>0</v>
      </c>
      <c r="BD46" s="430">
        <v>0</v>
      </c>
      <c r="BE46" s="430">
        <f t="array" aca="1" ref="BE46" ca="1">SUMIFS($K$44:$K$49,$I$44:$I$49,$AY46,$K$44:$K$49,"&lt;&gt;",$L$44:$L$49,"&lt;&gt;",$N$44:$N$49,BE45)+SUMIFS($L$44:$L$49,$I$44:$I$49,BE45,$K$44:$K$49,"&lt;&gt;",$L$44:$L$49,"&lt;&gt;",$N$44:$N$49,$AY46)</f>
        <v>3</v>
      </c>
      <c r="BF46" s="430">
        <f t="array" aca="1" ref="BF46" ca="1">SUMIFS($K$44:$K$49,$I$44:$I$49,$AY46,$K$44:$K$49,"&lt;&gt;",$L$44:$L$49,"&lt;&gt;",$N$44:$N$49,BF45)+SUMIFS($L$44:$L$49,$I$44:$I$49,BF45,$K$44:$K$49,"&lt;&gt;",$L$44:$L$49,"&lt;&gt;",$N$44:$N$49,$AY46)</f>
        <v>1</v>
      </c>
      <c r="BG46" s="430">
        <f t="array" aca="1" ref="BG46" ca="1">SUMIFS($K$44:$K$49,$I$44:$I$49,$AY46,$K$44:$K$49,"&lt;&gt;",$L$44:$L$49,"&lt;&gt;",$N$44:$N$49,BG45)+SUMIFS($L$44:$L$49,$I$44:$I$49,BG45,$K$44:$K$49,"&lt;&gt;",$L$44:$L$49,"&lt;&gt;",$N$44:$N$49,$AY46)</f>
        <v>2</v>
      </c>
      <c r="BH46" s="430">
        <f ca="1">RANK(BI46,BI46:BI49,1)</f>
        <v>1</v>
      </c>
      <c r="BI46" s="430">
        <f ca="1">SUM(IF(AND(AJ46=AJ47),BK46,0),IF(AND(AJ46=AJ48),BL46,0),IF(AND(AJ46=AJ49),BM46,0))</f>
        <v>0</v>
      </c>
      <c r="BJ46" s="430">
        <v>0</v>
      </c>
      <c r="BK46" s="430">
        <f ca="1">BE46-BD47</f>
        <v>2</v>
      </c>
      <c r="BL46" s="430">
        <f ca="1">BF46-BD48</f>
        <v>-1</v>
      </c>
      <c r="BM46" s="430">
        <f ca="1">BG46-BD49</f>
        <v>2</v>
      </c>
      <c r="BN46" s="430">
        <f ca="1">RANK(BO46,BO46:BO49,1)</f>
        <v>1</v>
      </c>
      <c r="BO46" s="430">
        <f ca="1">SUM(IF(AND(AJ46=AJ47),BQ46,0),IF(AND(AJ46=AJ48),BR46,0),IF(AND(AJ46=AJ49),BS46,0))</f>
        <v>0</v>
      </c>
      <c r="BP46" s="430">
        <v>0</v>
      </c>
      <c r="BQ46" s="430">
        <f t="array" aca="1" ref="BQ46" ca="1">SUM((I$4:I$49=AY46)*(N$4:N$49=BQ45)*(K$4:K$49&lt;&gt;"")*(L$4:L$49&lt;&gt;"")*(K$4:K$49&gt;L$4:L$49)*3,(N$4:N$49=AY46)*(I$4:I$49=BQ45)*(K$4:K$49&lt;&gt;"")*(L$4:L$49&lt;&gt;"")*(K$4:K$49=L$4:L$49)*1,(N$4:N$49=AY46)*(I$4:I$49=BQ45)*(K$4:K$49&lt;&gt;"")*(L$4:L$49&lt;&gt;"")*(K$4:K$49&lt;L$4:L$49)*3,(I$4:I$49=AY46)*(N$4:N$49=BQ45)*(K$4:K$49&lt;&gt;"")*(L$4:L$49&lt;&gt;"")*(K$4:K$49=L$4:L$49)*1)</f>
        <v>3</v>
      </c>
      <c r="BR46" s="430">
        <f t="array" aca="1" ref="BR46" ca="1">SUM((I$4:I$49=AY46)*(N$4:N$49=BR45)*(K$4:K$49&lt;&gt;"")*(L$4:L$49&lt;&gt;"")*(K$4:K$49&gt;L$4:L$49)*3,(N$4:N$49=AY46)*(I$4:I$49=BR45)*(K$4:K$49&lt;&gt;"")*(L$4:L$49&lt;&gt;"")*(K$4:K$49=L$4:L$49)*1,(N$4:N$49=AY46)*(I$4:I$49=BR45)*(K$4:K$49&lt;&gt;"")*(L$4:L$49&lt;&gt;"")*(K$4:K$49&lt;L$4:L$49)*3,(I$4:I$49=AY46)*(N$4:N$49=BR45)*(K$4:K$49&lt;&gt;"")*(L$4:L$49&lt;&gt;"")*(K$4:K$49=L$4:L$49)*1)</f>
        <v>0</v>
      </c>
      <c r="BS46" s="430">
        <f t="array" aca="1" ref="BS46" ca="1">SUM((I$4:I$49=AY46)*(N$4:N$49=BS45)*(K$4:K$49&lt;&gt;"")*(L$4:L$49&lt;&gt;"")*(K$4:K$49&gt;L$4:L$49)*3,(N$4:N$49=AY46)*(I$4:I$49=BS45)*(K$4:K$49&lt;&gt;"")*(L$4:L$49&lt;&gt;"")*(K$4:K$49=L$4:L$49)*1,(N$4:N$49=AY46)*(I$4:I$49=BS45)*(K$4:K$49&lt;&gt;"")*(L$4:L$49&lt;&gt;"")*(K$4:K$49&lt;L$4:L$49)*3,(I$4:I$49=AY46)*(N$4:N$49=BS45)*(K$4:K$49&lt;&gt;"")*(L$4:L$49&lt;&gt;"")*(K$4:K$49=L$4:L$49)*1)</f>
        <v>3</v>
      </c>
      <c r="BT46" s="412">
        <v>1</v>
      </c>
      <c r="BU46" s="412">
        <f ca="1">RANK(BW46,$BW$46:$BW$49)</f>
        <v>2</v>
      </c>
      <c r="BV46" s="412" t="str">
        <f ca="1">A45</f>
        <v>Turquía</v>
      </c>
      <c r="BW46" s="412">
        <f ca="1">IF(AK46=0,-($AW$15*VLOOKUP(AI46,Tabla3[[NombreEquipo]:[Rank]],3,FALSE)),AJ46*$AW$5+BA46+AQ46*$AW$12+AO46*$AW$13-($AW$15*VLOOKUP(AI46,Tabla3[[NombreEquipo]:[Rank]],3,FALSE)/100))</f>
        <v>834031232999.79004</v>
      </c>
      <c r="BX46" s="412" t="str">
        <f ca="1">VLOOKUP(Q46,$AH$46:$AI$49,2,0)</f>
        <v>Portugal</v>
      </c>
      <c r="BY46" s="412">
        <f ca="1">VLOOKUP($BX46,$AI$46:$AR$49,10,FALSE)</f>
        <v>1250656263499.77</v>
      </c>
      <c r="CC46" s="426">
        <f ca="1">RANK(CE46,$CE$46:$CE$49)</f>
        <v>2</v>
      </c>
      <c r="CD46" s="426" t="str">
        <f ca="1">A45</f>
        <v>Turquía</v>
      </c>
      <c r="CE46" s="426">
        <f ca="1">IF(AK46=0,-($AW$15*VLOOKUP(AI46,Tabla3[[NombreEquipo]:[Rank]],3,FALSE)),AJ46*$AW$5+BA46+AQ46*$AW$12+AO46*$AW$13-($AW$15*VLOOKUP(AI46,Tabla3[[NombreEquipo]:[Rank]],3,FALSE)/100))</f>
        <v>834031232999.79004</v>
      </c>
      <c r="CF46" s="426">
        <f ca="1">IF(AK46=0,-($AW$15*VLOOKUP(AI46,Tabla3[[NombreEquipo]:[Rank]],3,FALSE)),AJ46*$AW$5+BA46+AQ46*$AW$12+AO46*$AW$13)</f>
        <v>834031233000</v>
      </c>
      <c r="CG46" s="426">
        <v>1</v>
      </c>
      <c r="CH46" s="426" t="str">
        <f ca="1">VLOOKUP(CG46,$CC$46:$CD$49,2,0)</f>
        <v>Portugal</v>
      </c>
      <c r="CI46" s="426">
        <f ca="1">VLOOKUP(CG46,$CC$46:$CF$49,4,0)</f>
        <v>1250656263500</v>
      </c>
      <c r="CJ46" s="426">
        <f ca="1">COUNTIF($CI$46:$CI$49,CI46)</f>
        <v>1</v>
      </c>
      <c r="CK46" s="426" t="str">
        <f t="shared" ref="CK46" ca="1" si="44">CJ46&amp;CJ47&amp;CJ48&amp;CJ49</f>
        <v>1111</v>
      </c>
      <c r="CL46" s="426">
        <f ca="1">HLOOKUP(CK46,$CW$3:$DD$4,2,0)</f>
        <v>8</v>
      </c>
      <c r="CM46" s="426">
        <v>1</v>
      </c>
      <c r="CN46" s="426">
        <f ca="1">HLOOKUP(CL46,$CW$4:$DD$9,3,0)</f>
        <v>1</v>
      </c>
      <c r="CP46" s="426" cm="1">
        <f t="array" aca="1" ref="CP46" ca="1">OFFSET($DF$4,1,MATCH($CN46,$DG$4:$DP$4,0),HLOOKUP($CN46,$DG$4:$DP$9,6,0),1)</f>
        <v>1</v>
      </c>
      <c r="CQ46" s="426" cm="1">
        <f t="array" aca="1" ref="CQ46" ca="1">OFFSET($DF$4,1,MATCH($CN47,$DG$4:$DP$4,0),HLOOKUP($CN47,$DG$4:$DP$9,6,0),1)</f>
        <v>2</v>
      </c>
      <c r="CR46" s="426" cm="1">
        <f t="array" aca="1" ref="CR46" ca="1">OFFSET($DF$4,1,MATCH($CN48,$DG$4:$DP$4,0),HLOOKUP($CN48,$DG$4:$DP$9,6,0),1)</f>
        <v>3</v>
      </c>
      <c r="CS46" s="426" cm="1">
        <f t="array" aca="1" ref="CS46" ca="1">OFFSET($DF$4,1,MATCH($CN49,$DG$4:$DP$4,0),HLOOKUP($CN49,$DG$4:$DP$9,6,0),1)</f>
        <v>4</v>
      </c>
      <c r="DA46" s="412"/>
      <c r="DB46" s="412"/>
      <c r="DC46" s="412"/>
      <c r="DD46" s="412"/>
      <c r="DE46" s="412"/>
      <c r="DF46" s="412"/>
      <c r="DG46" s="412"/>
      <c r="DH46" s="412"/>
      <c r="DI46" s="412"/>
      <c r="DJ46" s="412"/>
      <c r="EG46" s="430">
        <f ca="1">RANK(EH46,EH46:EH49,1)</f>
        <v>1</v>
      </c>
      <c r="EH46" s="426">
        <f ca="1">SUM(IF(AND(AJ46=AJ47,BC46=BC47,BI46=BI47,BO46=BO47),BE46,0),IF(AND(AJ46=AJ48,BC46=BC48,BI46=BI48,BO46=BO48),BF46,0),IF(AND(AJ46=AJ49,BC46=BC49,BI46=BI49,BO46=BO49),BG46,0))</f>
        <v>0</v>
      </c>
      <c r="EI46" s="430">
        <f ca="1">RANK(EJ46,EJ46:EJ49,1)</f>
        <v>1</v>
      </c>
      <c r="EJ46" s="426">
        <f ca="1">SUM(IF(AND(AJ46=AJ47,BC46=BC47,BI46=BI47,BO46=BO47),BK46,0),IF(AND(AJ46=AJ48,BC46=BC48,BI46=BI48,BO46=BO48),BL46,0),IF(AND(AJ46=AJ49,BC46=BC49,BI46=BI49,BO46=BO49),BM46,0))</f>
        <v>0</v>
      </c>
      <c r="EK46" s="430">
        <f ca="1">RANK(EL46,EL46:EL49,1)</f>
        <v>1</v>
      </c>
      <c r="EL46" s="426">
        <f ca="1">SUM(IF(AND(AJ46=AJ47,BC46=BC47,BI46=BI47,BO46=BO47),BQ46,0),IF(AND(AJ46=AJ48,BC46=BC48,BI46=BI48,BO46=BO48),BR46,0),IF(AND(AJ46=AJ49,BC46=BC49,BI46=BI49,BO46=BO49),BS46,0))</f>
        <v>0</v>
      </c>
    </row>
    <row r="47" spans="1:142" x14ac:dyDescent="0.3">
      <c r="A47" s="370" t="str">
        <f t="array" aca="1" ref="A47" ca="1">IF(ROWS(A$45:A47)&lt;=$C$44,INDEX(INDIRECT(A$44),SMALL(IF(Nivell=$B$44,ROW(Nivell)-ROW(Equipos!$C$2)+1),ROWS(B$44:B46))),"")</f>
        <v>Portugal</v>
      </c>
      <c r="B47" s="371"/>
      <c r="C47" s="189"/>
      <c r="D47" s="170"/>
      <c r="E47" s="765"/>
      <c r="F47" s="281">
        <f>Horarios!C47</f>
        <v>45465.75</v>
      </c>
      <c r="G47" s="282">
        <f>Horarios!C47</f>
        <v>45465.75</v>
      </c>
      <c r="H47" s="281" t="str">
        <f>$H$6</f>
        <v>J2</v>
      </c>
      <c r="I47" s="283" t="str">
        <f ca="1">A45</f>
        <v>Turquía</v>
      </c>
      <c r="J47" s="284" t="str">
        <f ca="1">VLOOKUP(I47,Equipos!$K$2:$M$56,3,0)</f>
        <v>🇹🇷</v>
      </c>
      <c r="K47" s="285">
        <v>1</v>
      </c>
      <c r="L47" s="285">
        <v>2</v>
      </c>
      <c r="M47" s="286" t="str">
        <f ca="1">VLOOKUP(N47,Equipos!$K$2:$M$56,3,0)</f>
        <v>🇵🇹</v>
      </c>
      <c r="N47" s="294" t="str">
        <f ca="1">A47</f>
        <v>Portugal</v>
      </c>
      <c r="O47" s="98">
        <f t="shared" si="42"/>
        <v>1</v>
      </c>
      <c r="P47" s="95"/>
      <c r="Q47" s="339">
        <v>2</v>
      </c>
      <c r="R47" s="5" t="str">
        <f ca="1">VLOOKUP(Q47,$AG$46:$AI$49,3,0)</f>
        <v>Turquía</v>
      </c>
      <c r="S47" s="4">
        <f ca="1">VLOOKUP(R47,$AI$46:$AR$49,2,FALSE)</f>
        <v>6</v>
      </c>
      <c r="T47" s="4">
        <f ca="1">VLOOKUP($R47,$AI$46:$AR$49,3,FALSE)</f>
        <v>3</v>
      </c>
      <c r="U47" s="4">
        <f ca="1">VLOOKUP($R47,$AI$46:$AR$49,4,FALSE)</f>
        <v>2</v>
      </c>
      <c r="V47" s="4">
        <f ca="1">VLOOKUP($R47,$AI$46:$AR$49,5,FALSE)</f>
        <v>0</v>
      </c>
      <c r="W47" s="4">
        <f ca="1">VLOOKUP($R47,$AI$46:$AR$49,6,FALSE)</f>
        <v>1</v>
      </c>
      <c r="X47" s="4">
        <f ca="1">VLOOKUP($R47,$AI$46:$AR$49,7,FALSE)</f>
        <v>6</v>
      </c>
      <c r="Y47" s="4">
        <f ca="1">VLOOKUP($R47,$AI$46:$AR$49,8,FALSE)</f>
        <v>3</v>
      </c>
      <c r="Z47" s="340">
        <f ca="1">VLOOKUP($R47,$AI$46:$AR$49,9,FALSE)</f>
        <v>3</v>
      </c>
      <c r="AA47" s="86">
        <f ca="1">IF(SUM($AK$46:$AK$49)=12,MIN(ABS(BY46-BY47),ABS(BY47-BY48)),100)</f>
        <v>416625030499.97998</v>
      </c>
      <c r="AB47" s="109" t="str">
        <f ca="1">IF(AND(AA47&gt;=0,AA47&lt;90),VLOOKUP(Q47,$BU$46:$BV$49,2,0),"")</f>
        <v/>
      </c>
      <c r="AC47" s="85"/>
      <c r="AD47" s="86"/>
      <c r="AE47" s="83"/>
      <c r="AF47" s="427"/>
      <c r="AG47" s="426">
        <f ca="1">RANK(AU47,$AU$46:$AU$49)</f>
        <v>3</v>
      </c>
      <c r="AH47" s="426">
        <f ca="1">RANK(AR47,$AR$46:$AR$49)</f>
        <v>3</v>
      </c>
      <c r="AI47" s="412" t="str">
        <f ca="1">A46</f>
        <v>Georgia</v>
      </c>
      <c r="AJ47" s="426">
        <f ca="1">AL47*3+AM47*1+AN47*0</f>
        <v>1</v>
      </c>
      <c r="AK47" s="426">
        <f ca="1">COUNTIFS($I$4:$I$49,AI47,$K$4:$K$49,"&lt;&gt;",$L$4:$L$49,"&lt;&gt;")+COUNTIFS($N$4:$N$49,AI47,$L$4:$L$49,"&lt;&gt;",$K$4:$K$49,"&lt;&gt;")</f>
        <v>3</v>
      </c>
      <c r="AL47" s="426">
        <f t="array" aca="1" ref="AL47" ca="1">SUM(($I$4:$I$49=AI47)*($K$4:$K$49&lt;&gt;"")*($L$4:$L$49&lt;&gt;"")*($K$4:$K$49&gt;$L$4:$L$49),($N$4:$N$49=AI47)*($K$4:$K$49&lt;&gt;"")*($L$4:$L$49&lt;&gt;"")*($K$4:$K$49&lt;$L$4:$L$49))</f>
        <v>0</v>
      </c>
      <c r="AM47" s="426">
        <f t="array" aca="1" ref="AM47" ca="1">SUM(($I$4:$I$49=AI47)*($K$4:$K$49&lt;&gt;"")*($L$4:$L$49&lt;&gt;"")*($K$4:$K$49=$L$4:$L$49),($N$4:$N$49=AI47)*($K$4:$K$49&lt;&gt;"")*($L$4:$L$49&lt;&gt;"")*($K$4:$K$49=$L$4:$L$49))</f>
        <v>1</v>
      </c>
      <c r="AN47" s="426">
        <f t="array" aca="1" ref="AN47" ca="1">SUM(($I$4:$I$49=AI47)*($L$4:$L$49&lt;&gt;"")*($K$4:$K$49&lt;&gt;"")*($K$4:$K$49&lt;$L$4:$L$49),($K$4:$K$49&lt;&gt;"")*($N$4:$N$49=AI47)*($L$4:$L$49&lt;&gt;"")*($K$4:$K$49&gt;$L$4:$L$49))</f>
        <v>2</v>
      </c>
      <c r="AO47" s="426">
        <f t="array" aca="1" ref="AO47" ca="1">SUMIFS($K$4:$K$49,$I$4:$I$49,AI47,$K$4:$K$49,"&lt;&gt;",$L$4:$L$49,"&lt;&gt;")+SUMIFS($L$4:$L$49,$N$4:$N$49,AI47,$K$4:$K$49,"&lt;&gt;",$L$4:$L$49,"&lt;&gt;")</f>
        <v>2</v>
      </c>
      <c r="AP47" s="426">
        <f t="array" aca="1" ref="AP47" ca="1">SUMIFS($K$4:$K$49,$N$4:$N$49,AI47,$K$4:$K$49,"&lt;&gt;",$L$4:$L$49,"&lt;&gt;")+SUMIFS($L$4:$L$49,$I$4:$I$49,AI47,$K$4:$K$49,"&lt;&gt;",$L$4:$L$49,"&lt;&gt;")</f>
        <v>6</v>
      </c>
      <c r="AQ47" s="426">
        <f ca="1">AO47-AP47</f>
        <v>-4</v>
      </c>
      <c r="AR47" s="426">
        <f ca="1">IF(AK47=0,-($AW$15*VLOOKUP(AI47,Tabla3[[NombreEquipo]:[Rank]],3,FALSE)),AJ47*$AW$5+BA47+AQ47*$AW$12+AO47*$AW$13-($AW$15*VLOOKUP(AI47,Tabla3[[NombreEquipo]:[Rank]],3,FALSE)/100))</f>
        <v>140966560999.78</v>
      </c>
      <c r="AS47" s="426">
        <f ca="1">AH47</f>
        <v>3</v>
      </c>
      <c r="AT47" s="426"/>
      <c r="AU47" s="426">
        <f ca="1">IFERROR(AR47-VLOOKUP(AI47,$AB$46:$AC$49,2,0),AR47)</f>
        <v>140966560999.78</v>
      </c>
      <c r="AV47" s="426"/>
      <c r="AW47" s="429"/>
      <c r="AX47" s="426"/>
      <c r="AY47" s="434" t="str">
        <f ca="1">AI47</f>
        <v>Georgia</v>
      </c>
      <c r="AZ47" s="426">
        <f ca="1">COUNTIF(AJ46:AJ49,AJ47)</f>
        <v>2</v>
      </c>
      <c r="BA47" s="426">
        <f ca="1">(BB47*$AW$8)+(BH47*$AW$7)+(BN47*$AW$6)+(EG47*$AW$11)+(EI47*$AW$10)+(EK47*$AW$9)</f>
        <v>2091600000</v>
      </c>
      <c r="BB47" s="430">
        <f ca="1">RANK(BC47,BC46:BC49,1)</f>
        <v>3</v>
      </c>
      <c r="BC47" s="430">
        <f ca="1">SUM(IF(AND(AJ47=AJ48),BF47,0),IF(AND(AJ47=AJ49),BG47,0),IF(AND(AJ47=AJ46),BD47,0))</f>
        <v>1</v>
      </c>
      <c r="BD47" s="430">
        <f t="array" aca="1" ref="BD47" ca="1">SUMIFS($K$44:$K$49,$I$44:$I$49,$AY47,$K$44:$K$49,"&lt;&gt;",$L$44:$L$49,"&lt;&gt;",$N$44:$N$49,BD45)+SUMIFS($L$44:$L$49,$I$44:$I$49,BD45,$K$44:$K$49,"&lt;&gt;",$L$44:$L$49,"&lt;&gt;",$N$44:$N$49,$AY47)</f>
        <v>1</v>
      </c>
      <c r="BE47" s="430">
        <v>0</v>
      </c>
      <c r="BF47" s="430">
        <f t="array" aca="1" ref="BF47" ca="1">SUMIFS($K$44:$K$49,$I$44:$I$49,$AY47,$K$44:$K$49,"&lt;&gt;",$L$44:$L$49,"&lt;&gt;",$N$44:$N$49,BF45)+SUMIFS($L$44:$L$49,$I$44:$I$49,BF45,$K$44:$K$49,"&lt;&gt;",$L$44:$L$49,"&lt;&gt;",$N$44:$N$49,$AY47)</f>
        <v>0</v>
      </c>
      <c r="BG47" s="430">
        <f t="array" aca="1" ref="BG47" ca="1">SUMIFS($K$44:$K$49,$I$44:$I$49,$AY47,$K$44:$K$49,"&lt;&gt;",$L$44:$L$49,"&lt;&gt;",$N$44:$N$49,BG45)+SUMIFS($L$44:$L$49,$I$44:$I$49,BG45,$K$44:$K$49,"&lt;&gt;",$L$44:$L$49,"&lt;&gt;",$N$44:$N$49,$AY47)</f>
        <v>1</v>
      </c>
      <c r="BH47" s="430">
        <f ca="1">RANK(BI47,BI46:BI49,1)</f>
        <v>1</v>
      </c>
      <c r="BI47" s="430">
        <f ca="1">SUM(IF(AND(AJ47=AJ48),BL47,0),IF(AND(AJ47=AJ49),BM47,0),IF(AND(AJ47=AJ46),BJ47,0))</f>
        <v>0</v>
      </c>
      <c r="BJ47" s="430">
        <f ca="1">BD47-BE46</f>
        <v>-2</v>
      </c>
      <c r="BK47" s="430">
        <v>0</v>
      </c>
      <c r="BL47" s="430">
        <f ca="1">BF47-BE48</f>
        <v>-2</v>
      </c>
      <c r="BM47" s="430">
        <f ca="1">BG47-BE49</f>
        <v>0</v>
      </c>
      <c r="BN47" s="430">
        <f ca="1">RANK(BO47,BO46:BO49,1)</f>
        <v>3</v>
      </c>
      <c r="BO47" s="430">
        <f ca="1">SUM(IF(AND(AJ47=AJ48),BR47,0),IF(AND(AJ47=AJ49),BS47,0),IF(AND(AJ47=AJ46),BP47,0))</f>
        <v>1</v>
      </c>
      <c r="BP47" s="430">
        <f t="array" aca="1" ref="BP47" ca="1">SUM((I$4:I$49=AY47)*(N$4:N$49=BP45)*(K$4:K$49&lt;&gt;"")*(L$4:L$49&lt;&gt;"")*(K$4:K$49&gt;L$4:L$49)*3,(N$4:N$49=AY47)*(I$4:I$49=BP45)*(K$4:K$49&lt;&gt;"")*(L$4:L$49&lt;&gt;"")*(K$4:K$49=L$4:L$49)*1,(N$4:N$49=AY47)*(I$4:I$49=BP45)*(K$4:K$49&lt;&gt;"")*(L$4:L$49&lt;&gt;"")*(K$4:K$49&lt;L$4:L$49)*3,(I$4:I$49=AY47)*(N$4:N$49=BP45)*(K$4:K$49&lt;&gt;"")*(L$4:L$49&lt;&gt;"")*(K$4:K$49=L$4:L$49)*1)</f>
        <v>0</v>
      </c>
      <c r="BQ47" s="430">
        <v>0</v>
      </c>
      <c r="BR47" s="430">
        <f t="array" aca="1" ref="BR47" ca="1">SUM((I$4:I$49=AY47)*(N$4:N$49=BR45)*(K$4:K$49&lt;&gt;"")*(L$4:L$49&lt;&gt;"")*(K$4:K$49&gt;L$4:L$49)*3,(N$4:N$49=AY47)*(I$4:I$49=BR45)*(K$4:K$49&lt;&gt;"")*(L$4:L$49&lt;&gt;"")*(K$4:K$49=L$4:L$49)*1,(N$4:N$49=AY47)*(I$4:I$49=BR45)*(K$4:K$49&lt;&gt;"")*(L$4:L$49&lt;&gt;"")*(K$4:K$49&lt;L$4:L$49)*3,(I$4:I$49=AY47)*(N$4:N$49=BR45)*(K$4:K$49&lt;&gt;"")*(L$4:L$49&lt;&gt;"")*(K$4:K$49=L$4:L$49)*1)</f>
        <v>0</v>
      </c>
      <c r="BS47" s="430">
        <f t="array" aca="1" ref="BS47" ca="1">SUM((I$4:I$49=AY47)*(N$4:N$49=BS45)*(K$4:K$49&lt;&gt;"")*(L$4:L$49&lt;&gt;"")*(K$4:K$49&gt;L$4:L$49)*3,(N$4:N$49=AY47)*(I$4:I$49=BS45)*(K$4:K$49&lt;&gt;"")*(L$4:L$49&lt;&gt;"")*(K$4:K$49=L$4:L$49)*1,(N$4:N$49=AY47)*(I$4:I$49=BS45)*(K$4:K$49&lt;&gt;"")*(L$4:L$49&lt;&gt;"")*(K$4:K$49&lt;L$4:L$49)*3,(I$4:I$49=AY47)*(N$4:N$49=BS45)*(K$4:K$49&lt;&gt;"")*(L$4:L$49&lt;&gt;"")*(K$4:K$49=L$4:L$49)*1)</f>
        <v>1</v>
      </c>
      <c r="BT47" s="412">
        <v>2</v>
      </c>
      <c r="BU47" s="412">
        <f ca="1">RANK(BW47,$BW$46:$BW$49)</f>
        <v>3</v>
      </c>
      <c r="BV47" s="412" t="str">
        <f ca="1">A46</f>
        <v>Georgia</v>
      </c>
      <c r="BW47" s="412">
        <f ca="1">IF(AK47=0,-($AW$15*VLOOKUP(AI47,Tabla3[[NombreEquipo]:[Rank]],3,FALSE)),AJ47*$AW$5+BA47+AQ47*$AW$12+AO47*$AW$13-($AW$15*VLOOKUP(AI47,Tabla3[[NombreEquipo]:[Rank]],3,FALSE)/100))</f>
        <v>140966560999.78</v>
      </c>
      <c r="BX47" s="412" t="str">
        <f ca="1">VLOOKUP(Q47,$AH$46:$AI$49,2,0)</f>
        <v>Turquía</v>
      </c>
      <c r="BY47" s="412">
        <f ca="1">VLOOKUP($BX47,$AI$46:$AR$49,10,FALSE)</f>
        <v>834031232999.79004</v>
      </c>
      <c r="CC47" s="426">
        <f t="shared" ref="CC47:CC49" ca="1" si="45">RANK(CE47,$CE$46:$CE$49)</f>
        <v>3</v>
      </c>
      <c r="CD47" s="426" t="str">
        <f ca="1">A46</f>
        <v>Georgia</v>
      </c>
      <c r="CE47" s="426">
        <f ca="1">IF(AK47=0,-($AW$15*VLOOKUP(AI47,Tabla3[[NombreEquipo]:[Rank]],3,FALSE)),AJ47*$AW$5+BA47+AQ47*$AW$12+AO47*$AW$13-($AW$15*VLOOKUP(AI47,Tabla3[[NombreEquipo]:[Rank]],3,FALSE)/100))</f>
        <v>140966560999.78</v>
      </c>
      <c r="CF47" s="426">
        <f ca="1">IF(AK47=0,-($AW$15*VLOOKUP(AI47,Tabla3[[NombreEquipo]:[Rank]],3,FALSE)),AJ47*$AW$5+BA47+AQ47*$AW$12+AO47*$AW$13)</f>
        <v>140966561000</v>
      </c>
      <c r="CG47" s="426">
        <v>2</v>
      </c>
      <c r="CH47" s="426" t="str">
        <f t="shared" ref="CH47:CH49" ca="1" si="46">VLOOKUP(CG47,$CC$46:$CD$49,2,0)</f>
        <v>Turquía</v>
      </c>
      <c r="CI47" s="426">
        <f t="shared" ref="CI47:CI49" ca="1" si="47">VLOOKUP(CG47,$CC$46:$CF$49,4,0)</f>
        <v>834031233000</v>
      </c>
      <c r="CJ47" s="426">
        <f t="shared" ref="CJ47:CJ49" ca="1" si="48">COUNTIF($CI$46:$CI$49,CI47)</f>
        <v>1</v>
      </c>
      <c r="CM47" s="426">
        <v>2</v>
      </c>
      <c r="CN47" s="426">
        <f ca="1">HLOOKUP(CL46,$CW$4:$DD$9,4,0)</f>
        <v>2</v>
      </c>
      <c r="DA47" s="412"/>
      <c r="DB47" s="412"/>
      <c r="DC47" s="412"/>
      <c r="DD47" s="412"/>
      <c r="DE47" s="412"/>
      <c r="DF47" s="412"/>
      <c r="DG47" s="412"/>
      <c r="DH47" s="412"/>
      <c r="DI47" s="412"/>
      <c r="DJ47" s="412"/>
      <c r="EG47" s="430">
        <f ca="1">RANK(EH47,EH46:EH49,1)</f>
        <v>3</v>
      </c>
      <c r="EH47" s="426">
        <f ca="1">SUM(IF(AND(AJ47=AJ48,BC47=BC48,BI47=BI48,BO47=BO48),BF47,0),IF(AND(AJ47=AJ49,BC47=BC49,BI47=BI49,BO47=BO49),BG47,0),IF(AND(AJ47=AJ46,BC47=BC46,BI47=BI46,BO47=BO46),BD47,0))</f>
        <v>1</v>
      </c>
      <c r="EI47" s="430">
        <f ca="1">RANK(EJ47,EJ46:EJ49,1)</f>
        <v>1</v>
      </c>
      <c r="EJ47" s="426">
        <f ca="1">SUM(IF(AND(AJ47=AJ48,BC47=BC48,BI47=BI48,BO47=BO48),BL47,0),IF(AND(AJ47=AJ49,BC47=BC49,BI47=BI49,BO47=BO49),BM47,0),IF(AND(AJ47=AJ46,BC47=BC46,BI47=BI46,BO47=BO46),BJ47,0))</f>
        <v>0</v>
      </c>
      <c r="EK47" s="430">
        <f ca="1">RANK(EL47,EL46:EL49,1)</f>
        <v>3</v>
      </c>
      <c r="EL47" s="426">
        <f ca="1">SUM(IF(AND(AJ47=AJ48,BC47=BC48,BI47=BI48,BO47=BO48),BR47,0),IF(AND(AJ47=AJ49,BC47=BC49,BI47=BI49,BO47=BO49),BS47,0),IF(AND(AJ47=AJ46,BC47=BC46,BI47=BI46,BO47=BO46),BP47,0))</f>
        <v>1</v>
      </c>
    </row>
    <row r="48" spans="1:142" x14ac:dyDescent="0.3">
      <c r="A48" s="370" t="str">
        <f t="array" aca="1" ref="A48" ca="1">IF(ROWS(A$45:A48)&lt;=$C$44,INDEX(INDIRECT(A$44),SMALL(IF(Nivell=$B$44,ROW(Nivell)-ROW(Equipos!$C$2)+1),ROWS(B$44:B47))),"")</f>
        <v>República Checa</v>
      </c>
      <c r="B48" s="371"/>
      <c r="C48" s="189"/>
      <c r="D48" s="170"/>
      <c r="E48" s="765"/>
      <c r="F48" s="281">
        <f>Horarios!C48</f>
        <v>45469.875</v>
      </c>
      <c r="G48" s="282">
        <f>Horarios!C48</f>
        <v>45469.875</v>
      </c>
      <c r="H48" s="281" t="str">
        <f>$H$8</f>
        <v>J3</v>
      </c>
      <c r="I48" s="283" t="str">
        <f ca="1">A46</f>
        <v>Georgia</v>
      </c>
      <c r="J48" s="284" t="str">
        <f ca="1">VLOOKUP(I48,Equipos!$K$2:$M$56,3,0)</f>
        <v>🇬🇪</v>
      </c>
      <c r="K48" s="285">
        <v>0</v>
      </c>
      <c r="L48" s="285">
        <v>2</v>
      </c>
      <c r="M48" s="286" t="str">
        <f ca="1">VLOOKUP(N48,Equipos!$K$2:$M$56,3,0)</f>
        <v>🇵🇹</v>
      </c>
      <c r="N48" s="294" t="str">
        <f ca="1">A47</f>
        <v>Portugal</v>
      </c>
      <c r="O48" s="98">
        <f t="shared" si="42"/>
        <v>1</v>
      </c>
      <c r="P48" s="95"/>
      <c r="Q48" s="339">
        <v>3</v>
      </c>
      <c r="R48" s="5" t="str">
        <f ca="1">VLOOKUP(Q48,$AG$46:$AI$49,3,0)</f>
        <v>Georgia</v>
      </c>
      <c r="S48" s="4">
        <f ca="1">VLOOKUP(R48,$AI$46:$AR$49,2,FALSE)</f>
        <v>1</v>
      </c>
      <c r="T48" s="4">
        <f ca="1">VLOOKUP($R48,$AI$46:$AR$49,3,FALSE)</f>
        <v>3</v>
      </c>
      <c r="U48" s="4">
        <f ca="1">VLOOKUP($R48,$AI$46:$AR$49,4,FALSE)</f>
        <v>0</v>
      </c>
      <c r="V48" s="4">
        <f ca="1">VLOOKUP($R48,$AI$46:$AR$49,5,FALSE)</f>
        <v>1</v>
      </c>
      <c r="W48" s="4">
        <f ca="1">VLOOKUP($R48,$AI$46:$AR$49,6,FALSE)</f>
        <v>2</v>
      </c>
      <c r="X48" s="4">
        <f ca="1">VLOOKUP($R48,$AI$46:$AR$49,7,FALSE)</f>
        <v>2</v>
      </c>
      <c r="Y48" s="4">
        <f ca="1">VLOOKUP($R48,$AI$46:$AR$49,8,FALSE)</f>
        <v>6</v>
      </c>
      <c r="Z48" s="340">
        <f ca="1">VLOOKUP($R48,$AI$46:$AR$49,9,FALSE)</f>
        <v>-4</v>
      </c>
      <c r="AA48" s="86">
        <f ca="1">IF(SUM($AK$46:$AK$49)=12,MIN(ABS(BY47-BY48),ABS(BY48-BY49)),100)</f>
        <v>10500.019989013672</v>
      </c>
      <c r="AB48" s="109" t="str">
        <f ca="1">IF(AND(AA48&gt;=0,AA48&lt;90),VLOOKUP(Q48,$BU$46:$BV$49,2,0),"")</f>
        <v/>
      </c>
      <c r="AC48" s="85"/>
      <c r="AD48" s="86"/>
      <c r="AE48" s="83"/>
      <c r="AF48" s="427"/>
      <c r="AG48" s="426">
        <f ca="1">RANK(AU48,$AU$46:$AU$49)</f>
        <v>1</v>
      </c>
      <c r="AH48" s="426">
        <f ca="1">RANK(AR48,$AR$46:$AR$49)</f>
        <v>1</v>
      </c>
      <c r="AI48" s="412" t="str">
        <f ca="1">A47</f>
        <v>Portugal</v>
      </c>
      <c r="AJ48" s="426">
        <f ca="1">AL48*3+AM48*1+AN48*0</f>
        <v>9</v>
      </c>
      <c r="AK48" s="426">
        <f ca="1">COUNTIFS($I$4:$I$49,AI48,$K$4:$K$49,"&lt;&gt;",$L$4:$L$49,"&lt;&gt;")+COUNTIFS($N$4:$N$49,AI48,$L$4:$L$49,"&lt;&gt;",$K$4:$K$49,"&lt;&gt;")</f>
        <v>3</v>
      </c>
      <c r="AL48" s="426">
        <f t="array" aca="1" ref="AL48" ca="1">SUM(($I$4:$I$49=AI48)*($K$4:$K$49&lt;&gt;"")*($L$4:$L$49&lt;&gt;"")*($K$4:$K$49&gt;$L$4:$L$49),($N$4:$N$49=AI48)*($K$4:$K$49&lt;&gt;"")*($L$4:$L$49&lt;&gt;"")*($K$4:$K$49&lt;$L$4:$L$49))</f>
        <v>3</v>
      </c>
      <c r="AM48" s="426">
        <f t="array" aca="1" ref="AM48" ca="1">SUM(($I$4:$I$49=AI48)*($K$4:$K$49&lt;&gt;"")*($L$4:$L$49&lt;&gt;"")*($K$4:$K$49=$L$4:$L$49),($N$4:$N$49=AI48)*($K$4:$K$49&lt;&gt;"")*($L$4:$L$49&lt;&gt;"")*($K$4:$K$49=$L$4:$L$49))</f>
        <v>0</v>
      </c>
      <c r="AN48" s="426">
        <f t="array" aca="1" ref="AN48" ca="1">SUM(($I$4:$I$49=AI48)*($L$4:$L$49&lt;&gt;"")*($K$4:$K$49&lt;&gt;"")*($K$4:$K$49&lt;$L$4:$L$49),($K$4:$K$49&lt;&gt;"")*($N$4:$N$49=AI48)*($L$4:$L$49&lt;&gt;"")*($K$4:$K$49&gt;$L$4:$L$49))</f>
        <v>0</v>
      </c>
      <c r="AO48" s="426">
        <f t="array" aca="1" ref="AO48" ca="1">SUMIFS($K$4:$K$49,$I$4:$I$49,AI48,$K$4:$K$49,"&lt;&gt;",$L$4:$L$49,"&lt;&gt;")+SUMIFS($L$4:$L$49,$N$4:$N$49,AI48,$K$4:$K$49,"&lt;&gt;",$L$4:$L$49,"&lt;&gt;")</f>
        <v>7</v>
      </c>
      <c r="AP48" s="426">
        <f t="array" aca="1" ref="AP48" ca="1">SUMIFS($K$4:$K$49,$N$4:$N$49,AI48,$K$4:$K$49,"&lt;&gt;",$L$4:$L$49,"&lt;&gt;")+SUMIFS($L$4:$L$49,$I$4:$I$49,AI48,$K$4:$K$49,"&lt;&gt;",$L$4:$L$49,"&lt;&gt;")</f>
        <v>1</v>
      </c>
      <c r="AQ48" s="426">
        <f ca="1">AO48-AP48</f>
        <v>6</v>
      </c>
      <c r="AR48" s="426">
        <f ca="1">IF(AK48=0,-($AW$15*VLOOKUP(AI48,Tabla3[[NombreEquipo]:[Rank]],3,FALSE)),AJ48*$AW$5+BA48+AQ48*$AW$12+AO48*$AW$13-($AW$15*VLOOKUP(AI48,Tabla3[[NombreEquipo]:[Rank]],3,FALSE)/100))</f>
        <v>1250656263499.77</v>
      </c>
      <c r="AS48" s="426">
        <f ca="1">AH48</f>
        <v>1</v>
      </c>
      <c r="AT48" s="426"/>
      <c r="AU48" s="426">
        <f ca="1">IFERROR(AR48-VLOOKUP(AI48,$AB$46:$AC$49,2,0),AR48)</f>
        <v>1250656263499.77</v>
      </c>
      <c r="AV48" s="426"/>
      <c r="AW48" s="429"/>
      <c r="AX48" s="426"/>
      <c r="AY48" s="434" t="str">
        <f ca="1">AI48</f>
        <v>Portugal</v>
      </c>
      <c r="AZ48" s="426">
        <f ca="1">COUNTIF(AJ46:AJ49,AJ48)</f>
        <v>1</v>
      </c>
      <c r="BA48" s="426">
        <f ca="1">(BB48*$AW$8)+(BH48*$AW$7)+(BN48*$AW$6)+(EG48*$AW$11)+(EI48*$AW$10)+(EK48*$AW$9)</f>
        <v>781200000</v>
      </c>
      <c r="BB48" s="430">
        <f ca="1">RANK(BC48,BC46:BC49,1)</f>
        <v>1</v>
      </c>
      <c r="BC48" s="430">
        <f ca="1">SUM(IF(AND(AJ48=AJ49),BG48,0),IF(AND(AJ48=AJ46),BD48,0),IF(AND(AJ48=AJ47),BE48,0))</f>
        <v>0</v>
      </c>
      <c r="BD48" s="430">
        <f t="array" aca="1" ref="BD48" ca="1">SUMIFS($K$44:$K$49,$I$44:$I$49,$AY48,$K$44:$K$49,"&lt;&gt;",$L$44:$L$49,"&lt;&gt;",$N$44:$N$49,BD45)+SUMIFS($L$44:$L$49,$I$44:$I$49,BD45,$K$44:$K$49,"&lt;&gt;",$L$44:$L$49,"&lt;&gt;",$N$44:$N$49,$AY48)</f>
        <v>2</v>
      </c>
      <c r="BE48" s="430">
        <f t="array" aca="1" ref="BE48" ca="1">SUMIFS($K$44:$K$49,$I$44:$I$49,$AY48,$K$44:$K$49,"&lt;&gt;",$L$44:$L$49,"&lt;&gt;",$N$44:$N$49,BE45)+SUMIFS($L$44:$L$49,$I$44:$I$49,BE45,$K$44:$K$49,"&lt;&gt;",$L$44:$L$49,"&lt;&gt;",$N$44:$N$49,$AY48)</f>
        <v>2</v>
      </c>
      <c r="BF48" s="430">
        <v>0</v>
      </c>
      <c r="BG48" s="430">
        <f t="array" aca="1" ref="BG48" ca="1">SUMIFS($K$44:$K$49,$I$44:$I$49,$AY48,$K$44:$K$49,"&lt;&gt;",$L$44:$L$49,"&lt;&gt;",$N$44:$N$49,BG45)+SUMIFS($L$44:$L$49,$I$44:$I$49,BG45,$K$44:$K$49,"&lt;&gt;",$L$44:$L$49,"&lt;&gt;",$N$44:$N$49,$AY48)</f>
        <v>3</v>
      </c>
      <c r="BH48" s="430">
        <f ca="1">RANK(BI48,BI46:BI49,1)</f>
        <v>1</v>
      </c>
      <c r="BI48" s="430">
        <f ca="1">SUM(IF(AND(AJ48=AJ49),BM48,0),IF(AND(AJ48=AJ46),BJ48,0),IF(AND(AJ48=AJ47),BK48,0))</f>
        <v>0</v>
      </c>
      <c r="BJ48" s="430">
        <f ca="1">BD48-BF46</f>
        <v>1</v>
      </c>
      <c r="BK48" s="430">
        <f ca="1">BE48-BF47</f>
        <v>2</v>
      </c>
      <c r="BL48" s="430">
        <v>0</v>
      </c>
      <c r="BM48" s="430">
        <f ca="1">BG48-BF49</f>
        <v>3</v>
      </c>
      <c r="BN48" s="430">
        <f ca="1">RANK(BO48,BO46:BO49,1)</f>
        <v>1</v>
      </c>
      <c r="BO48" s="430">
        <f ca="1">SUM(IF(AND(AJ48=AJ49),BS48,0),IF(AND(AJ48=AJ46),BP48,0),IF(AND(AJ48=AJ47),BQ48,0))</f>
        <v>0</v>
      </c>
      <c r="BP48" s="430">
        <f t="array" aca="1" ref="BP48" ca="1">SUM((I$4:I$49=AY48)*(N$4:N$49=BP45)*(K$4:K$49&lt;&gt;"")*(L$4:L$49&lt;&gt;"")*(K$4:K$49&gt;L$4:L$49)*3,(N$4:N$49=AY48)*(I$4:I$49=BP45)*(K$4:K$49&lt;&gt;"")*(L$4:L$49&lt;&gt;"")*(K$4:K$49=L$4:L$49)*1,(N$4:N$49=AY48)*(I$4:I$49=BP45)*(K$4:K$49&lt;&gt;"")*(L$4:L$49&lt;&gt;"")*(K$4:K$49&lt;L$4:L$49)*3,(I$4:I$49=AY48)*(N$4:N$49=BP45)*(K$4:K$49&lt;&gt;"")*(L$4:L$49&lt;&gt;"")*(K$4:K$49=L$4:L$49)*1)</f>
        <v>3</v>
      </c>
      <c r="BQ48" s="430">
        <f t="array" aca="1" ref="BQ48" ca="1">SUM((I$4:I$49=AY48)*(N$4:N$49=BQ45)*(K$4:K$49&lt;&gt;"")*(L$4:L$49&lt;&gt;"")*(K$4:K$49&gt;L$4:L$49)*3,(N$4:N$49=AY48)*(I$4:I$49=BQ45)*(K$4:K$49&lt;&gt;"")*(L$4:L$49&lt;&gt;"")*(K$4:K$49=L$4:L$49)*1,(N$4:N$49=AY48)*(I$4:I$49=BQ45)*(K$4:K$49&lt;&gt;"")*(L$4:L$49&lt;&gt;"")*(K$4:K$49&lt;L$4:L$49)*3,(I$4:I$49=AY48)*(N$4:N$49=BQ45)*(K$4:K$49&lt;&gt;"")*(L$4:L$49&lt;&gt;"")*(K$4:K$49=L$4:L$49)*1)</f>
        <v>3</v>
      </c>
      <c r="BR48" s="430">
        <v>0</v>
      </c>
      <c r="BS48" s="430">
        <f t="array" aca="1" ref="BS48" ca="1">SUM((I$4:I$49=AY48)*(N$4:N$49=BS45)*(K$4:K$49&lt;&gt;"")*(L$4:L$49&lt;&gt;"")*(K$4:K$49&gt;L$4:L$49)*3,(N$4:N$49=AY48)*(I$4:I$49=BS45)*(K$4:K$49&lt;&gt;"")*(L$4:L$49&lt;&gt;"")*(K$4:K$49=L$4:L$49)*1,(N$4:N$49=AY48)*(I$4:I$49=BS45)*(K$4:K$49&lt;&gt;"")*(L$4:L$49&lt;&gt;"")*(K$4:K$49&lt;L$4:L$49)*3,(I$4:I$49=AY48)*(N$4:N$49=BS45)*(K$4:K$49&lt;&gt;"")*(L$4:L$49&lt;&gt;"")*(K$4:K$49=L$4:L$49)*1)</f>
        <v>3</v>
      </c>
      <c r="BT48" s="412">
        <v>3</v>
      </c>
      <c r="BU48" s="412">
        <f ca="1">RANK(BW48,$BW$46:$BW$49)</f>
        <v>1</v>
      </c>
      <c r="BV48" s="412" t="str">
        <f ca="1">A47</f>
        <v>Portugal</v>
      </c>
      <c r="BW48" s="412">
        <f ca="1">IF(AK48=0,-($AW$15*VLOOKUP(AI48,Tabla3[[NombreEquipo]:[Rank]],3,FALSE)),AJ48*$AW$5+BA48+AQ48*$AW$12+AO48*$AW$13-($AW$15*VLOOKUP(AI48,Tabla3[[NombreEquipo]:[Rank]],3,FALSE)/100))</f>
        <v>1250656263499.77</v>
      </c>
      <c r="BX48" s="412" t="str">
        <f ca="1">VLOOKUP(Q48,$AH$46:$AI$49,2,0)</f>
        <v>Georgia</v>
      </c>
      <c r="BY48" s="412">
        <f ca="1">VLOOKUP($BX48,$AI$46:$AR$49,10,FALSE)</f>
        <v>140966560999.78</v>
      </c>
      <c r="CC48" s="426">
        <f t="shared" ca="1" si="45"/>
        <v>1</v>
      </c>
      <c r="CD48" s="426" t="str">
        <f ca="1">A47</f>
        <v>Portugal</v>
      </c>
      <c r="CE48" s="426">
        <f ca="1">IF(AK48=0,-($AW$15*VLOOKUP(AI48,Tabla3[[NombreEquipo]:[Rank]],3,FALSE)),AJ48*$AW$5+BA48+AQ48*$AW$12+AO48*$AW$13-($AW$15*VLOOKUP(AI48,Tabla3[[NombreEquipo]:[Rank]],3,FALSE)/100))</f>
        <v>1250656263499.77</v>
      </c>
      <c r="CF48" s="426">
        <f ca="1">IF(AK48=0,-($AW$15*VLOOKUP(AI48,Tabla3[[NombreEquipo]:[Rank]],3,FALSE)),AJ48*$AW$5+BA48+AQ48*$AW$12+AO48*$AW$13)</f>
        <v>1250656263500</v>
      </c>
      <c r="CG48" s="426">
        <v>3</v>
      </c>
      <c r="CH48" s="426" t="str">
        <f t="shared" ca="1" si="46"/>
        <v>Georgia</v>
      </c>
      <c r="CI48" s="426">
        <f t="shared" ca="1" si="47"/>
        <v>140966561000</v>
      </c>
      <c r="CJ48" s="426">
        <f t="shared" ca="1" si="48"/>
        <v>1</v>
      </c>
      <c r="CM48" s="426">
        <v>3</v>
      </c>
      <c r="CN48" s="426">
        <f ca="1">HLOOKUP(CL46,$CW$4:$DD$9,5,0)</f>
        <v>3</v>
      </c>
      <c r="DA48" s="412"/>
      <c r="DB48" s="412"/>
      <c r="DC48" s="412"/>
      <c r="DD48" s="412"/>
      <c r="DE48" s="412"/>
      <c r="DF48" s="412"/>
      <c r="DG48" s="412"/>
      <c r="DH48" s="412"/>
      <c r="DI48" s="412"/>
      <c r="DJ48" s="412"/>
      <c r="EG48" s="430">
        <f ca="1">RANK(EH48,EH46:EH49,1)</f>
        <v>1</v>
      </c>
      <c r="EH48" s="426">
        <f ca="1">SUM(IF(AND(AJ48=AJ49,BC48=BC49,BI48=BI49,BO48=BO49),BG48,0),IF(AND(AJ48=AJ46,BC48=BC46,BI48=BI46,BO48=BO46),BD48,0),IF(AND(AJ48=AJ47,BC48=BC47,BI48=BI47,BO48=BO47),BE48,0))</f>
        <v>0</v>
      </c>
      <c r="EI48" s="430">
        <f ca="1">RANK(EJ48,EJ46:EJ49,1)</f>
        <v>1</v>
      </c>
      <c r="EJ48" s="426">
        <f ca="1">SUM(IF(AND(AJ48=AJ49,BC48=BC49,BI48=BI49,BO48=BO49),BM48,0),IF(AND(AJ48=AJ46,BC48=BC46,BI48=BI46,BO48=BO46),BJ48,0),IF(AND(AJ48=AJ47,BC48=BC47,BI48=BI47,BO48=BO47),BK48,0))</f>
        <v>0</v>
      </c>
      <c r="EK48" s="430">
        <f ca="1">RANK(EL48,EL46:EL49,1)</f>
        <v>1</v>
      </c>
      <c r="EL48" s="426">
        <f ca="1">SUM(IF(AND(AJ48=AJ49,BC48=BC49,BI48=BI49,BO48=BO49),BS48,0),IF(AND(AJ48=AJ46,BC48=BC46,BI48=BI46,BO48=BO46),BP48,0),IF(AND(AJ48=AJ47,BC48=BC47,BI48=BI47,BO48=BO47),BQ48,0))</f>
        <v>0</v>
      </c>
    </row>
    <row r="49" spans="1:2346 10930:10930" ht="15" thickBot="1" x14ac:dyDescent="0.35">
      <c r="A49" s="187"/>
      <c r="B49" s="187"/>
      <c r="C49" s="187"/>
      <c r="D49" s="170"/>
      <c r="E49" s="766"/>
      <c r="F49" s="295">
        <f>Horarios!C49</f>
        <v>45469.875</v>
      </c>
      <c r="G49" s="296">
        <f>Horarios!C49</f>
        <v>45469.875</v>
      </c>
      <c r="H49" s="295" t="str">
        <f>$H$8</f>
        <v>J3</v>
      </c>
      <c r="I49" s="297" t="str">
        <f ca="1">A48</f>
        <v>República Checa</v>
      </c>
      <c r="J49" s="298" t="str">
        <f ca="1">VLOOKUP(I49,Equipos!$K$2:$M$56,3,0)</f>
        <v>🇨🇿</v>
      </c>
      <c r="K49" s="299">
        <v>0</v>
      </c>
      <c r="L49" s="299">
        <v>2</v>
      </c>
      <c r="M49" s="300" t="str">
        <f ca="1">VLOOKUP(N49,Equipos!$K$2:$M$56,3,0)</f>
        <v>🇹🇷</v>
      </c>
      <c r="N49" s="301" t="str">
        <f ca="1">A45</f>
        <v>Turquía</v>
      </c>
      <c r="O49" s="98">
        <f t="shared" si="42"/>
        <v>1</v>
      </c>
      <c r="P49" s="95"/>
      <c r="Q49" s="341">
        <v>4</v>
      </c>
      <c r="R49" s="342" t="str">
        <f ca="1">VLOOKUP(Q49,$AG$46:$AI$49,3,0)</f>
        <v>República Checa</v>
      </c>
      <c r="S49" s="343">
        <f ca="1">VLOOKUP(R49,$AI$46:$AR$49,2,FALSE)</f>
        <v>1</v>
      </c>
      <c r="T49" s="343">
        <f ca="1">VLOOKUP($R49,$AI$46:$AR$49,3,FALSE)</f>
        <v>3</v>
      </c>
      <c r="U49" s="343">
        <f ca="1">VLOOKUP($R49,$AI$46:$AR$49,4,FALSE)</f>
        <v>0</v>
      </c>
      <c r="V49" s="343">
        <f ca="1">VLOOKUP($R49,$AI$46:$AR$49,5,FALSE)</f>
        <v>1</v>
      </c>
      <c r="W49" s="343">
        <f ca="1">VLOOKUP($R49,$AI$46:$AR$49,6,FALSE)</f>
        <v>2</v>
      </c>
      <c r="X49" s="343">
        <f ca="1">VLOOKUP($R49,$AI$46:$AR$49,7,FALSE)</f>
        <v>1</v>
      </c>
      <c r="Y49" s="343">
        <f ca="1">VLOOKUP($R49,$AI$46:$AR$49,8,FALSE)</f>
        <v>6</v>
      </c>
      <c r="Z49" s="344">
        <f ca="1">VLOOKUP($R49,$AI$46:$AR$49,9,FALSE)</f>
        <v>-5</v>
      </c>
      <c r="AA49" s="86">
        <f ca="1">IF(SUM($AK$46:$AK$49)=12,MIN(ABS(BY48-BY49),ABS(BY49-BY50)),100)</f>
        <v>10500.019989013672</v>
      </c>
      <c r="AB49" s="109" t="str">
        <f ca="1">IF(AND(AA49&gt;=0,AA49&lt;90),VLOOKUP(Q49,$BU$46:$BV$49,2,0),"")</f>
        <v/>
      </c>
      <c r="AC49" s="85"/>
      <c r="AD49" s="86"/>
      <c r="AE49" s="83"/>
      <c r="AF49" s="427"/>
      <c r="AG49" s="426">
        <f ca="1">RANK(AU49,$AU$46:$AU$49)</f>
        <v>4</v>
      </c>
      <c r="AH49" s="426">
        <f ca="1">RANK(AR49,$AR$46:$AR$49)</f>
        <v>4</v>
      </c>
      <c r="AI49" s="412" t="str">
        <f ca="1">A48</f>
        <v>República Checa</v>
      </c>
      <c r="AJ49" s="426">
        <f ca="1">AL49*3+AM49*1+AN49*0</f>
        <v>1</v>
      </c>
      <c r="AK49" s="426">
        <f ca="1">COUNTIFS($I$4:$I$49,AI49,$K$4:$K$49,"&lt;&gt;",$L$4:$L$49,"&lt;&gt;")+COUNTIFS($N$4:$N$49,AI49,$L$4:$L$49,"&lt;&gt;",$K$4:$K$49,"&lt;&gt;")</f>
        <v>3</v>
      </c>
      <c r="AL49" s="426">
        <f t="array" aca="1" ref="AL49" ca="1">SUM(($I$4:$I$49=AI49)*($K$4:$K$49&lt;&gt;"")*($L$4:$L$49&lt;&gt;"")*($K$4:$K$49&gt;$L$4:$L$49),($N$4:$N$49=AI49)*($K$4:$K$49&lt;&gt;"")*($L$4:$L$49&lt;&gt;"")*($K$4:$K$49&lt;$L$4:$L$49))</f>
        <v>0</v>
      </c>
      <c r="AM49" s="426">
        <f t="array" aca="1" ref="AM49" ca="1">SUM(($I$4:$I$49=AI49)*($K$4:$K$49&lt;&gt;"")*($L$4:$L$49&lt;&gt;"")*($K$4:$K$49=$L$4:$L$49),($N$4:$N$49=AI49)*($K$4:$K$49&lt;&gt;"")*($L$4:$L$49&lt;&gt;"")*($K$4:$K$49=$L$4:$L$49))</f>
        <v>1</v>
      </c>
      <c r="AN49" s="426">
        <f t="array" aca="1" ref="AN49" ca="1">SUM(($I$4:$I$49=AI49)*($L$4:$L$49&lt;&gt;"")*($K$4:$K$49&lt;&gt;"")*($K$4:$K$49&lt;$L$4:$L$49),($K$4:$K$49&lt;&gt;"")*($N$4:$N$49=AI49)*($L$4:$L$49&lt;&gt;"")*($K$4:$K$49&gt;$L$4:$L$49))</f>
        <v>2</v>
      </c>
      <c r="AO49" s="426">
        <f t="array" aca="1" ref="AO49" ca="1">SUMIFS($K$4:$K$49,$I$4:$I$49,AI49,$K$4:$K$49,"&lt;&gt;",$L$4:$L$49,"&lt;&gt;")+SUMIFS($L$4:$L$49,$N$4:$N$49,AI49,$K$4:$K$49,"&lt;&gt;",$L$4:$L$49,"&lt;&gt;")</f>
        <v>1</v>
      </c>
      <c r="AP49" s="426">
        <f t="array" aca="1" ref="AP49" ca="1">SUMIFS($K$4:$K$49,$N$4:$N$49,AI49,$K$4:$K$49,"&lt;&gt;",$L$4:$L$49,"&lt;&gt;")+SUMIFS($L$4:$L$49,$I$4:$I$49,AI49,$K$4:$K$49,"&lt;&gt;",$L$4:$L$49,"&lt;&gt;")</f>
        <v>6</v>
      </c>
      <c r="AQ49" s="426">
        <f ca="1">AO49-AP49</f>
        <v>-5</v>
      </c>
      <c r="AR49" s="426">
        <f ca="1">IF(AK49=0,-($AW$15*VLOOKUP(AI49,Tabla3[[NombreEquipo]:[Rank]],3,FALSE)),AJ49*$AW$5+BA49+AQ49*$AW$12+AO49*$AW$13-($AW$15*VLOOKUP(AI49,Tabla3[[NombreEquipo]:[Rank]],3,FALSE)/100))</f>
        <v>140966550499.76001</v>
      </c>
      <c r="AS49" s="426">
        <f ca="1">AH49</f>
        <v>4</v>
      </c>
      <c r="AT49" s="426"/>
      <c r="AU49" s="426">
        <f ca="1">IFERROR(AR49-VLOOKUP(AI49,$AB$46:$AC$49,2,0),AR49)</f>
        <v>140966550499.76001</v>
      </c>
      <c r="AV49" s="426"/>
      <c r="AW49" s="429"/>
      <c r="AX49" s="426"/>
      <c r="AY49" s="434" t="str">
        <f ca="1">AI49</f>
        <v>República Checa</v>
      </c>
      <c r="AZ49" s="426">
        <f ca="1">COUNTIF(AJ46:AJ49,AJ49)</f>
        <v>2</v>
      </c>
      <c r="BA49" s="426">
        <f ca="1">(BB49*$AW$8)+(BH49*$AW$7)+(BN49*$AW$6)+(EG49*$AW$11)+(EI49*$AW$10)+(EK49*$AW$9)</f>
        <v>2091600000</v>
      </c>
      <c r="BB49" s="430">
        <f ca="1">RANK(BC49,BC46:BC49,1)</f>
        <v>3</v>
      </c>
      <c r="BC49" s="430">
        <f ca="1">SUM(IF(AND(AJ49=AJ46),BD49,0),IF(AND(AJ49=AJ47),BE49,0),IF(AND(AJ49=AJ48),BF49,0))</f>
        <v>1</v>
      </c>
      <c r="BD49" s="430">
        <f t="array" aca="1" ref="BD49" ca="1">SUMIFS($K$44:$K$49,$I$44:$I$49,$AY49,$K$44:$K$49,"&lt;&gt;",$L$44:$L$49,"&lt;&gt;",$N$44:$N$49,BD45)+SUMIFS($L$44:$L$49,$I$44:$I$49,BD45,$K$44:$K$49,"&lt;&gt;",$L$44:$L$49,"&lt;&gt;",$N$44:$N$49,$AY49)</f>
        <v>0</v>
      </c>
      <c r="BE49" s="430">
        <f t="array" aca="1" ref="BE49" ca="1">SUMIFS($K$44:$K$49,$I$44:$I$49,$AY49,$K$44:$K$49,"&lt;&gt;",$L$44:$L$49,"&lt;&gt;",$N$44:$N$49,BE45)+SUMIFS($L$44:$L$49,$I$44:$I$49,BE45,$K$44:$K$49,"&lt;&gt;",$L$44:$L$49,"&lt;&gt;",$N$44:$N$49,$AY49)</f>
        <v>1</v>
      </c>
      <c r="BF49" s="430">
        <f t="array" aca="1" ref="BF49" ca="1">SUMIFS($K$44:$K$49,$I$44:$I$49,$AY49,$K$44:$K$49,"&lt;&gt;",$L$44:$L$49,"&lt;&gt;",$N$44:$N$49,BF45)+SUMIFS($L$44:$L$49,$I$44:$I$49,BF45,$K$44:$K$49,"&lt;&gt;",$L$44:$L$49,"&lt;&gt;",$N$44:$N$49,$AY49)</f>
        <v>0</v>
      </c>
      <c r="BG49" s="430">
        <v>0</v>
      </c>
      <c r="BH49" s="430">
        <f ca="1">RANK(BI49,BI46:BI49,1)</f>
        <v>1</v>
      </c>
      <c r="BI49" s="430">
        <f ca="1">SUM(IF(AND(AJ49=AJ46),BJ49,0),IF(AND(AJ49=AJ47),BK49,0),IF(AND(AJ49=AJ48),BL49,0))</f>
        <v>0</v>
      </c>
      <c r="BJ49" s="430">
        <f ca="1">BD49-BG46</f>
        <v>-2</v>
      </c>
      <c r="BK49" s="430">
        <f ca="1">BE49-BG47</f>
        <v>0</v>
      </c>
      <c r="BL49" s="430">
        <f ca="1">BF49-BG48</f>
        <v>-3</v>
      </c>
      <c r="BM49" s="430">
        <v>0</v>
      </c>
      <c r="BN49" s="430">
        <f ca="1">RANK(BO49,BO46:BO49,1)</f>
        <v>3</v>
      </c>
      <c r="BO49" s="430">
        <f ca="1">SUM(IF(AND(AJ49=AJ46),BP49,0),IF(AND(AJ49=AJ47),BQ49,0),IF(AND(AJ49=AJ48),BR49,0))</f>
        <v>1</v>
      </c>
      <c r="BP49" s="430">
        <f t="array" aca="1" ref="BP49" ca="1">SUM((I$4:I$49=AY49)*(N$4:N$49=BP45)*(K$4:K$49&lt;&gt;"")*(L$4:L$49&lt;&gt;"")*(K$4:K$49&gt;L$4:L$49)*3,(N$4:N$49=AY49)*(I$4:I$49=BP45)*(K$4:K$49&lt;&gt;"")*(L$4:L$49&lt;&gt;"")*(K$4:K$49=L$4:L$49)*1,(N$4:N$49=AY49)*(I$4:I$49=BP45)*(K$4:K$49&lt;&gt;"")*(L$4:L$49&lt;&gt;"")*(K$4:K$49&lt;L$4:L$49)*3,(I$4:I$49=AY49)*(N$4:N$49=BP45)*(K$4:K$49&lt;&gt;"")*(L$4:L$49&lt;&gt;"")*(K$4:K$49=L$4:L$49)*1)</f>
        <v>0</v>
      </c>
      <c r="BQ49" s="430">
        <f t="array" aca="1" ref="BQ49" ca="1">SUM((I$4:I$49=AY49)*(N$4:N$49=BQ45)*(K$4:K$49&lt;&gt;"")*(L$4:L$49&lt;&gt;"")*(K$4:K$49&gt;L$4:L$49)*3,(N$4:N$49=AY49)*(I$4:I$49=BQ45)*(K$4:K$49&lt;&gt;"")*(L$4:L$49&lt;&gt;"")*(K$4:K$49=L$4:L$49)*1,(N$4:N$49=AY49)*(I$4:I$49=BQ45)*(K$4:K$49&lt;&gt;"")*(L$4:L$49&lt;&gt;"")*(K$4:K$49&lt;L$4:L$49)*3,(I$4:I$49=AY49)*(N$4:N$49=BQ45)*(K$4:K$49&lt;&gt;"")*(L$4:L$49&lt;&gt;"")*(K$4:K$49=L$4:L$49)*1)</f>
        <v>1</v>
      </c>
      <c r="BR49" s="430">
        <f t="array" aca="1" ref="BR49" ca="1">SUM((I$4:I$49=AY49)*(N$4:N$49=BR45)*(K$4:K$49&lt;&gt;"")*(L$4:L$49&lt;&gt;"")*(K$4:K$49&gt;L$4:L$49)*3,(N$4:N$49=AY49)*(I$4:I$49=BR45)*(K$4:K$49&lt;&gt;"")*(L$4:L$49&lt;&gt;"")*(K$4:K$49=L$4:L$49)*1,(N$4:N$49=AY49)*(I$4:I$49=BR45)*(K$4:K$49&lt;&gt;"")*(L$4:L$49&lt;&gt;"")*(K$4:K$49&lt;L$4:L$49)*3,(I$4:I$49=AY49)*(N$4:N$49=BR45)*(K$4:K$49&lt;&gt;"")*(L$4:L$49&lt;&gt;"")*(K$4:K$49=L$4:L$49)*1)</f>
        <v>0</v>
      </c>
      <c r="BS49" s="430">
        <v>0</v>
      </c>
      <c r="BT49" s="412">
        <v>4</v>
      </c>
      <c r="BU49" s="412">
        <f ca="1">RANK(BW49,$BW$46:$BW$49)</f>
        <v>4</v>
      </c>
      <c r="BV49" s="412" t="str">
        <f ca="1">A48</f>
        <v>República Checa</v>
      </c>
      <c r="BW49" s="412">
        <f ca="1">IF(AK49=0,-($AW$15*VLOOKUP(AI49,Tabla3[[NombreEquipo]:[Rank]],3,FALSE)),AJ49*$AW$5+BA49+AQ49*$AW$12+AO49*$AW$13-($AW$15*VLOOKUP(AI49,Tabla3[[NombreEquipo]:[Rank]],3,FALSE)/100))</f>
        <v>140966550499.76001</v>
      </c>
      <c r="BX49" s="412" t="str">
        <f ca="1">VLOOKUP(Q49,$AH$46:$AI$49,2,0)</f>
        <v>República Checa</v>
      </c>
      <c r="BY49" s="412">
        <f ca="1">VLOOKUP($BX49,$AI$46:$AR$49,10,FALSE)</f>
        <v>140966550499.76001</v>
      </c>
      <c r="CC49" s="426">
        <f t="shared" ca="1" si="45"/>
        <v>4</v>
      </c>
      <c r="CD49" s="426" t="str">
        <f ca="1">A48</f>
        <v>República Checa</v>
      </c>
      <c r="CE49" s="426">
        <f ca="1">IF(AK49=0,-($AW$15*VLOOKUP(AI49,Tabla3[[NombreEquipo]:[Rank]],3,FALSE)),AJ49*$AW$5+BA49+AQ49*$AW$12+AO49*$AW$13-($AW$15*VLOOKUP(AI49,Tabla3[[NombreEquipo]:[Rank]],3,FALSE)/100))</f>
        <v>140966550499.76001</v>
      </c>
      <c r="CF49" s="426">
        <f ca="1">IF(AK49=0,-($AW$15*VLOOKUP(AI49,Tabla3[[NombreEquipo]:[Rank]],3,FALSE)),AJ49*$AW$5+BA49+AQ49*$AW$12+AO49*$AW$13)</f>
        <v>140966550500</v>
      </c>
      <c r="CG49" s="426">
        <v>4</v>
      </c>
      <c r="CH49" s="426" t="str">
        <f t="shared" ca="1" si="46"/>
        <v>República Checa</v>
      </c>
      <c r="CI49" s="426">
        <f t="shared" ca="1" si="47"/>
        <v>140966550500</v>
      </c>
      <c r="CJ49" s="426">
        <f t="shared" ca="1" si="48"/>
        <v>1</v>
      </c>
      <c r="CM49" s="426">
        <v>4</v>
      </c>
      <c r="CN49" s="426">
        <f ca="1">HLOOKUP(CL46,$CW$4:$DD$9,6,0)</f>
        <v>4</v>
      </c>
      <c r="EG49" s="430">
        <f ca="1">RANK(EH49,EH46:EH49,1)</f>
        <v>3</v>
      </c>
      <c r="EH49" s="426">
        <f ca="1">SUM(IF(AND(AJ49=AJ46,BC49=BC46,BI49=BI46,BO49=BO46),BD49,0),IF(AND(AJ49=AJ47,BC49=BC47,BI49=BI47,BO49=BO47),BE49,0),IF(AND(AJ49=AJ48,BC49=BC48,BI49=BI48,BO49=BO48),BF49,0))</f>
        <v>1</v>
      </c>
      <c r="EI49" s="430">
        <f ca="1">RANK(EJ49,EJ46:EJ49,1)</f>
        <v>1</v>
      </c>
      <c r="EJ49" s="426">
        <f ca="1">SUM(IF(AND(AJ49=AJ46,BC49=BC46,BI49=BI46,BO49=BO46),BJ49,0),IF(AND(AJ49=AJ47,BC49=BC47,BI49=BI47,BO49=BO47),BK49,0),IF(AND(AJ49=AJ48,BC49=BC48,BI49=BI48,BO49=BO48),BL49,0))</f>
        <v>0</v>
      </c>
      <c r="EK49" s="430">
        <f ca="1">RANK(EL49,EL46:EL49,1)</f>
        <v>3</v>
      </c>
      <c r="EL49" s="426">
        <f ca="1">SUM(IF(AND(AJ49=AJ46,BC49=BC46,BI49=BI46,BO49=BO46),BP49,0),IF(AND(AJ49=AJ47,BC49=BC47,BI49=BI47,BO49=BO47),BQ49,0),IF(AND(AJ49=AJ48,BC49=BC48,BI49=BI48,BO49=BO48),BR49,0))</f>
        <v>1</v>
      </c>
    </row>
    <row r="50" spans="1:2346 10930:10930" x14ac:dyDescent="0.3">
      <c r="A50" s="78"/>
      <c r="B50" s="78"/>
      <c r="C50" s="78"/>
      <c r="D50" s="170"/>
      <c r="E50" s="78"/>
      <c r="F50" s="89"/>
      <c r="G50" s="78"/>
      <c r="H50" s="78"/>
      <c r="I50" s="78"/>
      <c r="J50" s="78"/>
      <c r="K50" s="78"/>
      <c r="L50" s="78"/>
      <c r="M50" s="78"/>
      <c r="N50" s="78"/>
      <c r="O50" s="78"/>
      <c r="P50" s="78"/>
      <c r="Q50" s="78"/>
      <c r="R50" s="78"/>
      <c r="S50" s="78"/>
      <c r="T50" s="78"/>
      <c r="U50" s="78"/>
      <c r="V50" s="78"/>
      <c r="W50" s="78"/>
      <c r="X50" s="78"/>
      <c r="Y50" s="78"/>
      <c r="Z50" s="78"/>
      <c r="AA50" s="78"/>
      <c r="AB50" s="78"/>
      <c r="AC50" s="87"/>
      <c r="AD50" s="86"/>
      <c r="AE50" s="86"/>
      <c r="AF50" s="427"/>
      <c r="AG50" s="426"/>
      <c r="AH50" s="426"/>
      <c r="AJ50" s="426"/>
      <c r="AK50" s="426"/>
      <c r="AL50" s="426"/>
      <c r="AM50" s="426"/>
      <c r="AN50" s="426"/>
      <c r="AO50" s="426"/>
      <c r="AP50" s="426"/>
      <c r="AQ50" s="426"/>
      <c r="AR50" s="426"/>
      <c r="AS50" s="426"/>
      <c r="AT50" s="426"/>
      <c r="AU50" s="426"/>
      <c r="AV50" s="426"/>
      <c r="AW50" s="429"/>
      <c r="AX50" s="426"/>
      <c r="AY50" s="434"/>
      <c r="AZ50" s="426"/>
      <c r="BA50" s="426"/>
      <c r="BB50" s="430"/>
      <c r="BC50" s="430"/>
      <c r="BD50" s="430"/>
      <c r="BE50" s="430"/>
      <c r="BF50" s="430"/>
      <c r="BG50" s="430"/>
      <c r="BH50" s="430"/>
      <c r="BI50" s="430"/>
      <c r="BJ50" s="430"/>
      <c r="BK50" s="430"/>
      <c r="BL50" s="430"/>
      <c r="BM50" s="430"/>
      <c r="BN50" s="430"/>
      <c r="BO50" s="430"/>
      <c r="BP50" s="430"/>
      <c r="BQ50" s="430"/>
      <c r="BR50" s="430"/>
      <c r="BS50" s="430"/>
    </row>
    <row r="51" spans="1:2346 10930:10930" ht="15" customHeight="1" x14ac:dyDescent="0.3">
      <c r="A51" s="187"/>
      <c r="B51" s="187"/>
      <c r="C51" s="187"/>
      <c r="D51" s="189"/>
      <c r="E51" s="90"/>
      <c r="F51" s="92"/>
      <c r="G51" s="90"/>
      <c r="H51" s="95"/>
      <c r="I51" s="94"/>
      <c r="J51" s="95"/>
      <c r="K51" s="78"/>
      <c r="L51" s="78"/>
      <c r="M51" s="88"/>
      <c r="N51" s="97"/>
      <c r="O51" s="95"/>
      <c r="P51" s="95"/>
      <c r="Q51" s="110"/>
      <c r="R51" s="111"/>
      <c r="S51" s="112"/>
      <c r="T51" s="110"/>
      <c r="U51" s="110"/>
      <c r="V51" s="110"/>
      <c r="W51" s="110"/>
      <c r="X51" s="110"/>
      <c r="Y51" s="110"/>
      <c r="Z51" s="110"/>
      <c r="AA51" s="83"/>
      <c r="AB51" s="83"/>
      <c r="AC51" s="83"/>
      <c r="AD51" s="83"/>
      <c r="AE51" s="83"/>
      <c r="AF51" s="427"/>
      <c r="AG51" s="426"/>
      <c r="AH51" s="426"/>
      <c r="AJ51" s="426"/>
      <c r="AK51" s="426"/>
      <c r="AL51" s="426"/>
      <c r="AM51" s="426"/>
      <c r="AN51" s="426"/>
      <c r="AO51" s="426"/>
      <c r="AP51" s="426"/>
      <c r="AQ51" s="426"/>
      <c r="AR51" s="426"/>
      <c r="AS51" s="426"/>
      <c r="AT51" s="426"/>
      <c r="AU51" s="426"/>
      <c r="AV51" s="426"/>
      <c r="AW51" s="429"/>
      <c r="AX51" s="426"/>
      <c r="AY51" s="434"/>
      <c r="AZ51" s="426"/>
      <c r="BA51" s="426"/>
      <c r="BB51" s="430"/>
      <c r="BC51" s="430"/>
      <c r="BD51" s="430"/>
      <c r="BE51" s="430"/>
      <c r="BF51" s="430"/>
      <c r="BG51" s="430"/>
      <c r="BH51" s="430"/>
      <c r="BI51" s="430"/>
      <c r="BJ51" s="430"/>
      <c r="BK51" s="430"/>
      <c r="BL51" s="430"/>
      <c r="BM51" s="430"/>
      <c r="BN51" s="430"/>
      <c r="BO51" s="430"/>
      <c r="BP51" s="430"/>
      <c r="BQ51" s="430"/>
      <c r="BR51" s="430"/>
      <c r="BS51" s="430"/>
    </row>
    <row r="52" spans="1:2346 10930:10930" ht="16.2" thickBot="1" x14ac:dyDescent="0.35">
      <c r="A52" s="187"/>
      <c r="B52" s="187"/>
      <c r="C52" s="187"/>
      <c r="D52" s="189"/>
      <c r="E52" s="113"/>
      <c r="F52" s="114"/>
      <c r="G52" s="114"/>
      <c r="H52" s="115"/>
      <c r="I52" s="115"/>
      <c r="J52" s="115"/>
      <c r="K52" s="115"/>
      <c r="L52" s="115"/>
      <c r="M52" s="115"/>
      <c r="N52" s="115"/>
      <c r="O52" s="88"/>
      <c r="P52" s="407" t="str">
        <f>Idiomas!D22</f>
        <v>¡EMPATE! Puedes seleccionar el orden de los empatados entre los terceros.</v>
      </c>
      <c r="Q52" s="88"/>
      <c r="R52" s="88"/>
      <c r="S52" s="88"/>
      <c r="T52" s="88"/>
      <c r="U52" s="88"/>
      <c r="V52" s="88"/>
      <c r="W52" s="88"/>
      <c r="X52" s="88"/>
      <c r="Y52" s="88"/>
      <c r="Z52" s="88"/>
      <c r="AA52" s="88"/>
      <c r="AB52" s="88"/>
      <c r="AC52" s="83"/>
      <c r="AD52" s="83"/>
      <c r="AE52" s="83"/>
      <c r="AF52" s="427"/>
      <c r="AT52" s="426"/>
      <c r="AU52" s="426"/>
      <c r="AV52" s="426"/>
      <c r="AW52" s="429"/>
      <c r="AX52" s="426"/>
      <c r="AY52" s="426"/>
      <c r="AZ52" s="435"/>
      <c r="BA52" s="430"/>
      <c r="BB52" s="430"/>
      <c r="BC52" s="430"/>
      <c r="BD52" s="430"/>
      <c r="BE52" s="430"/>
      <c r="BF52" s="430"/>
      <c r="BG52" s="430"/>
      <c r="BH52" s="430"/>
      <c r="BI52" s="430"/>
      <c r="BJ52" s="430"/>
      <c r="BK52" s="430"/>
      <c r="BL52" s="430"/>
      <c r="BM52" s="430"/>
      <c r="BN52" s="430"/>
      <c r="BO52" s="430"/>
      <c r="BP52" s="430"/>
      <c r="BQ52" s="430"/>
      <c r="BR52" s="430"/>
      <c r="BS52" s="430"/>
      <c r="CC52" s="412" t="s">
        <v>5</v>
      </c>
      <c r="CD52" s="428" t="str">
        <f>TEXT(CD54,"000000")</f>
        <v>666666</v>
      </c>
      <c r="CE52" s="428" t="str">
        <f t="shared" ref="CE52:DI52" si="49">TEXT(CE54,"000000")</f>
        <v>555551</v>
      </c>
      <c r="CF52" s="428" t="str">
        <f t="shared" si="49"/>
        <v>444422</v>
      </c>
      <c r="CG52" s="428" t="str">
        <f t="shared" si="49"/>
        <v>444411</v>
      </c>
      <c r="CH52" s="428" t="str">
        <f t="shared" si="49"/>
        <v>333333</v>
      </c>
      <c r="CI52" s="428" t="str">
        <f t="shared" si="49"/>
        <v>333221</v>
      </c>
      <c r="CJ52" s="428" t="str">
        <f t="shared" si="49"/>
        <v>333122</v>
      </c>
      <c r="CK52" s="428" t="str">
        <f t="shared" si="49"/>
        <v>333111</v>
      </c>
      <c r="CL52" s="428" t="str">
        <f t="shared" si="49"/>
        <v>224444</v>
      </c>
      <c r="CM52" s="428" t="str">
        <f t="shared" si="49"/>
        <v>223331</v>
      </c>
      <c r="CN52" s="428" t="str">
        <f t="shared" si="49"/>
        <v>222222</v>
      </c>
      <c r="CO52" s="428" t="str">
        <f t="shared" si="49"/>
        <v>222211</v>
      </c>
      <c r="CP52" s="428" t="str">
        <f t="shared" si="49"/>
        <v>221333</v>
      </c>
      <c r="CQ52" s="428" t="str">
        <f t="shared" si="49"/>
        <v>221221</v>
      </c>
      <c r="CR52" s="428" t="str">
        <f t="shared" si="49"/>
        <v>221122</v>
      </c>
      <c r="CS52" s="428" t="str">
        <f t="shared" si="49"/>
        <v>221111</v>
      </c>
      <c r="CT52" s="428" t="str">
        <f t="shared" si="49"/>
        <v>155555</v>
      </c>
      <c r="CU52" s="428" t="str">
        <f t="shared" si="49"/>
        <v>144441</v>
      </c>
      <c r="CV52" s="428" t="str">
        <f t="shared" si="49"/>
        <v>133322</v>
      </c>
      <c r="CW52" s="428" t="str">
        <f t="shared" si="49"/>
        <v>133311</v>
      </c>
      <c r="CX52" s="428" t="str">
        <f t="shared" si="49"/>
        <v>122333</v>
      </c>
      <c r="CY52" s="428" t="str">
        <f t="shared" si="49"/>
        <v>122221</v>
      </c>
      <c r="CZ52" s="428" t="str">
        <f t="shared" si="49"/>
        <v>122122</v>
      </c>
      <c r="DA52" s="428" t="str">
        <f t="shared" si="49"/>
        <v>122111</v>
      </c>
      <c r="DB52" s="428" t="str">
        <f t="shared" si="49"/>
        <v>114444</v>
      </c>
      <c r="DC52" s="428" t="str">
        <f t="shared" si="49"/>
        <v>113331</v>
      </c>
      <c r="DD52" s="428" t="str">
        <f t="shared" si="49"/>
        <v>112222</v>
      </c>
      <c r="DE52" s="428" t="str">
        <f t="shared" si="49"/>
        <v>112211</v>
      </c>
      <c r="DF52" s="428" t="str">
        <f t="shared" si="49"/>
        <v>111333</v>
      </c>
      <c r="DG52" s="428" t="str">
        <f t="shared" si="49"/>
        <v>111221</v>
      </c>
      <c r="DH52" s="428" t="str">
        <f t="shared" si="49"/>
        <v>111122</v>
      </c>
      <c r="DI52" s="428" t="str">
        <f t="shared" si="49"/>
        <v>111111</v>
      </c>
      <c r="DJ52" s="427"/>
      <c r="DK52" s="427"/>
      <c r="DL52" s="412" t="s">
        <v>6</v>
      </c>
      <c r="DM52" s="412" t="s">
        <v>7</v>
      </c>
      <c r="DN52" s="412" t="s">
        <v>8</v>
      </c>
      <c r="DO52" s="412" t="s">
        <v>9</v>
      </c>
      <c r="DP52" s="412" t="s">
        <v>10</v>
      </c>
      <c r="DQ52" s="412" t="s">
        <v>11</v>
      </c>
      <c r="DR52" s="412" t="s">
        <v>12</v>
      </c>
      <c r="DS52" s="412" t="s">
        <v>13</v>
      </c>
      <c r="DT52" s="412" t="s">
        <v>14</v>
      </c>
      <c r="DU52" s="412" t="s">
        <v>15</v>
      </c>
      <c r="DV52" s="412" t="s">
        <v>73</v>
      </c>
      <c r="DW52" s="412" t="s">
        <v>74</v>
      </c>
      <c r="DX52" s="412" t="s">
        <v>75</v>
      </c>
      <c r="DY52" s="412" t="s">
        <v>76</v>
      </c>
      <c r="DZ52" s="412" t="s">
        <v>77</v>
      </c>
      <c r="EA52" s="412" t="s">
        <v>78</v>
      </c>
      <c r="EB52" s="412" t="s">
        <v>79</v>
      </c>
      <c r="EC52" s="412" t="s">
        <v>80</v>
      </c>
      <c r="ED52" s="412" t="s">
        <v>81</v>
      </c>
      <c r="EE52" s="412" t="s">
        <v>82</v>
      </c>
      <c r="EF52" s="412" t="s">
        <v>83</v>
      </c>
      <c r="EG52" s="427"/>
      <c r="EN52" s="426">
        <v>1</v>
      </c>
      <c r="EO52" s="426">
        <v>2</v>
      </c>
      <c r="EP52" s="426">
        <v>3</v>
      </c>
      <c r="EQ52" s="426">
        <v>4</v>
      </c>
      <c r="ER52" s="431">
        <v>5</v>
      </c>
      <c r="ES52" s="427">
        <v>6</v>
      </c>
      <c r="ET52" s="427"/>
      <c r="EU52" s="427"/>
      <c r="EV52" s="427"/>
      <c r="EW52" s="427"/>
      <c r="EX52" s="427"/>
      <c r="EY52" s="427"/>
      <c r="EZ52" s="427"/>
      <c r="FA52" s="427"/>
      <c r="FB52" s="427"/>
      <c r="FC52" s="427"/>
      <c r="FD52" s="427"/>
      <c r="FE52" s="427"/>
      <c r="FF52" s="427"/>
      <c r="FG52" s="427"/>
      <c r="FH52" s="427"/>
      <c r="FI52" s="427"/>
      <c r="FJ52" s="427"/>
      <c r="FK52" s="427"/>
      <c r="FL52" s="427"/>
      <c r="FM52" s="427"/>
      <c r="FN52" s="427"/>
      <c r="FO52" s="427"/>
      <c r="FP52" s="427"/>
      <c r="FQ52" s="427"/>
      <c r="FR52" s="427"/>
      <c r="FS52" s="427"/>
      <c r="FT52" s="427"/>
      <c r="FU52" s="427"/>
      <c r="FV52" s="427"/>
      <c r="FW52" s="427"/>
      <c r="FX52" s="427"/>
      <c r="FY52" s="427"/>
      <c r="FZ52" s="427"/>
      <c r="GA52" s="427"/>
      <c r="GB52" s="427"/>
      <c r="GC52" s="427"/>
      <c r="GD52" s="427"/>
      <c r="GE52" s="427"/>
      <c r="GF52" s="427"/>
      <c r="GG52" s="427"/>
      <c r="GH52" s="427"/>
      <c r="GI52" s="427"/>
      <c r="GJ52" s="427"/>
      <c r="GK52" s="427"/>
      <c r="GL52" s="427"/>
      <c r="GM52" s="427"/>
      <c r="GN52" s="427"/>
      <c r="GO52" s="427"/>
      <c r="GP52" s="427"/>
      <c r="GQ52" s="427"/>
      <c r="GR52" s="427"/>
      <c r="GS52" s="427"/>
      <c r="GT52" s="427"/>
      <c r="GU52" s="427"/>
      <c r="GV52" s="427"/>
      <c r="GW52" s="427"/>
      <c r="GX52" s="427"/>
      <c r="GY52" s="427"/>
      <c r="GZ52" s="427"/>
      <c r="HA52" s="427"/>
      <c r="HB52" s="427"/>
      <c r="HC52" s="427"/>
      <c r="HD52" s="427"/>
      <c r="HE52" s="427"/>
      <c r="HF52" s="427"/>
      <c r="HG52" s="427"/>
      <c r="HH52" s="427"/>
      <c r="HI52" s="427"/>
      <c r="HJ52" s="427"/>
      <c r="HK52" s="427"/>
      <c r="HL52" s="427"/>
      <c r="HM52" s="427"/>
      <c r="HN52" s="427"/>
      <c r="HO52" s="427"/>
      <c r="HP52" s="427"/>
      <c r="HQ52" s="427"/>
      <c r="HR52" s="427"/>
      <c r="HS52" s="427"/>
      <c r="HT52" s="427"/>
      <c r="HU52" s="427"/>
      <c r="HV52" s="427"/>
      <c r="HW52" s="427"/>
      <c r="HX52" s="427"/>
      <c r="HY52" s="427"/>
      <c r="HZ52" s="427"/>
      <c r="IA52" s="427"/>
      <c r="IB52" s="427"/>
      <c r="IC52" s="427"/>
      <c r="ID52" s="427"/>
      <c r="IE52" s="427"/>
      <c r="IF52" s="427"/>
      <c r="IG52" s="427"/>
      <c r="IH52" s="427"/>
      <c r="II52" s="427"/>
      <c r="IJ52" s="427"/>
      <c r="IK52" s="427"/>
      <c r="IL52" s="427"/>
      <c r="IM52" s="427"/>
      <c r="IN52" s="427"/>
      <c r="IO52" s="427"/>
      <c r="IP52" s="427"/>
      <c r="IQ52" s="427"/>
      <c r="IR52" s="427"/>
      <c r="IS52" s="427"/>
      <c r="IT52" s="427"/>
      <c r="IU52" s="427"/>
      <c r="IV52" s="427"/>
      <c r="IW52" s="427"/>
      <c r="IX52" s="427"/>
      <c r="IY52" s="427"/>
      <c r="IZ52" s="427"/>
      <c r="JA52" s="427"/>
      <c r="JB52" s="427"/>
      <c r="JC52" s="427"/>
      <c r="JD52" s="427"/>
      <c r="JE52" s="427"/>
      <c r="JF52" s="427"/>
      <c r="JG52" s="427"/>
      <c r="JH52" s="427"/>
      <c r="JI52" s="427"/>
      <c r="JJ52" s="427"/>
      <c r="JK52" s="427"/>
      <c r="JL52" s="427"/>
      <c r="JM52" s="427"/>
      <c r="JN52" s="427"/>
      <c r="JO52" s="427"/>
      <c r="JP52" s="427"/>
      <c r="JQ52" s="427"/>
      <c r="JR52" s="427"/>
      <c r="JS52" s="427"/>
      <c r="JT52" s="427"/>
      <c r="JU52" s="427"/>
      <c r="JV52" s="427"/>
      <c r="JW52" s="427"/>
      <c r="JX52" s="427"/>
      <c r="JY52" s="427"/>
      <c r="JZ52" s="427"/>
      <c r="KA52" s="427"/>
      <c r="KB52" s="427"/>
      <c r="KC52" s="427"/>
      <c r="KD52" s="427"/>
      <c r="KE52" s="427"/>
      <c r="KF52" s="427"/>
      <c r="KG52" s="427"/>
      <c r="KH52" s="427"/>
      <c r="KI52" s="427"/>
      <c r="KJ52" s="427"/>
      <c r="KK52" s="427"/>
      <c r="KL52" s="427"/>
      <c r="KM52" s="427"/>
      <c r="KN52" s="427"/>
      <c r="KO52" s="427"/>
      <c r="KP52" s="427"/>
      <c r="KQ52" s="427"/>
      <c r="KR52" s="427"/>
      <c r="KS52" s="427"/>
      <c r="KT52" s="427"/>
      <c r="KU52" s="427"/>
      <c r="KV52" s="427"/>
      <c r="KW52" s="427"/>
      <c r="KX52" s="427"/>
      <c r="KY52" s="427"/>
      <c r="KZ52" s="427"/>
      <c r="LA52" s="427"/>
      <c r="LB52" s="427"/>
      <c r="LC52" s="427"/>
      <c r="LD52" s="427"/>
      <c r="LE52" s="427"/>
      <c r="LF52" s="427"/>
      <c r="LG52" s="427"/>
      <c r="LH52" s="427"/>
      <c r="LI52" s="427"/>
      <c r="LJ52" s="427"/>
      <c r="LK52" s="427"/>
      <c r="LL52" s="427"/>
      <c r="LM52" s="427"/>
      <c r="LN52" s="427"/>
      <c r="LO52" s="427"/>
      <c r="LP52" s="427"/>
      <c r="LQ52" s="427"/>
      <c r="LR52" s="427"/>
      <c r="LS52" s="427"/>
      <c r="LT52" s="427"/>
      <c r="LU52" s="427"/>
      <c r="LV52" s="427"/>
      <c r="LW52" s="427"/>
      <c r="LX52" s="427"/>
      <c r="LY52" s="427"/>
      <c r="LZ52" s="427"/>
      <c r="MA52" s="427"/>
      <c r="MB52" s="427"/>
      <c r="MC52" s="427"/>
      <c r="MD52" s="427"/>
      <c r="ME52" s="427"/>
      <c r="MF52" s="427"/>
      <c r="MG52" s="427"/>
      <c r="MH52" s="427"/>
      <c r="MI52" s="427"/>
      <c r="MJ52" s="427"/>
      <c r="MK52" s="427"/>
      <c r="ML52" s="427"/>
      <c r="MM52" s="427"/>
      <c r="MN52" s="427"/>
      <c r="MO52" s="427"/>
      <c r="MP52" s="427"/>
      <c r="MQ52" s="427"/>
      <c r="MR52" s="427"/>
      <c r="MS52" s="427"/>
      <c r="MT52" s="427"/>
      <c r="MU52" s="427"/>
      <c r="MV52" s="427"/>
      <c r="MW52" s="427"/>
      <c r="MX52" s="427"/>
      <c r="MY52" s="427"/>
      <c r="MZ52" s="427"/>
      <c r="NA52" s="427"/>
      <c r="NB52" s="427"/>
      <c r="NC52" s="427"/>
      <c r="ND52" s="427"/>
      <c r="NE52" s="427"/>
      <c r="NF52" s="427"/>
      <c r="NG52" s="427"/>
      <c r="NH52" s="427"/>
      <c r="NI52" s="427"/>
      <c r="NJ52" s="427"/>
      <c r="NK52" s="427"/>
      <c r="NL52" s="427"/>
      <c r="NM52" s="427"/>
      <c r="NN52" s="427"/>
      <c r="NO52" s="427"/>
      <c r="NP52" s="427"/>
      <c r="NQ52" s="427"/>
      <c r="NR52" s="427"/>
      <c r="NS52" s="427"/>
      <c r="NT52" s="427"/>
      <c r="NU52" s="427"/>
      <c r="NV52" s="427"/>
      <c r="NW52" s="427"/>
      <c r="NX52" s="427"/>
      <c r="NY52" s="427"/>
      <c r="NZ52" s="427"/>
      <c r="OA52" s="427"/>
      <c r="OB52" s="427"/>
      <c r="OC52" s="427"/>
      <c r="OD52" s="427"/>
      <c r="OE52" s="427"/>
      <c r="OF52" s="427"/>
      <c r="OG52" s="427"/>
      <c r="OH52" s="427"/>
      <c r="OI52" s="427"/>
      <c r="OJ52" s="427"/>
      <c r="OK52" s="427"/>
      <c r="OL52" s="427"/>
      <c r="OM52" s="427"/>
      <c r="ON52" s="427"/>
      <c r="OO52" s="427"/>
      <c r="OP52" s="427"/>
      <c r="OQ52" s="427"/>
      <c r="OR52" s="427"/>
      <c r="OS52" s="427"/>
      <c r="OT52" s="427"/>
      <c r="OU52" s="427"/>
      <c r="OV52" s="427"/>
      <c r="OW52" s="427"/>
      <c r="OX52" s="427"/>
      <c r="OY52" s="427"/>
      <c r="OZ52" s="427"/>
      <c r="PA52" s="427"/>
      <c r="PB52" s="427"/>
      <c r="PC52" s="427"/>
      <c r="PD52" s="427"/>
      <c r="PE52" s="427"/>
      <c r="PF52" s="427"/>
      <c r="PG52" s="427"/>
      <c r="PH52" s="427"/>
      <c r="PI52" s="427"/>
      <c r="PJ52" s="427"/>
      <c r="PK52" s="427"/>
      <c r="PL52" s="427"/>
      <c r="PM52" s="427"/>
      <c r="PN52" s="427"/>
      <c r="PO52" s="427"/>
      <c r="PP52" s="427"/>
      <c r="PQ52" s="427"/>
      <c r="PR52" s="427"/>
      <c r="PS52" s="427"/>
      <c r="PT52" s="427"/>
      <c r="PU52" s="427"/>
      <c r="PV52" s="427"/>
      <c r="PW52" s="427"/>
      <c r="PX52" s="427"/>
      <c r="PY52" s="427"/>
      <c r="PZ52" s="427"/>
      <c r="QA52" s="427"/>
      <c r="QB52" s="427"/>
      <c r="QC52" s="427"/>
      <c r="QD52" s="427"/>
      <c r="QE52" s="427"/>
      <c r="QF52" s="427"/>
      <c r="QG52" s="427"/>
      <c r="QH52" s="427"/>
      <c r="QI52" s="427"/>
      <c r="QJ52" s="427"/>
      <c r="QK52" s="427"/>
      <c r="QL52" s="427"/>
      <c r="QM52" s="427"/>
      <c r="QN52" s="427"/>
      <c r="QO52" s="427"/>
      <c r="QP52" s="427"/>
      <c r="QQ52" s="427"/>
      <c r="QR52" s="427"/>
      <c r="QS52" s="427"/>
      <c r="QT52" s="427"/>
      <c r="QU52" s="427"/>
      <c r="QV52" s="427"/>
      <c r="QW52" s="427"/>
      <c r="QX52" s="427"/>
      <c r="QY52" s="427"/>
      <c r="QZ52" s="427"/>
      <c r="RA52" s="427"/>
      <c r="RB52" s="427"/>
      <c r="RC52" s="427"/>
      <c r="RD52" s="427"/>
      <c r="RE52" s="427"/>
      <c r="RF52" s="427"/>
      <c r="RG52" s="427"/>
      <c r="RH52" s="427"/>
      <c r="RI52" s="427"/>
      <c r="RJ52" s="427"/>
      <c r="RK52" s="427"/>
      <c r="RL52" s="427"/>
      <c r="RM52" s="427"/>
      <c r="RN52" s="427"/>
      <c r="RO52" s="427"/>
      <c r="RP52" s="427"/>
      <c r="RQ52" s="427"/>
      <c r="RR52" s="427"/>
      <c r="RS52" s="427"/>
      <c r="RT52" s="427"/>
      <c r="RU52" s="427"/>
      <c r="RV52" s="427"/>
      <c r="RW52" s="427"/>
      <c r="RX52" s="427"/>
      <c r="RY52" s="427"/>
      <c r="RZ52" s="427"/>
      <c r="SA52" s="427"/>
      <c r="SB52" s="427"/>
      <c r="SC52" s="427"/>
      <c r="SD52" s="427"/>
      <c r="SE52" s="427"/>
      <c r="SF52" s="427"/>
      <c r="SG52" s="427"/>
      <c r="SH52" s="427"/>
      <c r="SI52" s="427"/>
      <c r="SJ52" s="427"/>
      <c r="SK52" s="427"/>
      <c r="SL52" s="427"/>
      <c r="SM52" s="427"/>
      <c r="SN52" s="427"/>
      <c r="SO52" s="427"/>
      <c r="SP52" s="427"/>
      <c r="SQ52" s="427"/>
      <c r="SR52" s="427"/>
      <c r="SS52" s="427"/>
      <c r="ST52" s="427"/>
      <c r="SU52" s="427"/>
      <c r="SV52" s="427"/>
      <c r="SW52" s="427"/>
      <c r="SX52" s="427"/>
      <c r="SY52" s="427"/>
      <c r="SZ52" s="427"/>
      <c r="TA52" s="427"/>
      <c r="TB52" s="427"/>
      <c r="TC52" s="427"/>
      <c r="TD52" s="427"/>
      <c r="TE52" s="427"/>
      <c r="TF52" s="427"/>
      <c r="TG52" s="427"/>
      <c r="TH52" s="427"/>
      <c r="TI52" s="427"/>
      <c r="TJ52" s="427"/>
      <c r="TK52" s="427"/>
      <c r="TL52" s="427"/>
      <c r="TM52" s="427"/>
      <c r="TN52" s="427"/>
      <c r="TO52" s="427"/>
      <c r="TP52" s="427"/>
      <c r="TQ52" s="427"/>
      <c r="TR52" s="427"/>
      <c r="TS52" s="427"/>
      <c r="TT52" s="427"/>
      <c r="TU52" s="427"/>
      <c r="TV52" s="427"/>
      <c r="TW52" s="427"/>
      <c r="TX52" s="427"/>
      <c r="TY52" s="427"/>
      <c r="TZ52" s="427"/>
      <c r="UA52" s="427"/>
      <c r="UB52" s="427"/>
      <c r="UC52" s="427"/>
      <c r="UD52" s="427"/>
      <c r="UE52" s="427"/>
      <c r="UF52" s="427"/>
      <c r="UG52" s="427"/>
      <c r="UH52" s="427"/>
      <c r="UI52" s="427"/>
      <c r="UJ52" s="427"/>
      <c r="UK52" s="427"/>
      <c r="UL52" s="427"/>
      <c r="UM52" s="427"/>
      <c r="UN52" s="427"/>
      <c r="UO52" s="427"/>
      <c r="UP52" s="427"/>
      <c r="UQ52" s="427"/>
      <c r="UR52" s="427"/>
      <c r="US52" s="427"/>
      <c r="UT52" s="427"/>
      <c r="UU52" s="427"/>
      <c r="UV52" s="427"/>
      <c r="UW52" s="427"/>
      <c r="UX52" s="427"/>
      <c r="UY52" s="427"/>
      <c r="UZ52" s="427"/>
      <c r="VA52" s="427"/>
      <c r="VB52" s="427"/>
      <c r="VC52" s="427"/>
      <c r="VD52" s="427"/>
      <c r="VE52" s="427"/>
      <c r="VF52" s="427"/>
      <c r="VG52" s="427"/>
      <c r="VH52" s="427"/>
      <c r="VI52" s="427"/>
      <c r="VJ52" s="427"/>
      <c r="VK52" s="427"/>
      <c r="VL52" s="427"/>
      <c r="VM52" s="427"/>
      <c r="VN52" s="427"/>
      <c r="VO52" s="427"/>
      <c r="VP52" s="427"/>
      <c r="VQ52" s="427"/>
      <c r="VR52" s="427"/>
      <c r="VS52" s="427"/>
      <c r="VT52" s="427"/>
      <c r="VU52" s="427"/>
      <c r="VV52" s="427"/>
      <c r="VW52" s="427"/>
      <c r="VX52" s="427"/>
      <c r="VY52" s="427"/>
      <c r="VZ52" s="427"/>
      <c r="WA52" s="427"/>
      <c r="WB52" s="427"/>
      <c r="WC52" s="427"/>
      <c r="WD52" s="427"/>
      <c r="WE52" s="427"/>
      <c r="WF52" s="427"/>
      <c r="WG52" s="427"/>
      <c r="WH52" s="427"/>
      <c r="WI52" s="427"/>
      <c r="WJ52" s="427"/>
      <c r="WK52" s="427"/>
      <c r="WL52" s="427"/>
      <c r="WM52" s="427"/>
      <c r="WN52" s="427"/>
      <c r="WO52" s="427"/>
      <c r="WP52" s="427"/>
      <c r="WQ52" s="427"/>
      <c r="WR52" s="427"/>
      <c r="WS52" s="427"/>
      <c r="WT52" s="427"/>
      <c r="WU52" s="427"/>
      <c r="WV52" s="427"/>
      <c r="WW52" s="427"/>
      <c r="WX52" s="427"/>
      <c r="WY52" s="427"/>
      <c r="WZ52" s="427"/>
      <c r="XA52" s="427"/>
      <c r="XB52" s="427"/>
      <c r="XC52" s="427"/>
      <c r="XD52" s="427"/>
      <c r="XE52" s="427"/>
      <c r="XF52" s="427"/>
      <c r="XG52" s="427"/>
      <c r="XH52" s="427"/>
      <c r="XI52" s="427"/>
      <c r="XJ52" s="427"/>
      <c r="XK52" s="427"/>
      <c r="XL52" s="427"/>
      <c r="XM52" s="427"/>
      <c r="XN52" s="427"/>
      <c r="XO52" s="427"/>
      <c r="XP52" s="427"/>
      <c r="XQ52" s="427"/>
      <c r="XR52" s="427"/>
      <c r="XS52" s="427"/>
      <c r="XT52" s="427"/>
      <c r="XU52" s="427"/>
      <c r="XV52" s="427"/>
      <c r="XW52" s="427"/>
      <c r="XX52" s="427"/>
      <c r="XY52" s="427"/>
      <c r="XZ52" s="427"/>
      <c r="YA52" s="427"/>
      <c r="YB52" s="427"/>
      <c r="YC52" s="427"/>
      <c r="YD52" s="427"/>
      <c r="YE52" s="427"/>
      <c r="YF52" s="427"/>
      <c r="YG52" s="427"/>
      <c r="YH52" s="427"/>
      <c r="YI52" s="427"/>
      <c r="YJ52" s="427"/>
      <c r="YK52" s="427"/>
      <c r="YL52" s="427"/>
      <c r="YM52" s="427"/>
      <c r="YN52" s="427"/>
      <c r="YO52" s="427"/>
      <c r="YP52" s="427"/>
      <c r="YQ52" s="427"/>
      <c r="YR52" s="427"/>
      <c r="YS52" s="427"/>
      <c r="YT52" s="427"/>
      <c r="YU52" s="427"/>
      <c r="YV52" s="427"/>
      <c r="YW52" s="427"/>
      <c r="YX52" s="427"/>
      <c r="YY52" s="427"/>
      <c r="YZ52" s="427"/>
      <c r="ZA52" s="427"/>
      <c r="ZB52" s="427"/>
      <c r="ZC52" s="427"/>
      <c r="ZD52" s="427"/>
      <c r="ZE52" s="427"/>
      <c r="ZF52" s="427"/>
      <c r="ZG52" s="427"/>
      <c r="ZH52" s="427"/>
      <c r="ZI52" s="427"/>
      <c r="ZJ52" s="427"/>
      <c r="ZK52" s="427"/>
      <c r="ZL52" s="427"/>
      <c r="ZM52" s="427"/>
      <c r="ZN52" s="427"/>
      <c r="ZO52" s="427"/>
      <c r="ZP52" s="427"/>
      <c r="ZQ52" s="427"/>
      <c r="ZR52" s="427"/>
      <c r="ZS52" s="427"/>
      <c r="ZT52" s="427"/>
      <c r="ZU52" s="427"/>
      <c r="ZV52" s="427"/>
      <c r="ZW52" s="427"/>
      <c r="ZX52" s="427"/>
      <c r="ZY52" s="427"/>
      <c r="ZZ52" s="427"/>
      <c r="AAA52" s="427"/>
      <c r="AAB52" s="427"/>
      <c r="AAC52" s="427"/>
      <c r="AAD52" s="427"/>
      <c r="AAE52" s="427"/>
      <c r="AAF52" s="427"/>
      <c r="AAG52" s="427"/>
      <c r="AAH52" s="427"/>
      <c r="AAI52" s="427"/>
      <c r="AAJ52" s="427"/>
      <c r="AAK52" s="427"/>
      <c r="AAL52" s="427"/>
      <c r="AAM52" s="427"/>
      <c r="AAN52" s="427"/>
      <c r="AAO52" s="427"/>
      <c r="AAP52" s="427"/>
      <c r="AAQ52" s="427"/>
      <c r="AAR52" s="427"/>
      <c r="AAS52" s="427"/>
      <c r="AAT52" s="427"/>
      <c r="AAU52" s="427"/>
      <c r="AAV52" s="427"/>
      <c r="AAW52" s="427"/>
      <c r="AAX52" s="427"/>
      <c r="AAY52" s="427"/>
      <c r="AAZ52" s="427"/>
      <c r="ABA52" s="427"/>
      <c r="ABB52" s="427"/>
      <c r="ABC52" s="427"/>
      <c r="ABD52" s="427"/>
      <c r="ABE52" s="427"/>
      <c r="ABF52" s="427"/>
      <c r="ABG52" s="427"/>
      <c r="ABH52" s="427"/>
      <c r="ABI52" s="427"/>
      <c r="ABJ52" s="427"/>
      <c r="ABK52" s="427"/>
      <c r="ABL52" s="427"/>
      <c r="ABM52" s="427"/>
      <c r="ABN52" s="427"/>
      <c r="ABO52" s="427"/>
      <c r="ABP52" s="427"/>
      <c r="ABQ52" s="427"/>
      <c r="ABR52" s="427"/>
      <c r="ABS52" s="427"/>
      <c r="ABT52" s="427"/>
      <c r="ABU52" s="427"/>
      <c r="ABV52" s="427"/>
      <c r="ABW52" s="427"/>
      <c r="ABX52" s="427"/>
      <c r="ABY52" s="427"/>
      <c r="ABZ52" s="427"/>
      <c r="ACA52" s="427"/>
      <c r="ACB52" s="427"/>
      <c r="ACC52" s="427"/>
      <c r="ACD52" s="427"/>
      <c r="ACE52" s="427"/>
      <c r="ACF52" s="427"/>
      <c r="ACG52" s="427"/>
      <c r="ACH52" s="427"/>
      <c r="ACI52" s="427"/>
      <c r="ACJ52" s="427"/>
      <c r="ACK52" s="427"/>
      <c r="ACL52" s="427"/>
      <c r="ACM52" s="427"/>
      <c r="ACN52" s="427"/>
      <c r="ACO52" s="427"/>
      <c r="ACP52" s="427"/>
      <c r="ACQ52" s="427"/>
      <c r="ACR52" s="427"/>
      <c r="ACS52" s="427"/>
      <c r="ACT52" s="427"/>
      <c r="ACU52" s="427"/>
      <c r="ACV52" s="427"/>
      <c r="ACW52" s="427"/>
      <c r="ACX52" s="427"/>
      <c r="ACY52" s="427"/>
      <c r="ACZ52" s="427"/>
      <c r="ADA52" s="427"/>
      <c r="ADB52" s="427"/>
      <c r="ADC52" s="427"/>
      <c r="ADD52" s="427"/>
      <c r="ADE52" s="427"/>
      <c r="ADF52" s="427"/>
      <c r="ADG52" s="427"/>
      <c r="ADH52" s="427"/>
      <c r="ADI52" s="427"/>
      <c r="ADJ52" s="427"/>
      <c r="ADK52" s="427"/>
      <c r="ADL52" s="427"/>
      <c r="ADM52" s="427"/>
      <c r="ADN52" s="427"/>
      <c r="ADO52" s="427"/>
      <c r="ADP52" s="427"/>
      <c r="ADQ52" s="427"/>
      <c r="ADR52" s="427"/>
      <c r="ADS52" s="427"/>
      <c r="ADT52" s="427"/>
      <c r="ADU52" s="427"/>
      <c r="ADV52" s="427"/>
      <c r="ADW52" s="427"/>
      <c r="ADX52" s="427"/>
      <c r="ADY52" s="427"/>
      <c r="ADZ52" s="427"/>
      <c r="AEA52" s="427"/>
      <c r="AEB52" s="427"/>
      <c r="AEC52" s="427"/>
      <c r="AED52" s="427"/>
      <c r="AEE52" s="427"/>
      <c r="AEF52" s="427"/>
      <c r="AEG52" s="427"/>
      <c r="AEH52" s="427"/>
      <c r="AEI52" s="427"/>
      <c r="AEJ52" s="427"/>
      <c r="AEK52" s="427"/>
      <c r="AEL52" s="427"/>
      <c r="AEM52" s="427"/>
      <c r="AEN52" s="427"/>
      <c r="AEO52" s="427"/>
      <c r="AEP52" s="427"/>
      <c r="AEQ52" s="427"/>
      <c r="AER52" s="427"/>
      <c r="AES52" s="427"/>
      <c r="AET52" s="427"/>
      <c r="AEU52" s="427"/>
      <c r="AEV52" s="427"/>
      <c r="AEW52" s="427"/>
      <c r="AEX52" s="427"/>
      <c r="AEY52" s="427"/>
      <c r="AEZ52" s="427"/>
      <c r="AFA52" s="427"/>
      <c r="AFB52" s="427"/>
      <c r="AFC52" s="427"/>
      <c r="AFD52" s="427"/>
      <c r="AFE52" s="427"/>
      <c r="AFF52" s="427"/>
      <c r="AFG52" s="427"/>
      <c r="AFH52" s="427"/>
      <c r="AFI52" s="427"/>
      <c r="AFJ52" s="427"/>
      <c r="AFK52" s="427"/>
      <c r="AFL52" s="427"/>
      <c r="AFM52" s="427"/>
      <c r="AFN52" s="427"/>
      <c r="AFO52" s="427"/>
      <c r="AFP52" s="427"/>
      <c r="AFQ52" s="427"/>
      <c r="AFR52" s="427"/>
      <c r="AFS52" s="427"/>
      <c r="AFT52" s="427"/>
      <c r="AFU52" s="427"/>
      <c r="AFV52" s="427"/>
      <c r="AFW52" s="427"/>
      <c r="AFX52" s="427"/>
      <c r="AFY52" s="427"/>
      <c r="AFZ52" s="427"/>
      <c r="AGA52" s="427"/>
      <c r="AGB52" s="427"/>
      <c r="AGC52" s="427"/>
      <c r="AGD52" s="427"/>
      <c r="AGE52" s="427"/>
      <c r="AGF52" s="427"/>
      <c r="AGG52" s="427"/>
      <c r="AGH52" s="427"/>
      <c r="AGI52" s="427"/>
      <c r="AGJ52" s="427"/>
      <c r="AGK52" s="427"/>
      <c r="AGL52" s="427"/>
      <c r="AGM52" s="427"/>
      <c r="AGN52" s="427"/>
      <c r="AGO52" s="427"/>
      <c r="AGP52" s="427"/>
      <c r="AGQ52" s="427"/>
      <c r="AGR52" s="427"/>
      <c r="AGS52" s="427"/>
      <c r="AGT52" s="427"/>
      <c r="AGU52" s="427"/>
      <c r="AGV52" s="427"/>
      <c r="AGW52" s="427"/>
      <c r="AGX52" s="427"/>
      <c r="AGY52" s="427"/>
      <c r="AGZ52" s="427"/>
      <c r="AHA52" s="427"/>
      <c r="AHB52" s="427"/>
      <c r="AHC52" s="427"/>
      <c r="AHD52" s="427"/>
      <c r="AHE52" s="427"/>
      <c r="AHF52" s="427"/>
      <c r="AHG52" s="427"/>
      <c r="AHH52" s="427"/>
      <c r="AHI52" s="427"/>
      <c r="AHJ52" s="427"/>
      <c r="AHK52" s="427"/>
      <c r="AHL52" s="427"/>
      <c r="AHM52" s="427"/>
      <c r="AHN52" s="427"/>
      <c r="AHO52" s="427"/>
      <c r="AHP52" s="427"/>
      <c r="AHQ52" s="427"/>
      <c r="AHR52" s="427"/>
      <c r="AHS52" s="427"/>
      <c r="AHT52" s="427"/>
      <c r="AHU52" s="427"/>
      <c r="AHV52" s="427"/>
      <c r="AHW52" s="427"/>
      <c r="AHX52" s="427"/>
      <c r="AHY52" s="427"/>
      <c r="AHZ52" s="427"/>
      <c r="AIA52" s="427"/>
      <c r="AIB52" s="427"/>
      <c r="AIC52" s="427"/>
      <c r="AID52" s="427"/>
      <c r="AIE52" s="427"/>
      <c r="AIF52" s="427"/>
      <c r="AIG52" s="427"/>
      <c r="AIH52" s="427"/>
      <c r="AII52" s="427"/>
      <c r="AIJ52" s="427"/>
      <c r="AIK52" s="427"/>
      <c r="AIL52" s="427"/>
      <c r="AIM52" s="427"/>
      <c r="AIN52" s="427"/>
      <c r="AIO52" s="427"/>
      <c r="AIP52" s="427"/>
      <c r="AIQ52" s="427"/>
      <c r="AIR52" s="427"/>
      <c r="AIS52" s="427"/>
      <c r="AIT52" s="427"/>
      <c r="AIU52" s="427"/>
      <c r="AIV52" s="427"/>
      <c r="AIW52" s="427"/>
      <c r="AIX52" s="427"/>
      <c r="AIY52" s="427"/>
      <c r="AIZ52" s="427"/>
      <c r="AJA52" s="427"/>
      <c r="AJB52" s="427"/>
      <c r="AJC52" s="427"/>
      <c r="AJD52" s="427"/>
      <c r="AJE52" s="427"/>
      <c r="AJF52" s="427"/>
      <c r="AJG52" s="427"/>
      <c r="AJH52" s="427"/>
      <c r="AJI52" s="427"/>
      <c r="AJJ52" s="427"/>
      <c r="AJK52" s="427"/>
      <c r="AJL52" s="427"/>
      <c r="AJM52" s="427"/>
      <c r="AJN52" s="427"/>
      <c r="AJO52" s="427"/>
      <c r="AJP52" s="427"/>
      <c r="AJQ52" s="427"/>
      <c r="AJR52" s="427"/>
      <c r="AJS52" s="427"/>
      <c r="AJT52" s="427"/>
      <c r="AJU52" s="427"/>
      <c r="AJV52" s="427"/>
      <c r="AJW52" s="427"/>
      <c r="AJX52" s="427"/>
      <c r="AJY52" s="427"/>
      <c r="AJZ52" s="427"/>
      <c r="AKA52" s="427"/>
      <c r="AKB52" s="427"/>
      <c r="AKC52" s="427"/>
      <c r="AKD52" s="427"/>
      <c r="AKE52" s="427"/>
      <c r="AKF52" s="427"/>
      <c r="AKG52" s="427"/>
      <c r="AKH52" s="427"/>
      <c r="AKI52" s="427"/>
      <c r="AKJ52" s="427"/>
      <c r="AKK52" s="427"/>
      <c r="AKL52" s="427"/>
      <c r="AKM52" s="427"/>
      <c r="AKN52" s="427"/>
      <c r="AKO52" s="427"/>
      <c r="AKP52" s="427"/>
      <c r="AKQ52" s="427"/>
      <c r="AKR52" s="427"/>
      <c r="AKS52" s="427"/>
      <c r="AKT52" s="427"/>
      <c r="AKU52" s="427"/>
      <c r="AKV52" s="427"/>
      <c r="AKW52" s="427"/>
      <c r="AKX52" s="427"/>
      <c r="AKY52" s="427"/>
      <c r="AKZ52" s="427"/>
      <c r="ALA52" s="427"/>
      <c r="ALB52" s="427"/>
      <c r="ALC52" s="427"/>
      <c r="ALD52" s="427"/>
      <c r="ALE52" s="427"/>
      <c r="ALF52" s="427"/>
      <c r="ALG52" s="427"/>
      <c r="ALH52" s="427"/>
      <c r="ALI52" s="427"/>
      <c r="ALJ52" s="427"/>
      <c r="ALK52" s="427"/>
      <c r="ALL52" s="427"/>
      <c r="ALM52" s="427"/>
      <c r="ALN52" s="427"/>
      <c r="ALO52" s="427"/>
      <c r="ALP52" s="427"/>
      <c r="ALQ52" s="427"/>
      <c r="ALR52" s="427"/>
      <c r="ALS52" s="427"/>
      <c r="ALT52" s="427"/>
      <c r="ALU52" s="427"/>
      <c r="ALV52" s="427"/>
      <c r="ALW52" s="427"/>
      <c r="ALX52" s="427"/>
      <c r="ALY52" s="427"/>
      <c r="ALZ52" s="427"/>
      <c r="AMA52" s="427"/>
      <c r="AMB52" s="427"/>
      <c r="AMC52" s="427"/>
      <c r="AMD52" s="427"/>
      <c r="AME52" s="427"/>
      <c r="AMF52" s="427"/>
      <c r="AMG52" s="427"/>
      <c r="AMH52" s="427"/>
      <c r="AMI52" s="427"/>
      <c r="AMJ52" s="427"/>
      <c r="AMK52" s="427"/>
      <c r="AML52" s="427"/>
      <c r="AMM52" s="427"/>
      <c r="AMN52" s="427"/>
      <c r="AMO52" s="427"/>
      <c r="AMP52" s="427"/>
      <c r="AMQ52" s="427"/>
      <c r="AMR52" s="427"/>
      <c r="AMS52" s="427"/>
      <c r="AMT52" s="427"/>
      <c r="AMU52" s="427"/>
      <c r="AMV52" s="427"/>
      <c r="AMW52" s="427"/>
      <c r="AMX52" s="427"/>
      <c r="AMY52" s="427"/>
      <c r="AMZ52" s="427"/>
      <c r="ANA52" s="427"/>
      <c r="ANB52" s="427"/>
      <c r="ANC52" s="427"/>
      <c r="AND52" s="427"/>
      <c r="ANE52" s="427"/>
      <c r="ANF52" s="427"/>
      <c r="ANG52" s="427"/>
      <c r="ANH52" s="427"/>
      <c r="ANI52" s="427"/>
      <c r="ANJ52" s="427"/>
      <c r="ANK52" s="427"/>
      <c r="ANL52" s="427"/>
      <c r="ANM52" s="427"/>
      <c r="ANN52" s="427"/>
      <c r="ANO52" s="427"/>
      <c r="ANP52" s="427"/>
      <c r="ANQ52" s="427"/>
      <c r="ANR52" s="427"/>
      <c r="ANS52" s="427"/>
      <c r="ANT52" s="427"/>
      <c r="ANU52" s="427"/>
      <c r="ANV52" s="427"/>
      <c r="ANW52" s="427"/>
      <c r="ANX52" s="427"/>
      <c r="ANY52" s="427"/>
      <c r="ANZ52" s="427"/>
      <c r="AOA52" s="427"/>
      <c r="AOB52" s="427"/>
      <c r="AOC52" s="427"/>
      <c r="AOD52" s="427"/>
      <c r="AOE52" s="427"/>
      <c r="AOF52" s="427"/>
      <c r="AOG52" s="427"/>
      <c r="AOH52" s="427"/>
      <c r="AOI52" s="427"/>
      <c r="AOJ52" s="427"/>
      <c r="AOK52" s="427"/>
      <c r="AOL52" s="427"/>
      <c r="AOM52" s="427"/>
      <c r="AON52" s="427"/>
      <c r="AOO52" s="427"/>
      <c r="AOP52" s="427"/>
      <c r="AOQ52" s="427"/>
      <c r="AOR52" s="427"/>
      <c r="AOS52" s="427"/>
      <c r="AOT52" s="427"/>
      <c r="AOU52" s="427"/>
      <c r="AOV52" s="427"/>
      <c r="AOW52" s="427"/>
      <c r="AOX52" s="427"/>
      <c r="AOY52" s="427"/>
      <c r="AOZ52" s="427"/>
      <c r="APA52" s="427"/>
      <c r="APB52" s="427"/>
      <c r="APC52" s="427"/>
      <c r="APD52" s="427"/>
      <c r="APE52" s="427"/>
      <c r="APF52" s="427"/>
      <c r="APG52" s="427"/>
      <c r="APH52" s="427"/>
      <c r="API52" s="427"/>
      <c r="APJ52" s="427"/>
      <c r="APK52" s="427"/>
      <c r="APL52" s="427"/>
      <c r="APM52" s="427"/>
      <c r="APN52" s="427"/>
      <c r="APO52" s="427"/>
      <c r="APP52" s="427"/>
      <c r="APQ52" s="427"/>
      <c r="APR52" s="427"/>
      <c r="APS52" s="427"/>
      <c r="APT52" s="427"/>
      <c r="APU52" s="427"/>
      <c r="APV52" s="427"/>
      <c r="APW52" s="427"/>
      <c r="APX52" s="427"/>
      <c r="APY52" s="427"/>
      <c r="APZ52" s="427"/>
      <c r="AQA52" s="427"/>
      <c r="AQB52" s="427"/>
      <c r="AQC52" s="427"/>
      <c r="AQD52" s="427"/>
      <c r="AQE52" s="427"/>
      <c r="AQF52" s="427"/>
      <c r="AQG52" s="427"/>
      <c r="AQH52" s="427"/>
      <c r="AQI52" s="427"/>
      <c r="AQJ52" s="427"/>
      <c r="AQK52" s="427"/>
      <c r="AQL52" s="427"/>
      <c r="AQM52" s="427"/>
      <c r="AQN52" s="427"/>
      <c r="AQO52" s="427"/>
      <c r="AQP52" s="427"/>
      <c r="AQQ52" s="427"/>
      <c r="AQR52" s="427"/>
      <c r="AQS52" s="427"/>
      <c r="AQT52" s="427"/>
      <c r="AQU52" s="427"/>
      <c r="AQV52" s="427"/>
      <c r="AQW52" s="427"/>
      <c r="AQX52" s="427"/>
      <c r="AQY52" s="427"/>
      <c r="AQZ52" s="427"/>
      <c r="ARA52" s="427"/>
      <c r="ARB52" s="427"/>
      <c r="ARC52" s="427"/>
      <c r="ARD52" s="427"/>
      <c r="ARE52" s="427"/>
      <c r="ARF52" s="427"/>
      <c r="ARG52" s="427"/>
      <c r="ARH52" s="427"/>
      <c r="ARI52" s="427"/>
      <c r="ARJ52" s="427"/>
      <c r="ARK52" s="427"/>
      <c r="ARL52" s="427"/>
      <c r="ARM52" s="427"/>
      <c r="ARN52" s="427"/>
      <c r="ARO52" s="427"/>
      <c r="ARP52" s="427"/>
      <c r="ARQ52" s="427"/>
      <c r="ARR52" s="427"/>
      <c r="ARS52" s="427"/>
      <c r="ART52" s="427"/>
      <c r="ARU52" s="427"/>
      <c r="ARV52" s="427"/>
      <c r="ARW52" s="427"/>
      <c r="ARX52" s="427"/>
      <c r="ARY52" s="427"/>
      <c r="ARZ52" s="427"/>
      <c r="ASA52" s="427"/>
      <c r="ASB52" s="427"/>
      <c r="ASC52" s="427"/>
      <c r="ASD52" s="427"/>
      <c r="ASE52" s="427"/>
      <c r="ASF52" s="427"/>
      <c r="ASG52" s="427"/>
      <c r="ASH52" s="427"/>
      <c r="ASI52" s="427"/>
      <c r="ASJ52" s="427"/>
      <c r="ASK52" s="427"/>
      <c r="ASL52" s="427"/>
      <c r="ASM52" s="427"/>
      <c r="ASN52" s="427"/>
      <c r="ASO52" s="427"/>
      <c r="ASP52" s="427"/>
      <c r="ASQ52" s="427"/>
      <c r="ASR52" s="427"/>
      <c r="ASS52" s="427"/>
      <c r="AST52" s="427"/>
      <c r="ASU52" s="427"/>
      <c r="ASV52" s="427"/>
      <c r="ASW52" s="427"/>
      <c r="ASX52" s="427"/>
      <c r="ASY52" s="427"/>
      <c r="ASZ52" s="427"/>
      <c r="ATA52" s="427"/>
      <c r="ATB52" s="427"/>
      <c r="ATC52" s="427"/>
      <c r="ATD52" s="427"/>
      <c r="ATE52" s="427"/>
      <c r="ATF52" s="427"/>
      <c r="ATG52" s="427"/>
      <c r="ATH52" s="427"/>
      <c r="ATI52" s="427"/>
      <c r="ATJ52" s="427"/>
      <c r="ATK52" s="427"/>
      <c r="ATL52" s="427"/>
      <c r="ATM52" s="427"/>
      <c r="ATN52" s="427"/>
      <c r="ATO52" s="427"/>
      <c r="ATP52" s="427"/>
      <c r="ATQ52" s="427"/>
      <c r="ATR52" s="427"/>
      <c r="ATS52" s="427"/>
      <c r="ATT52" s="427"/>
      <c r="ATU52" s="427"/>
      <c r="ATV52" s="427"/>
      <c r="ATW52" s="427"/>
      <c r="ATX52" s="427"/>
      <c r="ATY52" s="427"/>
      <c r="ATZ52" s="427"/>
      <c r="AUA52" s="427"/>
      <c r="AUB52" s="427"/>
      <c r="AUC52" s="427"/>
      <c r="AUD52" s="427"/>
      <c r="AUE52" s="427"/>
      <c r="AUF52" s="427"/>
      <c r="AUG52" s="427"/>
      <c r="AUH52" s="427"/>
      <c r="AUI52" s="427"/>
      <c r="AUJ52" s="427"/>
      <c r="AUK52" s="427"/>
      <c r="AUL52" s="427"/>
      <c r="AUM52" s="427"/>
      <c r="AUN52" s="427"/>
      <c r="AUO52" s="427"/>
      <c r="AUP52" s="427"/>
      <c r="AUQ52" s="427"/>
      <c r="AUR52" s="427"/>
      <c r="AUS52" s="427"/>
      <c r="AUT52" s="427"/>
      <c r="AUU52" s="427"/>
      <c r="AUV52" s="427"/>
      <c r="AUW52" s="427"/>
      <c r="AUX52" s="427"/>
      <c r="AUY52" s="427"/>
      <c r="AUZ52" s="427"/>
      <c r="AVA52" s="427"/>
      <c r="AVB52" s="427"/>
      <c r="AVC52" s="427"/>
      <c r="AVD52" s="427"/>
      <c r="AVE52" s="427"/>
      <c r="AVF52" s="427"/>
      <c r="AVG52" s="427"/>
      <c r="AVH52" s="427"/>
      <c r="AVI52" s="427"/>
      <c r="AVJ52" s="427"/>
      <c r="AVK52" s="427"/>
      <c r="AVL52" s="427"/>
      <c r="AVM52" s="427"/>
      <c r="AVN52" s="427"/>
      <c r="AVO52" s="427"/>
      <c r="AVP52" s="427"/>
      <c r="AVQ52" s="427"/>
      <c r="AVR52" s="427"/>
      <c r="AVS52" s="427"/>
      <c r="AVT52" s="427"/>
      <c r="AVU52" s="427"/>
      <c r="AVV52" s="427"/>
      <c r="AVW52" s="427"/>
      <c r="AVX52" s="427"/>
      <c r="AVY52" s="427"/>
      <c r="AVZ52" s="427"/>
      <c r="AWA52" s="427"/>
      <c r="AWB52" s="427"/>
      <c r="AWC52" s="427"/>
      <c r="AWD52" s="427"/>
      <c r="AWE52" s="427"/>
      <c r="AWF52" s="427"/>
      <c r="AWG52" s="427"/>
      <c r="AWH52" s="427"/>
      <c r="AWI52" s="427"/>
      <c r="AWJ52" s="427"/>
      <c r="AWK52" s="427"/>
      <c r="AWL52" s="427"/>
      <c r="AWM52" s="427"/>
      <c r="AWN52" s="427"/>
      <c r="AWO52" s="427"/>
      <c r="AWP52" s="427"/>
      <c r="AWQ52" s="427"/>
      <c r="AWR52" s="427"/>
      <c r="AWS52" s="427"/>
      <c r="AWT52" s="427"/>
      <c r="AWU52" s="427"/>
      <c r="AWV52" s="427"/>
      <c r="AWW52" s="427"/>
      <c r="AWX52" s="427"/>
      <c r="AWY52" s="427"/>
      <c r="AWZ52" s="427"/>
      <c r="AXA52" s="427"/>
      <c r="AXB52" s="427"/>
      <c r="AXC52" s="427"/>
      <c r="AXD52" s="427"/>
      <c r="AXE52" s="427"/>
      <c r="AXF52" s="427"/>
      <c r="AXG52" s="427"/>
      <c r="AXH52" s="427"/>
      <c r="AXI52" s="427"/>
      <c r="AXJ52" s="427"/>
      <c r="AXK52" s="427"/>
      <c r="AXL52" s="427"/>
      <c r="AXM52" s="427"/>
      <c r="AXN52" s="427"/>
      <c r="AXO52" s="427"/>
      <c r="AXP52" s="427"/>
      <c r="AXQ52" s="427"/>
      <c r="AXR52" s="427"/>
      <c r="AXS52" s="427"/>
      <c r="AXT52" s="427"/>
      <c r="AXU52" s="427"/>
      <c r="AXV52" s="427"/>
      <c r="AXW52" s="427"/>
      <c r="AXX52" s="427"/>
      <c r="AXY52" s="427"/>
      <c r="AXZ52" s="427"/>
      <c r="AYA52" s="427"/>
      <c r="AYB52" s="427"/>
      <c r="AYC52" s="427"/>
      <c r="AYD52" s="427"/>
      <c r="AYE52" s="427"/>
      <c r="AYF52" s="427"/>
      <c r="AYG52" s="427"/>
      <c r="AYH52" s="427"/>
      <c r="AYI52" s="427"/>
      <c r="AYJ52" s="427"/>
      <c r="AYK52" s="427"/>
      <c r="AYL52" s="427"/>
      <c r="AYM52" s="427"/>
      <c r="AYN52" s="427"/>
      <c r="AYO52" s="427"/>
      <c r="AYP52" s="427"/>
      <c r="AYQ52" s="427"/>
      <c r="AYR52" s="427"/>
      <c r="AYS52" s="427"/>
      <c r="AYT52" s="427"/>
      <c r="AYU52" s="427"/>
      <c r="AYV52" s="427"/>
      <c r="AYW52" s="427"/>
      <c r="AYX52" s="427"/>
      <c r="AYY52" s="427"/>
      <c r="AYZ52" s="427"/>
      <c r="AZA52" s="427"/>
      <c r="AZB52" s="427"/>
      <c r="AZC52" s="427"/>
      <c r="AZD52" s="427"/>
      <c r="AZE52" s="427"/>
      <c r="AZF52" s="427"/>
      <c r="AZG52" s="427"/>
      <c r="AZH52" s="427"/>
      <c r="AZI52" s="427"/>
      <c r="AZJ52" s="427"/>
      <c r="AZK52" s="427"/>
      <c r="AZL52" s="427"/>
      <c r="AZM52" s="427"/>
      <c r="AZN52" s="427"/>
      <c r="AZO52" s="427"/>
      <c r="AZP52" s="427"/>
      <c r="AZQ52" s="427"/>
      <c r="AZR52" s="427"/>
      <c r="AZS52" s="427"/>
      <c r="AZT52" s="427"/>
      <c r="AZU52" s="427"/>
      <c r="AZV52" s="427"/>
      <c r="AZW52" s="427"/>
      <c r="AZX52" s="427"/>
      <c r="AZY52" s="427"/>
      <c r="AZZ52" s="427"/>
      <c r="BAA52" s="427"/>
      <c r="BAB52" s="427"/>
      <c r="BAC52" s="427"/>
      <c r="BAD52" s="427"/>
      <c r="BAE52" s="427"/>
      <c r="BAF52" s="427"/>
      <c r="BAG52" s="427"/>
      <c r="BAH52" s="427"/>
      <c r="BAI52" s="427"/>
      <c r="BAJ52" s="427"/>
      <c r="BAK52" s="427"/>
      <c r="BAL52" s="427"/>
      <c r="BAM52" s="427"/>
      <c r="BAN52" s="427"/>
      <c r="BAO52" s="427"/>
      <c r="BAP52" s="427"/>
      <c r="BAQ52" s="427"/>
      <c r="BAR52" s="427"/>
      <c r="BAS52" s="427"/>
      <c r="BAT52" s="427"/>
      <c r="BAU52" s="427"/>
      <c r="BAV52" s="427"/>
      <c r="BAW52" s="427"/>
      <c r="BAX52" s="427"/>
      <c r="BAY52" s="427"/>
      <c r="BAZ52" s="427"/>
      <c r="BBA52" s="427"/>
      <c r="BBB52" s="427"/>
      <c r="BBC52" s="427"/>
      <c r="BBD52" s="427"/>
      <c r="BBE52" s="427"/>
      <c r="BBF52" s="427"/>
      <c r="BBG52" s="427"/>
      <c r="BBH52" s="427"/>
      <c r="BBI52" s="427"/>
      <c r="BBJ52" s="427"/>
      <c r="BBK52" s="427"/>
      <c r="BBL52" s="427"/>
      <c r="BBM52" s="427"/>
      <c r="BBN52" s="427"/>
      <c r="BBO52" s="427"/>
      <c r="BBP52" s="427"/>
      <c r="BBQ52" s="427"/>
      <c r="BBR52" s="427"/>
      <c r="BBS52" s="427"/>
      <c r="BBT52" s="427"/>
      <c r="BBU52" s="427"/>
      <c r="BBV52" s="427"/>
      <c r="BBW52" s="427"/>
      <c r="BBX52" s="427"/>
      <c r="BBY52" s="427"/>
      <c r="BBZ52" s="427"/>
      <c r="BCA52" s="427"/>
      <c r="BCB52" s="427"/>
      <c r="BCC52" s="427"/>
      <c r="BCD52" s="427"/>
      <c r="BCE52" s="427"/>
      <c r="BCF52" s="427"/>
      <c r="BCG52" s="427"/>
      <c r="BCH52" s="427"/>
      <c r="BCI52" s="427"/>
      <c r="BCJ52" s="427"/>
      <c r="BCK52" s="427"/>
      <c r="BCL52" s="427"/>
      <c r="BCM52" s="427"/>
      <c r="BCN52" s="427"/>
      <c r="BCO52" s="427"/>
      <c r="BCP52" s="427"/>
      <c r="BCQ52" s="427"/>
      <c r="BCR52" s="427"/>
      <c r="BCS52" s="427"/>
      <c r="BCT52" s="427"/>
      <c r="BCU52" s="427"/>
      <c r="BCV52" s="427"/>
      <c r="BCW52" s="427"/>
      <c r="BCX52" s="427"/>
      <c r="BCY52" s="427"/>
      <c r="BCZ52" s="427"/>
      <c r="BDA52" s="427"/>
      <c r="BDB52" s="427"/>
      <c r="BDC52" s="427"/>
      <c r="BDD52" s="427"/>
      <c r="BDE52" s="427"/>
      <c r="BDF52" s="427"/>
      <c r="BDG52" s="427"/>
      <c r="BDH52" s="427"/>
      <c r="BDI52" s="427"/>
      <c r="BDJ52" s="427"/>
      <c r="BDK52" s="427"/>
      <c r="BDL52" s="427"/>
      <c r="BDM52" s="427"/>
      <c r="BDN52" s="427"/>
      <c r="BDO52" s="427"/>
      <c r="BDP52" s="427"/>
      <c r="BDQ52" s="427"/>
      <c r="BDR52" s="427"/>
      <c r="BDS52" s="427"/>
      <c r="BDT52" s="427"/>
      <c r="BDU52" s="427"/>
      <c r="BDV52" s="427"/>
      <c r="BDW52" s="427"/>
      <c r="BDX52" s="427"/>
      <c r="BDY52" s="427"/>
      <c r="BDZ52" s="427"/>
      <c r="BEA52" s="427"/>
      <c r="BEB52" s="427"/>
      <c r="BEC52" s="427"/>
      <c r="BED52" s="427"/>
      <c r="BEE52" s="427"/>
      <c r="BEF52" s="427"/>
      <c r="BEG52" s="427"/>
      <c r="BEH52" s="427"/>
      <c r="BEI52" s="427"/>
      <c r="BEJ52" s="427"/>
      <c r="BEK52" s="427"/>
      <c r="BEL52" s="427"/>
      <c r="BEM52" s="427"/>
      <c r="BEN52" s="427"/>
      <c r="BEO52" s="427"/>
      <c r="BEP52" s="427"/>
      <c r="BEQ52" s="427"/>
      <c r="BER52" s="427"/>
      <c r="BES52" s="427"/>
      <c r="BET52" s="427"/>
      <c r="BEU52" s="427"/>
      <c r="BEV52" s="427"/>
      <c r="BEW52" s="427"/>
      <c r="BEX52" s="427"/>
      <c r="BEY52" s="427"/>
      <c r="BEZ52" s="427"/>
      <c r="BFA52" s="427"/>
      <c r="BFB52" s="427"/>
      <c r="BFC52" s="427"/>
      <c r="BFD52" s="427"/>
      <c r="BFE52" s="427"/>
      <c r="BFF52" s="427"/>
      <c r="BFG52" s="427"/>
      <c r="BFH52" s="427"/>
      <c r="BFI52" s="427"/>
      <c r="BFJ52" s="427"/>
      <c r="BFK52" s="427"/>
      <c r="BFL52" s="427"/>
      <c r="BFM52" s="427"/>
      <c r="BFN52" s="427"/>
      <c r="BFO52" s="427"/>
      <c r="BFP52" s="427"/>
      <c r="BFQ52" s="427"/>
      <c r="BFR52" s="427"/>
      <c r="BFS52" s="427"/>
      <c r="BFT52" s="427"/>
      <c r="BFU52" s="427"/>
      <c r="BFV52" s="427"/>
      <c r="BFW52" s="427"/>
      <c r="BFX52" s="427"/>
      <c r="BFY52" s="427"/>
      <c r="BFZ52" s="427"/>
      <c r="BGA52" s="427"/>
      <c r="BGB52" s="427"/>
      <c r="BGC52" s="427"/>
      <c r="BGD52" s="427"/>
      <c r="BGE52" s="427"/>
      <c r="BGF52" s="427"/>
      <c r="BGG52" s="427"/>
      <c r="BGH52" s="427"/>
      <c r="BGI52" s="427"/>
      <c r="BGJ52" s="427"/>
      <c r="BGK52" s="427"/>
      <c r="BGL52" s="427"/>
      <c r="BGM52" s="427"/>
      <c r="BGN52" s="427"/>
      <c r="BGO52" s="427"/>
      <c r="BGP52" s="427"/>
      <c r="BGQ52" s="427"/>
      <c r="BGR52" s="427"/>
      <c r="BGS52" s="427"/>
      <c r="BGT52" s="427"/>
      <c r="BGU52" s="427"/>
      <c r="BGV52" s="427"/>
      <c r="BGW52" s="427"/>
      <c r="BGX52" s="427"/>
      <c r="BGY52" s="427"/>
      <c r="BGZ52" s="427"/>
      <c r="BHA52" s="427"/>
      <c r="BHB52" s="427"/>
      <c r="BHC52" s="427"/>
      <c r="BHD52" s="427"/>
      <c r="BHE52" s="427"/>
      <c r="BHF52" s="427"/>
      <c r="BHG52" s="427"/>
      <c r="BHH52" s="427"/>
      <c r="BHI52" s="427"/>
      <c r="BHJ52" s="427"/>
      <c r="BHK52" s="427"/>
      <c r="BHL52" s="427"/>
      <c r="BHM52" s="427"/>
      <c r="BHN52" s="427"/>
      <c r="BHO52" s="427"/>
      <c r="BHP52" s="427"/>
      <c r="BHQ52" s="427"/>
      <c r="BHR52" s="427"/>
      <c r="BHS52" s="427"/>
      <c r="BHT52" s="427"/>
      <c r="BHU52" s="427"/>
      <c r="BHV52" s="427"/>
      <c r="BHW52" s="427"/>
      <c r="BHX52" s="427"/>
      <c r="BHY52" s="427"/>
      <c r="BHZ52" s="427"/>
      <c r="BIA52" s="427"/>
      <c r="BIB52" s="427"/>
      <c r="BIC52" s="427"/>
      <c r="BID52" s="427"/>
      <c r="BIE52" s="427"/>
      <c r="BIF52" s="427"/>
      <c r="BIG52" s="427"/>
      <c r="BIH52" s="427"/>
      <c r="BII52" s="427"/>
      <c r="BIJ52" s="427"/>
      <c r="BIK52" s="427"/>
      <c r="BIL52" s="427"/>
      <c r="BIM52" s="427"/>
      <c r="BIN52" s="427"/>
      <c r="BIO52" s="427"/>
      <c r="BIP52" s="427"/>
      <c r="BIQ52" s="427"/>
      <c r="BIR52" s="427"/>
      <c r="BIS52" s="427"/>
      <c r="BIT52" s="427"/>
      <c r="BIU52" s="427"/>
      <c r="BIV52" s="427"/>
      <c r="BIW52" s="427"/>
      <c r="BIX52" s="427"/>
      <c r="BIY52" s="427"/>
      <c r="BIZ52" s="427"/>
      <c r="BJA52" s="427"/>
      <c r="BJB52" s="427"/>
      <c r="BJC52" s="427"/>
      <c r="BJD52" s="427"/>
      <c r="BJE52" s="427"/>
      <c r="BJF52" s="427"/>
      <c r="BJG52" s="427"/>
      <c r="BJH52" s="427"/>
      <c r="BJI52" s="427"/>
      <c r="BJJ52" s="427"/>
      <c r="BJK52" s="427"/>
      <c r="BJL52" s="427"/>
      <c r="BJM52" s="427"/>
      <c r="BJN52" s="427"/>
      <c r="BJO52" s="427"/>
      <c r="BJP52" s="427"/>
      <c r="BJQ52" s="427"/>
      <c r="BJR52" s="427"/>
      <c r="BJS52" s="427"/>
      <c r="BJT52" s="427"/>
      <c r="BJU52" s="427"/>
      <c r="BJV52" s="427"/>
      <c r="BJW52" s="427"/>
      <c r="BJX52" s="427"/>
      <c r="BJY52" s="427"/>
      <c r="BJZ52" s="427"/>
      <c r="BKA52" s="427"/>
      <c r="BKB52" s="427"/>
      <c r="BKC52" s="427"/>
      <c r="BKD52" s="427"/>
      <c r="BKE52" s="427"/>
      <c r="BKF52" s="427"/>
      <c r="BKG52" s="427"/>
      <c r="BKH52" s="427"/>
      <c r="BKI52" s="427"/>
      <c r="BKJ52" s="427"/>
      <c r="BKK52" s="427"/>
      <c r="BKL52" s="427"/>
      <c r="BKM52" s="427"/>
      <c r="BKN52" s="427"/>
      <c r="BKO52" s="427"/>
      <c r="BKP52" s="427"/>
      <c r="BKQ52" s="427"/>
      <c r="BKR52" s="427"/>
      <c r="BKS52" s="427"/>
      <c r="BKT52" s="427"/>
      <c r="BKU52" s="427"/>
      <c r="BKV52" s="427"/>
      <c r="BKW52" s="427"/>
      <c r="BKX52" s="427"/>
      <c r="BKY52" s="427"/>
      <c r="BKZ52" s="427"/>
      <c r="BLA52" s="427"/>
      <c r="BLB52" s="427"/>
      <c r="BLC52" s="427"/>
      <c r="BLD52" s="427"/>
      <c r="BLE52" s="427"/>
      <c r="BLF52" s="427"/>
      <c r="BLG52" s="427"/>
      <c r="BLH52" s="427"/>
      <c r="BLI52" s="427"/>
      <c r="BLJ52" s="427"/>
      <c r="BLK52" s="427"/>
      <c r="BLL52" s="427"/>
      <c r="BLM52" s="427"/>
      <c r="BLN52" s="427"/>
      <c r="BLO52" s="427"/>
      <c r="BLP52" s="427"/>
      <c r="BLQ52" s="427"/>
      <c r="BLR52" s="427"/>
      <c r="BLS52" s="427"/>
      <c r="BLT52" s="427"/>
      <c r="BLU52" s="427"/>
      <c r="BLV52" s="427"/>
      <c r="BLW52" s="427"/>
      <c r="BLX52" s="427"/>
      <c r="BLY52" s="427"/>
      <c r="BLZ52" s="427"/>
      <c r="BMA52" s="427"/>
      <c r="BMB52" s="427"/>
      <c r="BMC52" s="427"/>
      <c r="BMD52" s="427"/>
      <c r="BME52" s="427"/>
      <c r="BMF52" s="427"/>
      <c r="BMG52" s="427"/>
      <c r="BMH52" s="427"/>
      <c r="BMI52" s="427"/>
      <c r="BMJ52" s="427"/>
      <c r="BMK52" s="427"/>
      <c r="BML52" s="427"/>
      <c r="BMM52" s="427"/>
      <c r="BMN52" s="427"/>
      <c r="BMO52" s="427"/>
      <c r="BMP52" s="427"/>
      <c r="BMQ52" s="427"/>
      <c r="BMR52" s="427"/>
      <c r="BMS52" s="427"/>
      <c r="BMT52" s="427"/>
      <c r="BMU52" s="427"/>
      <c r="BMV52" s="427"/>
      <c r="BMW52" s="427"/>
      <c r="BMX52" s="427"/>
      <c r="BMY52" s="427"/>
      <c r="BMZ52" s="427"/>
      <c r="BNA52" s="427"/>
      <c r="BNB52" s="427"/>
      <c r="BNC52" s="427"/>
      <c r="BND52" s="427"/>
      <c r="BNE52" s="427"/>
      <c r="BNF52" s="427"/>
      <c r="BNG52" s="427"/>
      <c r="BNH52" s="427"/>
      <c r="BNI52" s="427"/>
      <c r="BNJ52" s="427"/>
      <c r="BNK52" s="427"/>
      <c r="BNL52" s="427"/>
      <c r="BNM52" s="427"/>
      <c r="BNN52" s="427"/>
      <c r="BNO52" s="427"/>
      <c r="BNP52" s="427"/>
      <c r="BNQ52" s="427"/>
      <c r="BNR52" s="427"/>
      <c r="BNS52" s="427"/>
      <c r="BNT52" s="427"/>
      <c r="BNU52" s="427"/>
      <c r="BNV52" s="427"/>
      <c r="BNW52" s="427"/>
      <c r="BNX52" s="427"/>
      <c r="BNY52" s="427"/>
      <c r="BNZ52" s="427"/>
      <c r="BOA52" s="427"/>
      <c r="BOB52" s="427"/>
      <c r="BOC52" s="427"/>
      <c r="BOD52" s="427"/>
      <c r="BOE52" s="427"/>
      <c r="BOF52" s="427"/>
      <c r="BOG52" s="427"/>
      <c r="BOH52" s="427"/>
      <c r="BOI52" s="427"/>
      <c r="BOJ52" s="427"/>
      <c r="BOK52" s="427"/>
      <c r="BOL52" s="427"/>
      <c r="BOM52" s="427"/>
      <c r="BON52" s="427"/>
      <c r="BOO52" s="427"/>
      <c r="BOP52" s="427"/>
      <c r="BOQ52" s="427"/>
      <c r="BOR52" s="427"/>
      <c r="BOS52" s="427"/>
      <c r="BOT52" s="427"/>
      <c r="BOU52" s="427"/>
      <c r="BOV52" s="427"/>
      <c r="BOW52" s="427"/>
      <c r="BOX52" s="427"/>
      <c r="BOY52" s="427"/>
      <c r="BOZ52" s="427"/>
      <c r="BPA52" s="427"/>
      <c r="BPB52" s="427"/>
      <c r="BPC52" s="427"/>
      <c r="BPD52" s="427"/>
      <c r="BPE52" s="427"/>
      <c r="BPF52" s="427"/>
      <c r="BPG52" s="427"/>
      <c r="BPH52" s="427"/>
      <c r="BPI52" s="427"/>
      <c r="BPJ52" s="427"/>
      <c r="BPK52" s="427"/>
      <c r="BPL52" s="427"/>
      <c r="BPM52" s="427"/>
      <c r="BPN52" s="427"/>
      <c r="BPO52" s="427"/>
      <c r="BPP52" s="427"/>
      <c r="BPQ52" s="427"/>
      <c r="BPR52" s="427"/>
      <c r="BPS52" s="427"/>
      <c r="BPT52" s="427"/>
      <c r="BPU52" s="427"/>
      <c r="BPV52" s="427"/>
      <c r="BPW52" s="427"/>
      <c r="BPX52" s="427"/>
      <c r="BPY52" s="427"/>
      <c r="BPZ52" s="427"/>
      <c r="BQA52" s="427"/>
      <c r="BQB52" s="427"/>
      <c r="BQC52" s="427"/>
      <c r="BQD52" s="427"/>
      <c r="BQE52" s="427"/>
      <c r="BQF52" s="427"/>
      <c r="BQG52" s="427"/>
      <c r="BQH52" s="427"/>
      <c r="BQI52" s="427"/>
      <c r="BQJ52" s="427"/>
      <c r="BQK52" s="427"/>
      <c r="BQL52" s="427"/>
      <c r="BQM52" s="427"/>
      <c r="BQN52" s="427"/>
      <c r="BQO52" s="427"/>
      <c r="BQP52" s="427"/>
      <c r="BQQ52" s="427"/>
      <c r="BQR52" s="427"/>
      <c r="BQS52" s="427"/>
      <c r="BQT52" s="427"/>
      <c r="BQU52" s="427"/>
      <c r="BQV52" s="427"/>
      <c r="BQW52" s="427"/>
      <c r="BQX52" s="427"/>
      <c r="BQY52" s="427"/>
      <c r="BQZ52" s="427"/>
      <c r="BRA52" s="427"/>
      <c r="BRB52" s="427"/>
      <c r="BRC52" s="427"/>
      <c r="BRD52" s="427"/>
      <c r="BRE52" s="427"/>
      <c r="BRF52" s="427"/>
      <c r="BRG52" s="427"/>
      <c r="BRH52" s="427"/>
      <c r="BRI52" s="427"/>
      <c r="BRJ52" s="427"/>
      <c r="BRK52" s="427"/>
      <c r="BRL52" s="427"/>
      <c r="BRM52" s="427"/>
      <c r="BRN52" s="427"/>
      <c r="BRO52" s="427"/>
      <c r="BRP52" s="427"/>
      <c r="BRQ52" s="427"/>
      <c r="BRR52" s="427"/>
      <c r="BRS52" s="427"/>
      <c r="BRT52" s="427"/>
      <c r="BRU52" s="427"/>
      <c r="BRV52" s="427"/>
      <c r="BRW52" s="427"/>
      <c r="BRX52" s="427"/>
      <c r="BRY52" s="427"/>
      <c r="BRZ52" s="427"/>
      <c r="BSA52" s="427"/>
      <c r="BSB52" s="427"/>
      <c r="BSC52" s="427"/>
      <c r="BSD52" s="427"/>
      <c r="BSE52" s="427"/>
      <c r="BSF52" s="427"/>
      <c r="BSG52" s="427"/>
      <c r="BSH52" s="427"/>
      <c r="BSI52" s="427"/>
      <c r="BSJ52" s="427"/>
      <c r="BSK52" s="427"/>
      <c r="BSL52" s="427"/>
      <c r="BSM52" s="427"/>
      <c r="BSN52" s="427"/>
      <c r="BSO52" s="427"/>
      <c r="BSP52" s="427"/>
      <c r="BSQ52" s="427"/>
      <c r="BSR52" s="427"/>
      <c r="BSS52" s="427"/>
      <c r="BST52" s="427"/>
      <c r="BSU52" s="427"/>
      <c r="BSV52" s="427"/>
      <c r="BSW52" s="427"/>
      <c r="BSX52" s="427"/>
      <c r="BSY52" s="427"/>
      <c r="BSZ52" s="427"/>
      <c r="BTA52" s="427"/>
      <c r="BTB52" s="427"/>
      <c r="BTC52" s="427"/>
      <c r="BTD52" s="427"/>
      <c r="BTE52" s="427"/>
      <c r="BTF52" s="427"/>
      <c r="BTG52" s="427"/>
      <c r="BTH52" s="427"/>
      <c r="BTI52" s="427"/>
      <c r="BTJ52" s="427"/>
      <c r="BTK52" s="427"/>
      <c r="BTL52" s="427"/>
      <c r="BTM52" s="427"/>
      <c r="BTN52" s="427"/>
      <c r="BTO52" s="427"/>
      <c r="BTP52" s="427"/>
      <c r="BTQ52" s="427"/>
      <c r="BTR52" s="427"/>
      <c r="BTS52" s="427"/>
      <c r="BTT52" s="427"/>
      <c r="BTU52" s="427"/>
      <c r="BTV52" s="427"/>
      <c r="BTW52" s="427"/>
      <c r="BTX52" s="427"/>
      <c r="BTY52" s="427"/>
      <c r="BTZ52" s="427"/>
      <c r="BUA52" s="427"/>
      <c r="BUB52" s="427"/>
      <c r="BUC52" s="427"/>
      <c r="BUD52" s="427"/>
      <c r="BUE52" s="427"/>
      <c r="BUF52" s="427"/>
      <c r="BUG52" s="427"/>
      <c r="BUH52" s="427"/>
      <c r="BUI52" s="427"/>
      <c r="BUJ52" s="427"/>
      <c r="BUK52" s="427"/>
      <c r="BUL52" s="427"/>
      <c r="BUM52" s="427"/>
      <c r="BUN52" s="427"/>
      <c r="BUO52" s="427"/>
      <c r="BUP52" s="427"/>
      <c r="BUQ52" s="427"/>
      <c r="BUR52" s="427"/>
      <c r="BUS52" s="427"/>
      <c r="BUT52" s="427"/>
      <c r="BUU52" s="427"/>
      <c r="BUV52" s="427"/>
      <c r="BUW52" s="427"/>
      <c r="BUX52" s="427"/>
      <c r="BUY52" s="427"/>
      <c r="BUZ52" s="427"/>
      <c r="BVA52" s="427"/>
      <c r="BVB52" s="427"/>
      <c r="BVC52" s="427"/>
      <c r="BVD52" s="427"/>
      <c r="BVE52" s="427"/>
      <c r="BVF52" s="427"/>
      <c r="BVG52" s="427"/>
      <c r="BVH52" s="427"/>
      <c r="BVI52" s="427"/>
      <c r="BVJ52" s="427"/>
      <c r="BVK52" s="427"/>
      <c r="BVL52" s="427"/>
      <c r="BVM52" s="427"/>
      <c r="BVN52" s="427"/>
      <c r="BVO52" s="427"/>
      <c r="BVP52" s="427"/>
      <c r="BVQ52" s="427"/>
      <c r="BVR52" s="427"/>
      <c r="BVS52" s="427"/>
      <c r="BVT52" s="427"/>
      <c r="BVU52" s="427"/>
      <c r="BVV52" s="427"/>
      <c r="BVW52" s="427"/>
      <c r="BVX52" s="427"/>
      <c r="BVY52" s="427"/>
      <c r="BVZ52" s="427"/>
      <c r="BWA52" s="427"/>
      <c r="BWB52" s="427"/>
      <c r="BWC52" s="427"/>
      <c r="BWD52" s="427"/>
      <c r="BWE52" s="427"/>
      <c r="BWF52" s="427"/>
      <c r="BWG52" s="427"/>
      <c r="BWH52" s="427"/>
      <c r="BWI52" s="427"/>
      <c r="BWJ52" s="427"/>
      <c r="BWK52" s="427"/>
      <c r="BWL52" s="427"/>
      <c r="BWM52" s="427"/>
      <c r="BWN52" s="427"/>
      <c r="BWO52" s="427"/>
      <c r="BWP52" s="427"/>
      <c r="BWQ52" s="427"/>
      <c r="BWR52" s="427"/>
      <c r="BWS52" s="427"/>
      <c r="BWT52" s="427"/>
      <c r="BWU52" s="427"/>
      <c r="BWV52" s="427"/>
      <c r="BWW52" s="427"/>
      <c r="BWX52" s="427"/>
      <c r="BWY52" s="427"/>
      <c r="BWZ52" s="427"/>
      <c r="BXA52" s="427"/>
      <c r="BXB52" s="427"/>
      <c r="BXC52" s="427"/>
      <c r="BXD52" s="427"/>
      <c r="BXE52" s="427"/>
      <c r="BXF52" s="427"/>
      <c r="BXG52" s="427"/>
      <c r="BXH52" s="427"/>
      <c r="BXI52" s="427"/>
      <c r="BXJ52" s="427"/>
      <c r="BXK52" s="427"/>
      <c r="BXL52" s="427"/>
      <c r="BXM52" s="427"/>
      <c r="BXN52" s="427"/>
      <c r="BXO52" s="427"/>
      <c r="BXP52" s="427"/>
      <c r="BXQ52" s="427"/>
      <c r="BXR52" s="427"/>
      <c r="BXS52" s="427"/>
      <c r="BXT52" s="427"/>
      <c r="BXU52" s="427"/>
      <c r="BXV52" s="427"/>
      <c r="BXW52" s="427"/>
      <c r="BXX52" s="427"/>
      <c r="BXY52" s="427"/>
      <c r="BXZ52" s="427"/>
      <c r="BYA52" s="427"/>
      <c r="BYB52" s="427"/>
      <c r="BYC52" s="427"/>
      <c r="BYD52" s="427"/>
      <c r="BYE52" s="427"/>
      <c r="BYF52" s="427"/>
      <c r="BYG52" s="427"/>
      <c r="BYH52" s="427"/>
      <c r="BYI52" s="427"/>
      <c r="BYJ52" s="427"/>
      <c r="BYK52" s="427"/>
      <c r="BYL52" s="427"/>
      <c r="BYM52" s="427"/>
      <c r="BYN52" s="427"/>
      <c r="BYO52" s="427"/>
      <c r="BYP52" s="427"/>
      <c r="BYQ52" s="427"/>
      <c r="BYR52" s="427"/>
      <c r="BYS52" s="427"/>
      <c r="BYT52" s="427"/>
      <c r="BYU52" s="427"/>
      <c r="BYV52" s="427"/>
      <c r="BYW52" s="427"/>
      <c r="BYX52" s="427"/>
      <c r="BYY52" s="427"/>
      <c r="BYZ52" s="427"/>
      <c r="BZA52" s="427"/>
      <c r="BZB52" s="427"/>
      <c r="BZC52" s="427"/>
      <c r="BZD52" s="427"/>
      <c r="BZE52" s="427"/>
      <c r="BZF52" s="427"/>
      <c r="BZG52" s="427"/>
      <c r="BZH52" s="427"/>
      <c r="BZI52" s="427"/>
      <c r="BZJ52" s="427"/>
      <c r="BZK52" s="427"/>
      <c r="BZL52" s="427"/>
      <c r="BZM52" s="427"/>
      <c r="BZN52" s="427"/>
      <c r="BZO52" s="427"/>
      <c r="BZP52" s="427"/>
      <c r="BZQ52" s="427"/>
      <c r="BZR52" s="427"/>
      <c r="BZS52" s="427"/>
      <c r="BZT52" s="427"/>
      <c r="BZU52" s="427"/>
      <c r="BZV52" s="427"/>
      <c r="BZW52" s="427"/>
      <c r="BZX52" s="427"/>
      <c r="BZY52" s="427"/>
      <c r="BZZ52" s="427"/>
      <c r="CAA52" s="427"/>
      <c r="CAB52" s="427"/>
      <c r="CAC52" s="427"/>
      <c r="CAD52" s="427"/>
      <c r="CAE52" s="427"/>
      <c r="CAF52" s="427"/>
      <c r="CAG52" s="427"/>
      <c r="CAH52" s="427"/>
      <c r="CAI52" s="427"/>
      <c r="CAJ52" s="427"/>
      <c r="CAK52" s="427"/>
      <c r="CAL52" s="427"/>
      <c r="CAM52" s="427"/>
      <c r="CAN52" s="427"/>
      <c r="CAO52" s="427"/>
      <c r="CAP52" s="427"/>
      <c r="CAQ52" s="427"/>
      <c r="CAR52" s="427"/>
      <c r="CAS52" s="427"/>
      <c r="CAT52" s="427"/>
      <c r="CAU52" s="427"/>
      <c r="CAV52" s="427"/>
      <c r="CAW52" s="427"/>
      <c r="CAX52" s="427"/>
      <c r="CAY52" s="427"/>
      <c r="CAZ52" s="427"/>
      <c r="CBA52" s="427"/>
      <c r="CBB52" s="427"/>
      <c r="CBC52" s="427"/>
      <c r="CBD52" s="427"/>
      <c r="CBE52" s="427"/>
      <c r="CBF52" s="427"/>
      <c r="CBG52" s="427"/>
      <c r="CBH52" s="427"/>
      <c r="CBI52" s="427"/>
      <c r="CBJ52" s="427"/>
      <c r="CBK52" s="427"/>
      <c r="CBL52" s="427"/>
      <c r="CBM52" s="427"/>
      <c r="CBN52" s="427"/>
      <c r="CBO52" s="427"/>
      <c r="CBP52" s="427"/>
      <c r="CBQ52" s="427"/>
      <c r="CBR52" s="427"/>
      <c r="CBS52" s="427"/>
      <c r="CBT52" s="427"/>
      <c r="CBU52" s="427"/>
      <c r="CBV52" s="427"/>
      <c r="CBW52" s="427"/>
      <c r="CBX52" s="427"/>
      <c r="CBY52" s="427"/>
      <c r="CBZ52" s="427"/>
      <c r="CCA52" s="427"/>
      <c r="CCB52" s="427"/>
      <c r="CCC52" s="427"/>
      <c r="CCD52" s="427"/>
      <c r="CCE52" s="427"/>
      <c r="CCF52" s="427"/>
      <c r="CCG52" s="427"/>
      <c r="CCH52" s="427"/>
      <c r="CCI52" s="427"/>
      <c r="CCJ52" s="427"/>
      <c r="CCK52" s="427"/>
      <c r="CCL52" s="427"/>
      <c r="CCM52" s="427"/>
      <c r="CCN52" s="427"/>
      <c r="CCO52" s="427"/>
      <c r="CCP52" s="427"/>
      <c r="CCQ52" s="427"/>
      <c r="CCR52" s="427"/>
      <c r="CCS52" s="427"/>
      <c r="CCT52" s="427"/>
      <c r="CCU52" s="427"/>
      <c r="CCV52" s="427"/>
      <c r="CCW52" s="427"/>
      <c r="CCX52" s="427"/>
      <c r="CCY52" s="427"/>
      <c r="CCZ52" s="427"/>
      <c r="CDA52" s="427"/>
      <c r="CDB52" s="427"/>
      <c r="CDC52" s="427"/>
      <c r="CDD52" s="427"/>
      <c r="CDE52" s="427"/>
      <c r="CDF52" s="427"/>
      <c r="CDG52" s="427"/>
      <c r="CDH52" s="427"/>
      <c r="CDI52" s="427"/>
      <c r="CDJ52" s="427"/>
      <c r="CDK52" s="427"/>
      <c r="CDL52" s="427"/>
      <c r="CDM52" s="427"/>
      <c r="CDN52" s="427"/>
      <c r="CDO52" s="427"/>
      <c r="CDP52" s="427"/>
      <c r="CDQ52" s="427"/>
      <c r="CDR52" s="427"/>
      <c r="CDS52" s="427"/>
      <c r="CDT52" s="427"/>
      <c r="CDU52" s="427"/>
      <c r="CDV52" s="427"/>
      <c r="CDW52" s="427"/>
      <c r="CDX52" s="427"/>
      <c r="CDY52" s="427"/>
      <c r="CDZ52" s="427"/>
      <c r="CEA52" s="427"/>
      <c r="CEB52" s="427"/>
      <c r="CEC52" s="427"/>
      <c r="CED52" s="427"/>
      <c r="CEE52" s="427"/>
      <c r="CEF52" s="427"/>
      <c r="CEG52" s="427"/>
      <c r="CEH52" s="427"/>
      <c r="CEI52" s="427"/>
      <c r="CEJ52" s="427"/>
      <c r="CEK52" s="427"/>
      <c r="CEL52" s="427"/>
      <c r="CEM52" s="427"/>
      <c r="CEN52" s="427"/>
      <c r="CEO52" s="427"/>
      <c r="CEP52" s="427"/>
      <c r="CEQ52" s="427"/>
      <c r="CER52" s="427"/>
      <c r="CES52" s="427"/>
      <c r="CET52" s="427"/>
      <c r="CEU52" s="427"/>
      <c r="CEV52" s="427"/>
      <c r="CEW52" s="427"/>
      <c r="CEX52" s="427"/>
      <c r="CEY52" s="427"/>
      <c r="CEZ52" s="427"/>
      <c r="CFA52" s="427"/>
      <c r="CFB52" s="427"/>
      <c r="CFC52" s="427"/>
      <c r="CFD52" s="427"/>
      <c r="CFE52" s="427"/>
      <c r="CFF52" s="427"/>
      <c r="CFG52" s="427"/>
      <c r="CFH52" s="427"/>
      <c r="CFI52" s="427"/>
      <c r="CFJ52" s="427"/>
      <c r="CFK52" s="427"/>
      <c r="CFL52" s="427"/>
      <c r="CFM52" s="427"/>
      <c r="CFN52" s="427"/>
      <c r="CFO52" s="427"/>
      <c r="CFP52" s="427"/>
      <c r="CFQ52" s="427"/>
      <c r="CFR52" s="427"/>
      <c r="CFS52" s="427"/>
      <c r="CFT52" s="427"/>
      <c r="CFU52" s="427"/>
      <c r="CFV52" s="427"/>
      <c r="CFW52" s="427"/>
      <c r="CFX52" s="427"/>
      <c r="CFY52" s="427"/>
      <c r="CFZ52" s="427"/>
      <c r="CGA52" s="427"/>
      <c r="CGB52" s="427"/>
      <c r="CGC52" s="427"/>
      <c r="CGD52" s="427"/>
      <c r="CGE52" s="427"/>
      <c r="CGF52" s="427"/>
      <c r="CGG52" s="427"/>
      <c r="CGH52" s="427"/>
      <c r="CGI52" s="427"/>
      <c r="CGJ52" s="427"/>
      <c r="CGK52" s="427"/>
      <c r="CGL52" s="427"/>
      <c r="CGM52" s="427"/>
      <c r="CGN52" s="427"/>
      <c r="CGO52" s="427"/>
      <c r="CGP52" s="427"/>
      <c r="CGQ52" s="427"/>
      <c r="CGR52" s="427"/>
      <c r="CGS52" s="427"/>
      <c r="CGT52" s="427"/>
      <c r="CGU52" s="427"/>
      <c r="CGV52" s="427"/>
      <c r="CGW52" s="427"/>
      <c r="CGX52" s="427"/>
      <c r="CGY52" s="427"/>
      <c r="CGZ52" s="427"/>
      <c r="CHA52" s="427"/>
      <c r="CHB52" s="427"/>
      <c r="CHC52" s="427"/>
      <c r="CHD52" s="427"/>
      <c r="CHE52" s="427"/>
      <c r="CHF52" s="427"/>
      <c r="CHG52" s="427"/>
      <c r="CHH52" s="427"/>
      <c r="CHI52" s="427"/>
      <c r="CHJ52" s="427"/>
      <c r="CHK52" s="427"/>
      <c r="CHL52" s="427"/>
      <c r="CHM52" s="427"/>
      <c r="CHN52" s="427"/>
      <c r="CHO52" s="427"/>
      <c r="CHP52" s="427"/>
      <c r="CHQ52" s="427"/>
      <c r="CHR52" s="427"/>
      <c r="CHS52" s="427"/>
      <c r="CHT52" s="427"/>
      <c r="CHU52" s="427"/>
      <c r="CHV52" s="427"/>
      <c r="CHW52" s="427"/>
      <c r="CHX52" s="427"/>
      <c r="CHY52" s="427"/>
      <c r="CHZ52" s="427"/>
      <c r="CIA52" s="427"/>
      <c r="CIB52" s="427"/>
      <c r="CIC52" s="427"/>
      <c r="CID52" s="427"/>
      <c r="CIE52" s="427"/>
      <c r="CIF52" s="427"/>
      <c r="CIG52" s="427"/>
      <c r="CIH52" s="427"/>
      <c r="CII52" s="427"/>
      <c r="CIJ52" s="427"/>
      <c r="CIK52" s="427"/>
      <c r="CIL52" s="427"/>
      <c r="CIM52" s="427"/>
      <c r="CIN52" s="427"/>
      <c r="CIO52" s="427"/>
      <c r="CIP52" s="427"/>
      <c r="CIQ52" s="427"/>
      <c r="CIR52" s="427"/>
      <c r="CIS52" s="427"/>
      <c r="CIT52" s="427"/>
      <c r="CIU52" s="427"/>
      <c r="CIV52" s="427"/>
      <c r="CIW52" s="427"/>
      <c r="CIX52" s="427"/>
      <c r="CIY52" s="427"/>
      <c r="CIZ52" s="427"/>
      <c r="CJA52" s="427"/>
      <c r="CJB52" s="427"/>
      <c r="CJC52" s="427"/>
      <c r="CJD52" s="427"/>
      <c r="CJE52" s="427"/>
      <c r="CJF52" s="427"/>
      <c r="CJG52" s="427"/>
      <c r="CJH52" s="427"/>
      <c r="CJI52" s="427"/>
      <c r="CJJ52" s="427"/>
      <c r="CJK52" s="427"/>
      <c r="CJL52" s="427"/>
      <c r="CJM52" s="427"/>
      <c r="CJN52" s="427"/>
      <c r="CJO52" s="427"/>
      <c r="CJP52" s="427"/>
      <c r="CJQ52" s="427"/>
      <c r="CJR52" s="427"/>
      <c r="CJS52" s="427"/>
      <c r="CJT52" s="427"/>
      <c r="CJU52" s="427"/>
      <c r="CJV52" s="427"/>
      <c r="CJW52" s="427"/>
      <c r="CJX52" s="427"/>
      <c r="CJY52" s="427"/>
      <c r="CJZ52" s="427"/>
      <c r="CKA52" s="427"/>
      <c r="CKB52" s="427"/>
      <c r="CKC52" s="427"/>
      <c r="CKD52" s="427"/>
      <c r="CKE52" s="427"/>
      <c r="CKF52" s="427"/>
      <c r="CKG52" s="427"/>
      <c r="CKH52" s="427"/>
      <c r="CKI52" s="427"/>
      <c r="CKJ52" s="427"/>
      <c r="CKK52" s="427"/>
      <c r="CKL52" s="427"/>
      <c r="CKM52" s="427"/>
      <c r="CKN52" s="427"/>
      <c r="CKO52" s="427"/>
      <c r="CKP52" s="427"/>
      <c r="CKQ52" s="427"/>
      <c r="CKR52" s="427"/>
      <c r="CKS52" s="427"/>
      <c r="CKT52" s="427"/>
      <c r="CKU52" s="427"/>
      <c r="CKV52" s="427"/>
      <c r="CKW52" s="427"/>
      <c r="CKX52" s="427"/>
      <c r="CKY52" s="427"/>
      <c r="CKZ52" s="427"/>
      <c r="CLA52" s="427"/>
      <c r="CLB52" s="427"/>
      <c r="CLC52" s="427"/>
      <c r="CLD52" s="427"/>
      <c r="CLE52" s="427"/>
      <c r="CLF52" s="427"/>
      <c r="PDJ52" s="426" t="s">
        <v>16</v>
      </c>
    </row>
    <row r="53" spans="1:2346 10930:10930" ht="16.2" customHeight="1" x14ac:dyDescent="0.3">
      <c r="A53" s="187"/>
      <c r="B53" s="187"/>
      <c r="C53" s="187"/>
      <c r="D53" s="189"/>
      <c r="E53" s="353" t="str">
        <f>Idiomas!D23</f>
        <v>Mejores terceros</v>
      </c>
      <c r="F53" s="354"/>
      <c r="G53" s="354"/>
      <c r="H53" s="354"/>
      <c r="I53" s="354"/>
      <c r="J53" s="354"/>
      <c r="K53" s="354"/>
      <c r="L53" s="354"/>
      <c r="M53" s="354"/>
      <c r="N53" s="355"/>
      <c r="O53" s="88"/>
      <c r="P53" s="767" t="str">
        <f ca="1">IF($O$54&gt;0,P52,"")</f>
        <v/>
      </c>
      <c r="Q53" s="767"/>
      <c r="R53" s="767"/>
      <c r="S53" s="88"/>
      <c r="T53" s="88"/>
      <c r="U53" s="88"/>
      <c r="V53" s="88"/>
      <c r="W53" s="88"/>
      <c r="X53" s="88"/>
      <c r="Y53" s="88"/>
      <c r="Z53" s="88"/>
      <c r="AA53" s="88"/>
      <c r="AB53" s="88"/>
      <c r="AC53" s="88"/>
      <c r="AD53" s="88"/>
      <c r="AE53" s="83"/>
      <c r="AF53" s="427"/>
      <c r="AH53" s="426" t="s">
        <v>84</v>
      </c>
      <c r="AI53" s="426"/>
      <c r="AJ53" s="426"/>
      <c r="AK53" s="426"/>
      <c r="AL53" s="426"/>
      <c r="AM53" s="426"/>
      <c r="AN53" s="426"/>
      <c r="AO53" s="426"/>
      <c r="AP53" s="426"/>
      <c r="AQ53" s="426"/>
      <c r="AR53" s="426"/>
      <c r="AS53" s="426"/>
      <c r="AT53" s="426"/>
      <c r="AU53" s="426" t="s">
        <v>85</v>
      </c>
      <c r="AV53" s="426"/>
      <c r="AW53" s="426"/>
      <c r="AX53" s="426"/>
      <c r="AY53" s="426"/>
      <c r="AZ53" s="435"/>
      <c r="BA53" s="430"/>
      <c r="BB53" s="430"/>
      <c r="BD53" s="430"/>
      <c r="BE53" s="431"/>
      <c r="BF53" s="431"/>
      <c r="BG53" s="430"/>
      <c r="BH53" s="430"/>
      <c r="BI53" s="430"/>
      <c r="BJ53" s="430"/>
      <c r="BK53" s="430"/>
      <c r="BL53" s="430"/>
      <c r="BM53" s="430"/>
      <c r="BN53" s="430"/>
      <c r="BO53" s="430"/>
      <c r="BP53" s="430"/>
      <c r="BQ53" s="430"/>
      <c r="BR53" s="430"/>
      <c r="BS53" s="430"/>
      <c r="CC53" s="412"/>
      <c r="CD53" s="412">
        <v>1</v>
      </c>
      <c r="CE53" s="412">
        <v>2</v>
      </c>
      <c r="CF53" s="412">
        <v>3</v>
      </c>
      <c r="CG53" s="412">
        <v>4</v>
      </c>
      <c r="CH53" s="412">
        <v>5</v>
      </c>
      <c r="CI53" s="412">
        <v>6</v>
      </c>
      <c r="CJ53" s="412">
        <v>7</v>
      </c>
      <c r="CK53" s="412">
        <v>8</v>
      </c>
      <c r="CL53" s="412">
        <v>9</v>
      </c>
      <c r="CM53" s="412">
        <v>10</v>
      </c>
      <c r="CN53" s="412">
        <v>11</v>
      </c>
      <c r="CO53" s="412">
        <v>12</v>
      </c>
      <c r="CP53" s="412">
        <v>13</v>
      </c>
      <c r="CQ53" s="412">
        <v>14</v>
      </c>
      <c r="CR53" s="412">
        <v>15</v>
      </c>
      <c r="CS53" s="412">
        <v>16</v>
      </c>
      <c r="CT53" s="412">
        <v>17</v>
      </c>
      <c r="CU53" s="412">
        <v>18</v>
      </c>
      <c r="CV53" s="412">
        <v>19</v>
      </c>
      <c r="CW53" s="412">
        <v>20</v>
      </c>
      <c r="CX53" s="412">
        <v>21</v>
      </c>
      <c r="CY53" s="412">
        <v>22</v>
      </c>
      <c r="CZ53" s="412">
        <v>23</v>
      </c>
      <c r="DA53" s="412">
        <v>24</v>
      </c>
      <c r="DB53" s="412">
        <v>25</v>
      </c>
      <c r="DC53" s="412">
        <v>26</v>
      </c>
      <c r="DD53" s="412">
        <v>27</v>
      </c>
      <c r="DE53" s="412">
        <v>28</v>
      </c>
      <c r="DF53" s="412">
        <v>29</v>
      </c>
      <c r="DG53" s="412">
        <v>30</v>
      </c>
      <c r="DH53" s="412">
        <v>31</v>
      </c>
      <c r="DI53" s="412">
        <v>32</v>
      </c>
      <c r="DK53" s="426" t="s">
        <v>24</v>
      </c>
      <c r="DL53" s="412">
        <v>123456</v>
      </c>
      <c r="DM53" s="412">
        <v>12345</v>
      </c>
      <c r="DN53" s="412">
        <v>1234</v>
      </c>
      <c r="DO53" s="412">
        <v>123</v>
      </c>
      <c r="DP53" s="412">
        <v>12</v>
      </c>
      <c r="DQ53" s="412">
        <v>1</v>
      </c>
      <c r="DR53" s="426">
        <v>23456</v>
      </c>
      <c r="DS53" s="426">
        <v>2345</v>
      </c>
      <c r="DT53" s="426">
        <v>234</v>
      </c>
      <c r="DU53" s="426">
        <v>23</v>
      </c>
      <c r="DV53" s="426">
        <v>2</v>
      </c>
      <c r="DW53" s="426">
        <v>3456</v>
      </c>
      <c r="DX53" s="426">
        <v>345</v>
      </c>
      <c r="DY53" s="426">
        <v>34</v>
      </c>
      <c r="DZ53" s="426">
        <v>3</v>
      </c>
      <c r="EA53" s="426">
        <v>456</v>
      </c>
      <c r="EB53" s="426">
        <v>45</v>
      </c>
      <c r="EC53" s="426">
        <v>4</v>
      </c>
      <c r="ED53" s="426">
        <v>56</v>
      </c>
      <c r="EE53" s="426">
        <v>5</v>
      </c>
      <c r="EF53" s="426">
        <v>6</v>
      </c>
      <c r="EN53" s="426" cm="1">
        <f t="array" aca="1" ref="EN53" ca="1">OFFSET($DK$53,1,MATCH($BL$54,$DL$53:$EF$53,0),HLOOKUP($BL54,$DL$53:$EF$60,8,0),1)</f>
        <v>1</v>
      </c>
      <c r="EO53" s="426" cm="1">
        <f t="array" aca="1" ref="EO53" ca="1">OFFSET($DK$53,1,MATCH($BL$55,$DL$53:$EF$53,0),HLOOKUP($BL55,$DL$53:$EF$60,8,0),1)</f>
        <v>2</v>
      </c>
      <c r="EP53" s="426" cm="1">
        <f t="array" aca="1" ref="EP53" ca="1">OFFSET($DK$53,1,MATCH($BL$56,$DL$53:$EF$53,0),HLOOKUP($BL56,$DL$53:$EF$60,8,0),1)</f>
        <v>3</v>
      </c>
      <c r="EQ53" s="426" cm="1">
        <f t="array" aca="1" ref="EQ53" ca="1">OFFSET($DK$53,1,MATCH($BL$57,$DL$53:$EF$53,0),HLOOKUP($BL57,$DL$53:$EF$60,8,0),1)</f>
        <v>4</v>
      </c>
      <c r="ER53" s="431" cm="1">
        <f t="array" aca="1" ref="ER53" ca="1">OFFSET($DK$53,1,MATCH($BL$58,$DL$53:$EF$53,0),HLOOKUP($BL58,$DL$53:$EF$60,8,0),1)</f>
        <v>5</v>
      </c>
      <c r="ES53" s="426" cm="1">
        <f t="array" aca="1" ref="ES53" ca="1">OFFSET($DK$53,1,MATCH($BL$59,$DL$53:$EF$53,0),HLOOKUP($BL59,$DL$53:$EF$60,8,0),1)</f>
        <v>6</v>
      </c>
    </row>
    <row r="54" spans="1:2346 10930:10930" ht="16.2" thickBot="1" x14ac:dyDescent="0.35">
      <c r="A54" s="187"/>
      <c r="B54" s="187"/>
      <c r="C54" s="187"/>
      <c r="D54" s="189"/>
      <c r="E54" s="359" t="str">
        <f>Q5</f>
        <v>Pos</v>
      </c>
      <c r="F54" s="360" t="str">
        <f>R5</f>
        <v>Selección</v>
      </c>
      <c r="G54" s="424" t="str">
        <f t="shared" ref="G54:M54" si="50">S5</f>
        <v>Pts</v>
      </c>
      <c r="H54" s="424" t="str">
        <f t="shared" si="50"/>
        <v>J</v>
      </c>
      <c r="I54" s="424" t="str">
        <f t="shared" si="50"/>
        <v>G</v>
      </c>
      <c r="J54" s="424" t="str">
        <f t="shared" si="50"/>
        <v>E</v>
      </c>
      <c r="K54" s="424" t="str">
        <f t="shared" si="50"/>
        <v>P</v>
      </c>
      <c r="L54" s="424" t="str">
        <f t="shared" si="50"/>
        <v>GF</v>
      </c>
      <c r="M54" s="424" t="str">
        <f t="shared" si="50"/>
        <v>GC</v>
      </c>
      <c r="N54" s="361" t="str">
        <f>Z5</f>
        <v>DG</v>
      </c>
      <c r="O54" s="108">
        <f ca="1">COUNTIF(O55:O57,"&lt;100")</f>
        <v>0</v>
      </c>
      <c r="P54" s="767"/>
      <c r="Q54" s="767"/>
      <c r="R54" s="767"/>
      <c r="S54" s="88"/>
      <c r="T54" s="88"/>
      <c r="U54" s="88"/>
      <c r="V54" s="88"/>
      <c r="W54" s="88"/>
      <c r="X54" s="88"/>
      <c r="Y54" s="88"/>
      <c r="Z54" s="88"/>
      <c r="AA54" s="88"/>
      <c r="AB54" s="88"/>
      <c r="AC54" s="88"/>
      <c r="AD54" s="88"/>
      <c r="AE54" s="83"/>
      <c r="AF54" s="427"/>
      <c r="AG54" s="431" t="s">
        <v>19</v>
      </c>
      <c r="AH54" s="431" t="s">
        <v>25</v>
      </c>
      <c r="AI54" s="431" t="s">
        <v>26</v>
      </c>
      <c r="AJ54" s="431" t="s">
        <v>27</v>
      </c>
      <c r="AK54" s="431" t="s">
        <v>28</v>
      </c>
      <c r="AL54" s="431" t="s">
        <v>29</v>
      </c>
      <c r="AM54" s="431" t="s">
        <v>30</v>
      </c>
      <c r="AN54" s="431" t="s">
        <v>31</v>
      </c>
      <c r="AO54" s="431" t="s">
        <v>32</v>
      </c>
      <c r="AP54" s="431" t="s">
        <v>33</v>
      </c>
      <c r="AQ54" s="431" t="s">
        <v>34</v>
      </c>
      <c r="AR54" s="431" t="s">
        <v>35</v>
      </c>
      <c r="AS54" s="431" t="s">
        <v>25</v>
      </c>
      <c r="AT54" s="426"/>
      <c r="AU54" s="426"/>
      <c r="AV54" s="426"/>
      <c r="AW54" s="432"/>
      <c r="AX54" s="427"/>
      <c r="AY54" s="430"/>
      <c r="AZ54" s="432" t="s">
        <v>44</v>
      </c>
      <c r="BA54" s="434" t="s">
        <v>86</v>
      </c>
      <c r="BB54" s="431" t="s">
        <v>46</v>
      </c>
      <c r="BC54" s="431" t="s">
        <v>47</v>
      </c>
      <c r="BD54" s="432" t="s">
        <v>48</v>
      </c>
      <c r="BE54" s="431" t="s">
        <v>49</v>
      </c>
      <c r="BF54" s="431"/>
      <c r="BG54" s="431"/>
      <c r="BH54" s="431"/>
      <c r="BI54" s="430"/>
      <c r="BJ54" s="430"/>
      <c r="BK54" s="412">
        <v>1</v>
      </c>
      <c r="BL54" s="430">
        <f ca="1">HLOOKUP($BJ$55,$CD$53:$DI$60,3,0)</f>
        <v>1</v>
      </c>
      <c r="BN54" s="430"/>
      <c r="BO54" s="430"/>
      <c r="BP54" s="430"/>
      <c r="BQ54" s="430"/>
      <c r="BR54" s="430"/>
      <c r="BS54" s="430"/>
      <c r="BU54" s="432"/>
      <c r="BV54" s="432" t="s">
        <v>41</v>
      </c>
      <c r="BW54" s="432"/>
      <c r="BX54" s="432" t="s">
        <v>43</v>
      </c>
      <c r="BY54" s="432"/>
      <c r="CC54" s="428"/>
      <c r="CD54" s="428">
        <v>666666</v>
      </c>
      <c r="CE54" s="428">
        <v>555551</v>
      </c>
      <c r="CF54" s="428">
        <v>444422</v>
      </c>
      <c r="CG54" s="428">
        <v>444411</v>
      </c>
      <c r="CH54" s="428">
        <v>333333</v>
      </c>
      <c r="CI54" s="428">
        <v>333221</v>
      </c>
      <c r="CJ54" s="428">
        <v>333122</v>
      </c>
      <c r="CK54" s="428">
        <v>333111</v>
      </c>
      <c r="CL54" s="428">
        <v>224444</v>
      </c>
      <c r="CM54" s="428">
        <v>223331</v>
      </c>
      <c r="CN54" s="428">
        <v>222222</v>
      </c>
      <c r="CO54" s="428">
        <v>222211</v>
      </c>
      <c r="CP54" s="428">
        <v>221333</v>
      </c>
      <c r="CQ54" s="428">
        <v>221221</v>
      </c>
      <c r="CR54" s="428">
        <v>221122</v>
      </c>
      <c r="CS54" s="428">
        <v>221111</v>
      </c>
      <c r="CT54" s="428">
        <v>155555</v>
      </c>
      <c r="CU54" s="428">
        <v>144441</v>
      </c>
      <c r="CV54" s="428">
        <v>133322</v>
      </c>
      <c r="CW54" s="428">
        <v>133311</v>
      </c>
      <c r="CX54" s="428">
        <v>122333</v>
      </c>
      <c r="CY54" s="428">
        <v>122221</v>
      </c>
      <c r="CZ54" s="428">
        <v>122122</v>
      </c>
      <c r="DA54" s="428">
        <v>122111</v>
      </c>
      <c r="DB54" s="428">
        <v>114444</v>
      </c>
      <c r="DC54" s="428">
        <v>113331</v>
      </c>
      <c r="DD54" s="428">
        <v>112222</v>
      </c>
      <c r="DE54" s="428">
        <v>112211</v>
      </c>
      <c r="DF54" s="428">
        <v>111333</v>
      </c>
      <c r="DG54" s="428">
        <v>111221</v>
      </c>
      <c r="DH54" s="428">
        <v>111122</v>
      </c>
      <c r="DI54" s="428">
        <v>111111</v>
      </c>
      <c r="DL54" s="412">
        <v>1</v>
      </c>
      <c r="DM54" s="412">
        <v>1</v>
      </c>
      <c r="DN54" s="412">
        <v>1</v>
      </c>
      <c r="DO54" s="412">
        <v>1</v>
      </c>
      <c r="DP54" s="412">
        <v>1</v>
      </c>
      <c r="DQ54" s="412">
        <v>1</v>
      </c>
      <c r="DR54" s="426">
        <v>2</v>
      </c>
      <c r="DS54" s="426">
        <v>2</v>
      </c>
      <c r="DT54" s="426">
        <v>2</v>
      </c>
      <c r="DU54" s="426">
        <v>2</v>
      </c>
      <c r="DV54" s="426">
        <v>2</v>
      </c>
      <c r="DW54" s="426">
        <v>3</v>
      </c>
      <c r="DX54" s="426">
        <v>3</v>
      </c>
      <c r="DY54" s="426">
        <v>3</v>
      </c>
      <c r="DZ54" s="426">
        <v>3</v>
      </c>
      <c r="EA54" s="426">
        <v>4</v>
      </c>
      <c r="EB54" s="426">
        <v>4</v>
      </c>
      <c r="EC54" s="426">
        <v>4</v>
      </c>
      <c r="ED54" s="426">
        <v>5</v>
      </c>
      <c r="EE54" s="426">
        <v>5</v>
      </c>
      <c r="EF54" s="426">
        <v>6</v>
      </c>
      <c r="ER54" s="431"/>
      <c r="CGQ54" s="412"/>
      <c r="CGR54" s="412"/>
      <c r="CGS54" s="412"/>
      <c r="CGT54" s="412"/>
      <c r="CGU54" s="412"/>
      <c r="CGV54" s="412"/>
      <c r="CGW54" s="412"/>
      <c r="CGX54" s="412"/>
      <c r="CGY54" s="412"/>
      <c r="CGZ54" s="412"/>
      <c r="CHA54" s="412"/>
      <c r="CHB54" s="412"/>
      <c r="CHC54" s="412"/>
      <c r="CHD54" s="412"/>
      <c r="CHE54" s="412"/>
      <c r="CHF54" s="412"/>
      <c r="CHG54" s="412"/>
      <c r="CHH54" s="412"/>
      <c r="CHI54" s="412"/>
      <c r="CHJ54" s="412"/>
      <c r="CHK54" s="412"/>
      <c r="CHL54" s="412"/>
      <c r="CHM54" s="412"/>
      <c r="CHN54" s="412"/>
      <c r="CHO54" s="412"/>
      <c r="CHP54" s="412"/>
      <c r="CHQ54" s="412"/>
      <c r="CHR54" s="412"/>
      <c r="CHS54" s="412"/>
      <c r="CHT54" s="412"/>
      <c r="CHU54" s="412"/>
      <c r="CHV54" s="412"/>
      <c r="CHW54" s="412"/>
      <c r="CHX54" s="412"/>
      <c r="CHY54" s="412"/>
      <c r="CHZ54" s="412"/>
      <c r="CIA54" s="412"/>
      <c r="CIB54" s="412"/>
      <c r="CIC54" s="412"/>
      <c r="CID54" s="412"/>
      <c r="CIE54" s="412"/>
      <c r="CIF54" s="412"/>
      <c r="CIG54" s="412"/>
      <c r="CIH54" s="412"/>
      <c r="CII54" s="412"/>
      <c r="CIJ54" s="412"/>
      <c r="CIK54" s="412"/>
      <c r="CIL54" s="412"/>
      <c r="CIM54" s="412"/>
      <c r="CIN54" s="412"/>
      <c r="CIO54" s="412"/>
      <c r="CIP54" s="412"/>
      <c r="CIQ54" s="412"/>
      <c r="CIR54" s="412"/>
      <c r="CIS54" s="412"/>
      <c r="CIT54" s="412"/>
      <c r="CIU54" s="412"/>
      <c r="CIV54" s="412"/>
      <c r="CIW54" s="412"/>
      <c r="CIX54" s="412"/>
      <c r="CIY54" s="412"/>
      <c r="CIZ54" s="412"/>
      <c r="CJA54" s="412"/>
      <c r="CJB54" s="412"/>
      <c r="CJC54" s="412"/>
      <c r="CJD54" s="412"/>
      <c r="CJE54" s="412"/>
      <c r="CJF54" s="412"/>
      <c r="CJG54" s="412"/>
      <c r="CJH54" s="412"/>
      <c r="CJI54" s="412"/>
      <c r="CJJ54" s="412"/>
      <c r="CJK54" s="412"/>
      <c r="CJL54" s="412"/>
      <c r="CJM54" s="412"/>
      <c r="CJN54" s="412"/>
      <c r="CJO54" s="412"/>
      <c r="CJP54" s="412"/>
      <c r="CJQ54" s="412"/>
      <c r="CJR54" s="412"/>
      <c r="CJS54" s="412"/>
      <c r="CJT54" s="412"/>
      <c r="CJU54" s="412"/>
      <c r="CJV54" s="412"/>
      <c r="CJW54" s="412"/>
      <c r="CJX54" s="412"/>
      <c r="CJY54" s="412"/>
      <c r="CJZ54" s="412"/>
      <c r="CKA54" s="412"/>
      <c r="CKB54" s="412"/>
      <c r="CKC54" s="412"/>
      <c r="CKD54" s="412"/>
      <c r="CKE54" s="412"/>
      <c r="CKF54" s="412"/>
      <c r="CKG54" s="412"/>
      <c r="CKH54" s="412"/>
      <c r="CKI54" s="412"/>
      <c r="CKJ54" s="412"/>
      <c r="CKK54" s="412"/>
      <c r="CKL54" s="412"/>
      <c r="CKM54" s="412"/>
      <c r="CKN54" s="412"/>
      <c r="CKO54" s="412"/>
      <c r="CKP54" s="412"/>
      <c r="CKQ54" s="412"/>
      <c r="CKR54" s="412"/>
      <c r="CKS54" s="412"/>
      <c r="CKT54" s="412"/>
      <c r="CKU54" s="412"/>
      <c r="CKV54" s="412"/>
      <c r="CKW54" s="412"/>
      <c r="CKX54" s="412"/>
      <c r="CKY54" s="412"/>
      <c r="CKZ54" s="412"/>
      <c r="CLA54" s="412"/>
      <c r="CLB54" s="412"/>
      <c r="CLC54" s="412"/>
      <c r="CLD54" s="412"/>
      <c r="CLE54" s="412"/>
      <c r="CLF54" s="412"/>
    </row>
    <row r="55" spans="1:2346 10930:10930" ht="15.6" x14ac:dyDescent="0.3">
      <c r="A55" s="187" t="str">
        <f ca="1">IF(SUM($AK$6:$AK$9)=12,R8,"3A")</f>
        <v>Hungría</v>
      </c>
      <c r="B55" s="187"/>
      <c r="C55" s="187"/>
      <c r="D55" s="189"/>
      <c r="E55" s="362">
        <v>1</v>
      </c>
      <c r="F55" s="363" t="str">
        <f ca="1">IF(SUM($AK$66:$AK$71)=18,VLOOKUP(E55,$AG$55:$AI$60,3,0),"3A")</f>
        <v>España</v>
      </c>
      <c r="G55" s="364">
        <f ca="1">IF(SUM($AK$66:$AK$71)=18,VLOOKUP(F55,$AI$55:$AR$60,2,FALSE),"3A")</f>
        <v>2</v>
      </c>
      <c r="H55" s="364">
        <f ca="1">IF(SUM($AK$66:$AK$71)=18,VLOOKUP($F55,$AI$55:$AR$60,3,FALSE),"3A")</f>
        <v>3</v>
      </c>
      <c r="I55" s="364">
        <f ca="1">IF(SUM($AK$66:$AK$71)=18,VLOOKUP($F55,$AI$55:$AR$60,4,FALSE),"3A")</f>
        <v>0</v>
      </c>
      <c r="J55" s="364">
        <f ca="1">IF(SUM($AK$66:$AK$71)=18,VLOOKUP($F55,$AI$55:$AR$60,5,FALSE),"3A")</f>
        <v>2</v>
      </c>
      <c r="K55" s="365">
        <f ca="1">IF(SUM($AK$66:$AK$71)=18,VLOOKUP($F55,$AI$55:$AR$60,6,FALSE),"3A")</f>
        <v>1</v>
      </c>
      <c r="L55" s="365">
        <f ca="1">IF(SUM($AK$66:$AK$71)=18,VLOOKUP($F55,$AI$55:$AR$60,7,FALSE),"3A")</f>
        <v>2</v>
      </c>
      <c r="M55" s="365">
        <f ca="1">IF(SUM($AK$66:$AK$71)=18,VLOOKUP($F55,$AI$55:$AR$60,8,FALSE),"3A")</f>
        <v>3</v>
      </c>
      <c r="N55" s="366">
        <f ca="1">IF(SUM($AK$66:$AK$71)=18,VLOOKUP($F55,$AI$55:$AR$60,9,FALSE),"3A")</f>
        <v>-1</v>
      </c>
      <c r="O55" s="86">
        <f t="shared" ref="O55:O59" ca="1" si="51">IF(SUM($AK$55:$AK$60)=18,MIN(ABS(BY54-BY55),ABS(BY55-BY56)),100)</f>
        <v>138875020000.08002</v>
      </c>
      <c r="P55" s="109" t="str">
        <f t="shared" ref="P55:P60" ca="1" si="52">IF(AND(O55&gt;=0,O55&lt;90),VLOOKUP(E55,$BU$55:$BV$60,2,0),"")</f>
        <v/>
      </c>
      <c r="Q55" s="236"/>
      <c r="R55" s="83"/>
      <c r="S55" s="88"/>
      <c r="T55" s="88"/>
      <c r="U55" s="88"/>
      <c r="V55" s="88"/>
      <c r="W55" s="88"/>
      <c r="X55" s="88"/>
      <c r="Y55" s="88"/>
      <c r="Z55" s="88"/>
      <c r="AA55" s="88"/>
      <c r="AB55" s="88"/>
      <c r="AC55" s="88"/>
      <c r="AD55" s="88"/>
      <c r="AE55" s="83"/>
      <c r="AF55" s="427"/>
      <c r="AG55" s="426">
        <f t="shared" ref="AG55:AG60" ca="1" si="53">RANK(AU55,$AU$55:$AU$60)</f>
        <v>4</v>
      </c>
      <c r="AH55" s="426">
        <f t="shared" ref="AH55:AH60" ca="1" si="54">RANK(AR55,$AR$55:$AR$60)</f>
        <v>4</v>
      </c>
      <c r="AI55" s="412" t="str">
        <f ca="1">IF($AH$65=72,VLOOKUP(3,$AG$6:$AI$9,3,0),"3A")</f>
        <v>Hungría</v>
      </c>
      <c r="AJ55" s="412">
        <f ca="1">IF($AH$65=72,VLOOKUP(3,$AG$6:$AR$9,4,0),0)</f>
        <v>1</v>
      </c>
      <c r="AK55" s="412">
        <f ca="1">IF($AH$65=72,VLOOKUP(3,$AG$6:$AR$9,5,0),0)</f>
        <v>3</v>
      </c>
      <c r="AL55" s="412">
        <f ca="1">IF($AH$65=72,VLOOKUP(3,$AG$6:$AR$9,6,0),0)</f>
        <v>0</v>
      </c>
      <c r="AM55" s="412">
        <f ca="1">IF($AH$65=72,VLOOKUP(3,$AG$6:$AR$9,7,0),0)</f>
        <v>1</v>
      </c>
      <c r="AN55" s="412">
        <f ca="1">IF($AH$65=72,VLOOKUP(3,$AG$6:$AR$9,8,0),0)</f>
        <v>2</v>
      </c>
      <c r="AO55" s="412">
        <f ca="1">IF($AH$65=72,VLOOKUP(3,$AG$6:$AR$9,9,0),0)</f>
        <v>0</v>
      </c>
      <c r="AP55" s="412">
        <f ca="1">IF($AH$65=72,VLOOKUP(3,$AG$6:$AR$9,10,0),0)</f>
        <v>3</v>
      </c>
      <c r="AQ55" s="412">
        <f ca="1">IF($AH$65=72,VLOOKUP(3,$AG$6:$AR$9,11,0),0)</f>
        <v>-3</v>
      </c>
      <c r="AR55" s="426">
        <f ca="1">IF(AK55=0,1,AJ55*$AW$5+AQ55*$AW$12+AO55*$AW$13+AL55*$AW$14-($AW$15*VLOOKUP(AI55,Tabla3[[NombreEquipo]:[Rank]],3,FALSE)/100))</f>
        <v>138874969999.97</v>
      </c>
      <c r="AS55" s="426">
        <f t="shared" ref="AS55:AS60" ca="1" si="55">AH55</f>
        <v>4</v>
      </c>
      <c r="AT55" s="426"/>
      <c r="AU55" s="426">
        <f t="shared" ref="AU55:AU60" ca="1" si="56">IFERROR(AR55-VLOOKUP(AI55,$P$55:$Q$60,2,0),AR55)</f>
        <v>138874969999.97</v>
      </c>
      <c r="AV55" s="426"/>
      <c r="AX55" s="426"/>
      <c r="AY55" s="430"/>
      <c r="AZ55" s="412">
        <f ca="1">RANK(BB55,$BB$55:$BB$60)</f>
        <v>4</v>
      </c>
      <c r="BA55" s="412" t="str">
        <f ca="1">IF($AH$65=72,VLOOKUP(3,$AG$6:$AI$9,3,0),"3A")</f>
        <v>Hungría</v>
      </c>
      <c r="BB55" s="430">
        <f ca="1">IF(AK55=0,6,AJ55*$AW$5+AQ55*$AW$12+AO55*$AW$13+AL55*$AW$14-($AW$15*VLOOKUP(AI55,Tabla3[[NombreEquipo]:[Rank]],3,FALSE)/100))</f>
        <v>138874969999.97</v>
      </c>
      <c r="BC55" s="430">
        <f ca="1">IF(AK55=0,6,AJ55*$AW$5+AQ55*$AW$12+AO55*$AW$13+AL55*$AW$14)</f>
        <v>138874970000</v>
      </c>
      <c r="BD55" s="412">
        <v>1</v>
      </c>
      <c r="BE55" s="412" t="str">
        <f ca="1">VLOOKUP(BD55,$AZ$55:$BA$60,2,0)</f>
        <v>España</v>
      </c>
      <c r="BF55" s="430">
        <f ca="1">VLOOKUP(BD55,$AZ$55:$BC$60,4,0)</f>
        <v>277749991000</v>
      </c>
      <c r="BG55" s="430">
        <f t="shared" ref="BG55:BG60" ca="1" si="57">COUNTIF($BF$55:$BF$60,BF55)</f>
        <v>1</v>
      </c>
      <c r="BH55" s="430" t="str">
        <f ca="1">BG55&amp;BG56&amp;BG57&amp;BG58&amp;BG59&amp;BG60</f>
        <v>111111</v>
      </c>
      <c r="BI55" s="430"/>
      <c r="BJ55" s="430">
        <f ca="1">HLOOKUP(BH55,$CD$52:$DI$53,2,0)</f>
        <v>32</v>
      </c>
      <c r="BK55" s="412">
        <v>2</v>
      </c>
      <c r="BL55" s="430">
        <f ca="1">HLOOKUP($BJ$55,$CD$53:$DI$60,4,0)</f>
        <v>2</v>
      </c>
      <c r="BN55" s="430"/>
      <c r="BO55" s="430"/>
      <c r="BP55" s="430"/>
      <c r="BQ55" s="430"/>
      <c r="BR55" s="430"/>
      <c r="BS55" s="430"/>
      <c r="BT55" s="412">
        <v>1</v>
      </c>
      <c r="BU55" s="412">
        <f ca="1">IF(SUM($AK$66:$AK$71)=18,RANK(BW55,$BW$55:$BW$60),1)</f>
        <v>4</v>
      </c>
      <c r="BV55" s="412" t="str">
        <f t="shared" ref="BV55:BV60" ca="1" si="58">A55</f>
        <v>Hungría</v>
      </c>
      <c r="BW55" s="426">
        <f ca="1">IF(SUM($AK$6:$AK$9)=12,AJ55*$AW$5+AQ55*$AW$12+AO55*$AW$13+AL55*$AW$14-($AW$15*1/100),"3A")</f>
        <v>138874969999.98999</v>
      </c>
      <c r="BX55" s="412" t="str">
        <f t="shared" ref="BX55:BX60" ca="1" si="59">VLOOKUP(E55,$AH$55:$AI$60,2,0)</f>
        <v>España</v>
      </c>
      <c r="BY55" s="412">
        <f t="shared" ref="BY55:BY60" ca="1" si="60">VLOOKUP($BX55,$AI$55:$AR$60,10,FALSE)</f>
        <v>277749990999.95001</v>
      </c>
      <c r="CC55" s="428">
        <v>1</v>
      </c>
      <c r="CD55" s="412">
        <v>123456</v>
      </c>
      <c r="CE55" s="412">
        <v>12345</v>
      </c>
      <c r="CF55" s="412">
        <v>1234</v>
      </c>
      <c r="CG55" s="412">
        <v>1234</v>
      </c>
      <c r="CH55" s="412">
        <v>123</v>
      </c>
      <c r="CI55" s="412">
        <v>123</v>
      </c>
      <c r="CJ55" s="412">
        <v>123</v>
      </c>
      <c r="CK55" s="412">
        <v>123</v>
      </c>
      <c r="CL55" s="412">
        <v>12</v>
      </c>
      <c r="CM55" s="412">
        <v>12</v>
      </c>
      <c r="CN55" s="412">
        <v>12</v>
      </c>
      <c r="CO55" s="412">
        <v>12</v>
      </c>
      <c r="CP55" s="412">
        <v>12</v>
      </c>
      <c r="CQ55" s="412">
        <v>12</v>
      </c>
      <c r="CR55" s="412">
        <v>12</v>
      </c>
      <c r="CS55" s="412">
        <v>12</v>
      </c>
      <c r="CT55" s="412">
        <v>1</v>
      </c>
      <c r="CU55" s="412">
        <v>1</v>
      </c>
      <c r="CV55" s="412">
        <v>1</v>
      </c>
      <c r="CW55" s="412">
        <v>1</v>
      </c>
      <c r="CX55" s="412">
        <v>1</v>
      </c>
      <c r="CY55" s="412">
        <v>1</v>
      </c>
      <c r="CZ55" s="412">
        <v>1</v>
      </c>
      <c r="DA55" s="412">
        <v>1</v>
      </c>
      <c r="DB55" s="412">
        <v>1</v>
      </c>
      <c r="DC55" s="412">
        <v>1</v>
      </c>
      <c r="DD55" s="412">
        <v>1</v>
      </c>
      <c r="DE55" s="412">
        <v>1</v>
      </c>
      <c r="DF55" s="412">
        <v>1</v>
      </c>
      <c r="DG55" s="412">
        <v>1</v>
      </c>
      <c r="DH55" s="412">
        <v>1</v>
      </c>
      <c r="DI55" s="412">
        <v>1</v>
      </c>
      <c r="DL55" s="412">
        <v>2</v>
      </c>
      <c r="DM55" s="412">
        <v>2</v>
      </c>
      <c r="DN55" s="412">
        <v>2</v>
      </c>
      <c r="DO55" s="412">
        <v>2</v>
      </c>
      <c r="DP55" s="412">
        <v>2</v>
      </c>
      <c r="DQ55" s="412"/>
      <c r="DR55" s="426">
        <v>3</v>
      </c>
      <c r="DS55" s="426">
        <v>3</v>
      </c>
      <c r="DT55" s="426">
        <v>3</v>
      </c>
      <c r="DU55" s="426">
        <v>3</v>
      </c>
      <c r="DW55" s="426">
        <v>4</v>
      </c>
      <c r="DX55" s="426">
        <v>4</v>
      </c>
      <c r="DY55" s="426">
        <v>4</v>
      </c>
      <c r="EA55" s="426">
        <v>5</v>
      </c>
      <c r="EB55" s="426">
        <v>5</v>
      </c>
      <c r="ED55" s="426">
        <v>6</v>
      </c>
      <c r="ER55" s="431"/>
    </row>
    <row r="56" spans="1:2346 10930:10930" ht="15.6" x14ac:dyDescent="0.3">
      <c r="A56" s="187" t="str">
        <f ca="1">IF(SUM($AK$14:$AK$17)=12,R16,"3B")</f>
        <v>España</v>
      </c>
      <c r="B56" s="187"/>
      <c r="C56" s="187"/>
      <c r="D56" s="189"/>
      <c r="E56" s="356">
        <v>2</v>
      </c>
      <c r="F56" s="237" t="str">
        <f ca="1">IF(SUM($AK$66:$AK$71)=18,VLOOKUP(E56,$AG$55:$AI$60,3,0),"3B")</f>
        <v>Polonia</v>
      </c>
      <c r="G56" s="238">
        <f ca="1">IF(SUM($AK$66:$AK$71)=18,VLOOKUP(F56,$AI$55:$AR$60,2,FALSE),"3B")</f>
        <v>1</v>
      </c>
      <c r="H56" s="238">
        <f ca="1">IF(SUM($AK$66:$AK$71)=18,VLOOKUP($F56,$AI$55:$AR$60,3,FALSE),"3B")</f>
        <v>3</v>
      </c>
      <c r="I56" s="238">
        <f ca="1">IF(SUM($AK$66:$AK$71)=18,VLOOKUP($F56,$AI$55:$AR$60,4,FALSE),"3B")</f>
        <v>0</v>
      </c>
      <c r="J56" s="238">
        <f ca="1">IF(SUM($AK$66:$AK$71)=18,VLOOKUP($F56,$AI$55:$AR$60,5,FALSE),"3B")</f>
        <v>1</v>
      </c>
      <c r="K56" s="238">
        <f ca="1">IF(SUM($AK$66:$AK$71)=18,VLOOKUP($F56,$AI$55:$AR$60,6,FALSE),"3B")</f>
        <v>2</v>
      </c>
      <c r="L56" s="238">
        <f ca="1">IF(SUM($AK$66:$AK$71)=18,VLOOKUP($F56,$AI$55:$AR$60,7,FALSE),"3B")</f>
        <v>2</v>
      </c>
      <c r="M56" s="238">
        <f ca="1">IF(SUM($AK$66:$AK$71)=18,VLOOKUP($F56,$AI$55:$AR$60,8,FALSE),"3B")</f>
        <v>5</v>
      </c>
      <c r="N56" s="357">
        <f ca="1">IF(SUM($AK$66:$AK$71)=18,VLOOKUP($F56,$AI$55:$AR$60,9,FALSE),"3B")</f>
        <v>-3</v>
      </c>
      <c r="O56" s="86">
        <f t="shared" ca="1" si="51"/>
        <v>499.97000122070313</v>
      </c>
      <c r="P56" s="109" t="str">
        <f t="shared" ca="1" si="52"/>
        <v/>
      </c>
      <c r="Q56" s="236"/>
      <c r="R56" s="83"/>
      <c r="S56" s="88"/>
      <c r="T56" s="88"/>
      <c r="U56" s="88"/>
      <c r="V56" s="88"/>
      <c r="W56" s="88"/>
      <c r="X56" s="88"/>
      <c r="Y56" s="88"/>
      <c r="Z56" s="88"/>
      <c r="AA56" s="88"/>
      <c r="AB56" s="88"/>
      <c r="AC56" s="88"/>
      <c r="AD56" s="88"/>
      <c r="AE56" s="83"/>
      <c r="AF56" s="427"/>
      <c r="AG56" s="426">
        <f t="shared" ca="1" si="53"/>
        <v>1</v>
      </c>
      <c r="AH56" s="426">
        <f t="shared" ca="1" si="54"/>
        <v>1</v>
      </c>
      <c r="AI56" s="412" t="str">
        <f ca="1">IF($AH$65=72,VLOOKUP(3,$AG$14:$AI$17,3,0),"3B")</f>
        <v>España</v>
      </c>
      <c r="AJ56" s="412">
        <f ca="1">IF($AH$65=72,VLOOKUP(3,$AG$14:$AR$17,4,0),0)</f>
        <v>2</v>
      </c>
      <c r="AK56" s="412">
        <f ca="1">IF($AH$65=72,VLOOKUP(3,$AG$14:$AR$17,5,0),0)</f>
        <v>3</v>
      </c>
      <c r="AL56" s="412">
        <f ca="1">IF($AH$65=72,VLOOKUP(3,$AG$14:$AR$17,6,0),0)</f>
        <v>0</v>
      </c>
      <c r="AM56" s="412">
        <f ca="1">IF($AH$65=72,VLOOKUP(3,$AG$14:$AR$17,7,0),0)</f>
        <v>2</v>
      </c>
      <c r="AN56" s="412">
        <f ca="1">IF($AH$65=72,VLOOKUP(3,$AG$14:$AR$17,8,0),0)</f>
        <v>1</v>
      </c>
      <c r="AO56" s="412">
        <f ca="1">IF($AH$65=72,VLOOKUP(3,$AG$14:$AR$17,9,0),0)</f>
        <v>2</v>
      </c>
      <c r="AP56" s="412">
        <f ca="1">IF($AH$65=72,VLOOKUP(3,$AG$14:$AR$17,10,0),0)</f>
        <v>3</v>
      </c>
      <c r="AQ56" s="412">
        <f ca="1">IF($AH$65=72,VLOOKUP(3,$AG$14:$AR$17,11,0),0)</f>
        <v>-1</v>
      </c>
      <c r="AR56" s="426">
        <f ca="1">IF(AK56=0,2,AJ56*$AW$5+AQ56*$AW$12+AO56*$AW$13+AL56*$AW$14-($AW$15*VLOOKUP(AI56,Tabla3[[NombreEquipo]:[Rank]],3,FALSE)/100))</f>
        <v>277749990999.95001</v>
      </c>
      <c r="AS56" s="426">
        <f t="shared" ca="1" si="55"/>
        <v>1</v>
      </c>
      <c r="AT56" s="426"/>
      <c r="AU56" s="426">
        <f t="shared" ca="1" si="56"/>
        <v>277749990999.95001</v>
      </c>
      <c r="AV56" s="426"/>
      <c r="AX56" s="426"/>
      <c r="AY56" s="430"/>
      <c r="AZ56" s="412">
        <f t="shared" ref="AZ56:AZ60" ca="1" si="61">RANK(BB56,$BB$55:$BB$60)</f>
        <v>1</v>
      </c>
      <c r="BA56" s="412" t="str">
        <f ca="1">IF($AH$65=72,VLOOKUP(3,$AG$14:$AI$17,3,0),"3B")</f>
        <v>España</v>
      </c>
      <c r="BB56" s="430">
        <f ca="1">IF(AK56=0,5,AJ56*$AW$5+AQ56*$AW$12+AO56*$AW$13+AL56*$AW$14-($AW$15*VLOOKUP(AI56,Tabla3[[NombreEquipo]:[Rank]],3,FALSE)/100))</f>
        <v>277749990999.95001</v>
      </c>
      <c r="BC56" s="430">
        <f ca="1">IF(AK56=0,5,AJ56*$AW$5+AQ56*$AW$12+AO56*$AW$13+AL56*$AW$14)</f>
        <v>277749991000</v>
      </c>
      <c r="BD56" s="412">
        <v>2</v>
      </c>
      <c r="BE56" s="412" t="str">
        <f t="shared" ref="BE56:BE60" ca="1" si="62">VLOOKUP(BD56,$AZ$55:$BA$60,2,0)</f>
        <v>Polonia</v>
      </c>
      <c r="BF56" s="430">
        <f t="shared" ref="BF56:BF60" ca="1" si="63">VLOOKUP(BD56,$AZ$55:$BC$60,4,0)</f>
        <v>138874971000</v>
      </c>
      <c r="BG56" s="430">
        <f t="shared" ca="1" si="57"/>
        <v>1</v>
      </c>
      <c r="BH56" s="430"/>
      <c r="BI56" s="430"/>
      <c r="BJ56" s="430"/>
      <c r="BK56" s="412">
        <v>3</v>
      </c>
      <c r="BL56" s="430">
        <f ca="1">HLOOKUP($BJ$55,$CD$53:$DI$60,5,0)</f>
        <v>3</v>
      </c>
      <c r="BN56" s="430"/>
      <c r="BO56" s="430"/>
      <c r="BP56" s="430"/>
      <c r="BQ56" s="430"/>
      <c r="BR56" s="430"/>
      <c r="BS56" s="430"/>
      <c r="BT56" s="412">
        <v>2</v>
      </c>
      <c r="BU56" s="412">
        <f ca="1">IF(SUM($AK$66:$AK$71)=18,RANK(BW56,$BW$55:$BW$60),2)</f>
        <v>1</v>
      </c>
      <c r="BV56" s="412" t="str">
        <f t="shared" ca="1" si="58"/>
        <v>España</v>
      </c>
      <c r="BW56" s="412">
        <f ca="1">IF(SUM($AK$14:$AK$17)=12,AJ56*$AW$5+AQ56*$AW$12+AO56*$AW$13+AL56*$AW$14-($AW$15*2/100),"3B")</f>
        <v>277749990999.97998</v>
      </c>
      <c r="BX56" s="412" t="str">
        <f t="shared" ca="1" si="59"/>
        <v>Polonia</v>
      </c>
      <c r="BY56" s="412">
        <f t="shared" ca="1" si="60"/>
        <v>138874970999.87</v>
      </c>
      <c r="CC56" s="428">
        <v>2</v>
      </c>
      <c r="CD56" s="412">
        <v>123456</v>
      </c>
      <c r="CE56" s="412">
        <v>12345</v>
      </c>
      <c r="CF56" s="412">
        <v>1234</v>
      </c>
      <c r="CG56" s="412">
        <v>1234</v>
      </c>
      <c r="CH56" s="412">
        <v>123</v>
      </c>
      <c r="CI56" s="412">
        <v>123</v>
      </c>
      <c r="CJ56" s="412">
        <v>123</v>
      </c>
      <c r="CK56" s="412">
        <v>123</v>
      </c>
      <c r="CL56" s="412">
        <v>12</v>
      </c>
      <c r="CM56" s="412">
        <v>12</v>
      </c>
      <c r="CN56" s="412">
        <v>12</v>
      </c>
      <c r="CO56" s="412">
        <v>12</v>
      </c>
      <c r="CP56" s="412">
        <v>12</v>
      </c>
      <c r="CQ56" s="412">
        <v>12</v>
      </c>
      <c r="CR56" s="412">
        <v>12</v>
      </c>
      <c r="CS56" s="412">
        <v>12</v>
      </c>
      <c r="CT56" s="412">
        <v>23456</v>
      </c>
      <c r="CU56" s="412">
        <v>2345</v>
      </c>
      <c r="CV56" s="412">
        <v>234</v>
      </c>
      <c r="CW56" s="412">
        <v>234</v>
      </c>
      <c r="CX56" s="412">
        <v>23</v>
      </c>
      <c r="CY56" s="412">
        <v>23</v>
      </c>
      <c r="CZ56" s="412">
        <v>23</v>
      </c>
      <c r="DA56" s="412">
        <v>23</v>
      </c>
      <c r="DB56" s="412">
        <v>2</v>
      </c>
      <c r="DC56" s="412">
        <v>2</v>
      </c>
      <c r="DD56" s="412">
        <v>2</v>
      </c>
      <c r="DE56" s="412">
        <v>2</v>
      </c>
      <c r="DF56" s="412">
        <v>2</v>
      </c>
      <c r="DG56" s="412">
        <v>2</v>
      </c>
      <c r="DH56" s="412">
        <v>2</v>
      </c>
      <c r="DI56" s="412">
        <v>2</v>
      </c>
      <c r="DL56" s="412">
        <v>3</v>
      </c>
      <c r="DM56" s="412">
        <v>3</v>
      </c>
      <c r="DN56" s="412">
        <v>3</v>
      </c>
      <c r="DO56" s="412">
        <v>3</v>
      </c>
      <c r="DP56" s="412"/>
      <c r="DQ56" s="412"/>
      <c r="DR56" s="426">
        <v>4</v>
      </c>
      <c r="DS56" s="426">
        <v>4</v>
      </c>
      <c r="DT56" s="426">
        <v>4</v>
      </c>
      <c r="DW56" s="426">
        <v>5</v>
      </c>
      <c r="DX56" s="426">
        <v>5</v>
      </c>
      <c r="EA56" s="426">
        <v>6</v>
      </c>
    </row>
    <row r="57" spans="1:2346 10930:10930" ht="15" customHeight="1" x14ac:dyDescent="0.3">
      <c r="A57" s="187" t="str">
        <f ca="1">IF(SUM($AK$22:$AK$25)=12,R24,"3C")</f>
        <v>Dinamarca</v>
      </c>
      <c r="B57" s="187"/>
      <c r="C57" s="187"/>
      <c r="D57" s="189"/>
      <c r="E57" s="356">
        <v>3</v>
      </c>
      <c r="F57" s="237" t="str">
        <f ca="1">IF(SUM($AK$66:$AK$71)=18,VLOOKUP(E57,$AG$55:$AI$60,3,0),"3C")</f>
        <v>Dinamarca</v>
      </c>
      <c r="G57" s="238">
        <f ca="1">IF(SUM($AK$66:$AK$71)=18,VLOOKUP(F57,$AI$55:$AR$60,2,FALSE),"3C")</f>
        <v>1</v>
      </c>
      <c r="H57" s="238">
        <f ca="1">IF(SUM($AK$66:$AK$71)=18,VLOOKUP($F57,$AI$55:$AR$60,3,FALSE),"3C")</f>
        <v>3</v>
      </c>
      <c r="I57" s="238">
        <f ca="1">IF(SUM($AK$66:$AK$71)=18,VLOOKUP($F57,$AI$55:$AR$60,4,FALSE),"3C")</f>
        <v>0</v>
      </c>
      <c r="J57" s="238">
        <f ca="1">IF(SUM($AK$66:$AK$71)=18,VLOOKUP($F57,$AI$55:$AR$60,5,FALSE),"3C")</f>
        <v>1</v>
      </c>
      <c r="K57" s="238">
        <f ca="1">IF(SUM($AK$66:$AK$71)=18,VLOOKUP($F57,$AI$55:$AR$60,6,FALSE),"3C")</f>
        <v>2</v>
      </c>
      <c r="L57" s="238">
        <f ca="1">IF(SUM($AK$66:$AK$71)=18,VLOOKUP($F57,$AI$55:$AR$60,7,FALSE),"3C")</f>
        <v>1</v>
      </c>
      <c r="M57" s="238">
        <f ca="1">IF(SUM($AK$66:$AK$71)=18,VLOOKUP($F57,$AI$55:$AR$60,8,FALSE),"3C")</f>
        <v>4</v>
      </c>
      <c r="N57" s="357">
        <f ca="1">IF(SUM($AK$66:$AK$71)=18,VLOOKUP($F57,$AI$55:$AR$60,9,FALSE),"3C")</f>
        <v>-3</v>
      </c>
      <c r="O57" s="86">
        <f t="shared" ca="1" si="51"/>
        <v>499.92999267578125</v>
      </c>
      <c r="P57" s="109" t="str">
        <f t="shared" ca="1" si="52"/>
        <v/>
      </c>
      <c r="Q57" s="236"/>
      <c r="R57" s="83"/>
      <c r="S57" s="88"/>
      <c r="T57" s="88"/>
      <c r="U57" s="88"/>
      <c r="V57" s="88"/>
      <c r="W57" s="88"/>
      <c r="X57" s="88"/>
      <c r="Y57" s="88"/>
      <c r="Z57" s="88"/>
      <c r="AA57" s="88"/>
      <c r="AB57" s="88"/>
      <c r="AC57" s="88"/>
      <c r="AD57" s="88"/>
      <c r="AE57" s="83"/>
      <c r="AF57" s="427"/>
      <c r="AG57" s="426">
        <f t="shared" ca="1" si="53"/>
        <v>3</v>
      </c>
      <c r="AH57" s="426">
        <f t="shared" ca="1" si="54"/>
        <v>3</v>
      </c>
      <c r="AI57" s="412" t="str">
        <f ca="1">IF($AH$65=72,VLOOKUP(3,$AG$22:$AI$25,3,0),"3C")</f>
        <v>Dinamarca</v>
      </c>
      <c r="AJ57" s="412">
        <f ca="1">IF($AH$65=72,VLOOKUP(3,$AG$22:$AR$25,4,0),0)</f>
        <v>1</v>
      </c>
      <c r="AK57" s="412">
        <f ca="1">IF($AH$65=72,VLOOKUP(3,$AG$22:$AR$25,5,0),0)</f>
        <v>3</v>
      </c>
      <c r="AL57" s="412">
        <f ca="1">IF($AH$65=72,VLOOKUP(3,$AG$22:$AR$25,6,0),0)</f>
        <v>0</v>
      </c>
      <c r="AM57" s="412">
        <f ca="1">IF($AH$65=72,VLOOKUP(3,$AG$22:$AR$25,7,0),0)</f>
        <v>1</v>
      </c>
      <c r="AN57" s="412">
        <f ca="1">IF($AH$65=72,VLOOKUP(3,$AG$22:$AR$25,8,0),0)</f>
        <v>2</v>
      </c>
      <c r="AO57" s="412">
        <f ca="1">IF($AH$65=72,VLOOKUP(3,$AG$22:$AR$25,9,0),0)</f>
        <v>1</v>
      </c>
      <c r="AP57" s="412">
        <f ca="1">IF($AH$65=72,VLOOKUP(3,$AG$22:$AR$25,10,0),0)</f>
        <v>4</v>
      </c>
      <c r="AQ57" s="412">
        <f ca="1">IF($AH$65=72,VLOOKUP(3,$AG$22:$AR$25,11,0),0)</f>
        <v>-3</v>
      </c>
      <c r="AR57" s="426">
        <f ca="1">IF(AK57=0,3,AJ57*$AW$5+AQ57*$AW$12+AO57*$AW$13+AL57*$AW$14-($AW$15*VLOOKUP(AI57,Tabla3[[NombreEquipo]:[Rank]],3,FALSE)/100))</f>
        <v>138874970499.89999</v>
      </c>
      <c r="AS57" s="426">
        <f t="shared" ca="1" si="55"/>
        <v>3</v>
      </c>
      <c r="AT57" s="426"/>
      <c r="AU57" s="426">
        <f t="shared" ca="1" si="56"/>
        <v>138874970499.89999</v>
      </c>
      <c r="AV57" s="426"/>
      <c r="AX57" s="426"/>
      <c r="AY57" s="430"/>
      <c r="AZ57" s="412">
        <f t="shared" ca="1" si="61"/>
        <v>3</v>
      </c>
      <c r="BA57" s="412" t="str">
        <f ca="1">IF($AH$65=72,VLOOKUP(3,$AG$22:$AI$25,3,0),"3C")</f>
        <v>Dinamarca</v>
      </c>
      <c r="BB57" s="430">
        <f ca="1">IF(AK57=0,4,AJ57*$AW$5+AQ57*$AW$12+AO57*$AW$13+AL57*$AW$14-($AW$15*VLOOKUP(AI57,Tabla3[[NombreEquipo]:[Rank]],3,FALSE)/100))</f>
        <v>138874970499.89999</v>
      </c>
      <c r="BC57" s="430">
        <f ca="1">IF(AK57=0,4,AJ57*$AW$5+AQ57*$AW$12+AO57*$AW$13+AL57*$AW$14)</f>
        <v>138874970500</v>
      </c>
      <c r="BD57" s="412">
        <v>3</v>
      </c>
      <c r="BE57" s="412" t="str">
        <f t="shared" ca="1" si="62"/>
        <v>Dinamarca</v>
      </c>
      <c r="BF57" s="430">
        <f t="shared" ca="1" si="63"/>
        <v>138874970500</v>
      </c>
      <c r="BG57" s="430">
        <f t="shared" ca="1" si="57"/>
        <v>1</v>
      </c>
      <c r="BH57" s="430"/>
      <c r="BI57" s="430"/>
      <c r="BJ57" s="430"/>
      <c r="BK57" s="412">
        <v>4</v>
      </c>
      <c r="BL57" s="430">
        <f ca="1">HLOOKUP($BJ$55,$CD$53:$DI$60,6,0)</f>
        <v>4</v>
      </c>
      <c r="BN57" s="430"/>
      <c r="BO57" s="430"/>
      <c r="BP57" s="430"/>
      <c r="BQ57" s="430"/>
      <c r="BR57" s="430"/>
      <c r="BS57" s="430"/>
      <c r="BT57" s="412">
        <v>3</v>
      </c>
      <c r="BU57" s="412">
        <f ca="1">IF(SUM($AK$66:$AK$71)=18,RANK(BW57,$BW$55:$BW$60),3)</f>
        <v>3</v>
      </c>
      <c r="BV57" s="412" t="str">
        <f t="shared" ca="1" si="58"/>
        <v>Dinamarca</v>
      </c>
      <c r="BW57" s="412">
        <f ca="1">IF(SUM($AK$22:$AK$25)=12,AJ57*$AW$5+AQ57*$AW$12+AO57*$AW$13+AL57*$AW$14-($AW$15*3/100),"3C")</f>
        <v>138874970499.97</v>
      </c>
      <c r="BX57" s="412" t="str">
        <f t="shared" ca="1" si="59"/>
        <v>Dinamarca</v>
      </c>
      <c r="BY57" s="412">
        <f t="shared" ca="1" si="60"/>
        <v>138874970499.89999</v>
      </c>
      <c r="CC57" s="428">
        <v>3</v>
      </c>
      <c r="CD57" s="412">
        <v>123456</v>
      </c>
      <c r="CE57" s="412">
        <v>12345</v>
      </c>
      <c r="CF57" s="412">
        <v>1234</v>
      </c>
      <c r="CG57" s="412">
        <v>1234</v>
      </c>
      <c r="CH57" s="412">
        <v>123</v>
      </c>
      <c r="CI57" s="412">
        <v>123</v>
      </c>
      <c r="CJ57" s="412">
        <v>123</v>
      </c>
      <c r="CK57" s="412">
        <v>123</v>
      </c>
      <c r="CL57" s="412">
        <v>3456</v>
      </c>
      <c r="CM57" s="412">
        <v>345</v>
      </c>
      <c r="CN57" s="412">
        <v>34</v>
      </c>
      <c r="CO57" s="412">
        <v>34</v>
      </c>
      <c r="CP57" s="412">
        <v>3</v>
      </c>
      <c r="CQ57" s="412">
        <v>3</v>
      </c>
      <c r="CR57" s="412">
        <v>3</v>
      </c>
      <c r="CS57" s="412">
        <v>3</v>
      </c>
      <c r="CT57" s="412">
        <v>23456</v>
      </c>
      <c r="CU57" s="412">
        <v>2345</v>
      </c>
      <c r="CV57" s="412">
        <v>234</v>
      </c>
      <c r="CW57" s="412">
        <v>234</v>
      </c>
      <c r="CX57" s="412">
        <v>23</v>
      </c>
      <c r="CY57" s="412">
        <v>23</v>
      </c>
      <c r="CZ57" s="412">
        <v>23</v>
      </c>
      <c r="DA57" s="412">
        <v>23</v>
      </c>
      <c r="DB57" s="412">
        <v>3456</v>
      </c>
      <c r="DC57" s="412">
        <v>345</v>
      </c>
      <c r="DD57" s="412">
        <v>34</v>
      </c>
      <c r="DE57" s="412">
        <v>34</v>
      </c>
      <c r="DF57" s="412">
        <v>3</v>
      </c>
      <c r="DG57" s="412">
        <v>3</v>
      </c>
      <c r="DH57" s="412">
        <v>3</v>
      </c>
      <c r="DI57" s="412">
        <v>3</v>
      </c>
      <c r="DL57" s="426">
        <v>4</v>
      </c>
      <c r="DM57" s="426">
        <v>4</v>
      </c>
      <c r="DN57" s="426">
        <v>4</v>
      </c>
      <c r="DR57" s="426">
        <v>5</v>
      </c>
      <c r="DS57" s="426">
        <v>5</v>
      </c>
      <c r="DW57" s="426">
        <v>6</v>
      </c>
    </row>
    <row r="58" spans="1:2346 10930:10930" ht="15" customHeight="1" x14ac:dyDescent="0.3">
      <c r="A58" s="187" t="str">
        <f ca="1">IF(SUM($AK$30:$AK$33)=12,R32,"3D")</f>
        <v>Polonia</v>
      </c>
      <c r="B58" s="91"/>
      <c r="C58" s="91"/>
      <c r="D58" s="95"/>
      <c r="E58" s="356">
        <v>4</v>
      </c>
      <c r="F58" s="237" t="str">
        <f ca="1">IF(SUM($AK$66:$AK$71)=18,VLOOKUP(E58,$AG$55:$AI$60,3,0),"3D")</f>
        <v>Hungría</v>
      </c>
      <c r="G58" s="238">
        <f ca="1">IF(SUM($AK$66:$AK$71)=18,VLOOKUP(F58,$AI$55:$AR$60,2,FALSE),"3D")</f>
        <v>1</v>
      </c>
      <c r="H58" s="238">
        <f ca="1">IF(SUM($AK$66:$AK$71)=18,VLOOKUP($F58,$AI$55:$AR$60,3,FALSE),"3D")</f>
        <v>3</v>
      </c>
      <c r="I58" s="238">
        <f ca="1">IF(SUM($AK$66:$AK$71)=18,VLOOKUP($F58,$AI$55:$AR$60,4,FALSE),"3D")</f>
        <v>0</v>
      </c>
      <c r="J58" s="238">
        <f ca="1">IF(SUM($AK$66:$AK$71)=18,VLOOKUP($F58,$AI$55:$AR$60,5,FALSE),"3D")</f>
        <v>1</v>
      </c>
      <c r="K58" s="238">
        <f ca="1">IF(SUM($AK$66:$AK$71)=18,VLOOKUP($F58,$AI$55:$AR$60,6,FALSE),"3D")</f>
        <v>2</v>
      </c>
      <c r="L58" s="238">
        <f ca="1">IF(SUM($AK$66:$AK$71)=18,VLOOKUP($F58,$AI$55:$AR$60,7,FALSE),"3D")</f>
        <v>0</v>
      </c>
      <c r="M58" s="238">
        <f ca="1">IF(SUM($AK$66:$AK$71)=18,VLOOKUP($F58,$AI$55:$AR$60,8,FALSE),"3D")</f>
        <v>3</v>
      </c>
      <c r="N58" s="357">
        <f ca="1">IF(SUM($AK$66:$AK$71)=18,VLOOKUP($F58,$AI$55:$AR$60,9,FALSE),"3D")</f>
        <v>-3</v>
      </c>
      <c r="O58" s="86">
        <f t="shared" ca="1" si="51"/>
        <v>499.92999267578125</v>
      </c>
      <c r="P58" s="109" t="str">
        <f t="shared" ca="1" si="52"/>
        <v/>
      </c>
      <c r="Q58" s="236"/>
      <c r="R58" s="83"/>
      <c r="S58" s="88"/>
      <c r="T58" s="88"/>
      <c r="U58" s="88"/>
      <c r="V58" s="88"/>
      <c r="W58" s="88"/>
      <c r="X58" s="88"/>
      <c r="Y58" s="88"/>
      <c r="Z58" s="88"/>
      <c r="AA58" s="88"/>
      <c r="AB58" s="88"/>
      <c r="AC58" s="88"/>
      <c r="AD58" s="88"/>
      <c r="AE58" s="83"/>
      <c r="AF58" s="427"/>
      <c r="AG58" s="426">
        <f t="shared" ca="1" si="53"/>
        <v>2</v>
      </c>
      <c r="AH58" s="426">
        <f t="shared" ca="1" si="54"/>
        <v>2</v>
      </c>
      <c r="AI58" s="412" t="str">
        <f ca="1">IF($AH$65=72,VLOOKUP(3,$AG$30:$AI$33,3,0),"3D")</f>
        <v>Polonia</v>
      </c>
      <c r="AJ58" s="412">
        <f ca="1">IF($AH$65=72,VLOOKUP(3,$AG$30:$AR$33,4,0),0)</f>
        <v>1</v>
      </c>
      <c r="AK58" s="412">
        <f ca="1">IF($AH$65=72,VLOOKUP(3,$AG$30:$AR$33,5,0),0)</f>
        <v>3</v>
      </c>
      <c r="AL58" s="412">
        <f ca="1">IF($AH$65=72,VLOOKUP(3,$AG$30:$AR$33,6,0),0)</f>
        <v>0</v>
      </c>
      <c r="AM58" s="412">
        <f ca="1">IF($AH$65=72,VLOOKUP(3,$AG$30:$AR$33,7,0),0)</f>
        <v>1</v>
      </c>
      <c r="AN58" s="412">
        <f ca="1">IF($AH$65=72,VLOOKUP(3,$AG$30:$AR$33,8,0),0)</f>
        <v>2</v>
      </c>
      <c r="AO58" s="412">
        <f ca="1">IF($AH$65=72,VLOOKUP(3,$AG$30:$AR$33,9,0),0)</f>
        <v>2</v>
      </c>
      <c r="AP58" s="412">
        <f ca="1">IF($AH$65=72,VLOOKUP(3,$AG$30:$AR$33,10,0),0)</f>
        <v>5</v>
      </c>
      <c r="AQ58" s="412">
        <f ca="1">IF($AH$65=72,VLOOKUP(3,$AG$30:$AR$33,11,0),0)</f>
        <v>-3</v>
      </c>
      <c r="AR58" s="426">
        <f ca="1">IF(AK58=0,4,AJ58*$AW$5+AQ58*$AW$12+AO58*$AW$13+AL58*$AW$14-($AW$15*VLOOKUP(AI58,Tabla3[[NombreEquipo]:[Rank]],3,FALSE)/100))</f>
        <v>138874970999.87</v>
      </c>
      <c r="AS58" s="426">
        <f t="shared" ca="1" si="55"/>
        <v>2</v>
      </c>
      <c r="AT58" s="426"/>
      <c r="AU58" s="426">
        <f t="shared" ca="1" si="56"/>
        <v>138874970999.87</v>
      </c>
      <c r="AV58" s="426"/>
      <c r="AX58" s="426"/>
      <c r="AY58" s="430"/>
      <c r="AZ58" s="412">
        <f t="shared" ca="1" si="61"/>
        <v>2</v>
      </c>
      <c r="BA58" s="412" t="str">
        <f ca="1">IF($AH$65=72,VLOOKUP(3,$AG$30:$AI$33,3,0),"3D")</f>
        <v>Polonia</v>
      </c>
      <c r="BB58" s="430">
        <f ca="1">IF(AK58=0,3,AJ58*$AW$5+AQ58*$AW$12+AO58*$AW$13+AL58*$AW$14-($AW$15*VLOOKUP(AI58,Tabla3[[NombreEquipo]:[Rank]],3,FALSE)/100))</f>
        <v>138874970999.87</v>
      </c>
      <c r="BC58" s="430">
        <f ca="1">IF(AK58=0,3,AJ58*$AW$5+AQ58*$AW$12+AO58*$AW$13+AL58*$AW$14)</f>
        <v>138874971000</v>
      </c>
      <c r="BD58" s="412">
        <v>4</v>
      </c>
      <c r="BE58" s="412" t="str">
        <f t="shared" ca="1" si="62"/>
        <v>Hungría</v>
      </c>
      <c r="BF58" s="430">
        <f t="shared" ca="1" si="63"/>
        <v>138874970000</v>
      </c>
      <c r="BG58" s="430">
        <f t="shared" ca="1" si="57"/>
        <v>1</v>
      </c>
      <c r="BH58" s="430"/>
      <c r="BI58" s="430"/>
      <c r="BJ58" s="430"/>
      <c r="BK58" s="412">
        <v>5</v>
      </c>
      <c r="BL58" s="430">
        <f ca="1">HLOOKUP($BJ$55,$CD$53:$DI$60,7,0)</f>
        <v>5</v>
      </c>
      <c r="BN58" s="430"/>
      <c r="BO58" s="430"/>
      <c r="BP58" s="430"/>
      <c r="BQ58" s="430"/>
      <c r="BR58" s="430"/>
      <c r="BS58" s="430"/>
      <c r="BT58" s="412">
        <v>4</v>
      </c>
      <c r="BU58" s="412">
        <f ca="1">IF(SUM($AK$66:$AK$71)=18,RANK(BW58,$BW$55:$BW$60),4)</f>
        <v>2</v>
      </c>
      <c r="BV58" s="412" t="str">
        <f t="shared" ca="1" si="58"/>
        <v>Polonia</v>
      </c>
      <c r="BW58" s="426">
        <f ca="1">IF(SUM($AK$30:$AK$33)=12,AJ58*$AW$5+AQ58*$AW$12+AO58*$AW$13+AL58*$AW$14-($AW$15*4/100),"3D")</f>
        <v>138874970999.95999</v>
      </c>
      <c r="BX58" s="412" t="str">
        <f t="shared" ca="1" si="59"/>
        <v>Hungría</v>
      </c>
      <c r="BY58" s="412">
        <f t="shared" ca="1" si="60"/>
        <v>138874969999.97</v>
      </c>
      <c r="CC58" s="428">
        <v>4</v>
      </c>
      <c r="CD58" s="412">
        <v>123456</v>
      </c>
      <c r="CE58" s="412">
        <v>12345</v>
      </c>
      <c r="CF58" s="412">
        <v>1234</v>
      </c>
      <c r="CG58" s="412">
        <v>1234</v>
      </c>
      <c r="CH58" s="412">
        <v>456</v>
      </c>
      <c r="CI58" s="412">
        <v>45</v>
      </c>
      <c r="CJ58" s="412">
        <v>4</v>
      </c>
      <c r="CK58" s="412">
        <v>4</v>
      </c>
      <c r="CL58" s="412">
        <v>3456</v>
      </c>
      <c r="CM58" s="412">
        <v>345</v>
      </c>
      <c r="CN58" s="412">
        <v>34</v>
      </c>
      <c r="CO58" s="412">
        <v>34</v>
      </c>
      <c r="CP58" s="412">
        <v>456</v>
      </c>
      <c r="CQ58" s="412">
        <v>45</v>
      </c>
      <c r="CR58" s="412">
        <v>4</v>
      </c>
      <c r="CS58" s="412">
        <v>4</v>
      </c>
      <c r="CT58" s="412">
        <v>23456</v>
      </c>
      <c r="CU58" s="412">
        <v>2345</v>
      </c>
      <c r="CV58" s="412">
        <v>234</v>
      </c>
      <c r="CW58" s="412">
        <v>234</v>
      </c>
      <c r="CX58" s="412">
        <v>456</v>
      </c>
      <c r="CY58" s="412">
        <v>45</v>
      </c>
      <c r="CZ58" s="412">
        <v>4</v>
      </c>
      <c r="DA58" s="412">
        <v>4</v>
      </c>
      <c r="DB58" s="412">
        <v>3456</v>
      </c>
      <c r="DC58" s="412">
        <v>345</v>
      </c>
      <c r="DD58" s="412">
        <v>34</v>
      </c>
      <c r="DE58" s="412">
        <v>34</v>
      </c>
      <c r="DF58" s="412">
        <v>456</v>
      </c>
      <c r="DG58" s="412">
        <v>45</v>
      </c>
      <c r="DH58" s="412">
        <v>4</v>
      </c>
      <c r="DI58" s="412">
        <v>4</v>
      </c>
      <c r="DL58" s="426">
        <v>5</v>
      </c>
      <c r="DM58" s="426">
        <v>5</v>
      </c>
      <c r="DR58" s="426">
        <v>6</v>
      </c>
    </row>
    <row r="59" spans="1:2346 10930:10930" ht="15" customHeight="1" x14ac:dyDescent="0.3">
      <c r="A59" s="187" t="str">
        <f ca="1">IF(SUM($AK$38:$AK$41)=12,R40,"3E")</f>
        <v>Rumanía</v>
      </c>
      <c r="B59" s="91"/>
      <c r="C59" s="91"/>
      <c r="D59" s="95"/>
      <c r="E59" s="356">
        <v>5</v>
      </c>
      <c r="F59" s="237" t="str">
        <f ca="1">IF(SUM($AK$66:$AK$71)=18,VLOOKUP(E59,$AG$55:$AI$60,3,0),"3E")</f>
        <v>Georgia</v>
      </c>
      <c r="G59" s="238">
        <f ca="1">IF(SUM($AK$66:$AK$71)=18,VLOOKUP(F59,$AI$55:$AR$60,2,FALSE),"3E")</f>
        <v>1</v>
      </c>
      <c r="H59" s="238">
        <f ca="1">IF(SUM($AK$66:$AK$71)=18,VLOOKUP($F59,$AI$55:$AR$60,3,FALSE),"3E")</f>
        <v>3</v>
      </c>
      <c r="I59" s="238">
        <f ca="1">IF(SUM($AK$66:$AK$71)=18,VLOOKUP($F59,$AI$55:$AR$60,4,FALSE),"3E")</f>
        <v>0</v>
      </c>
      <c r="J59" s="238">
        <f ca="1">IF(SUM($AK$66:$AK$71)=18,VLOOKUP($F59,$AI$55:$AR$60,5,FALSE),"3E")</f>
        <v>1</v>
      </c>
      <c r="K59" s="238">
        <f ca="1">IF(SUM($AK$66:$AK$71)=18,VLOOKUP($F59,$AI$55:$AR$60,6,FALSE),"3E")</f>
        <v>2</v>
      </c>
      <c r="L59" s="238">
        <f ca="1">IF(SUM($AK$66:$AK$71)=18,VLOOKUP($F59,$AI$55:$AR$60,7,FALSE),"3E")</f>
        <v>2</v>
      </c>
      <c r="M59" s="238">
        <f ca="1">IF(SUM($AK$66:$AK$71)=18,VLOOKUP($F59,$AI$55:$AR$60,8,FALSE),"3E")</f>
        <v>6</v>
      </c>
      <c r="N59" s="357">
        <f ca="1">IF(SUM($AK$66:$AK$71)=18,VLOOKUP($F59,$AI$55:$AR$60,9,FALSE),"3E")</f>
        <v>-4</v>
      </c>
      <c r="O59" s="86">
        <f t="shared" ca="1" si="51"/>
        <v>999.97000122070313</v>
      </c>
      <c r="P59" s="109" t="str">
        <f t="shared" ca="1" si="52"/>
        <v/>
      </c>
      <c r="Q59" s="236"/>
      <c r="R59" s="83"/>
      <c r="S59" s="88"/>
      <c r="T59" s="88"/>
      <c r="U59" s="88"/>
      <c r="V59" s="88"/>
      <c r="W59" s="88"/>
      <c r="X59" s="88"/>
      <c r="Y59" s="88"/>
      <c r="Z59" s="88"/>
      <c r="AA59" s="88"/>
      <c r="AB59" s="88"/>
      <c r="AC59" s="88"/>
      <c r="AD59" s="88"/>
      <c r="AE59" s="83"/>
      <c r="AF59" s="427"/>
      <c r="AG59" s="426">
        <f t="shared" ca="1" si="53"/>
        <v>6</v>
      </c>
      <c r="AH59" s="426">
        <f t="shared" ca="1" si="54"/>
        <v>6</v>
      </c>
      <c r="AI59" s="412" t="str">
        <f ca="1">IF($AH$65=72,VLOOKUP(3,$AG$38:$AI$41,3,0),"3E")</f>
        <v>Rumanía</v>
      </c>
      <c r="AJ59" s="412">
        <f ca="1">IF($AH$65=72,VLOOKUP(3,$AG$38:$AR$41,4,0),0)</f>
        <v>1</v>
      </c>
      <c r="AK59" s="412">
        <f ca="1">IF($AH$65=72,VLOOKUP(3,$AG$38:$AR$41,5,0),0)</f>
        <v>3</v>
      </c>
      <c r="AL59" s="412">
        <f ca="1">IF($AH$65=72,VLOOKUP(3,$AG$38:$AR$41,6,0),0)</f>
        <v>0</v>
      </c>
      <c r="AM59" s="412">
        <f ca="1">IF($AH$65=72,VLOOKUP(3,$AG$38:$AR$41,7,0),0)</f>
        <v>1</v>
      </c>
      <c r="AN59" s="412">
        <f ca="1">IF($AH$65=72,VLOOKUP(3,$AG$38:$AR$41,8,0),0)</f>
        <v>2</v>
      </c>
      <c r="AO59" s="412">
        <f ca="1">IF($AH$65=72,VLOOKUP(3,$AG$38:$AR$41,9,0),0)</f>
        <v>0</v>
      </c>
      <c r="AP59" s="412">
        <f ca="1">IF($AH$65=72,VLOOKUP(3,$AG$38:$AR$41,10,0),0)</f>
        <v>4</v>
      </c>
      <c r="AQ59" s="412">
        <f ca="1">IF($AH$65=72,VLOOKUP(3,$AG$38:$AR$41,11,0),0)</f>
        <v>-4</v>
      </c>
      <c r="AR59" s="426">
        <f ca="1">IF(AK59=0,5,AJ59*$AW$5+AQ59*$AW$12+AO59*$AW$13+AL59*$AW$14-($AW$15*VLOOKUP(AI59,Tabla3[[NombreEquipo]:[Rank]],3,FALSE)/100))</f>
        <v>138874959999.81</v>
      </c>
      <c r="AS59" s="426">
        <f t="shared" ca="1" si="55"/>
        <v>6</v>
      </c>
      <c r="AT59" s="426"/>
      <c r="AU59" s="426">
        <f t="shared" ca="1" si="56"/>
        <v>138874959999.81</v>
      </c>
      <c r="AV59" s="426"/>
      <c r="AX59" s="426"/>
      <c r="AY59" s="430"/>
      <c r="AZ59" s="412">
        <f t="shared" ca="1" si="61"/>
        <v>6</v>
      </c>
      <c r="BA59" s="412" t="str">
        <f ca="1">IF($AH$65=72,VLOOKUP(3,$AG$38:$AI$41,3,0),"3E")</f>
        <v>Rumanía</v>
      </c>
      <c r="BB59" s="430">
        <f ca="1">IF(AK59=0,2,AJ59*$AW$5+AQ59*$AW$12+AO59*$AW$13+AL59*$AW$14-($AW$15*VLOOKUP(AI59,Tabla3[[NombreEquipo]:[Rank]],3,FALSE)/100))</f>
        <v>138874959999.81</v>
      </c>
      <c r="BC59" s="430">
        <f ca="1">IF(AK59=0,2,AJ59*$AW$5+AQ59*$AW$12+AO59*$AW$13+AL59*$AW$14)</f>
        <v>138874960000</v>
      </c>
      <c r="BD59" s="412">
        <v>5</v>
      </c>
      <c r="BE59" s="412" t="str">
        <f t="shared" ca="1" si="62"/>
        <v>Georgia</v>
      </c>
      <c r="BF59" s="430">
        <f t="shared" ca="1" si="63"/>
        <v>138874961000</v>
      </c>
      <c r="BG59" s="430">
        <f t="shared" ca="1" si="57"/>
        <v>1</v>
      </c>
      <c r="BH59" s="430"/>
      <c r="BI59" s="430"/>
      <c r="BJ59" s="430"/>
      <c r="BK59" s="412">
        <v>6</v>
      </c>
      <c r="BL59" s="430">
        <f ca="1">HLOOKUP($BJ$55,$CD$53:$DI$60,8,0)</f>
        <v>6</v>
      </c>
      <c r="BN59" s="430"/>
      <c r="BO59" s="430"/>
      <c r="BP59" s="430"/>
      <c r="BQ59" s="430"/>
      <c r="BR59" s="430"/>
      <c r="BS59" s="430"/>
      <c r="BT59" s="412">
        <v>5</v>
      </c>
      <c r="BU59" s="412">
        <f ca="1">IF(SUM($AK$66:$AK$71)=18,RANK(BW59,$BW$55:$BW$60),5)</f>
        <v>6</v>
      </c>
      <c r="BV59" s="412" t="str">
        <f t="shared" ca="1" si="58"/>
        <v>Rumanía</v>
      </c>
      <c r="BW59" s="412">
        <f ca="1">IF(SUM($AK$38:$AK$41)=12,AJ59*$AW$5+AQ59*$AW$12+AO59*$AW$13+AL59*$AW$14-($AW$15*5/100),"3E")</f>
        <v>138874959999.95001</v>
      </c>
      <c r="BX59" s="412" t="str">
        <f t="shared" ca="1" si="59"/>
        <v>Georgia</v>
      </c>
      <c r="BY59" s="412">
        <f t="shared" ca="1" si="60"/>
        <v>138874960999.78</v>
      </c>
      <c r="CC59" s="428">
        <v>5</v>
      </c>
      <c r="CD59" s="412">
        <v>123456</v>
      </c>
      <c r="CE59" s="412">
        <v>12345</v>
      </c>
      <c r="CF59" s="412">
        <v>56</v>
      </c>
      <c r="CG59" s="412">
        <v>5</v>
      </c>
      <c r="CH59" s="412">
        <v>456</v>
      </c>
      <c r="CI59" s="412">
        <v>45</v>
      </c>
      <c r="CJ59" s="412">
        <v>56</v>
      </c>
      <c r="CK59" s="412">
        <v>5</v>
      </c>
      <c r="CL59" s="412">
        <v>3456</v>
      </c>
      <c r="CM59" s="412">
        <v>345</v>
      </c>
      <c r="CN59" s="412">
        <v>56</v>
      </c>
      <c r="CO59" s="412">
        <v>5</v>
      </c>
      <c r="CP59" s="412">
        <v>456</v>
      </c>
      <c r="CQ59" s="412">
        <v>45</v>
      </c>
      <c r="CR59" s="412">
        <v>56</v>
      </c>
      <c r="CS59" s="412">
        <v>5</v>
      </c>
      <c r="CT59" s="412">
        <v>23456</v>
      </c>
      <c r="CU59" s="412">
        <v>2345</v>
      </c>
      <c r="CV59" s="412">
        <v>56</v>
      </c>
      <c r="CW59" s="412">
        <v>5</v>
      </c>
      <c r="CX59" s="412">
        <v>456</v>
      </c>
      <c r="CY59" s="412">
        <v>45</v>
      </c>
      <c r="CZ59" s="412">
        <v>56</v>
      </c>
      <c r="DA59" s="412">
        <v>5</v>
      </c>
      <c r="DB59" s="412">
        <v>3456</v>
      </c>
      <c r="DC59" s="412">
        <v>345</v>
      </c>
      <c r="DD59" s="412">
        <v>56</v>
      </c>
      <c r="DE59" s="412">
        <v>5</v>
      </c>
      <c r="DF59" s="412">
        <v>456</v>
      </c>
      <c r="DG59" s="412">
        <v>45</v>
      </c>
      <c r="DH59" s="412">
        <v>56</v>
      </c>
      <c r="DI59" s="412">
        <v>5</v>
      </c>
      <c r="DL59" s="426">
        <v>6</v>
      </c>
    </row>
    <row r="60" spans="1:2346 10930:10930" ht="15" customHeight="1" thickBot="1" x14ac:dyDescent="0.35">
      <c r="A60" s="187" t="str">
        <f ca="1">IF(SUM($AK$44:$AK$49)=12,R48,"3F")</f>
        <v>Georgia</v>
      </c>
      <c r="B60" s="91"/>
      <c r="C60" s="91"/>
      <c r="D60" s="95"/>
      <c r="E60" s="358">
        <v>6</v>
      </c>
      <c r="F60" s="367" t="str">
        <f ca="1">IF(SUM($AK$66:$AK$71)=18,VLOOKUP(E60,$AG$55:$AI$60,3,0),"3F")</f>
        <v>Rumanía</v>
      </c>
      <c r="G60" s="368">
        <f ca="1">IF(SUM($AK$66:$AK$71)=18,VLOOKUP(F60,$AI$55:$AR$60,2,FALSE),"3F")</f>
        <v>1</v>
      </c>
      <c r="H60" s="368">
        <f ca="1">IF(SUM($AK$66:$AK$71)=18,VLOOKUP($F60,$AI$55:$AR$60,3,FALSE),"3F")</f>
        <v>3</v>
      </c>
      <c r="I60" s="368">
        <f ca="1">IF(SUM($AK$66:$AK$71)=18,VLOOKUP($F60,$AI$55:$AR$60,4,FALSE),"3F")</f>
        <v>0</v>
      </c>
      <c r="J60" s="368">
        <f ca="1">IF(SUM($AK$66:$AK$71)=18,VLOOKUP($F60,$AI$55:$AR$60,5,FALSE),"3F")</f>
        <v>1</v>
      </c>
      <c r="K60" s="368">
        <f ca="1">IF(SUM($AK$66:$AK$71)=18,VLOOKUP($F60,$AI$55:$AR$60,6,FALSE),"3F")</f>
        <v>2</v>
      </c>
      <c r="L60" s="368">
        <f ca="1">IF(SUM($AK$66:$AK$71)=18,VLOOKUP($F60,$AI$55:$AR$60,7,FALSE),"3F")</f>
        <v>0</v>
      </c>
      <c r="M60" s="368">
        <f ca="1">IF(SUM($AK$66:$AK$71)=18,VLOOKUP($F60,$AI$55:$AR$60,8,FALSE),"3F")</f>
        <v>4</v>
      </c>
      <c r="N60" s="369">
        <f ca="1">IF(SUM($AK$66:$AK$71)=18,VLOOKUP($F60,$AI$55:$AR$60,9,FALSE),"3F")</f>
        <v>-4</v>
      </c>
      <c r="O60" s="86">
        <f ca="1">IF(SUM($AK$55:$AK$60)=18,MIN(ABS(BY59-BY60),ABS(BY60-BY61)),100)</f>
        <v>999.97000122070313</v>
      </c>
      <c r="P60" s="109" t="str">
        <f t="shared" ca="1" si="52"/>
        <v/>
      </c>
      <c r="Q60" s="236"/>
      <c r="R60" s="83"/>
      <c r="S60" s="88"/>
      <c r="T60" s="88"/>
      <c r="U60" s="88"/>
      <c r="V60" s="88"/>
      <c r="W60" s="88"/>
      <c r="X60" s="88"/>
      <c r="Y60" s="88"/>
      <c r="Z60" s="88"/>
      <c r="AA60" s="88"/>
      <c r="AB60" s="88"/>
      <c r="AC60" s="88"/>
      <c r="AD60" s="88"/>
      <c r="AE60" s="83"/>
      <c r="AF60" s="427"/>
      <c r="AG60" s="426">
        <f t="shared" ca="1" si="53"/>
        <v>5</v>
      </c>
      <c r="AH60" s="426">
        <f t="shared" ca="1" si="54"/>
        <v>5</v>
      </c>
      <c r="AI60" s="412" t="str">
        <f ca="1">IF($AH$65=72,VLOOKUP(3,$AG$44:$AI$49,3,0),"3F")</f>
        <v>Georgia</v>
      </c>
      <c r="AJ60" s="412">
        <f ca="1">IF($AH$65=72,VLOOKUP(3,$AG$46:$AR$49,4,0),0)</f>
        <v>1</v>
      </c>
      <c r="AK60" s="412">
        <f ca="1">IF($AH$65=72,VLOOKUP(3,$AG$46:$AR$49,5,0),0)</f>
        <v>3</v>
      </c>
      <c r="AL60" s="412">
        <f ca="1">IF($AH$65=72,VLOOKUP(3,$AG$46:$AR$49,6,0),0)</f>
        <v>0</v>
      </c>
      <c r="AM60" s="412">
        <f ca="1">IF($AH$65=72,VLOOKUP(3,$AG$46:$AR$49,7,0),0)</f>
        <v>1</v>
      </c>
      <c r="AN60" s="412">
        <f ca="1">IF($AH$65=72,VLOOKUP(3,$AG$46:$AR$49,8,0),0)</f>
        <v>2</v>
      </c>
      <c r="AO60" s="412">
        <f ca="1">IF($AH$65=72,VLOOKUP(3,$AG$46:$AR$49,9,0),0)</f>
        <v>2</v>
      </c>
      <c r="AP60" s="412">
        <f ca="1">IF($AH$65=72,VLOOKUP(3,$AG$46:$AR$49,10,0),0)</f>
        <v>6</v>
      </c>
      <c r="AQ60" s="412">
        <f ca="1">IF($AH$65=72,VLOOKUP(3,$AG$46:$AR$49,11,0),0)</f>
        <v>-4</v>
      </c>
      <c r="AR60" s="426">
        <f ca="1">IF(AK60=0,6,AJ60*$AW$5+AQ60*$AW$12+AO60*$AW$13+AL60*$AW$14-($AW$15*VLOOKUP(AI60,Tabla3[[NombreEquipo]:[Rank]],3,FALSE)/100))</f>
        <v>138874960999.78</v>
      </c>
      <c r="AS60" s="426">
        <f t="shared" ca="1" si="55"/>
        <v>5</v>
      </c>
      <c r="AT60" s="426"/>
      <c r="AU60" s="426">
        <f t="shared" ca="1" si="56"/>
        <v>138874960999.78</v>
      </c>
      <c r="AV60" s="426"/>
      <c r="AX60" s="426"/>
      <c r="AY60" s="430"/>
      <c r="AZ60" s="412">
        <f t="shared" ca="1" si="61"/>
        <v>5</v>
      </c>
      <c r="BA60" s="412" t="str">
        <f ca="1">IF($AH$65=72,VLOOKUP(3,$AG$44:$AI$49,3,0),"3F")</f>
        <v>Georgia</v>
      </c>
      <c r="BB60" s="430">
        <f ca="1">IF(AK60=0,1,AJ60*$AW$5+AQ60*$AW$12+AO60*$AW$13+AL60*$AW$14-($AW$15*VLOOKUP(AI60,Tabla3[[NombreEquipo]:[Rank]],3,FALSE)/100))</f>
        <v>138874960999.78</v>
      </c>
      <c r="BC60" s="430">
        <f ca="1">IF(AK60=0,1,AJ60*$AW$5+AQ60*$AW$12+AO60*$AW$13+AL60*$AW$14)</f>
        <v>138874961000</v>
      </c>
      <c r="BD60" s="412">
        <v>6</v>
      </c>
      <c r="BE60" s="412" t="str">
        <f t="shared" ca="1" si="62"/>
        <v>Rumanía</v>
      </c>
      <c r="BF60" s="430">
        <f t="shared" ca="1" si="63"/>
        <v>138874960000</v>
      </c>
      <c r="BG60" s="430">
        <f t="shared" ca="1" si="57"/>
        <v>1</v>
      </c>
      <c r="BH60" s="430"/>
      <c r="BI60" s="430"/>
      <c r="BK60" s="430"/>
      <c r="BL60" s="430"/>
      <c r="BM60" s="430"/>
      <c r="BN60" s="430"/>
      <c r="BO60" s="430"/>
      <c r="BP60" s="430"/>
      <c r="BQ60" s="430"/>
      <c r="BR60" s="430"/>
      <c r="BS60" s="430"/>
      <c r="BT60" s="412">
        <v>6</v>
      </c>
      <c r="BU60" s="412">
        <f ca="1">IF(SUM($AK$66:$AK$71)=18,RANK(BW60,$BW$55:$BW$60),6)</f>
        <v>5</v>
      </c>
      <c r="BV60" s="412" t="str">
        <f t="shared" ca="1" si="58"/>
        <v>Georgia</v>
      </c>
      <c r="BW60" s="412">
        <f ca="1">IF(SUM($AK$46:$AK$49)=12,AJ60*$AW$5+AQ60*$AW$12+AO60*$AW$13+AL60*$AW$14-($AW$15*6/100),"3F")</f>
        <v>138874960999.94</v>
      </c>
      <c r="BX60" s="412" t="str">
        <f t="shared" ca="1" si="59"/>
        <v>Rumanía</v>
      </c>
      <c r="BY60" s="412">
        <f t="shared" ca="1" si="60"/>
        <v>138874959999.81</v>
      </c>
      <c r="CC60" s="428">
        <v>6</v>
      </c>
      <c r="CD60" s="412">
        <v>123456</v>
      </c>
      <c r="CE60" s="412">
        <v>6</v>
      </c>
      <c r="CF60" s="412">
        <v>56</v>
      </c>
      <c r="CG60" s="412">
        <v>6</v>
      </c>
      <c r="CH60" s="412">
        <v>456</v>
      </c>
      <c r="CI60" s="412">
        <v>6</v>
      </c>
      <c r="CJ60" s="412">
        <v>56</v>
      </c>
      <c r="CK60" s="412">
        <v>6</v>
      </c>
      <c r="CL60" s="412">
        <v>3456</v>
      </c>
      <c r="CM60" s="412">
        <v>6</v>
      </c>
      <c r="CN60" s="412">
        <v>56</v>
      </c>
      <c r="CO60" s="412">
        <v>6</v>
      </c>
      <c r="CP60" s="412">
        <v>456</v>
      </c>
      <c r="CQ60" s="412">
        <v>6</v>
      </c>
      <c r="CR60" s="412">
        <v>56</v>
      </c>
      <c r="CS60" s="412">
        <v>6</v>
      </c>
      <c r="CT60" s="412">
        <v>23456</v>
      </c>
      <c r="CU60" s="412">
        <v>6</v>
      </c>
      <c r="CV60" s="412">
        <v>56</v>
      </c>
      <c r="CW60" s="412">
        <v>6</v>
      </c>
      <c r="CX60" s="412">
        <v>456</v>
      </c>
      <c r="CY60" s="412">
        <v>6</v>
      </c>
      <c r="CZ60" s="412">
        <v>56</v>
      </c>
      <c r="DA60" s="412">
        <v>6</v>
      </c>
      <c r="DB60" s="412">
        <v>3456</v>
      </c>
      <c r="DC60" s="412">
        <v>6</v>
      </c>
      <c r="DD60" s="412">
        <v>56</v>
      </c>
      <c r="DE60" s="412">
        <v>6</v>
      </c>
      <c r="DF60" s="412">
        <v>456</v>
      </c>
      <c r="DG60" s="412">
        <v>6</v>
      </c>
      <c r="DH60" s="412">
        <v>56</v>
      </c>
      <c r="DI60" s="412">
        <v>6</v>
      </c>
      <c r="DK60" s="426" t="s">
        <v>57</v>
      </c>
      <c r="DL60" s="426">
        <f>COUNT(DL54:DL59)</f>
        <v>6</v>
      </c>
      <c r="DM60" s="426">
        <f t="shared" ref="DM60:EF60" si="64">COUNT(DM54:DM59)</f>
        <v>5</v>
      </c>
      <c r="DN60" s="426">
        <f t="shared" si="64"/>
        <v>4</v>
      </c>
      <c r="DO60" s="426">
        <f t="shared" si="64"/>
        <v>3</v>
      </c>
      <c r="DP60" s="426">
        <f t="shared" si="64"/>
        <v>2</v>
      </c>
      <c r="DQ60" s="426">
        <f t="shared" si="64"/>
        <v>1</v>
      </c>
      <c r="DR60" s="426">
        <f t="shared" si="64"/>
        <v>5</v>
      </c>
      <c r="DS60" s="426">
        <f t="shared" si="64"/>
        <v>4</v>
      </c>
      <c r="DT60" s="426">
        <f t="shared" si="64"/>
        <v>3</v>
      </c>
      <c r="DU60" s="426">
        <f t="shared" si="64"/>
        <v>2</v>
      </c>
      <c r="DV60" s="426">
        <f t="shared" si="64"/>
        <v>1</v>
      </c>
      <c r="DW60" s="426">
        <f t="shared" si="64"/>
        <v>4</v>
      </c>
      <c r="DX60" s="426">
        <f t="shared" si="64"/>
        <v>3</v>
      </c>
      <c r="DY60" s="426">
        <f t="shared" si="64"/>
        <v>2</v>
      </c>
      <c r="DZ60" s="426">
        <f t="shared" si="64"/>
        <v>1</v>
      </c>
      <c r="EA60" s="426">
        <f t="shared" si="64"/>
        <v>3</v>
      </c>
      <c r="EB60" s="426">
        <f t="shared" si="64"/>
        <v>2</v>
      </c>
      <c r="EC60" s="426">
        <f t="shared" si="64"/>
        <v>1</v>
      </c>
      <c r="ED60" s="426">
        <f t="shared" si="64"/>
        <v>2</v>
      </c>
      <c r="EE60" s="426">
        <f t="shared" si="64"/>
        <v>1</v>
      </c>
      <c r="EF60" s="426">
        <f t="shared" si="64"/>
        <v>1</v>
      </c>
    </row>
    <row r="61" spans="1:2346 10930:10930" ht="15" customHeight="1" x14ac:dyDescent="0.3">
      <c r="A61" s="91"/>
      <c r="B61" s="91"/>
      <c r="C61" s="91"/>
      <c r="D61" s="95"/>
      <c r="E61" s="95"/>
      <c r="F61" s="95"/>
      <c r="G61" s="95"/>
      <c r="H61" s="95"/>
      <c r="I61" s="95"/>
      <c r="J61" s="95"/>
      <c r="K61" s="95"/>
      <c r="L61" s="95"/>
      <c r="M61" s="95"/>
      <c r="N61" s="95"/>
      <c r="O61" s="86"/>
      <c r="P61" s="84"/>
      <c r="Q61" s="83"/>
      <c r="R61" s="83"/>
      <c r="S61" s="88"/>
      <c r="T61" s="88"/>
      <c r="U61" s="88"/>
      <c r="V61" s="88"/>
      <c r="W61" s="88"/>
      <c r="X61" s="88"/>
      <c r="Y61" s="88"/>
      <c r="Z61" s="88"/>
      <c r="AA61" s="88"/>
      <c r="AB61" s="88"/>
      <c r="AC61" s="88"/>
      <c r="AD61" s="88"/>
      <c r="AE61" s="83"/>
      <c r="AF61" s="427"/>
      <c r="AG61" s="426"/>
      <c r="AH61" s="426"/>
      <c r="AS61" s="426"/>
      <c r="AT61" s="426"/>
      <c r="AU61" s="426"/>
      <c r="AV61" s="426"/>
      <c r="AW61" s="426"/>
      <c r="BD61" s="430"/>
      <c r="BE61" s="430"/>
      <c r="BF61" s="430"/>
      <c r="BG61" s="430"/>
      <c r="BH61" s="430"/>
      <c r="BI61" s="430"/>
      <c r="BJ61" s="430"/>
      <c r="BK61" s="430"/>
      <c r="BL61" s="430"/>
      <c r="BM61" s="430"/>
      <c r="BN61" s="430"/>
      <c r="BO61" s="430"/>
      <c r="BP61" s="430"/>
      <c r="BQ61" s="430"/>
      <c r="BR61" s="430"/>
      <c r="BS61" s="430"/>
    </row>
    <row r="62" spans="1:2346 10930:10930" ht="15" customHeight="1" x14ac:dyDescent="0.3">
      <c r="A62" s="91"/>
      <c r="B62" s="91"/>
      <c r="C62" s="91"/>
      <c r="D62" s="95"/>
      <c r="E62" s="95"/>
      <c r="F62" s="95"/>
      <c r="G62" s="95"/>
      <c r="H62" s="95"/>
      <c r="I62" s="95"/>
      <c r="J62" s="95"/>
      <c r="K62" s="95"/>
      <c r="L62" s="95"/>
      <c r="M62" s="95"/>
      <c r="N62" s="95"/>
      <c r="O62" s="86"/>
      <c r="P62" s="84"/>
      <c r="Q62" s="83"/>
      <c r="R62" s="83"/>
      <c r="S62" s="88"/>
      <c r="T62" s="88"/>
      <c r="U62" s="88"/>
      <c r="V62" s="88"/>
      <c r="W62" s="88"/>
      <c r="X62" s="88"/>
      <c r="Y62" s="88"/>
      <c r="Z62" s="88"/>
      <c r="AA62" s="88"/>
      <c r="AB62" s="88"/>
      <c r="AC62" s="88"/>
      <c r="AD62" s="88"/>
      <c r="AE62" s="83"/>
      <c r="AF62" s="427"/>
      <c r="AG62" s="426"/>
      <c r="AH62" s="426"/>
      <c r="BPO62" s="436"/>
      <c r="CCW62" s="412"/>
    </row>
    <row r="63" spans="1:2346 10930:10930" ht="15" customHeight="1" x14ac:dyDescent="0.3">
      <c r="A63" s="91"/>
      <c r="B63" s="91"/>
      <c r="C63" s="91"/>
      <c r="D63" s="95"/>
      <c r="E63" s="105" t="str">
        <f>Idiomas!D24</f>
        <v>Octavos de final</v>
      </c>
      <c r="F63" s="171"/>
      <c r="G63" s="105"/>
      <c r="H63" s="105"/>
      <c r="I63" s="105"/>
      <c r="J63" s="105"/>
      <c r="K63" s="105"/>
      <c r="L63" s="105"/>
      <c r="M63" s="105"/>
      <c r="N63" s="105"/>
      <c r="O63" s="86"/>
      <c r="P63" s="84"/>
      <c r="Q63" s="83"/>
      <c r="R63" s="83"/>
      <c r="S63" s="88"/>
      <c r="T63" s="88"/>
      <c r="U63" s="88"/>
      <c r="V63" s="88"/>
      <c r="W63" s="88"/>
      <c r="X63" s="88"/>
      <c r="Y63" s="88"/>
      <c r="Z63" s="88"/>
      <c r="AA63" s="88"/>
      <c r="AB63" s="88"/>
      <c r="AC63" s="88"/>
      <c r="AD63" s="88"/>
      <c r="AE63" s="83"/>
      <c r="AF63" s="427"/>
      <c r="AG63" s="426"/>
      <c r="AH63" s="426"/>
      <c r="AS63" s="426"/>
      <c r="AT63" s="426"/>
      <c r="AU63" s="426"/>
      <c r="AV63" s="426"/>
      <c r="BD63" s="430"/>
      <c r="BE63" s="430"/>
      <c r="BF63" s="430"/>
      <c r="BG63" s="430"/>
      <c r="BH63" s="430"/>
      <c r="BI63" s="430"/>
      <c r="BJ63" s="430"/>
      <c r="BK63" s="430"/>
      <c r="BL63" s="430"/>
      <c r="BM63" s="430"/>
      <c r="BN63" s="430"/>
      <c r="BO63" s="430"/>
      <c r="BP63" s="430"/>
      <c r="BQ63" s="430"/>
      <c r="BR63" s="430"/>
      <c r="BS63" s="430"/>
      <c r="BPO63" s="412"/>
      <c r="CCW63" s="412"/>
      <c r="CIG63" s="427"/>
    </row>
    <row r="64" spans="1:2346 10930:10930" ht="15" customHeight="1" thickBot="1" x14ac:dyDescent="0.35">
      <c r="A64" s="91"/>
      <c r="B64" s="91"/>
      <c r="C64" s="91"/>
      <c r="D64" s="95"/>
      <c r="E64" s="99"/>
      <c r="F64" s="96" t="str">
        <f>F3</f>
        <v>Fecha</v>
      </c>
      <c r="G64" s="96" t="str">
        <f>G3</f>
        <v>Hora</v>
      </c>
      <c r="H64" s="100"/>
      <c r="I64" s="101" t="str">
        <f>I3</f>
        <v>Casa</v>
      </c>
      <c r="J64" s="172" t="s">
        <v>87</v>
      </c>
      <c r="K64" s="102" t="str">
        <f>K3</f>
        <v>Gol</v>
      </c>
      <c r="L64" s="102" t="str">
        <f>L3</f>
        <v>Gol</v>
      </c>
      <c r="M64" s="173" t="s">
        <v>87</v>
      </c>
      <c r="N64" s="103" t="str">
        <f>N3</f>
        <v>Fuera</v>
      </c>
      <c r="O64" s="86"/>
      <c r="P64" s="84"/>
      <c r="Q64" s="83"/>
      <c r="R64" s="83"/>
      <c r="S64" s="88"/>
      <c r="T64" s="88"/>
      <c r="U64" s="88"/>
      <c r="V64" s="88"/>
      <c r="W64" s="88"/>
      <c r="X64" s="88"/>
      <c r="Y64" s="88"/>
      <c r="Z64" s="88"/>
      <c r="AA64" s="88"/>
      <c r="AB64" s="88"/>
      <c r="AC64" s="88"/>
      <c r="AD64" s="88"/>
      <c r="AE64" s="83"/>
      <c r="AF64" s="427"/>
      <c r="AG64" s="426"/>
      <c r="AH64" s="426"/>
      <c r="AS64" s="426"/>
      <c r="AT64" s="426"/>
      <c r="AU64" s="426"/>
      <c r="AV64" s="426"/>
      <c r="BD64" s="430"/>
      <c r="BE64" s="430"/>
      <c r="BF64" s="430"/>
      <c r="BG64" s="430"/>
      <c r="BH64" s="430"/>
      <c r="BI64" s="430"/>
      <c r="BJ64" s="430"/>
      <c r="BK64" s="430"/>
      <c r="BL64" s="430"/>
      <c r="BM64" s="430"/>
      <c r="BN64" s="430"/>
      <c r="BO64" s="430"/>
      <c r="BP64" s="430"/>
      <c r="BQ64" s="430"/>
      <c r="BR64" s="430"/>
      <c r="BS64" s="430"/>
      <c r="BPO64" s="412"/>
      <c r="CCW64" s="412"/>
    </row>
    <row r="65" spans="1:873 1087:1374 2269:2269" ht="15" customHeight="1" x14ac:dyDescent="0.3">
      <c r="A65" s="91"/>
      <c r="B65" s="91"/>
      <c r="C65" s="91"/>
      <c r="D65" s="95"/>
      <c r="E65" s="803" t="s">
        <v>88</v>
      </c>
      <c r="F65" s="202">
        <f>Horarios!C65</f>
        <v>45472.75</v>
      </c>
      <c r="G65" s="203">
        <f>Horarios!C65</f>
        <v>45472.75</v>
      </c>
      <c r="H65" s="204"/>
      <c r="I65" s="205" t="str">
        <f ca="1">IF(SUM(AK6:AK9)=12,VLOOKUP(2,AG6:AI9,3,FALSE),"2A")</f>
        <v>Suiza</v>
      </c>
      <c r="J65" s="206"/>
      <c r="K65" s="207">
        <v>0</v>
      </c>
      <c r="L65" s="207">
        <v>1</v>
      </c>
      <c r="M65" s="208"/>
      <c r="N65" s="209" t="str">
        <f ca="1">IF(SUM(AK14:AK17)=12,VLOOKUP(2,AG14:AI17,3,FALSE),"2B")</f>
        <v>Italia</v>
      </c>
      <c r="O65" s="166">
        <f ca="1">IF(N78="W38",0,1)</f>
        <v>1</v>
      </c>
      <c r="P65" s="375">
        <v>38</v>
      </c>
      <c r="Q65" s="83"/>
      <c r="R65" s="83"/>
      <c r="S65" s="88"/>
      <c r="T65" s="88"/>
      <c r="U65" s="88"/>
      <c r="V65" s="88"/>
      <c r="W65" s="88"/>
      <c r="X65" s="88"/>
      <c r="Y65" s="88"/>
      <c r="Z65" s="88"/>
      <c r="AA65" s="88"/>
      <c r="AB65" s="88"/>
      <c r="AC65" s="88"/>
      <c r="AD65" s="88"/>
      <c r="AE65" s="83"/>
      <c r="AF65" s="427"/>
      <c r="AG65" s="437" t="s">
        <v>89</v>
      </c>
      <c r="AH65" s="437">
        <f ca="1">SUM(AK6:AK9,AK14:AK17,AK22:AK25,AK30:AK33,AK38:AK41,AK46:AK49)</f>
        <v>72</v>
      </c>
      <c r="AI65" s="438" t="s">
        <v>26</v>
      </c>
      <c r="AJ65" s="437" t="s">
        <v>27</v>
      </c>
      <c r="AK65" s="437" t="s">
        <v>28</v>
      </c>
      <c r="AL65" s="437" t="s">
        <v>29</v>
      </c>
      <c r="AM65" s="437" t="s">
        <v>30</v>
      </c>
      <c r="AN65" s="437" t="s">
        <v>31</v>
      </c>
      <c r="AO65" s="437" t="s">
        <v>32</v>
      </c>
      <c r="AP65" s="437" t="s">
        <v>33</v>
      </c>
      <c r="AQ65" s="437" t="s">
        <v>34</v>
      </c>
      <c r="AR65" s="437" t="s">
        <v>35</v>
      </c>
      <c r="AS65" s="437" t="s">
        <v>25</v>
      </c>
      <c r="AU65" s="426"/>
      <c r="AV65" s="437" t="s">
        <v>90</v>
      </c>
      <c r="AW65" s="437" t="s">
        <v>91</v>
      </c>
      <c r="AX65" s="437" t="s">
        <v>60</v>
      </c>
      <c r="AY65" s="437" t="s">
        <v>66</v>
      </c>
      <c r="AZ65" s="437" t="s">
        <v>30</v>
      </c>
      <c r="BA65" s="437" t="s">
        <v>71</v>
      </c>
      <c r="BD65" s="430"/>
      <c r="BE65" s="430"/>
      <c r="BF65" s="430"/>
      <c r="BG65" s="430"/>
      <c r="BH65" s="430"/>
      <c r="BI65" s="430"/>
      <c r="BJ65" s="430"/>
      <c r="BK65" s="430"/>
      <c r="BL65" s="430"/>
      <c r="BM65" s="430"/>
      <c r="BN65" s="430"/>
      <c r="BO65" s="430"/>
      <c r="BP65" s="430"/>
      <c r="BQ65" s="430"/>
      <c r="BR65" s="430"/>
      <c r="BS65" s="430"/>
    </row>
    <row r="66" spans="1:873 1087:1374 2269:2269" ht="15" customHeight="1" x14ac:dyDescent="0.3">
      <c r="A66" s="91"/>
      <c r="B66" s="91"/>
      <c r="C66" s="91"/>
      <c r="D66" s="95"/>
      <c r="E66" s="806"/>
      <c r="F66" s="190">
        <f>Horarios!C66</f>
        <v>45472.875</v>
      </c>
      <c r="G66" s="191">
        <f>Horarios!C66</f>
        <v>45472.875</v>
      </c>
      <c r="H66" s="192"/>
      <c r="I66" s="193" t="str">
        <f ca="1">IF(SUM(AK6:AK9)=12,VLOOKUP(1,AG6:AI9,3,FALSE),"1A")</f>
        <v>Alemania</v>
      </c>
      <c r="J66" s="194"/>
      <c r="K66" s="231">
        <v>2</v>
      </c>
      <c r="L66" s="231">
        <v>1</v>
      </c>
      <c r="M66" s="194"/>
      <c r="N66" s="210" t="str">
        <f ca="1">IF(SUM(AK22:AK25)=12,VLOOKUP(2,AG22:AI25,3,FALSE),"2C")</f>
        <v>Serbia</v>
      </c>
      <c r="O66" s="166">
        <f ca="1">IF(N76="W37",0,1)</f>
        <v>1</v>
      </c>
      <c r="P66" s="375">
        <v>37</v>
      </c>
      <c r="Q66" s="83"/>
      <c r="R66" s="83"/>
      <c r="S66" s="88"/>
      <c r="T66" s="88"/>
      <c r="U66" s="88"/>
      <c r="V66" s="88"/>
      <c r="W66" s="88"/>
      <c r="X66" s="88"/>
      <c r="Y66" s="88"/>
      <c r="Z66" s="88"/>
      <c r="AA66" s="88"/>
      <c r="AB66" s="88"/>
      <c r="AC66" s="88"/>
      <c r="AD66" s="88"/>
      <c r="AE66" s="83"/>
      <c r="AF66" s="427"/>
      <c r="AG66" s="426">
        <f t="shared" ref="AG66:AG71" ca="1" si="65">IFERROR(RANK(AR66,$AR$66:$AR$71),"pos")</f>
        <v>4</v>
      </c>
      <c r="AH66" s="412" t="s">
        <v>18</v>
      </c>
      <c r="AI66" s="426" t="str">
        <f ca="1">IF($AH$65=72,VLOOKUP(3,$AG$6:$AR$9,3,FALSE),"3A")</f>
        <v>Hungría</v>
      </c>
      <c r="AJ66" s="426">
        <f ca="1">IF($AH$65=72,VLOOKUP(3,$AG$6:$AR$9,4,FALSE),"3A")</f>
        <v>1</v>
      </c>
      <c r="AK66" s="426">
        <f ca="1">IF($AH$65=72,VLOOKUP(3,$AG$6:$AR$9,5,FALSE),"3A")</f>
        <v>3</v>
      </c>
      <c r="AL66" s="426">
        <f ca="1">IF($AH$65=72,VLOOKUP(3,$AG$6:$AR$9,6,FALSE),"3A")</f>
        <v>0</v>
      </c>
      <c r="AM66" s="426">
        <f ca="1">IF($AH$65=72,VLOOKUP(3,$AG$6:$AR$9,7,FALSE),"3A")</f>
        <v>1</v>
      </c>
      <c r="AN66" s="426">
        <f ca="1">IF($AH$65=72,VLOOKUP(3,$AG$6:$AR$9,8,FALSE),"3A")</f>
        <v>2</v>
      </c>
      <c r="AO66" s="426">
        <f ca="1">IF($AH$65=72,VLOOKUP(3,$AG$6:$AR$9,9,FALSE),"3A")</f>
        <v>0</v>
      </c>
      <c r="AP66" s="426">
        <f ca="1">IF($AH$65=72,VLOOKUP(3,$AG$6:$AR$9,10,FALSE),"3A")</f>
        <v>3</v>
      </c>
      <c r="AQ66" s="426">
        <f ca="1">IF($AH$65=72,VLOOKUP(3,$AG$6:$AR$9,11,FALSE),"3A")</f>
        <v>-3</v>
      </c>
      <c r="AR66" s="426">
        <f ca="1">IF($AH$65=72,VLOOKUP(AI66,$AI$55:$AU$60,13,FALSE),"3A")</f>
        <v>138874969999.97</v>
      </c>
      <c r="AS66" s="426">
        <f t="shared" ref="AS66:AS71" ca="1" si="66">IFERROR(RANK(AR66,$AR$66:$AR$71),"pos")</f>
        <v>4</v>
      </c>
      <c r="AU66" s="426"/>
      <c r="AV66" s="426" t="s">
        <v>92</v>
      </c>
      <c r="AW66" s="426">
        <f t="shared" ref="AW66:AW80" ca="1" si="67">IF(AV66=$AG$83,1,0)</f>
        <v>1</v>
      </c>
      <c r="AX66" s="426" t="str">
        <f ca="1">AI66</f>
        <v>Hungría</v>
      </c>
      <c r="AY66" s="426" t="str">
        <f ca="1">AI69</f>
        <v>Polonia</v>
      </c>
      <c r="AZ66" s="426" t="str">
        <f ca="1">AI67</f>
        <v>España</v>
      </c>
      <c r="BA66" s="426" t="str">
        <f ca="1">AI68</f>
        <v>Dinamarca</v>
      </c>
      <c r="BC66" s="426"/>
      <c r="BD66" s="426"/>
      <c r="BE66" s="426"/>
      <c r="BF66" s="426"/>
      <c r="BG66" s="426"/>
      <c r="BH66" s="426"/>
      <c r="BI66" s="426"/>
      <c r="BJ66" s="426"/>
      <c r="BK66" s="426"/>
      <c r="BL66" s="426"/>
      <c r="BM66" s="426"/>
      <c r="BN66" s="426"/>
      <c r="BO66" s="426"/>
      <c r="BP66" s="426"/>
      <c r="BQ66" s="426"/>
      <c r="BR66" s="426"/>
      <c r="BS66" s="426"/>
      <c r="BT66" s="426"/>
      <c r="BU66" s="426"/>
      <c r="BV66" s="426"/>
      <c r="BW66" s="426"/>
    </row>
    <row r="67" spans="1:873 1087:1374 2269:2269" ht="15" customHeight="1" x14ac:dyDescent="0.3">
      <c r="A67" s="91"/>
      <c r="B67" s="91"/>
      <c r="C67" s="91"/>
      <c r="D67" s="95"/>
      <c r="E67" s="806"/>
      <c r="F67" s="190">
        <f>Horarios!C67</f>
        <v>45473.75</v>
      </c>
      <c r="G67" s="191">
        <f>Horarios!C67</f>
        <v>45473.75</v>
      </c>
      <c r="H67" s="196"/>
      <c r="I67" s="193" t="str">
        <f ca="1">IF(SUM(AK22:AK25)=12,VLOOKUP(1,AG22:AI25,3,FALSE),"1C")</f>
        <v>Inglaterra</v>
      </c>
      <c r="J67" s="194"/>
      <c r="K67" s="231">
        <v>3</v>
      </c>
      <c r="L67" s="231">
        <v>1</v>
      </c>
      <c r="M67" s="194"/>
      <c r="N67" s="210" t="str">
        <f ca="1">IF(SUM(AK66:AK71)=18,VLOOKUP(1,AW66:BA80,3,FALSE),"3D/E/F")</f>
        <v>Polonia</v>
      </c>
      <c r="O67" s="166">
        <f ca="1">IF(I78="W40",0,1)</f>
        <v>1</v>
      </c>
      <c r="P67" s="375">
        <v>40</v>
      </c>
      <c r="Q67" s="83"/>
      <c r="R67" s="83"/>
      <c r="S67" s="88"/>
      <c r="T67" s="88"/>
      <c r="U67" s="88"/>
      <c r="V67" s="88"/>
      <c r="W67" s="88"/>
      <c r="X67" s="88"/>
      <c r="Y67" s="88"/>
      <c r="Z67" s="88"/>
      <c r="AA67" s="88"/>
      <c r="AB67" s="88"/>
      <c r="AC67" s="88"/>
      <c r="AD67" s="88"/>
      <c r="AE67" s="83"/>
      <c r="AF67" s="427"/>
      <c r="AG67" s="426">
        <f t="shared" ca="1" si="65"/>
        <v>1</v>
      </c>
      <c r="AH67" s="412" t="s">
        <v>60</v>
      </c>
      <c r="AI67" s="426" t="str">
        <f ca="1">IF($AH$65=72,VLOOKUP(3,$AG$14:$AR$17,3,FALSE),"3B")</f>
        <v>España</v>
      </c>
      <c r="AJ67" s="426">
        <f ca="1">IF($AH$65=72,VLOOKUP(3,$AG$14:$AR$17,4,FALSE),"3B")</f>
        <v>2</v>
      </c>
      <c r="AK67" s="426">
        <f ca="1">IF($AH$65=72,VLOOKUP(3,$AG$14:$AR$17,5,FALSE),"3B")</f>
        <v>3</v>
      </c>
      <c r="AL67" s="426">
        <f ca="1">IF($AH$65=72,VLOOKUP(3,$AG$14:$AR$17,6,FALSE),"3B")</f>
        <v>0</v>
      </c>
      <c r="AM67" s="426">
        <f ca="1">IF($AH$65=72,VLOOKUP(3,$AG$14:$AR$17,7,FALSE),"3B")</f>
        <v>2</v>
      </c>
      <c r="AN67" s="426">
        <f ca="1">IF($AH$65=72,VLOOKUP(3,$AG$14:$AR$17,8,FALSE),"3B")</f>
        <v>1</v>
      </c>
      <c r="AO67" s="426">
        <f ca="1">IF($AH$65=72,VLOOKUP(3,$AG$14:$AR$17,9,FALSE),"3B")</f>
        <v>2</v>
      </c>
      <c r="AP67" s="426">
        <f ca="1">IF($AH$65=72,VLOOKUP(3,$AG$14:$AR$17,10,FALSE),"3B")</f>
        <v>3</v>
      </c>
      <c r="AQ67" s="426">
        <f ca="1">IF($AH$65=72,VLOOKUP(3,$AG$14:$AR$17,11,FALSE),"3B")</f>
        <v>-1</v>
      </c>
      <c r="AR67" s="426">
        <f ca="1">IF($AH$65=72,VLOOKUP(AI67,$AI$55:$AU$60,13,FALSE),"3B")</f>
        <v>277749990999.95001</v>
      </c>
      <c r="AS67" s="426">
        <f t="shared" ca="1" si="66"/>
        <v>1</v>
      </c>
      <c r="AU67" s="426"/>
      <c r="AV67" s="426" t="s">
        <v>93</v>
      </c>
      <c r="AW67" s="426">
        <f t="shared" ca="1" si="67"/>
        <v>0</v>
      </c>
      <c r="AX67" s="426" t="str">
        <f ca="1">AI66</f>
        <v>Hungría</v>
      </c>
      <c r="AY67" s="426" t="str">
        <f ca="1">AI70</f>
        <v>Rumanía</v>
      </c>
      <c r="AZ67" s="426" t="str">
        <f ca="1">AI67</f>
        <v>España</v>
      </c>
      <c r="BA67" s="426" t="str">
        <f ca="1">AI68</f>
        <v>Dinamarca</v>
      </c>
      <c r="BC67" s="426"/>
      <c r="BD67" s="426"/>
      <c r="BE67" s="426"/>
      <c r="BF67" s="426"/>
      <c r="BG67" s="426"/>
      <c r="BH67" s="426"/>
      <c r="BI67" s="426"/>
      <c r="BJ67" s="426"/>
      <c r="BK67" s="426"/>
      <c r="BL67" s="426"/>
      <c r="BM67" s="426"/>
      <c r="BN67" s="426"/>
      <c r="BO67" s="426"/>
      <c r="BP67" s="426"/>
      <c r="BQ67" s="426"/>
      <c r="BR67" s="426"/>
      <c r="BS67" s="426"/>
      <c r="BT67" s="426"/>
      <c r="BU67" s="426"/>
      <c r="BV67" s="426"/>
      <c r="BW67" s="426"/>
    </row>
    <row r="68" spans="1:873 1087:1374 2269:2269" ht="15" customHeight="1" x14ac:dyDescent="0.3">
      <c r="A68" s="91"/>
      <c r="B68" s="91"/>
      <c r="C68" s="91"/>
      <c r="D68" s="95"/>
      <c r="E68" s="806"/>
      <c r="F68" s="190">
        <f>Horarios!C68</f>
        <v>45473.875</v>
      </c>
      <c r="G68" s="191">
        <f>Horarios!C68</f>
        <v>45473.875</v>
      </c>
      <c r="H68" s="196"/>
      <c r="I68" s="234" t="str">
        <f ca="1">IF(SUM(AK14:AK17)=12,VLOOKUP(1,AG14:AI17,3,FALSE),"1B")</f>
        <v>Croacia</v>
      </c>
      <c r="J68" s="194"/>
      <c r="K68" s="231">
        <v>2</v>
      </c>
      <c r="L68" s="231">
        <v>0</v>
      </c>
      <c r="M68" s="194"/>
      <c r="N68" s="230" t="str">
        <f ca="1">IF(SUM(AK66:AK71)=18,VLOOKUP(1,AW66:BA80,2,FALSE),"3A/D/E/F")</f>
        <v>Hungría</v>
      </c>
      <c r="O68" s="166">
        <f ca="1">IF(I76="W39",0,1)</f>
        <v>1</v>
      </c>
      <c r="P68" s="375">
        <v>39</v>
      </c>
      <c r="Q68" s="83"/>
      <c r="R68" s="83"/>
      <c r="S68" s="88"/>
      <c r="T68" s="88"/>
      <c r="U68" s="88"/>
      <c r="V68" s="88"/>
      <c r="W68" s="88"/>
      <c r="X68" s="88"/>
      <c r="Y68" s="88"/>
      <c r="Z68" s="88"/>
      <c r="AA68" s="88"/>
      <c r="AB68" s="88"/>
      <c r="AC68" s="88"/>
      <c r="AD68" s="88"/>
      <c r="AE68" s="83"/>
      <c r="AF68" s="427"/>
      <c r="AG68" s="426">
        <f t="shared" ca="1" si="65"/>
        <v>3</v>
      </c>
      <c r="AH68" s="412" t="s">
        <v>66</v>
      </c>
      <c r="AI68" s="426" t="str">
        <f ca="1">IF($AH$65=72,VLOOKUP(3,$AG$22:$AR$25,3,FALSE),"3C")</f>
        <v>Dinamarca</v>
      </c>
      <c r="AJ68" s="426">
        <f ca="1">IF($AH$65=72,VLOOKUP(3,$AG$22:$AR$25,4,FALSE),"3C")</f>
        <v>1</v>
      </c>
      <c r="AK68" s="426">
        <f ca="1">IF($AH$65=72,VLOOKUP(3,$AG$22:$AR$25,5,FALSE),"3C")</f>
        <v>3</v>
      </c>
      <c r="AL68" s="426">
        <f ca="1">IF($AH$65=72,VLOOKUP(3,$AG$22:$AR$25,6,FALSE),"3C")</f>
        <v>0</v>
      </c>
      <c r="AM68" s="426">
        <f ca="1">IF($AH$65=72,VLOOKUP(3,$AG$22:$AR$25,7,FALSE),"3C")</f>
        <v>1</v>
      </c>
      <c r="AN68" s="426">
        <f ca="1">IF($AH$65=72,VLOOKUP(3,$AG$22:$AR$25,8,FALSE),"3C")</f>
        <v>2</v>
      </c>
      <c r="AO68" s="426">
        <f ca="1">IF($AH$65=72,VLOOKUP(3,$AG$22:$AR$25,9,FALSE),"3C")</f>
        <v>1</v>
      </c>
      <c r="AP68" s="426">
        <f ca="1">IF($AH$65=72,VLOOKUP(3,$AG$22:$AR$25,10,FALSE),"3C")</f>
        <v>4</v>
      </c>
      <c r="AQ68" s="426">
        <f ca="1">IF($AH$65=72,VLOOKUP(3,$AG$22:$AR$25,11,FALSE),"3C")</f>
        <v>-3</v>
      </c>
      <c r="AR68" s="426">
        <f ca="1">IF($AH$65=72,VLOOKUP(AI68,$AI$55:$AU$60,13,FALSE),"3C")</f>
        <v>138874970499.89999</v>
      </c>
      <c r="AS68" s="426">
        <f t="shared" ca="1" si="66"/>
        <v>3</v>
      </c>
      <c r="AU68" s="426"/>
      <c r="AV68" s="426" t="s">
        <v>94</v>
      </c>
      <c r="AW68" s="426">
        <f t="shared" ca="1" si="67"/>
        <v>0</v>
      </c>
      <c r="AX68" s="426" t="str">
        <f ca="1">AI66</f>
        <v>Hungría</v>
      </c>
      <c r="AY68" s="426" t="str">
        <f ca="1">AI71</f>
        <v>Georgia</v>
      </c>
      <c r="AZ68" s="426" t="str">
        <f ca="1">AI67</f>
        <v>España</v>
      </c>
      <c r="BA68" s="426" t="str">
        <f ca="1">AI68</f>
        <v>Dinamarca</v>
      </c>
      <c r="BC68" s="426"/>
      <c r="BD68" s="426"/>
      <c r="BE68" s="426"/>
      <c r="BF68" s="426"/>
      <c r="BG68" s="426"/>
      <c r="BH68" s="426"/>
      <c r="BI68" s="426"/>
      <c r="BJ68" s="426"/>
      <c r="BK68" s="426"/>
      <c r="BL68" s="426"/>
      <c r="BM68" s="426"/>
      <c r="BN68" s="426"/>
      <c r="BO68" s="426"/>
      <c r="BP68" s="426"/>
      <c r="BQ68" s="426"/>
      <c r="BR68" s="426"/>
      <c r="BS68" s="426"/>
      <c r="BT68" s="426"/>
      <c r="BU68" s="426"/>
      <c r="BV68" s="426"/>
      <c r="BW68" s="426"/>
    </row>
    <row r="69" spans="1:873 1087:1374 2269:2269" ht="15" customHeight="1" x14ac:dyDescent="0.3">
      <c r="A69" s="91"/>
      <c r="B69" s="91"/>
      <c r="C69" s="91"/>
      <c r="D69" s="95"/>
      <c r="E69" s="806"/>
      <c r="F69" s="190">
        <f>Horarios!C69</f>
        <v>45474.75</v>
      </c>
      <c r="G69" s="235">
        <f>Horarios!C69</f>
        <v>45474.75</v>
      </c>
      <c r="H69" s="192"/>
      <c r="I69" s="193" t="str">
        <f ca="1">IF(SUM(AK30:AK33)=12,VLOOKUP(2,AG30:AI33,3,FALSE),"2D")</f>
        <v>Países Bajos</v>
      </c>
      <c r="J69" s="233">
        <v>2</v>
      </c>
      <c r="K69" s="231">
        <v>1</v>
      </c>
      <c r="L69" s="231">
        <v>1</v>
      </c>
      <c r="M69" s="232">
        <v>4</v>
      </c>
      <c r="N69" s="210" t="str">
        <f ca="1">IF(SUM(AK38:AK41)=12,VLOOKUP(2,AG38:AI41,3,FALSE),"2E")</f>
        <v>Ucrania</v>
      </c>
      <c r="O69" s="166">
        <f ca="1">IF(N77="W42",0,1)</f>
        <v>1</v>
      </c>
      <c r="P69" s="375">
        <v>42</v>
      </c>
      <c r="Q69" s="83"/>
      <c r="R69" s="83"/>
      <c r="S69" s="88"/>
      <c r="T69" s="88"/>
      <c r="U69" s="88"/>
      <c r="V69" s="88"/>
      <c r="W69" s="88"/>
      <c r="X69" s="88"/>
      <c r="Y69" s="88"/>
      <c r="Z69" s="88"/>
      <c r="AA69" s="88"/>
      <c r="AB69" s="88"/>
      <c r="AC69" s="88"/>
      <c r="AD69" s="88"/>
      <c r="AE69" s="83"/>
      <c r="AF69" s="427"/>
      <c r="AG69" s="426">
        <f t="shared" ca="1" si="65"/>
        <v>2</v>
      </c>
      <c r="AH69" s="412" t="s">
        <v>68</v>
      </c>
      <c r="AI69" s="426" t="str">
        <f ca="1">IF($AH$65=72,VLOOKUP(3,$AG$30:$AR$33,3,FALSE),"3D")</f>
        <v>Polonia</v>
      </c>
      <c r="AJ69" s="426">
        <f ca="1">IF($AH$65=72,VLOOKUP(3,$AG$30:$AR$33,4,FALSE),"3D")</f>
        <v>1</v>
      </c>
      <c r="AK69" s="426">
        <f ca="1">IF($AH$65=72,VLOOKUP(3,$AG$30:$AR$33,5,FALSE),"3D")</f>
        <v>3</v>
      </c>
      <c r="AL69" s="426">
        <f ca="1">IF($AH$65=72,VLOOKUP(3,$AG$30:$AR$33,6,FALSE),"3D")</f>
        <v>0</v>
      </c>
      <c r="AM69" s="426">
        <f ca="1">IF($AH$65=72,VLOOKUP(3,$AG$30:$AR$33,7,FALSE),"3D")</f>
        <v>1</v>
      </c>
      <c r="AN69" s="426">
        <f ca="1">IF($AH$65=72,VLOOKUP(3,$AG$30:$AR$33,8,FALSE),"3D")</f>
        <v>2</v>
      </c>
      <c r="AO69" s="426">
        <f ca="1">IF($AH$65=72,VLOOKUP(3,$AG$30:$AR$33,9,FALSE),"3D")</f>
        <v>2</v>
      </c>
      <c r="AP69" s="426">
        <f ca="1">IF($AH$65=72,VLOOKUP(3,$AG$30:$AR$33,10,FALSE),"3D")</f>
        <v>5</v>
      </c>
      <c r="AQ69" s="426">
        <f ca="1">IF($AH$65=72,VLOOKUP(3,$AG$30:$AR$33,11,FALSE),"3D")</f>
        <v>-3</v>
      </c>
      <c r="AR69" s="426">
        <f ca="1">IF($AH$65=72,VLOOKUP(AI69,$AI$55:$AU$60,13,FALSE),"3D")</f>
        <v>138874970999.87</v>
      </c>
      <c r="AS69" s="426">
        <f t="shared" ca="1" si="66"/>
        <v>2</v>
      </c>
      <c r="AU69" s="426"/>
      <c r="AV69" s="426" t="s">
        <v>95</v>
      </c>
      <c r="AW69" s="426">
        <f t="shared" ca="1" si="67"/>
        <v>0</v>
      </c>
      <c r="AX69" s="426" t="str">
        <f ca="1">AI69</f>
        <v>Polonia</v>
      </c>
      <c r="AY69" s="426" t="str">
        <f ca="1">AI70</f>
        <v>Rumanía</v>
      </c>
      <c r="AZ69" s="426" t="str">
        <f ca="1">AI66</f>
        <v>Hungría</v>
      </c>
      <c r="BA69" s="426" t="str">
        <f ca="1">AI67</f>
        <v>España</v>
      </c>
      <c r="BC69" s="426"/>
      <c r="BD69" s="426"/>
      <c r="BE69" s="426"/>
      <c r="BF69" s="426"/>
      <c r="BG69" s="426"/>
      <c r="BH69" s="426"/>
      <c r="BI69" s="426"/>
      <c r="BJ69" s="426"/>
      <c r="BK69" s="426"/>
      <c r="BL69" s="426"/>
      <c r="BM69" s="426"/>
      <c r="BN69" s="426"/>
      <c r="BO69" s="426"/>
      <c r="BP69" s="426"/>
      <c r="BQ69" s="426"/>
      <c r="BR69" s="426"/>
      <c r="BS69" s="426"/>
      <c r="BT69" s="426"/>
      <c r="BU69" s="426"/>
      <c r="BV69" s="426"/>
      <c r="BW69" s="426"/>
      <c r="WJ69" s="412" t="s">
        <v>96</v>
      </c>
      <c r="AGM69" s="412"/>
      <c r="AGN69" s="412"/>
      <c r="AGO69" s="412"/>
      <c r="CIG69" s="427"/>
    </row>
    <row r="70" spans="1:873 1087:1374 2269:2269" ht="15" customHeight="1" x14ac:dyDescent="0.3">
      <c r="A70" s="91"/>
      <c r="B70" s="91"/>
      <c r="C70" s="91"/>
      <c r="D70" s="95"/>
      <c r="E70" s="806"/>
      <c r="F70" s="190">
        <f>Horarios!C70</f>
        <v>45474.875</v>
      </c>
      <c r="G70" s="191">
        <f>Horarios!C70</f>
        <v>45474.875</v>
      </c>
      <c r="H70" s="192"/>
      <c r="I70" s="193" t="str">
        <f ca="1">IF(SUM(AK46:AK49)=12,VLOOKUP(1,AG46:AI49,3,FALSE),"1F")</f>
        <v>Portugal</v>
      </c>
      <c r="J70" s="194"/>
      <c r="K70" s="195">
        <v>2</v>
      </c>
      <c r="L70" s="195">
        <v>0</v>
      </c>
      <c r="M70" s="194"/>
      <c r="N70" s="210" t="str">
        <f ca="1">IF(SUM(AK66:AK71)=18,VLOOKUP(1,AW66:BA80,5,FALSE),"3A/B/C")</f>
        <v>Dinamarca</v>
      </c>
      <c r="O70" s="166">
        <f ca="1">IF(I77="W41",0,1)</f>
        <v>1</v>
      </c>
      <c r="P70" s="375">
        <v>41</v>
      </c>
      <c r="Q70" s="83"/>
      <c r="R70" s="83"/>
      <c r="S70" s="88"/>
      <c r="T70" s="88"/>
      <c r="U70" s="88"/>
      <c r="V70" s="88"/>
      <c r="W70" s="88"/>
      <c r="X70" s="88"/>
      <c r="Y70" s="88"/>
      <c r="Z70" s="88"/>
      <c r="AA70" s="88"/>
      <c r="AB70" s="88"/>
      <c r="AC70" s="88"/>
      <c r="AD70" s="88"/>
      <c r="AE70" s="83"/>
      <c r="AF70" s="427"/>
      <c r="AG70" s="426">
        <f t="shared" ca="1" si="65"/>
        <v>6</v>
      </c>
      <c r="AH70" s="412" t="s">
        <v>30</v>
      </c>
      <c r="AI70" s="426" t="str">
        <f ca="1">IF($AH$65=72,VLOOKUP(3,$AG$38:$AR$41,3,FALSE),"3E")</f>
        <v>Rumanía</v>
      </c>
      <c r="AJ70" s="426">
        <f ca="1">IF($AH$65=72,VLOOKUP(3,$AG$38:$AR$41,4,FALSE),"3E")</f>
        <v>1</v>
      </c>
      <c r="AK70" s="426">
        <f ca="1">IF($AH$65=72,VLOOKUP(3,$AG$38:$AR$41,5,FALSE),"3E")</f>
        <v>3</v>
      </c>
      <c r="AL70" s="426">
        <f ca="1">IF($AH$65=72,VLOOKUP(3,$AG$38:$AR$41,6,FALSE),"3E")</f>
        <v>0</v>
      </c>
      <c r="AM70" s="426">
        <f ca="1">IF($AH$65=72,VLOOKUP(3,$AG$38:$AR$41,7,FALSE),"3E")</f>
        <v>1</v>
      </c>
      <c r="AN70" s="426">
        <f ca="1">IF($AH$65=72,VLOOKUP(3,$AG$38:$AR$41,8,FALSE),"3E")</f>
        <v>2</v>
      </c>
      <c r="AO70" s="426">
        <f ca="1">IF($AH$65=72,VLOOKUP(3,$AG$38:$AR$41,9,FALSE),"3E")</f>
        <v>0</v>
      </c>
      <c r="AP70" s="426">
        <f ca="1">IF($AH$65=72,VLOOKUP(3,$AG$38:$AR$41,10,FALSE),"3E")</f>
        <v>4</v>
      </c>
      <c r="AQ70" s="426">
        <f ca="1">IF($AH$65=72,VLOOKUP(3,$AG$38:$AR$41,11,FALSE),"3E")</f>
        <v>-4</v>
      </c>
      <c r="AR70" s="426">
        <f ca="1">IF($AH$65=72,VLOOKUP(AI70,$AI$55:$AU$60,13,FALSE),"3E")</f>
        <v>138874959999.81</v>
      </c>
      <c r="AS70" s="426">
        <f t="shared" ca="1" si="66"/>
        <v>6</v>
      </c>
      <c r="AU70" s="426"/>
      <c r="AV70" s="426" t="s">
        <v>97</v>
      </c>
      <c r="AW70" s="426">
        <f t="shared" ca="1" si="67"/>
        <v>0</v>
      </c>
      <c r="AX70" s="426" t="str">
        <f ca="1">AI69</f>
        <v>Polonia</v>
      </c>
      <c r="AY70" s="426" t="str">
        <f ca="1">AI71</f>
        <v>Georgia</v>
      </c>
      <c r="AZ70" s="426" t="str">
        <f ca="1">AI66</f>
        <v>Hungría</v>
      </c>
      <c r="BA70" s="426" t="str">
        <f ca="1">AI67</f>
        <v>España</v>
      </c>
      <c r="BC70" s="426"/>
      <c r="BD70" s="426"/>
      <c r="BE70" s="426"/>
      <c r="BF70" s="426"/>
      <c r="BG70" s="426"/>
      <c r="BH70" s="426"/>
      <c r="BI70" s="426"/>
      <c r="BJ70" s="426"/>
      <c r="BK70" s="426"/>
      <c r="BL70" s="426"/>
      <c r="BM70" s="426"/>
      <c r="BN70" s="426"/>
      <c r="BO70" s="426"/>
      <c r="BP70" s="426"/>
      <c r="BQ70" s="426"/>
      <c r="BR70" s="426"/>
      <c r="BS70" s="426"/>
      <c r="BT70" s="426"/>
      <c r="BU70" s="426"/>
      <c r="BV70" s="426"/>
      <c r="BW70" s="426"/>
      <c r="BX70" s="426"/>
      <c r="BY70" s="426"/>
      <c r="NC70" s="412"/>
      <c r="ND70" s="412"/>
      <c r="NE70" s="412"/>
      <c r="NF70" s="412"/>
      <c r="NG70" s="412"/>
      <c r="NH70" s="412"/>
      <c r="NI70" s="412"/>
      <c r="NJ70" s="412"/>
      <c r="NK70" s="412"/>
      <c r="NL70" s="412"/>
      <c r="NM70" s="412"/>
      <c r="NN70" s="412"/>
      <c r="NO70" s="412"/>
      <c r="NP70" s="412"/>
      <c r="NQ70" s="412"/>
      <c r="NR70" s="412"/>
      <c r="NS70" s="412"/>
      <c r="NT70" s="412"/>
      <c r="NU70" s="412"/>
      <c r="NV70" s="412"/>
      <c r="NW70" s="412"/>
      <c r="NX70" s="412"/>
      <c r="NY70" s="412"/>
      <c r="NZ70" s="412"/>
      <c r="OA70" s="412"/>
      <c r="OB70" s="412"/>
      <c r="OC70" s="412"/>
      <c r="OD70" s="412"/>
      <c r="OE70" s="412"/>
      <c r="OF70" s="412"/>
      <c r="OG70" s="412"/>
      <c r="OH70" s="412"/>
      <c r="OI70" s="412"/>
      <c r="OJ70" s="412"/>
      <c r="OK70" s="412"/>
      <c r="OL70" s="412"/>
      <c r="OM70" s="412"/>
      <c r="ON70" s="412"/>
      <c r="OO70" s="412"/>
      <c r="OP70" s="412"/>
      <c r="OQ70" s="412"/>
      <c r="OR70" s="412"/>
      <c r="OS70" s="412"/>
      <c r="OT70" s="412"/>
      <c r="OU70" s="412"/>
      <c r="OV70" s="412"/>
      <c r="OW70" s="412"/>
      <c r="OX70" s="412"/>
      <c r="OY70" s="412"/>
      <c r="OZ70" s="412"/>
      <c r="PA70" s="412"/>
      <c r="PB70" s="412"/>
      <c r="PC70" s="412"/>
      <c r="PD70" s="412"/>
      <c r="PE70" s="412"/>
      <c r="PF70" s="412"/>
      <c r="PG70" s="412"/>
      <c r="PH70" s="412"/>
      <c r="PI70" s="412"/>
      <c r="PJ70" s="412"/>
      <c r="PK70" s="412"/>
      <c r="PL70" s="412"/>
      <c r="PM70" s="412"/>
      <c r="PN70" s="412"/>
      <c r="PO70" s="412"/>
      <c r="PP70" s="412"/>
      <c r="PQ70" s="412"/>
      <c r="PR70" s="412"/>
      <c r="PS70" s="412"/>
      <c r="PT70" s="412"/>
      <c r="PU70" s="412"/>
      <c r="PV70" s="412"/>
      <c r="PW70" s="412"/>
      <c r="PX70" s="412"/>
      <c r="PY70" s="412"/>
      <c r="PZ70" s="412"/>
      <c r="QA70" s="412"/>
      <c r="QB70" s="412"/>
      <c r="QC70" s="412"/>
      <c r="QD70" s="412"/>
      <c r="QE70" s="412"/>
      <c r="QF70" s="412"/>
      <c r="QG70" s="412"/>
      <c r="QH70" s="412"/>
      <c r="QI70" s="412"/>
      <c r="QJ70" s="412"/>
      <c r="QK70" s="412"/>
      <c r="QL70" s="412"/>
      <c r="QM70" s="412"/>
      <c r="QN70" s="412"/>
      <c r="QO70" s="412"/>
      <c r="QP70" s="412"/>
      <c r="QQ70" s="412"/>
      <c r="QR70" s="412"/>
      <c r="QS70" s="412"/>
      <c r="QT70" s="412"/>
      <c r="QU70" s="412"/>
      <c r="QV70" s="412"/>
      <c r="QW70" s="412"/>
      <c r="QX70" s="412"/>
      <c r="QY70" s="412"/>
      <c r="QZ70" s="412"/>
      <c r="RA70" s="412"/>
      <c r="RB70" s="412"/>
      <c r="RC70" s="412"/>
      <c r="RD70" s="412"/>
      <c r="RE70" s="412"/>
      <c r="RF70" s="412"/>
      <c r="RG70" s="412"/>
      <c r="RH70" s="412"/>
      <c r="RI70" s="412"/>
      <c r="RJ70" s="412"/>
      <c r="RK70" s="412"/>
      <c r="RL70" s="412"/>
      <c r="RM70" s="412"/>
      <c r="RN70" s="412"/>
      <c r="RO70" s="412"/>
      <c r="RP70" s="412"/>
      <c r="RQ70" s="412"/>
      <c r="RR70" s="412"/>
      <c r="RS70" s="412"/>
      <c r="RT70" s="412"/>
      <c r="RU70" s="412"/>
      <c r="RV70" s="412"/>
      <c r="RW70" s="412"/>
      <c r="RX70" s="412"/>
      <c r="RY70" s="412"/>
      <c r="RZ70" s="412"/>
      <c r="SA70" s="412"/>
      <c r="SB70" s="412"/>
      <c r="SC70" s="412"/>
      <c r="SD70" s="412"/>
      <c r="SE70" s="412"/>
      <c r="SF70" s="412"/>
      <c r="SG70" s="412"/>
      <c r="SH70" s="412"/>
      <c r="SI70" s="412"/>
      <c r="SJ70" s="412"/>
      <c r="SK70" s="412"/>
      <c r="SL70" s="412"/>
      <c r="SM70" s="412"/>
      <c r="SN70" s="412"/>
      <c r="SO70" s="412"/>
      <c r="SP70" s="412"/>
      <c r="SQ70" s="412"/>
      <c r="SR70" s="412"/>
      <c r="SS70" s="412"/>
      <c r="ST70" s="412"/>
      <c r="SU70" s="412"/>
      <c r="SV70" s="412"/>
      <c r="SW70" s="412"/>
      <c r="SX70" s="412"/>
      <c r="SY70" s="412"/>
      <c r="SZ70" s="412"/>
      <c r="TA70" s="412"/>
      <c r="TB70" s="412"/>
      <c r="TC70" s="412"/>
      <c r="TD70" s="412"/>
      <c r="TE70" s="412"/>
      <c r="TF70" s="412"/>
      <c r="TG70" s="412"/>
      <c r="TH70" s="412"/>
      <c r="TI70" s="412"/>
      <c r="TJ70" s="412"/>
      <c r="TK70" s="412"/>
      <c r="TL70" s="412"/>
      <c r="TM70" s="412"/>
      <c r="TN70" s="412"/>
      <c r="TO70" s="412"/>
      <c r="TP70" s="412"/>
      <c r="TQ70" s="412"/>
      <c r="TR70" s="412"/>
      <c r="TS70" s="412"/>
      <c r="TT70" s="412"/>
      <c r="TU70" s="412"/>
      <c r="TV70" s="412"/>
      <c r="TW70" s="412"/>
      <c r="TX70" s="412"/>
      <c r="TY70" s="412"/>
      <c r="TZ70" s="412"/>
      <c r="WJ70" s="412" t="s">
        <v>98</v>
      </c>
      <c r="AEE70" s="412"/>
      <c r="AEL70" s="412"/>
      <c r="AES70" s="412" t="s">
        <v>99</v>
      </c>
      <c r="AFY70" s="412"/>
      <c r="AFZ70" s="412"/>
      <c r="AGA70" s="412"/>
      <c r="AGB70" s="412"/>
      <c r="AGC70" s="412"/>
      <c r="AGD70" s="412"/>
      <c r="AGE70" s="412"/>
      <c r="AGM70" s="412"/>
      <c r="AGN70" s="412"/>
      <c r="AGO70" s="412"/>
      <c r="AOU70" s="412">
        <v>123456</v>
      </c>
      <c r="AVZ70" s="412"/>
      <c r="AXR70" s="412">
        <v>123456</v>
      </c>
      <c r="CIG70" s="427"/>
    </row>
    <row r="71" spans="1:873 1087:1374 2269:2269" ht="15" customHeight="1" x14ac:dyDescent="0.3">
      <c r="A71" s="91"/>
      <c r="B71" s="91"/>
      <c r="C71" s="91"/>
      <c r="D71" s="95"/>
      <c r="E71" s="806"/>
      <c r="F71" s="190">
        <f>Horarios!C71</f>
        <v>45475.75</v>
      </c>
      <c r="G71" s="191">
        <f>Horarios!C71</f>
        <v>45475.75</v>
      </c>
      <c r="H71" s="196"/>
      <c r="I71" s="193" t="str">
        <f ca="1">IF(SUM(AK38:AK41)=12,VLOOKUP(1,AG38:AI41,3,FALSE),"1E")</f>
        <v>Bélgica</v>
      </c>
      <c r="J71" s="194"/>
      <c r="K71" s="195">
        <v>2</v>
      </c>
      <c r="L71" s="195">
        <v>1</v>
      </c>
      <c r="M71" s="194"/>
      <c r="N71" s="210" t="str">
        <f ca="1">IF(SUM(AK66:AK71)=18,VLOOKUP(1,AW66:BA80,4,FALSE),"3A/B/C/D")</f>
        <v>España</v>
      </c>
      <c r="O71" s="166">
        <f ca="1">IF(I79="W43",0,1)</f>
        <v>1</v>
      </c>
      <c r="P71" s="375">
        <v>43</v>
      </c>
      <c r="Q71" s="83"/>
      <c r="R71" s="83"/>
      <c r="S71" s="88"/>
      <c r="T71" s="88"/>
      <c r="U71" s="88"/>
      <c r="V71" s="88"/>
      <c r="W71" s="88"/>
      <c r="X71" s="88"/>
      <c r="Y71" s="88"/>
      <c r="Z71" s="88"/>
      <c r="AA71" s="88"/>
      <c r="AB71" s="88"/>
      <c r="AC71" s="88"/>
      <c r="AD71" s="88"/>
      <c r="AE71" s="83"/>
      <c r="AF71" s="427"/>
      <c r="AG71" s="426">
        <f t="shared" ca="1" si="65"/>
        <v>5</v>
      </c>
      <c r="AH71" s="412" t="s">
        <v>71</v>
      </c>
      <c r="AI71" s="426" t="str">
        <f ca="1">IF($AH$65=72,VLOOKUP(3,$AG$46:$AR$49,3,FALSE),"3F")</f>
        <v>Georgia</v>
      </c>
      <c r="AJ71" s="426">
        <f ca="1">IF($AH$65=72,VLOOKUP(3,$AG$46:$AR$49,4,FALSE),"3F")</f>
        <v>1</v>
      </c>
      <c r="AK71" s="426">
        <f ca="1">IF($AH$65=72,VLOOKUP(3,$AG$46:$AR$49,5,FALSE),"3F")</f>
        <v>3</v>
      </c>
      <c r="AL71" s="426">
        <f ca="1">IF($AH$65=72,VLOOKUP(3,$AG$46:$AR$49,6,FALSE),"3F")</f>
        <v>0</v>
      </c>
      <c r="AM71" s="426">
        <f ca="1">IF($AH$65=72,VLOOKUP(3,$AG$46:$AR$49,7,FALSE),"3F")</f>
        <v>1</v>
      </c>
      <c r="AN71" s="426">
        <f ca="1">IF($AH$65=72,VLOOKUP(3,$AG$46:$AR$49,8,FALSE),"3F")</f>
        <v>2</v>
      </c>
      <c r="AO71" s="426">
        <f ca="1">IF($AH$65=72,VLOOKUP(3,$AG$46:$AR$49,9,FALSE),"3F")</f>
        <v>2</v>
      </c>
      <c r="AP71" s="426">
        <f ca="1">IF($AH$65=72,VLOOKUP(3,$AG$46:$AR$49,10,FALSE),"3F")</f>
        <v>6</v>
      </c>
      <c r="AQ71" s="426">
        <f ca="1">IF($AH$65=72,VLOOKUP(3,$AG$46:$AR$49,11,FALSE),"3F")</f>
        <v>-4</v>
      </c>
      <c r="AR71" s="426">
        <f ca="1">IF($AH$65=72,VLOOKUP(AI71,$AI$55:$AU$60,13,FALSE),"3F")</f>
        <v>138874960999.78</v>
      </c>
      <c r="AS71" s="426">
        <f t="shared" ca="1" si="66"/>
        <v>5</v>
      </c>
      <c r="AU71" s="426"/>
      <c r="AV71" s="426" t="s">
        <v>100</v>
      </c>
      <c r="AW71" s="426">
        <f t="shared" ca="1" si="67"/>
        <v>0</v>
      </c>
      <c r="AX71" s="426" t="str">
        <f ca="1">AI70</f>
        <v>Rumanía</v>
      </c>
      <c r="AY71" s="426" t="str">
        <f ca="1">AI71</f>
        <v>Georgia</v>
      </c>
      <c r="AZ71" s="426" t="str">
        <f ca="1">AI67</f>
        <v>España</v>
      </c>
      <c r="BA71" s="426" t="str">
        <f ca="1">AI66</f>
        <v>Hungría</v>
      </c>
      <c r="BC71" s="426"/>
      <c r="BD71" s="426"/>
      <c r="BE71" s="426"/>
      <c r="BF71" s="426"/>
      <c r="BG71" s="426"/>
      <c r="BH71" s="426"/>
      <c r="BI71" s="426"/>
      <c r="BJ71" s="426"/>
      <c r="BK71" s="426"/>
      <c r="BL71" s="426"/>
      <c r="BM71" s="426"/>
      <c r="BN71" s="426"/>
      <c r="BO71" s="426"/>
      <c r="BP71" s="426"/>
      <c r="BQ71" s="426"/>
      <c r="BR71" s="426"/>
      <c r="BS71" s="426"/>
      <c r="BT71" s="426"/>
      <c r="BU71" s="426"/>
      <c r="BV71" s="426"/>
      <c r="BW71" s="426"/>
      <c r="BX71" s="426"/>
      <c r="BY71" s="426"/>
      <c r="NC71" s="412"/>
      <c r="ND71" s="412"/>
      <c r="NE71" s="412"/>
      <c r="NF71" s="412"/>
      <c r="NG71" s="412"/>
      <c r="NH71" s="412"/>
      <c r="NI71" s="412"/>
      <c r="NJ71" s="412"/>
      <c r="NK71" s="412"/>
      <c r="NL71" s="412"/>
      <c r="NM71" s="412"/>
      <c r="NN71" s="412"/>
      <c r="NO71" s="412"/>
      <c r="NP71" s="412"/>
      <c r="NQ71" s="412"/>
      <c r="NR71" s="439"/>
      <c r="NS71" s="439"/>
      <c r="NT71" s="439"/>
      <c r="NU71" s="439"/>
      <c r="NV71" s="439"/>
      <c r="NW71" s="439"/>
      <c r="NX71" s="439"/>
      <c r="NY71" s="439"/>
      <c r="NZ71" s="439"/>
      <c r="OA71" s="439"/>
      <c r="OB71" s="439"/>
      <c r="OC71" s="439"/>
      <c r="OD71" s="439"/>
      <c r="OE71" s="439"/>
      <c r="OF71" s="439"/>
      <c r="OG71" s="412"/>
      <c r="OH71" s="412"/>
      <c r="OI71" s="412"/>
      <c r="OJ71" s="412"/>
      <c r="OK71" s="412"/>
      <c r="OL71" s="412"/>
      <c r="OM71" s="412"/>
      <c r="ON71" s="412"/>
      <c r="OO71" s="412"/>
      <c r="OP71" s="412"/>
      <c r="OQ71" s="412"/>
      <c r="OR71" s="412"/>
      <c r="OS71" s="412"/>
      <c r="OT71" s="412"/>
      <c r="OU71" s="412"/>
      <c r="OV71" s="412"/>
      <c r="OW71" s="412"/>
      <c r="OX71" s="412"/>
      <c r="OY71" s="412"/>
      <c r="OZ71" s="412"/>
      <c r="PA71" s="412"/>
      <c r="PB71" s="412"/>
      <c r="PC71" s="412"/>
      <c r="PD71" s="412"/>
      <c r="PE71" s="412"/>
      <c r="PF71" s="412"/>
      <c r="PG71" s="412"/>
      <c r="PH71" s="412"/>
      <c r="PI71" s="412"/>
      <c r="PJ71" s="412"/>
      <c r="PK71" s="412"/>
      <c r="PL71" s="412"/>
      <c r="PM71" s="412"/>
      <c r="PN71" s="412"/>
      <c r="PO71" s="412"/>
      <c r="PP71" s="412"/>
      <c r="PQ71" s="412"/>
      <c r="PR71" s="412"/>
      <c r="PS71" s="412"/>
      <c r="PT71" s="412"/>
      <c r="PU71" s="412"/>
      <c r="PV71" s="412"/>
      <c r="PW71" s="412"/>
      <c r="PX71" s="412"/>
      <c r="PY71" s="412"/>
      <c r="PZ71" s="412"/>
      <c r="QA71" s="412"/>
      <c r="QB71" s="412"/>
      <c r="QC71" s="412"/>
      <c r="QD71" s="412"/>
      <c r="QE71" s="412"/>
      <c r="QF71" s="412"/>
      <c r="QG71" s="412"/>
      <c r="QH71" s="412"/>
      <c r="QI71" s="439"/>
      <c r="QJ71" s="439"/>
      <c r="QK71" s="439"/>
      <c r="QL71" s="439"/>
      <c r="QM71" s="439"/>
      <c r="QN71" s="439"/>
      <c r="QO71" s="439"/>
      <c r="QP71" s="412"/>
      <c r="QQ71" s="412"/>
      <c r="QR71" s="412"/>
      <c r="QS71" s="412"/>
      <c r="QT71" s="412"/>
      <c r="QU71" s="412"/>
      <c r="QV71" s="412"/>
      <c r="QW71" s="412"/>
      <c r="QX71" s="412"/>
      <c r="QY71" s="412"/>
      <c r="QZ71" s="412"/>
      <c r="RA71" s="412"/>
      <c r="RB71" s="412"/>
      <c r="RC71" s="412"/>
      <c r="RD71" s="412"/>
      <c r="RE71" s="412"/>
      <c r="RF71" s="412"/>
      <c r="RG71" s="412"/>
      <c r="RH71" s="412"/>
      <c r="RI71" s="412"/>
      <c r="RJ71" s="412"/>
      <c r="RK71" s="412"/>
      <c r="RL71" s="412"/>
      <c r="RM71" s="412"/>
      <c r="RN71" s="412"/>
      <c r="RO71" s="412"/>
      <c r="RP71" s="412"/>
      <c r="RQ71" s="412"/>
      <c r="RR71" s="412"/>
      <c r="RS71" s="412"/>
      <c r="RT71" s="412"/>
      <c r="RU71" s="412"/>
      <c r="RV71" s="412"/>
      <c r="RW71" s="412"/>
      <c r="RX71" s="412"/>
      <c r="RY71" s="412"/>
      <c r="RZ71" s="412"/>
      <c r="SA71" s="412"/>
      <c r="SB71" s="412"/>
      <c r="SC71" s="439"/>
      <c r="SD71" s="439"/>
      <c r="SE71" s="439"/>
      <c r="SF71" s="439"/>
      <c r="SG71" s="439"/>
      <c r="SH71" s="439"/>
      <c r="SI71" s="439"/>
      <c r="SJ71" s="412"/>
      <c r="SK71" s="412"/>
      <c r="SL71" s="412"/>
      <c r="SM71" s="412"/>
      <c r="SN71" s="412"/>
      <c r="SO71" s="412"/>
      <c r="SP71" s="412"/>
      <c r="SQ71" s="412"/>
      <c r="SR71" s="412"/>
      <c r="SS71" s="412"/>
      <c r="ST71" s="412"/>
      <c r="SU71" s="412"/>
      <c r="SV71" s="412"/>
      <c r="SW71" s="412"/>
      <c r="SX71" s="412"/>
      <c r="SY71" s="412"/>
      <c r="SZ71" s="412"/>
      <c r="TA71" s="412"/>
      <c r="TB71" s="412"/>
      <c r="TC71" s="412"/>
      <c r="TD71" s="412"/>
      <c r="TE71" s="412"/>
      <c r="TF71" s="412"/>
      <c r="TG71" s="412"/>
      <c r="TH71" s="439"/>
      <c r="TI71" s="439"/>
      <c r="TJ71" s="439"/>
      <c r="TK71" s="439"/>
      <c r="TL71" s="439"/>
      <c r="TM71" s="439"/>
      <c r="TN71" s="439"/>
      <c r="TO71" s="412"/>
      <c r="TP71" s="412"/>
      <c r="TQ71" s="412"/>
      <c r="TR71" s="412"/>
      <c r="TS71" s="412"/>
      <c r="TT71" s="412"/>
      <c r="TU71" s="412"/>
      <c r="TV71" s="412"/>
      <c r="TW71" s="412"/>
      <c r="TX71" s="412"/>
      <c r="TY71" s="412"/>
      <c r="TZ71" s="412"/>
      <c r="WJ71" s="412">
        <v>12</v>
      </c>
      <c r="AEE71" s="412"/>
      <c r="AEL71" s="412"/>
      <c r="AES71" s="412" t="s">
        <v>99</v>
      </c>
      <c r="AFY71" s="412"/>
      <c r="AFZ71" s="412"/>
      <c r="AGA71" s="412"/>
      <c r="AGB71" s="412"/>
      <c r="AGC71" s="412"/>
      <c r="AGD71" s="412"/>
      <c r="AGE71" s="412"/>
      <c r="AGM71" s="412"/>
      <c r="AGN71" s="412"/>
      <c r="AGO71" s="412"/>
      <c r="AOU71" s="412" t="s">
        <v>101</v>
      </c>
      <c r="AVZ71" s="412"/>
      <c r="AXR71" s="412" t="s">
        <v>102</v>
      </c>
      <c r="AZV71" s="426">
        <v>123456</v>
      </c>
      <c r="CIG71" s="427"/>
    </row>
    <row r="72" spans="1:873 1087:1374 2269:2269" ht="15" customHeight="1" thickBot="1" x14ac:dyDescent="0.35">
      <c r="A72" s="91"/>
      <c r="B72" s="91"/>
      <c r="C72" s="91"/>
      <c r="D72" s="95"/>
      <c r="E72" s="807"/>
      <c r="F72" s="211">
        <f>Horarios!C72</f>
        <v>45475.875</v>
      </c>
      <c r="G72" s="212">
        <f>Horarios!C72</f>
        <v>45475.875</v>
      </c>
      <c r="H72" s="213"/>
      <c r="I72" s="214" t="str">
        <f ca="1">IF(SUM(AK30:AK33)=12,VLOOKUP(1,AG30:AI33,3,FALSE),"1D")</f>
        <v>Francia</v>
      </c>
      <c r="J72" s="215"/>
      <c r="K72" s="216">
        <v>3</v>
      </c>
      <c r="L72" s="216">
        <v>1</v>
      </c>
      <c r="M72" s="215"/>
      <c r="N72" s="217" t="str">
        <f ca="1">IF(SUM(AK46:AK49)=12,VLOOKUP(2,AG46:AI49,3,FALSE),"2F")</f>
        <v>Turquía</v>
      </c>
      <c r="O72" s="166">
        <f ca="1">IF(N79="W44",0,1)</f>
        <v>1</v>
      </c>
      <c r="P72" s="375">
        <v>44</v>
      </c>
      <c r="Q72" s="83"/>
      <c r="R72" s="83"/>
      <c r="S72" s="88"/>
      <c r="T72" s="88"/>
      <c r="U72" s="88"/>
      <c r="V72" s="88"/>
      <c r="W72" s="88"/>
      <c r="X72" s="88"/>
      <c r="Y72" s="88"/>
      <c r="Z72" s="88"/>
      <c r="AA72" s="88"/>
      <c r="AB72" s="88"/>
      <c r="AC72" s="88"/>
      <c r="AD72" s="88"/>
      <c r="AE72" s="83"/>
      <c r="AF72" s="427"/>
      <c r="AG72" s="412" t="s">
        <v>103</v>
      </c>
      <c r="AV72" s="426" t="s">
        <v>104</v>
      </c>
      <c r="AW72" s="426">
        <f t="shared" ca="1" si="67"/>
        <v>0</v>
      </c>
      <c r="AX72" s="412" t="str">
        <f ca="1">AI70</f>
        <v>Rumanía</v>
      </c>
      <c r="AY72" s="412" t="str">
        <f ca="1">AI69</f>
        <v>Polonia</v>
      </c>
      <c r="AZ72" s="412" t="str">
        <f ca="1">AI68</f>
        <v>Dinamarca</v>
      </c>
      <c r="BA72" s="412" t="str">
        <f ca="1">AI66</f>
        <v>Hungría</v>
      </c>
      <c r="BC72" s="426"/>
      <c r="BD72" s="426"/>
      <c r="BE72" s="426"/>
      <c r="BF72" s="426"/>
      <c r="BG72" s="426"/>
      <c r="BH72" s="426"/>
      <c r="BI72" s="426"/>
      <c r="BJ72" s="426"/>
      <c r="BK72" s="426"/>
      <c r="BL72" s="426"/>
      <c r="BM72" s="426"/>
      <c r="BN72" s="426"/>
      <c r="BO72" s="426"/>
      <c r="BP72" s="426"/>
      <c r="BQ72" s="426"/>
      <c r="BR72" s="426"/>
      <c r="BS72" s="426"/>
      <c r="BT72" s="426"/>
      <c r="BU72" s="426"/>
      <c r="BV72" s="426"/>
      <c r="BW72" s="426"/>
      <c r="BX72" s="426"/>
      <c r="BY72" s="426"/>
      <c r="NC72" s="412"/>
      <c r="ND72" s="412"/>
      <c r="NE72" s="412"/>
      <c r="NF72" s="412"/>
      <c r="NG72" s="412"/>
      <c r="NH72" s="412"/>
      <c r="NI72" s="412"/>
      <c r="NJ72" s="412"/>
      <c r="NK72" s="412"/>
      <c r="NL72" s="412"/>
      <c r="NM72" s="412"/>
      <c r="NN72" s="412"/>
      <c r="NO72" s="412"/>
      <c r="NP72" s="412"/>
      <c r="NQ72" s="412"/>
      <c r="NR72" s="412"/>
      <c r="NS72" s="412"/>
      <c r="NT72" s="412"/>
      <c r="NU72" s="412"/>
      <c r="NV72" s="412"/>
      <c r="NW72" s="412"/>
      <c r="NX72" s="412"/>
      <c r="NY72" s="412"/>
      <c r="NZ72" s="412"/>
      <c r="OA72" s="412"/>
      <c r="OB72" s="412"/>
      <c r="OC72" s="412"/>
      <c r="OD72" s="412"/>
      <c r="OE72" s="412"/>
      <c r="OF72" s="412"/>
      <c r="OG72" s="412"/>
      <c r="OH72" s="412"/>
      <c r="OI72" s="412"/>
      <c r="OJ72" s="412"/>
      <c r="OK72" s="412"/>
      <c r="OL72" s="412"/>
      <c r="OM72" s="412"/>
      <c r="ON72" s="412"/>
      <c r="OO72" s="412"/>
      <c r="OP72" s="412"/>
      <c r="OQ72" s="412"/>
      <c r="OR72" s="412"/>
      <c r="OS72" s="412"/>
      <c r="OT72" s="412"/>
      <c r="OU72" s="412"/>
      <c r="OV72" s="412"/>
      <c r="OW72" s="412"/>
      <c r="OX72" s="412"/>
      <c r="OY72" s="412"/>
      <c r="OZ72" s="412"/>
      <c r="PA72" s="412"/>
      <c r="PB72" s="412"/>
      <c r="PC72" s="412"/>
      <c r="PD72" s="412"/>
      <c r="PE72" s="412"/>
      <c r="PF72" s="412"/>
      <c r="PG72" s="412"/>
      <c r="PH72" s="412"/>
      <c r="PI72" s="412"/>
      <c r="PJ72" s="412"/>
      <c r="PK72" s="412"/>
      <c r="PL72" s="412"/>
      <c r="PM72" s="412"/>
      <c r="PN72" s="412"/>
      <c r="PO72" s="412"/>
      <c r="PP72" s="412"/>
      <c r="PQ72" s="412"/>
      <c r="PR72" s="412"/>
      <c r="PS72" s="412"/>
      <c r="PT72" s="412"/>
      <c r="PU72" s="412"/>
      <c r="PV72" s="412"/>
      <c r="PW72" s="412"/>
      <c r="PX72" s="412"/>
      <c r="PY72" s="412"/>
      <c r="PZ72" s="412"/>
      <c r="QA72" s="412"/>
      <c r="QB72" s="412"/>
      <c r="QC72" s="412"/>
      <c r="QD72" s="412"/>
      <c r="QE72" s="412"/>
      <c r="QF72" s="412"/>
      <c r="QG72" s="412"/>
      <c r="QH72" s="412"/>
      <c r="QI72" s="412"/>
      <c r="QJ72" s="412"/>
      <c r="QK72" s="412"/>
      <c r="QL72" s="412"/>
      <c r="QM72" s="412"/>
      <c r="QN72" s="412"/>
      <c r="QO72" s="412"/>
      <c r="QP72" s="412"/>
      <c r="QQ72" s="412"/>
      <c r="QR72" s="412"/>
      <c r="QS72" s="412"/>
      <c r="QT72" s="412"/>
      <c r="QU72" s="412"/>
      <c r="QV72" s="412"/>
      <c r="QW72" s="412"/>
      <c r="QX72" s="412"/>
      <c r="QY72" s="412"/>
      <c r="QZ72" s="412"/>
      <c r="RA72" s="412"/>
      <c r="RB72" s="412"/>
      <c r="RC72" s="412"/>
      <c r="RD72" s="412"/>
      <c r="RE72" s="412"/>
      <c r="RF72" s="412"/>
      <c r="RG72" s="412"/>
      <c r="RH72" s="412"/>
      <c r="RI72" s="412"/>
      <c r="RJ72" s="412"/>
      <c r="RK72" s="412"/>
      <c r="RL72" s="412"/>
      <c r="RM72" s="412"/>
      <c r="RN72" s="412"/>
      <c r="RO72" s="412"/>
      <c r="RP72" s="412"/>
      <c r="RQ72" s="412"/>
      <c r="RR72" s="412"/>
      <c r="RS72" s="412"/>
      <c r="RT72" s="412"/>
      <c r="RU72" s="412"/>
      <c r="RV72" s="412"/>
      <c r="RW72" s="412"/>
      <c r="RX72" s="412"/>
      <c r="RY72" s="412"/>
      <c r="RZ72" s="412"/>
      <c r="SA72" s="412"/>
      <c r="SB72" s="412"/>
      <c r="SC72" s="412"/>
      <c r="SD72" s="412"/>
      <c r="SE72" s="412"/>
      <c r="SF72" s="412"/>
      <c r="SG72" s="412"/>
      <c r="SH72" s="412"/>
      <c r="SI72" s="412"/>
      <c r="SJ72" s="412"/>
      <c r="SK72" s="412"/>
      <c r="SL72" s="412"/>
      <c r="SM72" s="412"/>
      <c r="SN72" s="412"/>
      <c r="SO72" s="412"/>
      <c r="SP72" s="412"/>
      <c r="SQ72" s="412"/>
      <c r="SR72" s="412"/>
      <c r="SS72" s="412"/>
      <c r="ST72" s="412"/>
      <c r="SU72" s="412"/>
      <c r="SV72" s="412"/>
      <c r="SW72" s="412"/>
      <c r="SX72" s="412"/>
      <c r="SY72" s="412"/>
      <c r="SZ72" s="412"/>
      <c r="TA72" s="412"/>
      <c r="TB72" s="412"/>
      <c r="TC72" s="412"/>
      <c r="TD72" s="412"/>
      <c r="TE72" s="412"/>
      <c r="TF72" s="412"/>
      <c r="TG72" s="412"/>
      <c r="TH72" s="412"/>
      <c r="TI72" s="412"/>
      <c r="TJ72" s="412"/>
      <c r="TK72" s="412"/>
      <c r="TL72" s="412"/>
      <c r="TM72" s="412"/>
      <c r="TN72" s="412"/>
      <c r="TO72" s="412"/>
      <c r="TP72" s="412"/>
      <c r="TQ72" s="412"/>
      <c r="TR72" s="412"/>
      <c r="TS72" s="412"/>
      <c r="TT72" s="412"/>
      <c r="TU72" s="412"/>
      <c r="TV72" s="412"/>
      <c r="TW72" s="412"/>
      <c r="TX72" s="412"/>
      <c r="TY72" s="412"/>
      <c r="TZ72" s="412"/>
      <c r="WJ72" s="412">
        <v>12</v>
      </c>
      <c r="XH72" s="412"/>
      <c r="XI72" s="412"/>
      <c r="XJ72" s="412"/>
      <c r="XK72" s="412"/>
      <c r="XL72" s="412"/>
      <c r="XM72" s="412"/>
      <c r="XN72" s="412"/>
      <c r="XO72" s="412"/>
      <c r="XP72" s="412"/>
      <c r="AEE72" s="412"/>
      <c r="AEL72" s="412"/>
      <c r="AES72" s="412" t="s">
        <v>105</v>
      </c>
      <c r="AFY72" s="412"/>
      <c r="AFZ72" s="412"/>
      <c r="AGA72" s="412"/>
      <c r="AGB72" s="412"/>
      <c r="AGC72" s="412"/>
      <c r="AGD72" s="412"/>
      <c r="AGE72" s="412"/>
      <c r="AGM72" s="412"/>
      <c r="AGN72" s="412"/>
      <c r="AGO72" s="412"/>
      <c r="AOU72" s="412" t="s">
        <v>101</v>
      </c>
      <c r="AVZ72" s="412"/>
      <c r="AXR72" s="412" t="s">
        <v>106</v>
      </c>
      <c r="AZV72" s="426" t="s">
        <v>107</v>
      </c>
      <c r="CIG72" s="427"/>
    </row>
    <row r="73" spans="1:873 1087:1374 2269:2269" ht="15" customHeight="1" x14ac:dyDescent="0.3">
      <c r="A73" s="91"/>
      <c r="B73" s="91"/>
      <c r="C73" s="91"/>
      <c r="D73" s="95"/>
      <c r="E73" s="95"/>
      <c r="F73" s="95"/>
      <c r="G73" s="95"/>
      <c r="H73" s="95"/>
      <c r="I73" s="95"/>
      <c r="J73" s="95"/>
      <c r="K73" s="95"/>
      <c r="L73" s="95"/>
      <c r="M73" s="95"/>
      <c r="N73" s="95"/>
      <c r="O73" s="86"/>
      <c r="P73" s="375"/>
      <c r="Q73" s="83"/>
      <c r="R73" s="83"/>
      <c r="S73" s="88"/>
      <c r="T73" s="88"/>
      <c r="U73" s="88"/>
      <c r="V73" s="88"/>
      <c r="W73" s="88"/>
      <c r="X73" s="88"/>
      <c r="Y73" s="88"/>
      <c r="Z73" s="88"/>
      <c r="AA73" s="88"/>
      <c r="AB73" s="88"/>
      <c r="AC73" s="88"/>
      <c r="AD73" s="88"/>
      <c r="AE73" s="83"/>
      <c r="AF73" s="427"/>
      <c r="AG73" s="412">
        <v>1</v>
      </c>
      <c r="AH73" s="412" t="str">
        <f ca="1">IFERROR(VLOOKUP(AG73,$AG$66:$AI$71,3,),"1ºMejor3")</f>
        <v>España</v>
      </c>
      <c r="AI73" s="412" t="str">
        <f ca="1">IFERROR(VLOOKUP(AG73,$AG$66:$AI$71,2,),"Grupo")</f>
        <v>B</v>
      </c>
      <c r="AJ73" s="412">
        <f ca="1">COUNTIF($AI$73:$AI$76,"&lt;="&amp;AI73)</f>
        <v>2</v>
      </c>
      <c r="AV73" s="426" t="s">
        <v>108</v>
      </c>
      <c r="AW73" s="426">
        <f t="shared" ca="1" si="67"/>
        <v>0</v>
      </c>
      <c r="AX73" s="412" t="str">
        <f ca="1">AI71</f>
        <v>Georgia</v>
      </c>
      <c r="AY73" s="412" t="str">
        <f ca="1">AI69</f>
        <v>Polonia</v>
      </c>
      <c r="AZ73" s="412" t="str">
        <f ca="1">AI68</f>
        <v>Dinamarca</v>
      </c>
      <c r="BA73" s="412" t="str">
        <f ca="1">AI66</f>
        <v>Hungría</v>
      </c>
      <c r="BC73" s="426"/>
      <c r="BD73" s="426"/>
      <c r="BE73" s="426"/>
      <c r="BF73" s="426"/>
      <c r="BG73" s="426"/>
      <c r="BH73" s="426"/>
      <c r="BI73" s="426"/>
      <c r="BJ73" s="426"/>
      <c r="BK73" s="426"/>
      <c r="BL73" s="426"/>
      <c r="BM73" s="426"/>
      <c r="BN73" s="426"/>
      <c r="BO73" s="426"/>
      <c r="BP73" s="426"/>
      <c r="BQ73" s="426"/>
      <c r="BR73" s="426"/>
      <c r="BS73" s="426"/>
      <c r="BT73" s="426"/>
      <c r="BU73" s="426"/>
      <c r="BV73" s="426"/>
      <c r="BW73" s="426"/>
      <c r="BX73" s="426"/>
      <c r="BY73" s="426"/>
      <c r="NC73" s="412"/>
      <c r="ND73" s="412"/>
      <c r="NE73" s="412"/>
      <c r="NF73" s="412"/>
      <c r="NG73" s="412"/>
      <c r="NH73" s="412"/>
      <c r="NI73" s="412"/>
      <c r="NJ73" s="412"/>
      <c r="NK73" s="412"/>
      <c r="NL73" s="412"/>
      <c r="NM73" s="412"/>
      <c r="NN73" s="412"/>
      <c r="NO73" s="412"/>
      <c r="NP73" s="412"/>
      <c r="NQ73" s="412"/>
      <c r="NR73" s="412"/>
      <c r="NS73" s="412"/>
      <c r="NT73" s="412"/>
      <c r="NU73" s="412"/>
      <c r="NV73" s="412"/>
      <c r="NW73" s="412"/>
      <c r="NX73" s="412"/>
      <c r="NY73" s="412"/>
      <c r="NZ73" s="412"/>
      <c r="OA73" s="412"/>
      <c r="OB73" s="412"/>
      <c r="OC73" s="412"/>
      <c r="OD73" s="412"/>
      <c r="OE73" s="412"/>
      <c r="OF73" s="412"/>
      <c r="OG73" s="412"/>
      <c r="OH73" s="412"/>
      <c r="OI73" s="412"/>
      <c r="OJ73" s="412"/>
      <c r="OK73" s="412"/>
      <c r="OL73" s="412"/>
      <c r="OM73" s="412"/>
      <c r="ON73" s="412"/>
      <c r="OO73" s="412"/>
      <c r="OP73" s="412"/>
      <c r="OQ73" s="412"/>
      <c r="OR73" s="412"/>
      <c r="OS73" s="412"/>
      <c r="OT73" s="412"/>
      <c r="OU73" s="412"/>
      <c r="OV73" s="412"/>
      <c r="OW73" s="412"/>
      <c r="OX73" s="412"/>
      <c r="OY73" s="412"/>
      <c r="OZ73" s="412"/>
      <c r="PA73" s="412"/>
      <c r="PB73" s="412"/>
      <c r="PC73" s="412"/>
      <c r="PD73" s="412"/>
      <c r="PE73" s="412"/>
      <c r="PF73" s="412"/>
      <c r="PG73" s="412"/>
      <c r="PH73" s="412"/>
      <c r="PI73" s="412"/>
      <c r="PJ73" s="412"/>
      <c r="PK73" s="412"/>
      <c r="PL73" s="412"/>
      <c r="PM73" s="412"/>
      <c r="PN73" s="412"/>
      <c r="PO73" s="412"/>
      <c r="PP73" s="412"/>
      <c r="PQ73" s="412"/>
      <c r="PR73" s="412"/>
      <c r="PS73" s="412"/>
      <c r="PT73" s="412"/>
      <c r="PU73" s="412"/>
      <c r="PV73" s="412"/>
      <c r="PW73" s="412"/>
      <c r="PX73" s="412"/>
      <c r="PY73" s="412"/>
      <c r="PZ73" s="412"/>
      <c r="QA73" s="412"/>
      <c r="QB73" s="412"/>
      <c r="QC73" s="412"/>
      <c r="QD73" s="412"/>
      <c r="QE73" s="412"/>
      <c r="QF73" s="412"/>
      <c r="QG73" s="412"/>
      <c r="QH73" s="412"/>
      <c r="QI73" s="412"/>
      <c r="QJ73" s="412"/>
      <c r="QK73" s="412"/>
      <c r="QL73" s="412"/>
      <c r="QM73" s="412"/>
      <c r="QN73" s="412"/>
      <c r="QO73" s="412"/>
      <c r="QP73" s="412"/>
      <c r="QQ73" s="412"/>
      <c r="QR73" s="412"/>
      <c r="QS73" s="412"/>
      <c r="QT73" s="412"/>
      <c r="QU73" s="412"/>
      <c r="QV73" s="412"/>
      <c r="QW73" s="412"/>
      <c r="QX73" s="412"/>
      <c r="QY73" s="412"/>
      <c r="QZ73" s="412"/>
      <c r="RA73" s="412"/>
      <c r="RB73" s="412"/>
      <c r="RC73" s="412"/>
      <c r="RD73" s="412"/>
      <c r="RE73" s="412"/>
      <c r="RF73" s="412"/>
      <c r="RG73" s="440"/>
      <c r="RH73" s="412"/>
      <c r="RI73" s="412"/>
      <c r="RJ73" s="412"/>
      <c r="RK73" s="412"/>
      <c r="RL73" s="412"/>
      <c r="RM73" s="412"/>
      <c r="RN73" s="412"/>
      <c r="RO73" s="412"/>
      <c r="RP73" s="412"/>
      <c r="RQ73" s="412"/>
      <c r="RR73" s="412"/>
      <c r="RS73" s="412"/>
      <c r="RT73" s="412"/>
      <c r="RU73" s="412"/>
      <c r="RV73" s="412"/>
      <c r="RW73" s="412"/>
      <c r="RX73" s="412"/>
      <c r="RY73" s="412"/>
      <c r="RZ73" s="412"/>
      <c r="SA73" s="412"/>
      <c r="SB73" s="412"/>
      <c r="SC73" s="412"/>
      <c r="SD73" s="412"/>
      <c r="SE73" s="412"/>
      <c r="SF73" s="412"/>
      <c r="SG73" s="412"/>
      <c r="SH73" s="412"/>
      <c r="SI73" s="412"/>
      <c r="SJ73" s="412"/>
      <c r="SK73" s="412"/>
      <c r="SL73" s="412"/>
      <c r="SM73" s="412"/>
      <c r="SN73" s="412"/>
      <c r="SO73" s="412"/>
      <c r="SP73" s="412"/>
      <c r="SQ73" s="412"/>
      <c r="SR73" s="412"/>
      <c r="SS73" s="412"/>
      <c r="ST73" s="412"/>
      <c r="SU73" s="412"/>
      <c r="SV73" s="412"/>
      <c r="SW73" s="412"/>
      <c r="SX73" s="412"/>
      <c r="SY73" s="412"/>
      <c r="SZ73" s="412"/>
      <c r="TA73" s="412"/>
      <c r="TB73" s="412"/>
      <c r="TC73" s="412"/>
      <c r="TD73" s="412"/>
      <c r="TE73" s="412"/>
      <c r="TF73" s="412"/>
      <c r="TG73" s="412"/>
      <c r="TH73" s="412"/>
      <c r="TI73" s="412"/>
      <c r="TJ73" s="412"/>
      <c r="TK73" s="412"/>
      <c r="TL73" s="412"/>
      <c r="TM73" s="412"/>
      <c r="TN73" s="412"/>
      <c r="TO73" s="412"/>
      <c r="TP73" s="412"/>
      <c r="TQ73" s="412"/>
      <c r="TR73" s="412"/>
      <c r="TS73" s="412"/>
      <c r="TT73" s="412"/>
      <c r="TU73" s="412"/>
      <c r="TV73" s="412"/>
      <c r="TW73" s="412"/>
      <c r="TX73" s="412"/>
      <c r="TY73" s="412"/>
      <c r="TZ73" s="412"/>
      <c r="AEE73" s="412"/>
      <c r="AEL73" s="412"/>
      <c r="AES73" s="412">
        <v>12</v>
      </c>
      <c r="AFY73" s="412"/>
      <c r="AFZ73" s="412"/>
      <c r="AGA73" s="412"/>
      <c r="AGB73" s="412"/>
      <c r="AGC73" s="412"/>
      <c r="AGD73" s="412"/>
      <c r="AGE73" s="412"/>
      <c r="AOU73" s="412" t="s">
        <v>109</v>
      </c>
      <c r="AVZ73" s="412"/>
      <c r="AXR73" s="412">
        <v>456</v>
      </c>
      <c r="AZV73" s="426" t="s">
        <v>110</v>
      </c>
    </row>
    <row r="74" spans="1:873 1087:1374 2269:2269" x14ac:dyDescent="0.3">
      <c r="A74" s="91"/>
      <c r="B74" s="91"/>
      <c r="C74" s="91"/>
      <c r="D74" s="95"/>
      <c r="E74" s="105" t="str">
        <f>Idiomas!D25</f>
        <v>Cuartos de final</v>
      </c>
      <c r="F74" s="171"/>
      <c r="G74" s="105"/>
      <c r="H74" s="105"/>
      <c r="I74" s="105"/>
      <c r="J74" s="105"/>
      <c r="K74" s="105"/>
      <c r="L74" s="105"/>
      <c r="M74" s="105"/>
      <c r="N74" s="105"/>
      <c r="O74" s="81"/>
      <c r="P74" s="373"/>
      <c r="Q74" s="80"/>
      <c r="R74" s="80"/>
      <c r="S74" s="88"/>
      <c r="T74" s="88"/>
      <c r="U74" s="88"/>
      <c r="V74" s="88"/>
      <c r="W74" s="88"/>
      <c r="X74" s="88"/>
      <c r="Y74" s="88"/>
      <c r="Z74" s="88"/>
      <c r="AA74" s="88"/>
      <c r="AB74" s="88"/>
      <c r="AC74" s="88"/>
      <c r="AD74" s="88"/>
      <c r="AE74" s="83"/>
      <c r="AF74" s="427"/>
      <c r="AG74" s="412">
        <v>2</v>
      </c>
      <c r="AH74" s="412" t="str">
        <f ca="1">IFERROR(VLOOKUP(AG74,$AG$66:$AI$71,3,),"2ºMejor3")</f>
        <v>Polonia</v>
      </c>
      <c r="AI74" s="412" t="str">
        <f ca="1">IFERROR(VLOOKUP(AG74,$AG$66:$AI$71,2,),"Grupo")</f>
        <v>D</v>
      </c>
      <c r="AJ74" s="412">
        <f ca="1">COUNTIF($AI$73:$AI$76,"&lt;="&amp;AI74)</f>
        <v>4</v>
      </c>
      <c r="AV74" s="426" t="s">
        <v>111</v>
      </c>
      <c r="AW74" s="426">
        <f t="shared" ca="1" si="67"/>
        <v>0</v>
      </c>
      <c r="AX74" s="412" t="str">
        <f ca="1">AI70</f>
        <v>Rumanía</v>
      </c>
      <c r="AY74" s="412" t="str">
        <f ca="1">AI71</f>
        <v>Georgia</v>
      </c>
      <c r="AZ74" s="412" t="str">
        <f ca="1">AI68</f>
        <v>Dinamarca</v>
      </c>
      <c r="BA74" s="412" t="str">
        <f ca="1">AI66</f>
        <v>Hungría</v>
      </c>
      <c r="BC74" s="426"/>
      <c r="BD74" s="426"/>
      <c r="BE74" s="426"/>
      <c r="BF74" s="426"/>
      <c r="BG74" s="426"/>
      <c r="BH74" s="426"/>
      <c r="BI74" s="426"/>
      <c r="BJ74" s="426"/>
      <c r="BK74" s="426"/>
      <c r="BL74" s="426"/>
      <c r="BM74" s="426"/>
      <c r="BN74" s="426"/>
      <c r="BO74" s="426"/>
      <c r="BP74" s="426"/>
      <c r="BQ74" s="426"/>
      <c r="BR74" s="426"/>
      <c r="BS74" s="426"/>
      <c r="BT74" s="426"/>
      <c r="BU74" s="426"/>
      <c r="BV74" s="426"/>
      <c r="BW74" s="426"/>
      <c r="BX74" s="426"/>
      <c r="BY74" s="426"/>
      <c r="BZ74" s="426"/>
      <c r="NC74" s="412"/>
      <c r="ND74" s="412"/>
      <c r="NE74" s="412"/>
      <c r="NF74" s="412"/>
      <c r="NG74" s="440"/>
      <c r="NH74" s="412"/>
      <c r="NI74" s="412"/>
      <c r="NJ74" s="412"/>
      <c r="NK74" s="412"/>
      <c r="NL74" s="412"/>
      <c r="NM74" s="412"/>
      <c r="NN74" s="412"/>
      <c r="NO74" s="412"/>
      <c r="NP74" s="412"/>
      <c r="NQ74" s="412"/>
      <c r="NR74" s="412"/>
      <c r="NS74" s="412"/>
      <c r="NT74" s="412"/>
      <c r="NU74" s="412"/>
      <c r="NV74" s="440"/>
      <c r="NW74" s="440"/>
      <c r="NX74" s="412"/>
      <c r="NY74" s="412"/>
      <c r="NZ74" s="412"/>
      <c r="OA74" s="412"/>
      <c r="OB74" s="412"/>
      <c r="OC74" s="412"/>
      <c r="OD74" s="412"/>
      <c r="OE74" s="412"/>
      <c r="OF74" s="412"/>
      <c r="OG74" s="412"/>
      <c r="OH74" s="412"/>
      <c r="OI74" s="412"/>
      <c r="OJ74" s="412"/>
      <c r="OK74" s="412"/>
      <c r="OL74" s="412"/>
      <c r="OM74" s="412"/>
      <c r="ON74" s="412"/>
      <c r="OO74" s="412"/>
      <c r="OP74" s="412"/>
      <c r="OQ74" s="412"/>
      <c r="OR74" s="440"/>
      <c r="OS74" s="412"/>
      <c r="OT74" s="412"/>
      <c r="OU74" s="412"/>
      <c r="OV74" s="412"/>
      <c r="OW74" s="412"/>
      <c r="OX74" s="412"/>
      <c r="OY74" s="412"/>
      <c r="OZ74" s="412"/>
      <c r="PA74" s="412"/>
      <c r="PB74" s="412"/>
      <c r="PC74" s="412"/>
      <c r="PD74" s="412"/>
      <c r="PE74" s="412"/>
      <c r="PF74" s="412"/>
      <c r="PG74" s="412"/>
      <c r="PH74" s="412"/>
      <c r="PI74" s="412"/>
      <c r="PJ74" s="412"/>
      <c r="PK74" s="440"/>
      <c r="PL74" s="412"/>
      <c r="PM74" s="412"/>
      <c r="PN74" s="412"/>
      <c r="PO74" s="412"/>
      <c r="PP74" s="412"/>
      <c r="PQ74" s="412"/>
      <c r="PR74" s="412"/>
      <c r="PS74" s="412"/>
      <c r="PT74" s="412"/>
      <c r="PU74" s="412"/>
      <c r="PV74" s="412"/>
      <c r="PW74" s="412"/>
      <c r="PX74" s="440"/>
      <c r="PY74" s="412"/>
      <c r="PZ74" s="412"/>
      <c r="QA74" s="412"/>
      <c r="QB74" s="412"/>
      <c r="QC74" s="412"/>
      <c r="QD74" s="412"/>
      <c r="QE74" s="412"/>
      <c r="QF74" s="412"/>
      <c r="QG74" s="412"/>
      <c r="QH74" s="412"/>
      <c r="QI74" s="412"/>
      <c r="QJ74" s="412"/>
      <c r="QK74" s="412"/>
      <c r="QL74" s="412"/>
      <c r="QM74" s="412"/>
      <c r="QN74" s="412"/>
      <c r="QO74" s="412"/>
      <c r="QP74" s="412"/>
      <c r="QQ74" s="412"/>
      <c r="QR74" s="412"/>
      <c r="QS74" s="412"/>
      <c r="QT74" s="412"/>
      <c r="QU74" s="412"/>
      <c r="QV74" s="412"/>
      <c r="QW74" s="412"/>
      <c r="QX74" s="412"/>
      <c r="QY74" s="412"/>
      <c r="QZ74" s="440"/>
      <c r="RA74" s="412"/>
      <c r="RB74" s="412"/>
      <c r="RC74" s="412"/>
      <c r="RD74" s="412"/>
      <c r="RE74" s="412"/>
      <c r="RF74" s="412"/>
      <c r="RG74" s="412"/>
      <c r="RH74" s="412"/>
      <c r="RI74" s="412"/>
      <c r="RJ74" s="412"/>
      <c r="RK74" s="412"/>
      <c r="RL74" s="412"/>
      <c r="RM74" s="412"/>
      <c r="RN74" s="412"/>
      <c r="RO74" s="412"/>
      <c r="RP74" s="412"/>
      <c r="RQ74" s="412"/>
      <c r="RR74" s="412"/>
      <c r="RS74" s="412"/>
      <c r="RT74" s="412"/>
      <c r="RU74" s="412"/>
      <c r="RV74" s="412"/>
      <c r="RW74" s="412"/>
      <c r="RX74" s="412"/>
      <c r="RY74" s="412"/>
      <c r="RZ74" s="412"/>
      <c r="SA74" s="412"/>
      <c r="SB74" s="412"/>
      <c r="SC74" s="412"/>
      <c r="SD74" s="412"/>
      <c r="SE74" s="412"/>
      <c r="SF74" s="412"/>
      <c r="SG74" s="412"/>
      <c r="SH74" s="412"/>
      <c r="SI74" s="412"/>
      <c r="SJ74" s="412"/>
      <c r="SK74" s="412"/>
      <c r="SL74" s="412"/>
      <c r="SM74" s="412"/>
      <c r="SN74" s="412"/>
      <c r="SO74" s="412"/>
      <c r="SP74" s="412"/>
      <c r="SQ74" s="412"/>
      <c r="SR74" s="412"/>
      <c r="SS74" s="412"/>
      <c r="ST74" s="412"/>
      <c r="SU74" s="412"/>
      <c r="SV74" s="412"/>
      <c r="SW74" s="412"/>
      <c r="SX74" s="412"/>
      <c r="SY74" s="412"/>
      <c r="SZ74" s="412"/>
      <c r="TA74" s="412"/>
      <c r="TB74" s="412"/>
      <c r="TC74" s="412"/>
      <c r="TD74" s="412"/>
      <c r="TE74" s="412"/>
      <c r="TF74" s="412"/>
      <c r="TG74" s="412"/>
      <c r="TH74" s="412"/>
      <c r="TI74" s="412"/>
      <c r="TJ74" s="412"/>
      <c r="TK74" s="412"/>
      <c r="TL74" s="412"/>
      <c r="TM74" s="412"/>
      <c r="TN74" s="412"/>
      <c r="TO74" s="412"/>
      <c r="TP74" s="412"/>
      <c r="TQ74" s="412"/>
      <c r="TR74" s="412"/>
      <c r="TS74" s="412"/>
      <c r="TT74" s="412"/>
      <c r="TU74" s="412"/>
      <c r="TV74" s="412"/>
      <c r="TW74" s="412"/>
      <c r="TX74" s="412"/>
      <c r="TY74" s="412"/>
      <c r="TZ74" s="412"/>
      <c r="AZV74" s="426">
        <v>12</v>
      </c>
    </row>
    <row r="75" spans="1:873 1087:1374 2269:2269" ht="15" customHeight="1" thickBot="1" x14ac:dyDescent="0.35">
      <c r="A75" s="91"/>
      <c r="B75" s="91"/>
      <c r="C75" s="91"/>
      <c r="D75" s="95"/>
      <c r="E75" s="99"/>
      <c r="F75" s="96" t="str">
        <f>F3</f>
        <v>Fecha</v>
      </c>
      <c r="G75" s="96" t="str">
        <f>G3</f>
        <v>Hora</v>
      </c>
      <c r="H75" s="100"/>
      <c r="I75" s="101" t="str">
        <f>I3</f>
        <v>Casa</v>
      </c>
      <c r="J75" s="172" t="s">
        <v>87</v>
      </c>
      <c r="K75" s="102" t="str">
        <f>K3</f>
        <v>Gol</v>
      </c>
      <c r="L75" s="102" t="str">
        <f>L3</f>
        <v>Gol</v>
      </c>
      <c r="M75" s="173" t="s">
        <v>87</v>
      </c>
      <c r="N75" s="103" t="str">
        <f>N3</f>
        <v>Fuera</v>
      </c>
      <c r="O75" s="81"/>
      <c r="P75" s="373"/>
      <c r="Q75" s="80"/>
      <c r="R75" s="80"/>
      <c r="S75" s="80"/>
      <c r="T75" s="80"/>
      <c r="U75" s="80"/>
      <c r="V75" s="79"/>
      <c r="W75" s="79"/>
      <c r="X75" s="79"/>
      <c r="Y75" s="79"/>
      <c r="Z75" s="79"/>
      <c r="AA75" s="82"/>
      <c r="AB75" s="82"/>
      <c r="AC75" s="82"/>
      <c r="AD75" s="82"/>
      <c r="AE75" s="83"/>
      <c r="AF75" s="427"/>
      <c r="AG75" s="412">
        <v>3</v>
      </c>
      <c r="AH75" s="412" t="str">
        <f ca="1">IFERROR(VLOOKUP(AG75,$AG$66:$AI$71,3,),"2ºMejor3")</f>
        <v>Dinamarca</v>
      </c>
      <c r="AI75" s="412" t="str">
        <f ca="1">IFERROR(VLOOKUP(AG75,$AG$66:$AI$71,2,),"Grupo")</f>
        <v>C</v>
      </c>
      <c r="AJ75" s="412">
        <f ca="1">COUNTIF($AI$73:$AI$76,"&lt;="&amp;AI75)</f>
        <v>3</v>
      </c>
      <c r="AV75" s="426" t="s">
        <v>112</v>
      </c>
      <c r="AW75" s="426">
        <f t="shared" ca="1" si="67"/>
        <v>0</v>
      </c>
      <c r="AX75" s="412" t="str">
        <f ca="1">AI70</f>
        <v>Rumanía</v>
      </c>
      <c r="AY75" s="412" t="str">
        <f ca="1">AI71</f>
        <v>Georgia</v>
      </c>
      <c r="AZ75" s="412" t="str">
        <f ca="1">AI69</f>
        <v>Polonia</v>
      </c>
      <c r="BA75" s="412" t="str">
        <f ca="1">AI66</f>
        <v>Hungría</v>
      </c>
      <c r="BB75" s="426"/>
      <c r="BD75" s="426"/>
      <c r="BE75" s="426"/>
      <c r="BF75" s="426"/>
      <c r="BG75" s="426"/>
      <c r="BH75" s="426"/>
      <c r="BI75" s="426"/>
      <c r="BJ75" s="426"/>
      <c r="BK75" s="426"/>
      <c r="BL75" s="426"/>
      <c r="BM75" s="426"/>
      <c r="BN75" s="426"/>
      <c r="BO75" s="426"/>
      <c r="BP75" s="426"/>
      <c r="BQ75" s="426"/>
      <c r="BR75" s="426"/>
      <c r="BS75" s="426"/>
      <c r="BZ75" s="426"/>
      <c r="AVY75" s="426" t="s">
        <v>113</v>
      </c>
      <c r="AVZ75" s="426" t="s">
        <v>114</v>
      </c>
    </row>
    <row r="76" spans="1:873 1087:1374 2269:2269" ht="15" customHeight="1" x14ac:dyDescent="0.3">
      <c r="A76" s="91"/>
      <c r="B76" s="91"/>
      <c r="C76" s="91"/>
      <c r="D76" s="95"/>
      <c r="E76" s="803" t="s">
        <v>115</v>
      </c>
      <c r="F76" s="202">
        <f>Horarios!C76</f>
        <v>45478.75</v>
      </c>
      <c r="G76" s="203">
        <f>Horarios!C76</f>
        <v>45478.75</v>
      </c>
      <c r="H76" s="204"/>
      <c r="I76" s="205" t="str">
        <f ca="1">IF(AND(OR(K68="",L68="")),"W39",IF(K68&gt;L68,I68,IF(K68&lt;L68,N68,IF(AND(K68=L68,J68=M68),"W39",IF(AND(K68=L68,OR(J68="",M68="")),"W39",IF(AND(K68=L68,J68&gt;M68),I68,N68))))))</f>
        <v>Croacia</v>
      </c>
      <c r="J76" s="206"/>
      <c r="K76" s="207">
        <v>1</v>
      </c>
      <c r="L76" s="207">
        <v>2</v>
      </c>
      <c r="M76" s="208"/>
      <c r="N76" s="209" t="str">
        <f ca="1">IF(AND(OR(K66="",L66="")),"W37",IF(K66&gt;L66,I66,IF(K66&lt;L66,N66,IF(AND(K66=L66,J66=M66),"W37",IF(AND(K66=L66,OR(J66="",M66="")),"W37",IF(AND(K66=L66,J66&gt;M66),I66,N66))))))</f>
        <v>Alemania</v>
      </c>
      <c r="O76" s="166">
        <f ca="1">IF(I82="W45",0,1)</f>
        <v>1</v>
      </c>
      <c r="P76" s="376">
        <v>45</v>
      </c>
      <c r="Q76" s="168"/>
      <c r="R76" s="168"/>
      <c r="S76" s="168"/>
      <c r="T76" s="168"/>
      <c r="U76" s="168"/>
      <c r="V76" s="168"/>
      <c r="W76" s="168"/>
      <c r="X76" s="168"/>
      <c r="Y76" s="168"/>
      <c r="Z76" s="168"/>
      <c r="AA76" s="82"/>
      <c r="AB76" s="82"/>
      <c r="AC76" s="82"/>
      <c r="AD76" s="82"/>
      <c r="AE76" s="83"/>
      <c r="AF76" s="427"/>
      <c r="AG76" s="412">
        <v>4</v>
      </c>
      <c r="AH76" s="412" t="str">
        <f ca="1">IFERROR(VLOOKUP(AG76,$AG$66:$AI$71,3,),"3ºMejor3")</f>
        <v>Hungría</v>
      </c>
      <c r="AI76" s="412" t="str">
        <f ca="1">IFERROR(VLOOKUP(AG76,$AG$66:$AI$71,2,),"Grupo")</f>
        <v>A</v>
      </c>
      <c r="AJ76" s="412">
        <f ca="1">COUNTIF($AI$73:$AI$76,"&lt;="&amp;AI76)</f>
        <v>1</v>
      </c>
      <c r="AV76" s="426" t="s">
        <v>116</v>
      </c>
      <c r="AW76" s="426">
        <f t="shared" ca="1" si="67"/>
        <v>0</v>
      </c>
      <c r="AX76" s="412" t="str">
        <f ca="1">AI70</f>
        <v>Rumanía</v>
      </c>
      <c r="AY76" s="412" t="str">
        <f ca="1">AI69</f>
        <v>Polonia</v>
      </c>
      <c r="AZ76" s="412" t="str">
        <f ca="1">AI67</f>
        <v>España</v>
      </c>
      <c r="BA76" s="412" t="str">
        <f ca="1">AI68</f>
        <v>Dinamarca</v>
      </c>
      <c r="BB76" s="426"/>
      <c r="BC76" s="426"/>
      <c r="BD76" s="426"/>
      <c r="BE76" s="426"/>
      <c r="BF76" s="426"/>
      <c r="BG76" s="426"/>
      <c r="BH76" s="426"/>
      <c r="BI76" s="426"/>
      <c r="BJ76" s="426"/>
      <c r="BK76" s="426"/>
      <c r="BM76" s="426"/>
      <c r="BN76" s="426"/>
      <c r="BO76" s="426"/>
      <c r="BP76" s="426"/>
      <c r="BQ76" s="426"/>
      <c r="BR76" s="426"/>
      <c r="BS76" s="426"/>
      <c r="BZ76" s="426"/>
      <c r="AVY76" s="426" t="s">
        <v>117</v>
      </c>
      <c r="AVZ76" s="426" t="s">
        <v>113</v>
      </c>
    </row>
    <row r="77" spans="1:873 1087:1374 2269:2269" ht="15" customHeight="1" x14ac:dyDescent="0.3">
      <c r="A77" s="91"/>
      <c r="B77" s="91"/>
      <c r="C77" s="91"/>
      <c r="D77" s="95"/>
      <c r="E77" s="804"/>
      <c r="F77" s="190">
        <f>Horarios!C77</f>
        <v>45478.875</v>
      </c>
      <c r="G77" s="191">
        <f>Horarios!C77</f>
        <v>45478.875</v>
      </c>
      <c r="H77" s="192"/>
      <c r="I77" s="193" t="str">
        <f ca="1">IF(AND(OR(K70="",L70="")),"W41",IF(K70&gt;L70,I70,IF(K70&lt;L70,N70,IF(AND(K70=L70,J70=M70),"W41",IF(AND(K70=L70,OR(J70="",M70="")),"W41",IF(AND(K70=L70,J70&gt;M70),I70,N70))))))</f>
        <v>Portugal</v>
      </c>
      <c r="J77" s="194"/>
      <c r="K77" s="195">
        <v>2</v>
      </c>
      <c r="L77" s="195">
        <v>0</v>
      </c>
      <c r="M77" s="194"/>
      <c r="N77" s="210" t="str">
        <f ca="1">IF(AND(OR(K69="",L69="")),"W42",IF(K69&gt;L69,I69,IF(K69&lt;L69,N69,IF(AND(K69=L69,J69=M69),"W42",IF(AND(K69=L69,OR(J69="",M69="")),"W42",IF(AND(K69=L69,J69&gt;M69),I69,N69))))))</f>
        <v>Ucrania</v>
      </c>
      <c r="O77" s="166">
        <f ca="1">IF(N82="W46",0,1)</f>
        <v>1</v>
      </c>
      <c r="P77" s="376">
        <v>46</v>
      </c>
      <c r="Q77" s="168"/>
      <c r="R77" s="168"/>
      <c r="S77" s="168"/>
      <c r="T77" s="168"/>
      <c r="U77" s="168"/>
      <c r="V77" s="168"/>
      <c r="W77" s="168"/>
      <c r="X77" s="168"/>
      <c r="Y77" s="168"/>
      <c r="Z77" s="168"/>
      <c r="AA77" s="82"/>
      <c r="AB77" s="82"/>
      <c r="AC77" s="82"/>
      <c r="AD77" s="82"/>
      <c r="AE77" s="83"/>
      <c r="AF77" s="427"/>
      <c r="AG77" s="412" t="s">
        <v>118</v>
      </c>
      <c r="AV77" s="426" t="s">
        <v>119</v>
      </c>
      <c r="AW77" s="426">
        <f t="shared" ca="1" si="67"/>
        <v>0</v>
      </c>
      <c r="AX77" s="412" t="str">
        <f ca="1">AI71</f>
        <v>Georgia</v>
      </c>
      <c r="AY77" s="412" t="str">
        <f ca="1">AI69</f>
        <v>Polonia</v>
      </c>
      <c r="AZ77" s="412" t="str">
        <f ca="1">AI68</f>
        <v>Dinamarca</v>
      </c>
      <c r="BA77" s="412" t="str">
        <f ca="1">AI67</f>
        <v>España</v>
      </c>
      <c r="BB77" s="426"/>
      <c r="BC77" s="426"/>
      <c r="BD77" s="426"/>
      <c r="BE77" s="426"/>
      <c r="BF77" s="426"/>
      <c r="BG77" s="426"/>
      <c r="BH77" s="426"/>
      <c r="BI77" s="426"/>
      <c r="BJ77" s="426"/>
      <c r="BK77" s="426"/>
      <c r="BL77" s="426"/>
      <c r="BM77" s="426"/>
      <c r="BN77" s="426"/>
      <c r="BO77" s="426"/>
      <c r="BP77" s="426"/>
      <c r="BQ77" s="426"/>
      <c r="BR77" s="426"/>
      <c r="BS77" s="426"/>
      <c r="BZ77" s="426"/>
      <c r="AVY77" s="426" t="s">
        <v>120</v>
      </c>
      <c r="AVZ77" s="426" t="s">
        <v>117</v>
      </c>
    </row>
    <row r="78" spans="1:873 1087:1374 2269:2269" ht="15" customHeight="1" x14ac:dyDescent="0.3">
      <c r="A78" s="91"/>
      <c r="B78" s="91"/>
      <c r="C78" s="91"/>
      <c r="D78" s="95"/>
      <c r="E78" s="804"/>
      <c r="F78" s="190">
        <f>Horarios!C78</f>
        <v>45479.75</v>
      </c>
      <c r="G78" s="191">
        <f>Horarios!C78</f>
        <v>45479.75</v>
      </c>
      <c r="H78" s="196"/>
      <c r="I78" s="193" t="str">
        <f ca="1">IF(AND(OR(K67="",L67="")),"W40",IF(K67&gt;L67,I67,IF(K67&lt;L67,N67,IF(AND(K67=L67,J67=M67),"W40",IF(AND(K67=L67,OR(J67="",M67="")),"W40",IF(AND(K67=L67,J67&gt;M67),I67,N67))))))</f>
        <v>Inglaterra</v>
      </c>
      <c r="J78" s="194"/>
      <c r="K78" s="195">
        <v>2</v>
      </c>
      <c r="L78" s="195">
        <v>0</v>
      </c>
      <c r="M78" s="194"/>
      <c r="N78" s="210" t="str">
        <f ca="1">IF(AND(OR(K65="",L65="")),"W38",IF(K65&gt;L65,I65,IF(K65&lt;L65,N65,IF(AND(K65=L65,J65=M65),"W38",IF(AND(K65=L65,OR(J65="",M65="")),"W38",IF(AND(K65=L65,J65&gt;M65),I65,N65))))))</f>
        <v>Italia</v>
      </c>
      <c r="O78" s="166">
        <f ca="1">IF(I83="W47",0,1)</f>
        <v>1</v>
      </c>
      <c r="P78" s="376">
        <v>48</v>
      </c>
      <c r="Q78" s="168"/>
      <c r="R78" s="168"/>
      <c r="S78" s="168"/>
      <c r="T78" s="168"/>
      <c r="U78" s="168"/>
      <c r="V78" s="168"/>
      <c r="W78" s="168"/>
      <c r="X78" s="168"/>
      <c r="Y78" s="168"/>
      <c r="Z78" s="168"/>
      <c r="AA78" s="82"/>
      <c r="AB78" s="82"/>
      <c r="AC78" s="82"/>
      <c r="AD78" s="82"/>
      <c r="AE78" s="83"/>
      <c r="AF78" s="427"/>
      <c r="AG78" s="426">
        <v>1</v>
      </c>
      <c r="AH78" s="412" t="str">
        <f ca="1">IFERROR(INDEX($AI$73:$AI$76,MATCH(AG78,$AJ$73:$AJ$76,0)),"Grupo")</f>
        <v>A</v>
      </c>
      <c r="AV78" s="426" t="s">
        <v>121</v>
      </c>
      <c r="AW78" s="426">
        <f t="shared" ca="1" si="67"/>
        <v>0</v>
      </c>
      <c r="AX78" s="412" t="str">
        <f ca="1">AI71</f>
        <v>Georgia</v>
      </c>
      <c r="AY78" s="412" t="str">
        <f ca="1">AI70</f>
        <v>Rumanía</v>
      </c>
      <c r="AZ78" s="412" t="str">
        <f ca="1">AI68</f>
        <v>Dinamarca</v>
      </c>
      <c r="BA78" s="412" t="str">
        <f ca="1">AI67</f>
        <v>España</v>
      </c>
      <c r="BB78" s="426"/>
      <c r="BC78" s="426"/>
      <c r="BD78" s="426"/>
      <c r="BE78" s="426"/>
      <c r="BF78" s="426"/>
      <c r="BG78" s="426"/>
      <c r="BH78" s="426"/>
      <c r="BI78" s="426"/>
      <c r="BJ78" s="426"/>
      <c r="BK78" s="426"/>
      <c r="BL78" s="426"/>
      <c r="BM78" s="426"/>
      <c r="BN78" s="426"/>
      <c r="BO78" s="426"/>
      <c r="BP78" s="426"/>
      <c r="BQ78" s="426"/>
      <c r="BR78" s="426"/>
      <c r="BS78" s="426"/>
      <c r="BZ78" s="426"/>
    </row>
    <row r="79" spans="1:873 1087:1374 2269:2269" ht="15" customHeight="1" thickBot="1" x14ac:dyDescent="0.35">
      <c r="A79" s="91"/>
      <c r="B79" s="91"/>
      <c r="C79" s="91"/>
      <c r="D79" s="95"/>
      <c r="E79" s="805"/>
      <c r="F79" s="211">
        <f>Horarios!C79</f>
        <v>45479.875</v>
      </c>
      <c r="G79" s="212">
        <f>Horarios!C79</f>
        <v>45479.875</v>
      </c>
      <c r="H79" s="213"/>
      <c r="I79" s="214" t="str">
        <f ca="1">IF(AND(OR(K71="",L71="")),"W43",IF(K71&gt;L71,I71,IF(K71&lt;L71,N71,IF(AND(K71=L71,J71=M71),"W43",IF(AND(K71=L71,OR(J71="",M71="")),"W43",IF(AND(K71=L71,J71&gt;M71),I71,N71))))))</f>
        <v>Bélgica</v>
      </c>
      <c r="J79" s="215"/>
      <c r="K79" s="216">
        <v>1</v>
      </c>
      <c r="L79" s="216">
        <v>4</v>
      </c>
      <c r="M79" s="215"/>
      <c r="N79" s="217" t="str">
        <f ca="1">IF(AND(OR(K72="",L72="")),"W44",IF(K72&gt;L72,I72,IF(K72&lt;L72,N72,IF(AND(K72=L72,J72=M72),"W44",IF(AND(K72=L72,OR(J72="",M72="")),"W44",IF(AND(K72=L72,J72&gt;M72),I72,N72))))))</f>
        <v>Francia</v>
      </c>
      <c r="O79" s="166">
        <f ca="1">IF(N83="W48",0,1)</f>
        <v>1</v>
      </c>
      <c r="P79" s="376">
        <v>47</v>
      </c>
      <c r="Q79" s="168"/>
      <c r="R79" s="168"/>
      <c r="S79" s="168"/>
      <c r="T79" s="168"/>
      <c r="U79" s="168"/>
      <c r="V79" s="168"/>
      <c r="W79" s="168"/>
      <c r="X79" s="168"/>
      <c r="Y79" s="168"/>
      <c r="Z79" s="168"/>
      <c r="AA79" s="82"/>
      <c r="AB79" s="82"/>
      <c r="AC79" s="82"/>
      <c r="AD79" s="82"/>
      <c r="AE79" s="83"/>
      <c r="AF79" s="427"/>
      <c r="AG79" s="426">
        <v>2</v>
      </c>
      <c r="AH79" s="412" t="str">
        <f ca="1">IFERROR(INDEX($AI$73:$AI$76,MATCH(AG79,$AJ$73:$AJ$76,0)),"Grupo")</f>
        <v>B</v>
      </c>
      <c r="AV79" s="426" t="s">
        <v>122</v>
      </c>
      <c r="AW79" s="426">
        <f t="shared" ca="1" si="67"/>
        <v>0</v>
      </c>
      <c r="AX79" s="412" t="str">
        <f ca="1">AI71</f>
        <v>Georgia</v>
      </c>
      <c r="AY79" s="412" t="str">
        <f ca="1">AI70</f>
        <v>Rumanía</v>
      </c>
      <c r="AZ79" s="412" t="str">
        <f ca="1">AI69</f>
        <v>Polonia</v>
      </c>
      <c r="BA79" s="412" t="str">
        <f ca="1">AI67</f>
        <v>España</v>
      </c>
      <c r="BB79" s="426"/>
      <c r="BC79" s="426"/>
      <c r="BD79" s="426"/>
      <c r="BE79" s="426"/>
      <c r="BF79" s="426"/>
      <c r="BG79" s="426"/>
      <c r="BH79" s="426"/>
      <c r="BI79" s="426"/>
      <c r="BJ79" s="426"/>
      <c r="BK79" s="426"/>
      <c r="BL79" s="426"/>
      <c r="BM79" s="426"/>
      <c r="BN79" s="426"/>
      <c r="BO79" s="426"/>
      <c r="BP79" s="426"/>
      <c r="BQ79" s="426"/>
      <c r="BR79" s="426"/>
      <c r="BS79" s="426"/>
      <c r="BZ79" s="426"/>
    </row>
    <row r="80" spans="1:873 1087:1374 2269:2269" x14ac:dyDescent="0.3">
      <c r="A80" s="91"/>
      <c r="B80" s="91"/>
      <c r="C80" s="91"/>
      <c r="D80" s="95"/>
      <c r="E80" s="105" t="str">
        <f>Idiomas!D26</f>
        <v>Semifinales</v>
      </c>
      <c r="F80" s="171"/>
      <c r="G80" s="105"/>
      <c r="H80" s="105"/>
      <c r="I80" s="105"/>
      <c r="J80" s="106"/>
      <c r="K80" s="106"/>
      <c r="L80" s="106"/>
      <c r="M80" s="106"/>
      <c r="N80" s="106"/>
      <c r="O80" s="167"/>
      <c r="P80" s="374"/>
      <c r="Q80" s="168"/>
      <c r="R80" s="168"/>
      <c r="S80" s="168"/>
      <c r="T80" s="168"/>
      <c r="U80" s="168"/>
      <c r="V80" s="168"/>
      <c r="W80" s="168"/>
      <c r="X80" s="168"/>
      <c r="Y80" s="168"/>
      <c r="Z80" s="168"/>
      <c r="AA80" s="168"/>
      <c r="AB80" s="168"/>
      <c r="AC80" s="168"/>
      <c r="AD80" s="82"/>
      <c r="AE80" s="83"/>
      <c r="AF80" s="427"/>
      <c r="AG80" s="426">
        <v>3</v>
      </c>
      <c r="AH80" s="412" t="str">
        <f ca="1">IFERROR(INDEX($AI$73:$AI$76,MATCH(AG80,$AJ$73:$AJ$76,0)),"Grupo")</f>
        <v>C</v>
      </c>
      <c r="AV80" s="426" t="s">
        <v>123</v>
      </c>
      <c r="AW80" s="426">
        <f t="shared" ca="1" si="67"/>
        <v>0</v>
      </c>
      <c r="AX80" s="412" t="str">
        <f ca="1">AI71</f>
        <v>Georgia</v>
      </c>
      <c r="AY80" s="412" t="str">
        <f ca="1">AI70</f>
        <v>Rumanía</v>
      </c>
      <c r="AZ80" s="412" t="str">
        <f ca="1">AI69</f>
        <v>Polonia</v>
      </c>
      <c r="BA80" s="412" t="str">
        <f ca="1">AI68</f>
        <v>Dinamarca</v>
      </c>
      <c r="BB80" s="426"/>
      <c r="BC80" s="426"/>
      <c r="BD80" s="426"/>
      <c r="BE80" s="426"/>
      <c r="BF80" s="426"/>
      <c r="BG80" s="426"/>
      <c r="BH80" s="426"/>
      <c r="BI80" s="426"/>
      <c r="BJ80" s="426"/>
      <c r="BK80" s="426"/>
      <c r="BL80" s="426"/>
      <c r="BM80" s="426"/>
      <c r="BN80" s="426"/>
      <c r="BO80" s="426"/>
      <c r="BP80" s="426"/>
      <c r="BQ80" s="426"/>
      <c r="BR80" s="426"/>
      <c r="BS80" s="426"/>
      <c r="BZ80" s="426"/>
    </row>
    <row r="81" spans="1:78 4547:4547" ht="15" thickBot="1" x14ac:dyDescent="0.35">
      <c r="A81" s="91"/>
      <c r="B81" s="91"/>
      <c r="C81" s="91"/>
      <c r="D81" s="95"/>
      <c r="E81" s="99"/>
      <c r="F81" s="96" t="str">
        <f>F3</f>
        <v>Fecha</v>
      </c>
      <c r="G81" s="96" t="str">
        <f>G3</f>
        <v>Hora</v>
      </c>
      <c r="H81" s="100"/>
      <c r="I81" s="174" t="str">
        <f>I3</f>
        <v>Casa</v>
      </c>
      <c r="J81" s="175" t="s">
        <v>87</v>
      </c>
      <c r="K81" s="176" t="str">
        <f>K3</f>
        <v>Gol</v>
      </c>
      <c r="L81" s="176" t="str">
        <f>L3</f>
        <v>Gol</v>
      </c>
      <c r="M81" s="175" t="s">
        <v>87</v>
      </c>
      <c r="N81" s="103" t="str">
        <f>N3</f>
        <v>Fuera</v>
      </c>
      <c r="O81" s="167"/>
      <c r="P81" s="374"/>
      <c r="Q81" s="168"/>
      <c r="R81" s="168"/>
      <c r="S81" s="168"/>
      <c r="T81" s="168"/>
      <c r="U81" s="168"/>
      <c r="V81" s="168"/>
      <c r="W81" s="168"/>
      <c r="X81" s="168"/>
      <c r="Y81" s="168"/>
      <c r="Z81" s="168"/>
      <c r="AA81" s="168"/>
      <c r="AB81" s="168"/>
      <c r="AC81" s="168"/>
      <c r="AD81" s="82"/>
      <c r="AE81" s="83"/>
      <c r="AF81" s="427"/>
      <c r="AG81" s="426">
        <v>4</v>
      </c>
      <c r="AH81" s="412" t="str">
        <f ca="1">IFERROR(INDEX($AI$73:$AI$76,MATCH(AG81,$AJ$73:$AJ$76,0)),"Grupo")</f>
        <v>D</v>
      </c>
      <c r="AX81" s="426"/>
      <c r="AY81" s="426"/>
      <c r="AZ81" s="426"/>
      <c r="BA81" s="426"/>
      <c r="BC81" s="426"/>
      <c r="BD81" s="426"/>
      <c r="BE81" s="426"/>
      <c r="BF81" s="426"/>
      <c r="BG81" s="426"/>
      <c r="BH81" s="426"/>
      <c r="BI81" s="426"/>
      <c r="BJ81" s="426"/>
      <c r="BK81" s="426"/>
      <c r="BL81" s="426"/>
      <c r="BM81" s="426"/>
      <c r="BN81" s="426"/>
      <c r="BO81" s="426"/>
      <c r="BP81" s="426"/>
      <c r="BQ81" s="426"/>
      <c r="BR81" s="426"/>
      <c r="BS81" s="426"/>
      <c r="BZ81" s="426"/>
    </row>
    <row r="82" spans="1:78 4547:4547" ht="15" customHeight="1" x14ac:dyDescent="0.3">
      <c r="A82" s="91"/>
      <c r="B82" s="91"/>
      <c r="C82" s="91"/>
      <c r="D82" s="95"/>
      <c r="E82" s="801" t="s">
        <v>124</v>
      </c>
      <c r="F82" s="202">
        <f>Horarios!C82</f>
        <v>45482.875</v>
      </c>
      <c r="G82" s="203">
        <f>Horarios!C82</f>
        <v>45482.875</v>
      </c>
      <c r="H82" s="218"/>
      <c r="I82" s="205" t="str">
        <f ca="1">IF(AND(OR(K76="",L76="")),"W45",IF(K76&gt;L76,I76,IF(K76&lt;L76,N76,IF(AND(K76=L76,J76=M76),"W45",IF(AND(K76=L76,OR(J76="",M76="")),"W45",IF(AND(K76=L76,J76&gt;M76),I76,N76))))))</f>
        <v>Alemania</v>
      </c>
      <c r="J82" s="219">
        <v>5</v>
      </c>
      <c r="K82" s="220">
        <v>1</v>
      </c>
      <c r="L82" s="220">
        <v>1</v>
      </c>
      <c r="M82" s="219">
        <v>4</v>
      </c>
      <c r="N82" s="221" t="str">
        <f ca="1">IF(AND(OR(K77="",L77="")),"W46",IF(K77&gt;L77,I77,IF(K77&lt;L77,N77,IF(AND(K77=L77,J77=M77),"W46",IF(AND(K77=L77,OR(J77="",M77="")),"WC46",IF(AND(K77=L77,J77&gt;M77),I77,N77))))))</f>
        <v>Portugal</v>
      </c>
      <c r="O82" s="166">
        <f ca="1">IF(I86="W49",0,1)</f>
        <v>1</v>
      </c>
      <c r="P82" s="376">
        <v>49</v>
      </c>
      <c r="Q82" s="168"/>
      <c r="R82" s="168"/>
      <c r="S82" s="168"/>
      <c r="T82" s="168"/>
      <c r="U82" s="168"/>
      <c r="V82" s="168"/>
      <c r="W82" s="168"/>
      <c r="X82" s="168"/>
      <c r="Y82" s="168"/>
      <c r="Z82" s="168"/>
      <c r="AA82" s="168"/>
      <c r="AB82" s="168"/>
      <c r="AC82" s="168"/>
      <c r="AD82" s="169"/>
      <c r="AE82" s="421"/>
      <c r="AF82" s="441"/>
      <c r="AG82" s="412" t="s">
        <v>125</v>
      </c>
      <c r="AX82" s="426"/>
      <c r="AY82" s="426"/>
      <c r="AZ82" s="426"/>
      <c r="BA82" s="426"/>
      <c r="BC82" s="426"/>
      <c r="BD82" s="426"/>
      <c r="BE82" s="426"/>
      <c r="BF82" s="426"/>
      <c r="BG82" s="426"/>
      <c r="BH82" s="426"/>
      <c r="BI82" s="426"/>
      <c r="BJ82" s="426"/>
      <c r="BK82" s="426"/>
      <c r="BL82" s="426"/>
      <c r="BM82" s="426"/>
      <c r="BN82" s="426"/>
      <c r="BO82" s="426"/>
      <c r="BP82" s="426"/>
      <c r="BQ82" s="426"/>
      <c r="BR82" s="426"/>
      <c r="BS82" s="426"/>
      <c r="BZ82" s="426"/>
    </row>
    <row r="83" spans="1:78 4547:4547" ht="15" thickBot="1" x14ac:dyDescent="0.35">
      <c r="A83" s="91"/>
      <c r="B83" s="91"/>
      <c r="C83" s="91"/>
      <c r="D83" s="95"/>
      <c r="E83" s="802"/>
      <c r="F83" s="222">
        <f>Horarios!C83</f>
        <v>45483.875</v>
      </c>
      <c r="G83" s="223">
        <f>Horarios!C83</f>
        <v>45483.875</v>
      </c>
      <c r="H83" s="211"/>
      <c r="I83" s="214" t="str">
        <f ca="1">IF(AND(OR(K79="",L79="")),"W47",IF(K79&gt;L79,I79,IF(K79&lt;L79,N79,IF(AND(K79=L79,J79=M79),"W47",IF(AND(K79=L79,OR(J79="",M79="")),"W47",IF(AND(K79=L79,J79&gt;M79),I79,N79))))))</f>
        <v>Francia</v>
      </c>
      <c r="J83" s="224">
        <v>3</v>
      </c>
      <c r="K83" s="225">
        <v>2</v>
      </c>
      <c r="L83" s="225">
        <v>2</v>
      </c>
      <c r="M83" s="224">
        <v>4</v>
      </c>
      <c r="N83" s="226" t="str">
        <f ca="1">IF(AND(OR(K78="",L78="")),"W48",IF(K78&gt;L78,I78,IF(K78&lt;L78,N78,IF(AND(K78=L78,J78=M78),"W48",IF(AND(K78=L78,OR(J78="",M78="")),"W48",IF(AND(K78=L78,J78&gt;M78),I78,N78))))))</f>
        <v>Inglaterra</v>
      </c>
      <c r="O83" s="166">
        <f ca="1">IF(N86="W50",0,1)</f>
        <v>1</v>
      </c>
      <c r="P83" s="376">
        <v>50</v>
      </c>
      <c r="Q83" s="168"/>
      <c r="R83" s="168"/>
      <c r="S83" s="168"/>
      <c r="T83" s="168"/>
      <c r="U83" s="168"/>
      <c r="V83" s="168"/>
      <c r="W83" s="168"/>
      <c r="X83" s="168"/>
      <c r="Y83" s="168"/>
      <c r="Z83" s="168"/>
      <c r="AA83" s="168"/>
      <c r="AB83" s="168"/>
      <c r="AC83" s="168"/>
      <c r="AD83" s="170"/>
      <c r="AE83" s="419"/>
      <c r="AF83" s="441"/>
      <c r="AG83" s="412" t="str">
        <f ca="1">IFERROR(CONCATENATE(AH78,AH79,AH80,AH81),"¿A/B/C/D/E/F?")</f>
        <v>ABCD</v>
      </c>
      <c r="BC83" s="426"/>
      <c r="BD83" s="426"/>
      <c r="BE83" s="426"/>
      <c r="BF83" s="426"/>
      <c r="BG83" s="426"/>
      <c r="BH83" s="426"/>
      <c r="BI83" s="442"/>
      <c r="BJ83" s="426"/>
      <c r="BK83" s="426"/>
      <c r="BL83" s="426"/>
      <c r="BM83" s="426"/>
      <c r="BN83" s="426"/>
      <c r="BO83" s="426"/>
      <c r="BP83" s="426"/>
      <c r="BQ83" s="426"/>
      <c r="BR83" s="426"/>
      <c r="BS83" s="426"/>
      <c r="BZ83" s="426"/>
    </row>
    <row r="84" spans="1:78 4547:4547" x14ac:dyDescent="0.3">
      <c r="A84" s="91"/>
      <c r="B84" s="91"/>
      <c r="C84" s="91"/>
      <c r="D84" s="95"/>
      <c r="E84" s="105" t="str">
        <f>Idiomas!D27</f>
        <v>Final</v>
      </c>
      <c r="F84" s="171"/>
      <c r="G84" s="105"/>
      <c r="H84" s="105"/>
      <c r="I84" s="105"/>
      <c r="J84" s="106"/>
      <c r="K84" s="106"/>
      <c r="L84" s="106"/>
      <c r="M84" s="106"/>
      <c r="N84" s="106"/>
      <c r="O84" s="167"/>
      <c r="P84" s="401"/>
      <c r="Q84" s="168"/>
      <c r="R84" s="168"/>
      <c r="S84" s="168"/>
      <c r="T84" s="168"/>
      <c r="U84" s="168"/>
      <c r="V84" s="168"/>
      <c r="W84" s="168"/>
      <c r="X84" s="168"/>
      <c r="Y84" s="168"/>
      <c r="Z84" s="168"/>
      <c r="AA84" s="168"/>
      <c r="AB84" s="168"/>
      <c r="AC84" s="168"/>
      <c r="AD84" s="170"/>
      <c r="AE84" s="419"/>
      <c r="AF84" s="441"/>
      <c r="AV84" s="426"/>
      <c r="AW84" s="426"/>
      <c r="BC84" s="426"/>
      <c r="BD84" s="426"/>
      <c r="BE84" s="426"/>
      <c r="BF84" s="426"/>
      <c r="BG84" s="426"/>
      <c r="BH84" s="426"/>
      <c r="BI84" s="442"/>
      <c r="BJ84" s="426"/>
      <c r="BK84" s="426"/>
      <c r="BL84" s="426"/>
      <c r="BM84" s="426"/>
      <c r="BN84" s="426"/>
      <c r="BO84" s="426"/>
      <c r="BP84" s="426"/>
      <c r="BQ84" s="426"/>
      <c r="BR84" s="426"/>
      <c r="BS84" s="426"/>
      <c r="BZ84" s="426"/>
    </row>
    <row r="85" spans="1:78 4547:4547" ht="15" thickBot="1" x14ac:dyDescent="0.35">
      <c r="A85" s="91"/>
      <c r="B85" s="91"/>
      <c r="C85" s="91"/>
      <c r="D85" s="95"/>
      <c r="E85" s="99"/>
      <c r="F85" s="96" t="str">
        <f>F3</f>
        <v>Fecha</v>
      </c>
      <c r="G85" s="96" t="str">
        <f>G3</f>
        <v>Hora</v>
      </c>
      <c r="H85" s="100"/>
      <c r="I85" s="174" t="str">
        <f>I3</f>
        <v>Casa</v>
      </c>
      <c r="J85" s="175" t="s">
        <v>87</v>
      </c>
      <c r="K85" s="176" t="str">
        <f>K3</f>
        <v>Gol</v>
      </c>
      <c r="L85" s="176" t="str">
        <f>L3</f>
        <v>Gol</v>
      </c>
      <c r="M85" s="175" t="s">
        <v>87</v>
      </c>
      <c r="N85" s="103" t="str">
        <f>N3</f>
        <v>Fuera</v>
      </c>
      <c r="O85" s="167"/>
      <c r="P85" s="401"/>
      <c r="Q85" s="170"/>
      <c r="R85" s="170"/>
      <c r="S85" s="170"/>
      <c r="T85" s="170"/>
      <c r="U85" s="170"/>
      <c r="V85" s="170"/>
      <c r="W85" s="170"/>
      <c r="X85" s="170"/>
      <c r="Y85" s="170"/>
      <c r="Z85" s="170"/>
      <c r="AA85" s="170"/>
      <c r="AB85" s="170"/>
      <c r="AC85" s="170"/>
      <c r="AD85" s="170"/>
      <c r="AE85" s="419"/>
      <c r="AF85" s="441"/>
      <c r="AV85" s="426"/>
      <c r="AW85" s="426"/>
      <c r="BC85" s="426"/>
      <c r="BD85" s="426"/>
      <c r="BE85" s="426"/>
      <c r="BF85" s="426"/>
      <c r="BG85" s="426"/>
      <c r="BH85" s="426"/>
      <c r="BI85" s="442"/>
      <c r="BJ85" s="426"/>
      <c r="BK85" s="426"/>
      <c r="BL85" s="426"/>
      <c r="BM85" s="426"/>
      <c r="BN85" s="426"/>
      <c r="BO85" s="426"/>
      <c r="BP85" s="426"/>
      <c r="BQ85" s="426"/>
      <c r="BR85" s="426"/>
      <c r="BS85" s="426"/>
      <c r="BZ85" s="426"/>
      <c r="FRW85" s="426" t="s">
        <v>16</v>
      </c>
    </row>
    <row r="86" spans="1:78 4547:4547" ht="21.6" thickBot="1" x14ac:dyDescent="0.35">
      <c r="A86" s="91"/>
      <c r="B86" s="91"/>
      <c r="C86" s="91"/>
      <c r="D86" s="95"/>
      <c r="E86" s="188" t="s">
        <v>71</v>
      </c>
      <c r="F86" s="180">
        <f>Horarios!C86</f>
        <v>45487.875</v>
      </c>
      <c r="G86" s="181">
        <f>Horarios!C86</f>
        <v>45487.875</v>
      </c>
      <c r="H86" s="182"/>
      <c r="I86" s="183" t="str">
        <f ca="1">IF(AND(OR(K82="",L82="")),"W49",IF(K82&gt;L82,I82,IF(K82&lt;L82,N82,IF(AND(K82=L82,J82=M82),"W49",IF(AND(K82=L82,OR(J82="",M82="")),"W49",IF(AND(K82=L82,J82&gt;M82),I82,N82))))))</f>
        <v>Alemania</v>
      </c>
      <c r="J86" s="184"/>
      <c r="K86" s="185">
        <v>2</v>
      </c>
      <c r="L86" s="185">
        <v>1</v>
      </c>
      <c r="M86" s="184"/>
      <c r="N86" s="186" t="str">
        <f ca="1">IF(AND(OR(K83="",L83="")),"W50",IF(K83&gt;L83,I83,IF(K83&lt;L83,N83,IF(AND(K83=L83,J83=M83),"W50",IF(AND(K83=L83,OR(J83="",M83="")),"W50",IF(AND(K83=L83,J83&gt;M83),I83,N83))))))</f>
        <v>Inglaterra</v>
      </c>
      <c r="O86" s="166">
        <f ca="1">IF(I89="WF",0,1)</f>
        <v>1</v>
      </c>
      <c r="P86" s="401"/>
      <c r="Q86" s="170"/>
      <c r="R86" s="189" t="str">
        <f>Idiomas!D37</f>
        <v>PORRA INCOMPLETA:</v>
      </c>
      <c r="S86" s="189" t="str">
        <f>Idiomas!D38</f>
        <v>Aún falta alguna apuesta</v>
      </c>
      <c r="T86" s="170"/>
      <c r="U86" s="170"/>
      <c r="V86" s="170"/>
      <c r="W86" s="170"/>
      <c r="X86" s="170"/>
      <c r="Y86" s="170"/>
      <c r="Z86" s="170"/>
      <c r="AA86" s="170"/>
      <c r="AB86" s="170"/>
      <c r="AC86" s="170"/>
      <c r="AD86" s="170"/>
      <c r="AE86" s="419"/>
      <c r="AF86" s="427"/>
      <c r="BC86" s="426"/>
      <c r="BD86" s="426"/>
      <c r="BE86" s="426"/>
      <c r="BF86" s="426"/>
      <c r="BG86" s="426"/>
      <c r="BH86" s="426"/>
      <c r="BI86" s="442"/>
      <c r="BJ86" s="426"/>
      <c r="BK86" s="426"/>
      <c r="BL86" s="426"/>
      <c r="BM86" s="426"/>
      <c r="BN86" s="426"/>
      <c r="BO86" s="426"/>
      <c r="BP86" s="426"/>
      <c r="BQ86" s="426"/>
      <c r="BR86" s="426"/>
      <c r="BS86" s="426"/>
      <c r="BZ86" s="426"/>
    </row>
    <row r="87" spans="1:78 4547:4547" ht="30" customHeight="1" x14ac:dyDescent="0.3">
      <c r="A87" s="91"/>
      <c r="B87" s="91"/>
      <c r="C87" s="91"/>
      <c r="D87" s="95"/>
      <c r="E87" s="105"/>
      <c r="F87" s="171"/>
      <c r="G87" s="105"/>
      <c r="H87" s="105"/>
      <c r="I87" s="105"/>
      <c r="J87" s="106"/>
      <c r="K87" s="106"/>
      <c r="L87" s="106"/>
      <c r="M87" s="106"/>
      <c r="N87" s="106"/>
      <c r="O87" s="175"/>
      <c r="P87" s="167"/>
      <c r="Q87" s="170"/>
      <c r="R87" s="189" t="str">
        <f>Idiomas!D39</f>
        <v>PORRA COMPLETA:</v>
      </c>
      <c r="S87" s="189" t="str">
        <f>Idiomas!D40</f>
        <v>Guarda el archivo y envíaselo al administrador de tu porra</v>
      </c>
      <c r="T87" s="170"/>
      <c r="U87" s="170"/>
      <c r="V87" s="170"/>
      <c r="W87" s="170"/>
      <c r="X87" s="170"/>
      <c r="Y87" s="170"/>
      <c r="Z87" s="170"/>
      <c r="AA87" s="170"/>
      <c r="AB87" s="170"/>
      <c r="AC87" s="170"/>
      <c r="AD87" s="170"/>
      <c r="AE87" s="419"/>
      <c r="AF87" s="427"/>
      <c r="AG87" s="426"/>
      <c r="BC87" s="426"/>
      <c r="BD87" s="426"/>
      <c r="BE87" s="426"/>
      <c r="BF87" s="426"/>
      <c r="BG87" s="426"/>
      <c r="BH87" s="426"/>
      <c r="BI87" s="442"/>
      <c r="BJ87" s="426"/>
      <c r="BK87" s="426"/>
      <c r="BL87" s="426"/>
      <c r="BM87" s="426"/>
      <c r="BN87" s="426"/>
      <c r="BO87" s="426"/>
      <c r="BP87" s="426"/>
      <c r="BQ87" s="426"/>
      <c r="BR87" s="426"/>
      <c r="BS87" s="426"/>
      <c r="BZ87" s="426"/>
    </row>
    <row r="88" spans="1:78 4547:4547" ht="15" thickBot="1" x14ac:dyDescent="0.35">
      <c r="A88" s="91"/>
      <c r="B88" s="91"/>
      <c r="C88" s="91"/>
      <c r="D88" s="105"/>
      <c r="E88" s="177"/>
      <c r="F88" s="177"/>
      <c r="G88" s="177"/>
      <c r="H88" s="177"/>
      <c r="I88" s="112" t="str">
        <f>Idiomas!D28</f>
        <v>CUADRO DE HONOR</v>
      </c>
      <c r="J88" s="177"/>
      <c r="K88" s="177"/>
      <c r="L88" s="177"/>
      <c r="M88" s="177"/>
      <c r="N88" s="177"/>
      <c r="O88" s="177"/>
      <c r="P88" s="80"/>
      <c r="Q88" s="80"/>
      <c r="R88" s="80"/>
      <c r="S88" s="80"/>
      <c r="T88" s="80"/>
      <c r="U88" s="80"/>
      <c r="V88" s="80"/>
      <c r="W88" s="80"/>
      <c r="X88" s="80"/>
      <c r="Y88" s="80"/>
      <c r="Z88" s="80"/>
      <c r="AA88" s="80"/>
      <c r="AB88" s="80"/>
      <c r="AC88" s="80"/>
      <c r="AD88" s="80"/>
      <c r="AE88" s="422"/>
      <c r="BI88" s="442"/>
    </row>
    <row r="89" spans="1:78 4547:4547" ht="18" x14ac:dyDescent="0.3">
      <c r="A89" s="91"/>
      <c r="B89" s="91"/>
      <c r="C89" s="91"/>
      <c r="D89" s="80"/>
      <c r="E89" s="402" t="str">
        <f>Idiomas!D29</f>
        <v>Campeón</v>
      </c>
      <c r="F89" s="198"/>
      <c r="G89" s="198"/>
      <c r="H89" s="199"/>
      <c r="I89" s="789" t="str">
        <f ca="1">IF(AND(OR(K86="",L86="")),"WF",IF(K86&gt;L86,I86,IF(K86&lt;L86,N86,IF(AND(K86=L86,J86=M86),"WF",IF(AND(K86=L86,OR(J86="",M86="")),"WF",IF(AND(K86=L86,J86&gt;M86),I86,N86))))))</f>
        <v>Alemania</v>
      </c>
      <c r="J89" s="790"/>
      <c r="K89" s="790"/>
      <c r="L89" s="790"/>
      <c r="M89" s="790"/>
      <c r="N89" s="791"/>
      <c r="O89" s="166">
        <f ca="1">IF(I89="WF",0,1)</f>
        <v>1</v>
      </c>
      <c r="P89" s="80"/>
      <c r="Q89" s="774" t="str">
        <f ca="1">IF(SUM(COUNTIF(O4:O49,0),COUNTIF(O65:O97,0)&gt;0),R86,R87)</f>
        <v>PORRA COMPLETA:</v>
      </c>
      <c r="R89" s="775"/>
      <c r="S89" s="775"/>
      <c r="T89" s="775"/>
      <c r="U89" s="775"/>
      <c r="V89" s="775"/>
      <c r="W89" s="775"/>
      <c r="X89" s="775"/>
      <c r="Y89" s="775"/>
      <c r="Z89" s="775"/>
      <c r="AA89" s="776"/>
      <c r="AB89" s="80"/>
      <c r="AC89" s="80"/>
      <c r="AD89" s="80"/>
      <c r="AE89" s="422"/>
      <c r="BI89" s="442"/>
    </row>
    <row r="90" spans="1:78 4547:4547" ht="16.2" thickBot="1" x14ac:dyDescent="0.35">
      <c r="A90" s="91"/>
      <c r="B90" s="91"/>
      <c r="C90" s="91"/>
      <c r="D90" s="80"/>
      <c r="E90" s="403" t="str">
        <f>Idiomas!D30</f>
        <v>Subcampeón</v>
      </c>
      <c r="F90" s="200"/>
      <c r="G90" s="200"/>
      <c r="H90" s="201"/>
      <c r="I90" s="792" t="str">
        <f ca="1">IF(AND(OR(K86="",L86="")),"LF",IF(K86&gt;L86,N86,IF(K86&lt;L86,I86,IF(AND(K86=L86,J86=M86),"LF",IF(AND(K86=L86,OR(J86="",M86="")),"LF",IF(AND(K86=L86,J86&gt;M86),N86,I86))))))</f>
        <v>Inglaterra</v>
      </c>
      <c r="J90" s="793"/>
      <c r="K90" s="793"/>
      <c r="L90" s="793"/>
      <c r="M90" s="793"/>
      <c r="N90" s="794"/>
      <c r="O90" s="166">
        <f ca="1">IF(I90="LF",0,1)</f>
        <v>1</v>
      </c>
      <c r="P90" s="80"/>
      <c r="Q90" s="777"/>
      <c r="R90" s="778"/>
      <c r="S90" s="778"/>
      <c r="T90" s="778"/>
      <c r="U90" s="778"/>
      <c r="V90" s="778"/>
      <c r="W90" s="778"/>
      <c r="X90" s="778"/>
      <c r="Y90" s="778"/>
      <c r="Z90" s="778"/>
      <c r="AA90" s="779"/>
      <c r="AB90" s="80"/>
      <c r="AC90" s="80"/>
      <c r="AD90" s="80"/>
      <c r="AE90" s="422"/>
      <c r="AH90" s="426"/>
      <c r="AI90" s="426"/>
      <c r="AJ90" s="426"/>
      <c r="AK90" s="426"/>
      <c r="AL90" s="426"/>
      <c r="AM90" s="426"/>
      <c r="AN90" s="426"/>
      <c r="AO90" s="426"/>
      <c r="AP90" s="426"/>
      <c r="AQ90" s="426"/>
      <c r="AR90" s="426"/>
      <c r="AS90" s="426"/>
      <c r="AT90" s="426"/>
      <c r="AU90" s="426"/>
      <c r="AX90" s="426"/>
      <c r="AY90" s="426"/>
      <c r="AZ90" s="426"/>
      <c r="BA90" s="426"/>
      <c r="BB90" s="426"/>
      <c r="BI90" s="442"/>
      <c r="BT90" s="426"/>
      <c r="BU90" s="426"/>
      <c r="BV90" s="426"/>
      <c r="BW90" s="426"/>
      <c r="BX90" s="426"/>
      <c r="BY90" s="426"/>
    </row>
    <row r="91" spans="1:78 4547:4547" x14ac:dyDescent="0.3">
      <c r="A91" s="91"/>
      <c r="B91" s="91"/>
      <c r="C91" s="91"/>
      <c r="D91" s="80"/>
      <c r="E91" s="91"/>
      <c r="F91" s="91"/>
      <c r="G91" s="91"/>
      <c r="H91" s="91"/>
      <c r="I91" s="91"/>
      <c r="J91" s="91"/>
      <c r="K91" s="91"/>
      <c r="L91" s="91"/>
      <c r="M91" s="91"/>
      <c r="N91" s="91"/>
      <c r="O91" s="91"/>
      <c r="P91" s="80"/>
      <c r="Q91" s="777"/>
      <c r="R91" s="778"/>
      <c r="S91" s="778"/>
      <c r="T91" s="778"/>
      <c r="U91" s="778"/>
      <c r="V91" s="778"/>
      <c r="W91" s="778"/>
      <c r="X91" s="778"/>
      <c r="Y91" s="778"/>
      <c r="Z91" s="778"/>
      <c r="AA91" s="779"/>
      <c r="AB91" s="80"/>
      <c r="AC91" s="80"/>
      <c r="AD91" s="80"/>
      <c r="AE91" s="422"/>
      <c r="AF91" s="426"/>
      <c r="AG91" s="426"/>
      <c r="AH91" s="426"/>
      <c r="AI91" s="426"/>
      <c r="AJ91" s="426"/>
      <c r="AK91" s="426"/>
      <c r="AL91" s="426"/>
      <c r="AM91" s="426"/>
      <c r="AN91" s="426"/>
      <c r="AO91" s="426"/>
      <c r="AP91" s="426"/>
      <c r="AQ91" s="426"/>
      <c r="AR91" s="426"/>
      <c r="AS91" s="426"/>
      <c r="AT91" s="426"/>
      <c r="AU91" s="426"/>
      <c r="AX91" s="426"/>
      <c r="AY91" s="426"/>
      <c r="AZ91" s="426"/>
      <c r="BA91" s="426"/>
      <c r="BB91" s="426"/>
      <c r="BI91" s="442"/>
      <c r="BT91" s="426"/>
      <c r="BU91" s="426"/>
      <c r="BV91" s="426"/>
      <c r="BW91" s="426"/>
      <c r="BX91" s="426"/>
      <c r="BY91" s="426"/>
    </row>
    <row r="92" spans="1:78 4547:4547" ht="15" thickBot="1" x14ac:dyDescent="0.35">
      <c r="A92" s="91"/>
      <c r="B92" s="91"/>
      <c r="C92" s="91"/>
      <c r="D92" s="80"/>
      <c r="E92" s="179"/>
      <c r="F92" s="179"/>
      <c r="G92" s="179"/>
      <c r="H92" s="179"/>
      <c r="I92" s="179"/>
      <c r="J92" s="78"/>
      <c r="K92" s="78"/>
      <c r="L92" s="78"/>
      <c r="M92" s="78"/>
      <c r="N92" s="78"/>
      <c r="O92" s="78"/>
      <c r="P92" s="80"/>
      <c r="Q92" s="780" t="str">
        <f ca="1">IF(SUM(COUNTIF(O4:O49,0),COUNTIF(O65:O97,0)&gt;0),S86,S87)</f>
        <v>Guarda el archivo y envíaselo al administrador de tu porra</v>
      </c>
      <c r="R92" s="781"/>
      <c r="S92" s="781"/>
      <c r="T92" s="781"/>
      <c r="U92" s="781"/>
      <c r="V92" s="781"/>
      <c r="W92" s="781"/>
      <c r="X92" s="781"/>
      <c r="Y92" s="781"/>
      <c r="Z92" s="781"/>
      <c r="AA92" s="782"/>
      <c r="AB92" s="80"/>
      <c r="AC92" s="80"/>
      <c r="AD92" s="80"/>
      <c r="AE92" s="422"/>
      <c r="AF92" s="426"/>
      <c r="AG92" s="426"/>
      <c r="AH92" s="426"/>
      <c r="AI92" s="426"/>
      <c r="AJ92" s="426"/>
      <c r="AK92" s="426"/>
      <c r="AL92" s="426"/>
      <c r="AM92" s="426"/>
      <c r="AN92" s="426"/>
      <c r="AO92" s="426"/>
      <c r="AP92" s="426"/>
      <c r="AQ92" s="426"/>
      <c r="AR92" s="426"/>
      <c r="AS92" s="426"/>
      <c r="AT92" s="426"/>
      <c r="AU92" s="426"/>
      <c r="AX92" s="426"/>
      <c r="AY92" s="426"/>
      <c r="AZ92" s="426"/>
      <c r="BA92" s="426"/>
      <c r="BB92" s="426"/>
      <c r="BT92" s="426"/>
      <c r="BU92" s="426"/>
      <c r="BV92" s="426"/>
      <c r="BW92" s="426"/>
      <c r="BX92" s="426"/>
      <c r="BY92" s="426"/>
    </row>
    <row r="93" spans="1:78 4547:4547" ht="18" x14ac:dyDescent="0.3">
      <c r="A93" s="91"/>
      <c r="B93" s="91"/>
      <c r="C93" s="91"/>
      <c r="D93" s="80"/>
      <c r="E93" s="402" t="str">
        <f>Idiomas!D31</f>
        <v>Goleador del torneo</v>
      </c>
      <c r="F93" s="198"/>
      <c r="G93" s="198"/>
      <c r="H93" s="199"/>
      <c r="I93" s="798" t="s">
        <v>396</v>
      </c>
      <c r="J93" s="799"/>
      <c r="K93" s="799"/>
      <c r="L93" s="799"/>
      <c r="M93" s="799"/>
      <c r="N93" s="800"/>
      <c r="O93" s="166">
        <f>IF(I93=P93,0,IF(I93="",0,1))</f>
        <v>1</v>
      </c>
      <c r="P93" s="371" t="str">
        <f>Idiomas!D33</f>
        <v>Escribe un jugador</v>
      </c>
      <c r="Q93" s="780"/>
      <c r="R93" s="781"/>
      <c r="S93" s="781"/>
      <c r="T93" s="781"/>
      <c r="U93" s="781"/>
      <c r="V93" s="781"/>
      <c r="W93" s="781"/>
      <c r="X93" s="781"/>
      <c r="Y93" s="781"/>
      <c r="Z93" s="781"/>
      <c r="AA93" s="782"/>
      <c r="AB93" s="80"/>
      <c r="AC93" s="80"/>
      <c r="AD93" s="80"/>
      <c r="AE93" s="422"/>
      <c r="AF93" s="426"/>
      <c r="AG93" s="426"/>
      <c r="AH93" s="426"/>
      <c r="AI93" s="426"/>
      <c r="AJ93" s="426"/>
      <c r="AK93" s="426"/>
      <c r="AL93" s="426"/>
      <c r="AM93" s="426"/>
      <c r="AN93" s="426"/>
      <c r="AO93" s="426"/>
      <c r="AP93" s="426"/>
      <c r="AQ93" s="426"/>
      <c r="AR93" s="426"/>
      <c r="AS93" s="426"/>
      <c r="AT93" s="426"/>
      <c r="AU93" s="426"/>
      <c r="AV93" s="426"/>
      <c r="AW93" s="426"/>
      <c r="AX93" s="426"/>
      <c r="AY93" s="426"/>
      <c r="AZ93" s="426"/>
      <c r="BA93" s="426"/>
      <c r="BB93" s="426"/>
      <c r="BT93" s="426"/>
      <c r="BU93" s="426"/>
      <c r="BV93" s="426"/>
      <c r="BW93" s="426"/>
      <c r="BX93" s="426"/>
      <c r="BY93" s="426"/>
    </row>
    <row r="94" spans="1:78 4547:4547" ht="16.2" thickBot="1" x14ac:dyDescent="0.35">
      <c r="A94" s="91"/>
      <c r="B94" s="91"/>
      <c r="C94" s="91"/>
      <c r="D94" s="80"/>
      <c r="E94" s="403" t="str">
        <f>Idiomas!D32</f>
        <v>Mejor jugador del torneo</v>
      </c>
      <c r="F94" s="200"/>
      <c r="G94" s="200"/>
      <c r="H94" s="201"/>
      <c r="I94" s="795" t="s">
        <v>160</v>
      </c>
      <c r="J94" s="796"/>
      <c r="K94" s="796"/>
      <c r="L94" s="796"/>
      <c r="M94" s="796"/>
      <c r="N94" s="797"/>
      <c r="O94" s="166">
        <f>IF(I94=P94,0,IF(I94="",0,1))</f>
        <v>1</v>
      </c>
      <c r="P94" s="371" t="str">
        <f>Idiomas!D34</f>
        <v>Escribe un jugador</v>
      </c>
      <c r="Q94" s="783"/>
      <c r="R94" s="784"/>
      <c r="S94" s="784"/>
      <c r="T94" s="784"/>
      <c r="U94" s="784"/>
      <c r="V94" s="784"/>
      <c r="W94" s="784"/>
      <c r="X94" s="784"/>
      <c r="Y94" s="784"/>
      <c r="Z94" s="784"/>
      <c r="AA94" s="785"/>
      <c r="AB94" s="80"/>
      <c r="AC94" s="80"/>
      <c r="AD94" s="80"/>
      <c r="AE94" s="422"/>
      <c r="AF94" s="426"/>
      <c r="AG94" s="426"/>
      <c r="AH94" s="426"/>
      <c r="AI94" s="426"/>
      <c r="AJ94" s="426"/>
      <c r="AK94" s="426"/>
      <c r="AL94" s="426"/>
      <c r="AM94" s="426"/>
      <c r="AN94" s="426"/>
      <c r="AO94" s="426"/>
      <c r="AP94" s="426"/>
      <c r="AQ94" s="426"/>
      <c r="AR94" s="426"/>
      <c r="AS94" s="426"/>
      <c r="AT94" s="426"/>
      <c r="AU94" s="426"/>
      <c r="AV94" s="426"/>
      <c r="AW94" s="426"/>
      <c r="AX94" s="426"/>
      <c r="AY94" s="426"/>
      <c r="AZ94" s="426"/>
      <c r="BA94" s="426"/>
      <c r="BB94" s="426"/>
      <c r="BT94" s="426"/>
      <c r="BU94" s="426"/>
      <c r="BV94" s="426"/>
      <c r="BW94" s="426"/>
      <c r="BX94" s="426"/>
      <c r="BY94" s="426"/>
    </row>
    <row r="95" spans="1:78 4547:4547" ht="15.6" x14ac:dyDescent="0.3">
      <c r="A95" s="91"/>
      <c r="B95" s="91"/>
      <c r="C95" s="91"/>
      <c r="D95" s="80"/>
      <c r="E95" s="404"/>
      <c r="F95" s="404"/>
      <c r="G95" s="404"/>
      <c r="H95" s="404"/>
      <c r="I95" s="404"/>
      <c r="J95" s="404"/>
      <c r="K95" s="404"/>
      <c r="L95" s="404"/>
      <c r="M95" s="404"/>
      <c r="N95" s="404"/>
      <c r="O95" s="166"/>
      <c r="P95" s="80"/>
      <c r="Q95" s="80"/>
      <c r="R95" s="80"/>
      <c r="S95" s="80"/>
      <c r="T95" s="80"/>
      <c r="U95" s="80"/>
      <c r="V95" s="80"/>
      <c r="W95" s="80"/>
      <c r="X95" s="80"/>
      <c r="Y95" s="80"/>
      <c r="Z95" s="80"/>
      <c r="AA95" s="80"/>
      <c r="AB95" s="80"/>
      <c r="AC95" s="80"/>
      <c r="AD95" s="80"/>
      <c r="AE95" s="422"/>
      <c r="AF95" s="426"/>
      <c r="AG95" s="426"/>
      <c r="AH95" s="426"/>
      <c r="AI95" s="426"/>
      <c r="AJ95" s="426"/>
      <c r="AK95" s="426"/>
      <c r="AL95" s="426"/>
      <c r="AM95" s="426"/>
      <c r="AN95" s="426"/>
      <c r="AO95" s="426"/>
      <c r="AP95" s="426"/>
      <c r="AQ95" s="426"/>
      <c r="AR95" s="426"/>
      <c r="AS95" s="426"/>
      <c r="AT95" s="426"/>
      <c r="AU95" s="426"/>
      <c r="AV95" s="426"/>
      <c r="AW95" s="426"/>
      <c r="AX95" s="426"/>
      <c r="AY95" s="426"/>
      <c r="AZ95" s="426"/>
      <c r="BA95" s="426"/>
      <c r="BB95" s="426"/>
      <c r="BT95" s="426"/>
      <c r="BU95" s="426"/>
      <c r="BV95" s="426"/>
      <c r="BW95" s="426"/>
      <c r="BX95" s="426"/>
      <c r="BY95" s="426"/>
    </row>
    <row r="96" spans="1:78 4547:4547" ht="16.2" thickBot="1" x14ac:dyDescent="0.35">
      <c r="A96" s="91"/>
      <c r="B96" s="91"/>
      <c r="C96" s="91"/>
      <c r="D96" s="80"/>
      <c r="E96" s="404"/>
      <c r="F96" s="404"/>
      <c r="G96" s="404"/>
      <c r="H96" s="404"/>
      <c r="I96" s="404"/>
      <c r="J96" s="404"/>
      <c r="K96" s="404"/>
      <c r="L96" s="404"/>
      <c r="M96" s="404"/>
      <c r="N96" s="404"/>
      <c r="O96" s="178"/>
      <c r="P96" s="80"/>
      <c r="Q96" s="80"/>
      <c r="R96" s="80"/>
      <c r="S96" s="80"/>
      <c r="T96" s="80"/>
      <c r="U96" s="80"/>
      <c r="V96" s="80"/>
      <c r="W96" s="80"/>
      <c r="X96" s="80"/>
      <c r="Y96" s="80"/>
      <c r="Z96" s="80"/>
      <c r="AA96" s="80"/>
      <c r="AB96" s="80"/>
      <c r="AC96" s="80"/>
      <c r="AD96" s="80"/>
      <c r="AE96" s="422"/>
      <c r="AF96" s="426"/>
      <c r="AG96" s="426"/>
      <c r="AH96" s="426"/>
      <c r="AI96" s="426"/>
      <c r="AJ96" s="426"/>
      <c r="AK96" s="426"/>
      <c r="AL96" s="426"/>
      <c r="AM96" s="426"/>
      <c r="AN96" s="426"/>
      <c r="AO96" s="426"/>
      <c r="AP96" s="426"/>
      <c r="AQ96" s="426"/>
      <c r="AR96" s="426"/>
      <c r="AS96" s="426"/>
      <c r="AT96" s="426"/>
      <c r="AU96" s="426"/>
      <c r="AV96" s="426"/>
      <c r="AW96" s="426"/>
      <c r="AX96" s="426"/>
      <c r="AY96" s="426"/>
      <c r="AZ96" s="426"/>
      <c r="BA96" s="426"/>
      <c r="BB96" s="426"/>
      <c r="BT96" s="426"/>
      <c r="BU96" s="426"/>
      <c r="BV96" s="426"/>
      <c r="BW96" s="426"/>
      <c r="BX96" s="426"/>
      <c r="BY96" s="426"/>
    </row>
    <row r="97" spans="1:54" ht="18" thickBot="1" x14ac:dyDescent="0.35">
      <c r="A97" s="91"/>
      <c r="B97" s="91"/>
      <c r="C97" s="91"/>
      <c r="D97" s="80"/>
      <c r="E97" s="227" t="str">
        <f>Idiomas!D35</f>
        <v>TU NOMBRE</v>
      </c>
      <c r="F97" s="228"/>
      <c r="G97" s="228"/>
      <c r="H97" s="229"/>
      <c r="I97" s="786" t="s">
        <v>1363</v>
      </c>
      <c r="J97" s="787"/>
      <c r="K97" s="787"/>
      <c r="L97" s="787"/>
      <c r="M97" s="787"/>
      <c r="N97" s="788"/>
      <c r="O97" s="166">
        <f>IF(I97=P97,0,IF(I97="",0,1))</f>
        <v>1</v>
      </c>
      <c r="P97" s="370"/>
      <c r="Q97" s="80"/>
      <c r="R97" s="80"/>
      <c r="S97" s="80"/>
      <c r="T97" s="80"/>
      <c r="U97" s="80"/>
      <c r="V97" s="80"/>
      <c r="W97" s="80"/>
      <c r="X97" s="80"/>
      <c r="Y97" s="80"/>
      <c r="Z97" s="80"/>
      <c r="AA97" s="80"/>
      <c r="AB97" s="80"/>
      <c r="AC97" s="80"/>
      <c r="AD97" s="80"/>
      <c r="AE97" s="422"/>
      <c r="AF97" s="426"/>
      <c r="AG97" s="426"/>
      <c r="AH97" s="426"/>
      <c r="AI97" s="426"/>
      <c r="AJ97" s="426"/>
      <c r="AK97" s="426"/>
      <c r="AL97" s="426"/>
      <c r="AM97" s="426"/>
      <c r="AN97" s="426"/>
      <c r="AO97" s="426"/>
      <c r="AP97" s="426"/>
      <c r="AQ97" s="426"/>
      <c r="AR97" s="426"/>
      <c r="AS97" s="426"/>
      <c r="AT97" s="426"/>
      <c r="AU97" s="426"/>
      <c r="AV97" s="426"/>
      <c r="AW97" s="426"/>
      <c r="AX97" s="426"/>
      <c r="AY97" s="426"/>
      <c r="AZ97" s="426"/>
      <c r="BA97" s="426"/>
      <c r="BB97" s="426"/>
    </row>
    <row r="98" spans="1:54" x14ac:dyDescent="0.3">
      <c r="A98" s="91"/>
      <c r="B98" s="91"/>
      <c r="C98" s="91"/>
      <c r="D98" s="80"/>
      <c r="E98" s="166"/>
      <c r="F98" s="166"/>
      <c r="G98" s="166"/>
      <c r="H98" s="166"/>
      <c r="I98" s="166"/>
      <c r="J98" s="166"/>
      <c r="K98" s="166"/>
      <c r="L98" s="166"/>
      <c r="M98" s="166"/>
      <c r="N98" s="166"/>
      <c r="O98" s="166"/>
      <c r="P98" s="80"/>
      <c r="Q98" s="80"/>
      <c r="R98" s="80"/>
      <c r="S98" s="80"/>
      <c r="T98" s="80"/>
      <c r="U98" s="80"/>
      <c r="V98" s="80"/>
      <c r="W98" s="80"/>
      <c r="X98" s="80"/>
      <c r="Y98" s="80"/>
      <c r="Z98" s="80"/>
      <c r="AA98" s="80"/>
      <c r="AB98" s="80"/>
      <c r="AC98" s="80"/>
      <c r="AD98" s="80"/>
      <c r="AE98" s="422"/>
      <c r="AF98" s="426"/>
      <c r="AG98" s="426"/>
      <c r="AH98" s="426"/>
      <c r="AI98" s="426"/>
      <c r="AJ98" s="426"/>
      <c r="AK98" s="426"/>
      <c r="AL98" s="426"/>
      <c r="AM98" s="426"/>
      <c r="AN98" s="426"/>
      <c r="AO98" s="426"/>
      <c r="AP98" s="426"/>
      <c r="AQ98" s="426"/>
      <c r="AR98" s="426"/>
      <c r="AS98" s="426"/>
      <c r="AT98" s="426"/>
      <c r="AU98" s="426"/>
      <c r="AV98" s="426"/>
      <c r="AW98" s="426"/>
      <c r="AX98" s="426"/>
      <c r="AY98" s="426"/>
      <c r="AZ98" s="426"/>
      <c r="BA98" s="426"/>
      <c r="BB98" s="426"/>
    </row>
    <row r="99" spans="1:54" x14ac:dyDescent="0.3">
      <c r="A99" s="91"/>
      <c r="B99" s="91"/>
      <c r="C99" s="91"/>
      <c r="D99" s="80"/>
      <c r="E99" s="166"/>
      <c r="F99" s="166"/>
      <c r="G99" s="166"/>
      <c r="H99" s="166"/>
      <c r="I99" s="166"/>
      <c r="J99" s="166"/>
      <c r="K99" s="166"/>
      <c r="L99" s="166"/>
      <c r="M99" s="166"/>
      <c r="N99" s="166"/>
      <c r="O99" s="166"/>
      <c r="P99" s="80"/>
      <c r="Q99" s="80"/>
      <c r="R99" s="80"/>
      <c r="S99" s="80"/>
      <c r="T99" s="80"/>
      <c r="U99" s="80"/>
      <c r="V99" s="80"/>
      <c r="W99" s="80"/>
      <c r="X99" s="80"/>
      <c r="Y99" s="80"/>
      <c r="Z99" s="80"/>
      <c r="AA99" s="80"/>
      <c r="AB99" s="80"/>
      <c r="AC99" s="80"/>
      <c r="AD99" s="80"/>
      <c r="AE99" s="422"/>
      <c r="AF99" s="426"/>
      <c r="AG99" s="426"/>
      <c r="AH99" s="426"/>
      <c r="AI99" s="426"/>
      <c r="AJ99" s="426"/>
      <c r="AK99" s="426"/>
      <c r="AL99" s="426"/>
      <c r="AM99" s="426"/>
      <c r="AN99" s="426"/>
      <c r="AO99" s="426"/>
      <c r="AP99" s="426"/>
      <c r="AQ99" s="426"/>
      <c r="AR99" s="426"/>
      <c r="AS99" s="426"/>
      <c r="AT99" s="426"/>
      <c r="AU99" s="426"/>
      <c r="AV99" s="426"/>
      <c r="AW99" s="426"/>
      <c r="AX99" s="426"/>
      <c r="AY99" s="426"/>
      <c r="AZ99" s="426"/>
      <c r="BA99" s="426"/>
      <c r="BB99" s="426"/>
    </row>
    <row r="100" spans="1:54" x14ac:dyDescent="0.3">
      <c r="A100" s="91"/>
      <c r="B100" s="91"/>
      <c r="C100" s="91"/>
      <c r="D100" s="80"/>
      <c r="E100" s="179"/>
      <c r="F100" s="179"/>
      <c r="G100" s="179"/>
      <c r="H100" s="179"/>
      <c r="I100" s="179"/>
      <c r="J100" s="179"/>
      <c r="K100" s="179"/>
      <c r="L100" s="179"/>
      <c r="M100" s="179"/>
      <c r="N100" s="179"/>
      <c r="O100" s="179"/>
      <c r="P100" s="80"/>
      <c r="Q100" s="80"/>
      <c r="R100" s="80"/>
      <c r="S100" s="80"/>
      <c r="T100" s="80"/>
      <c r="U100" s="80"/>
      <c r="V100" s="80"/>
      <c r="W100" s="80"/>
      <c r="X100" s="80"/>
      <c r="Y100" s="80"/>
      <c r="Z100" s="80"/>
      <c r="AA100" s="80"/>
      <c r="AB100" s="80"/>
      <c r="AC100" s="80"/>
      <c r="AD100" s="80"/>
      <c r="AE100" s="422"/>
      <c r="AF100" s="426"/>
      <c r="AG100" s="426"/>
      <c r="AH100" s="426"/>
      <c r="AI100" s="426"/>
      <c r="AJ100" s="426"/>
      <c r="AK100" s="426"/>
      <c r="AL100" s="426"/>
      <c r="AM100" s="426"/>
      <c r="AN100" s="426"/>
      <c r="AO100" s="426"/>
      <c r="AP100" s="426"/>
      <c r="AQ100" s="426"/>
      <c r="AR100" s="426"/>
      <c r="AS100" s="426"/>
      <c r="AT100" s="426"/>
      <c r="AU100" s="426"/>
      <c r="AV100" s="426"/>
      <c r="AW100" s="426"/>
      <c r="AX100" s="426"/>
      <c r="AY100" s="426"/>
      <c r="AZ100" s="426"/>
      <c r="BA100" s="426"/>
      <c r="BB100" s="426"/>
    </row>
    <row r="101" spans="1:54" x14ac:dyDescent="0.3">
      <c r="A101" s="91"/>
      <c r="B101" s="91"/>
      <c r="C101" s="91"/>
      <c r="D101" s="80"/>
      <c r="E101" s="179"/>
      <c r="F101" s="179"/>
      <c r="G101" s="179"/>
      <c r="H101" s="179"/>
      <c r="I101" s="179"/>
      <c r="J101" s="179"/>
      <c r="K101" s="179"/>
      <c r="L101" s="179"/>
      <c r="M101" s="179"/>
      <c r="N101" s="179"/>
      <c r="O101" s="179"/>
      <c r="P101" s="80"/>
      <c r="Q101" s="80"/>
      <c r="R101" s="80"/>
      <c r="S101" s="80"/>
      <c r="T101" s="80"/>
      <c r="U101" s="80"/>
      <c r="V101" s="80"/>
      <c r="W101" s="80"/>
      <c r="X101" s="80"/>
      <c r="Y101" s="80"/>
      <c r="Z101" s="80"/>
      <c r="AA101" s="80"/>
      <c r="AB101" s="80"/>
      <c r="AC101" s="80"/>
      <c r="AD101" s="80"/>
      <c r="AE101" s="422"/>
      <c r="AF101" s="426"/>
      <c r="AG101" s="426"/>
      <c r="AH101" s="426"/>
      <c r="AI101" s="426"/>
      <c r="AJ101" s="426"/>
      <c r="AK101" s="426"/>
      <c r="AL101" s="426"/>
      <c r="AM101" s="426"/>
      <c r="AN101" s="426"/>
      <c r="AO101" s="426"/>
      <c r="AP101" s="426"/>
      <c r="AQ101" s="426"/>
      <c r="AR101" s="426"/>
      <c r="AS101" s="426"/>
      <c r="AT101" s="426"/>
      <c r="AU101" s="426"/>
      <c r="AV101" s="426"/>
      <c r="AW101" s="426"/>
      <c r="AX101" s="426"/>
      <c r="AY101" s="426"/>
      <c r="AZ101" s="426"/>
      <c r="BA101" s="426"/>
      <c r="BB101" s="426"/>
    </row>
    <row r="102" spans="1:54" x14ac:dyDescent="0.3">
      <c r="A102" s="91"/>
      <c r="B102" s="91"/>
      <c r="C102" s="91"/>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c r="AC102" s="80"/>
      <c r="AD102" s="80"/>
      <c r="AE102" s="422"/>
      <c r="AF102" s="426"/>
      <c r="AG102" s="426"/>
      <c r="AH102" s="426"/>
      <c r="AI102" s="426"/>
      <c r="AJ102" s="426"/>
      <c r="AK102" s="426"/>
      <c r="AL102" s="426"/>
      <c r="AM102" s="426"/>
      <c r="AN102" s="426"/>
      <c r="AO102" s="426"/>
      <c r="AP102" s="426"/>
      <c r="AQ102" s="426"/>
      <c r="AR102" s="426"/>
      <c r="AS102" s="426"/>
      <c r="AT102" s="426"/>
      <c r="AU102" s="426"/>
      <c r="AV102" s="426"/>
      <c r="AW102" s="426"/>
      <c r="AX102" s="426"/>
      <c r="AY102" s="426"/>
      <c r="AZ102" s="426"/>
      <c r="BA102" s="426"/>
      <c r="BB102" s="426"/>
    </row>
    <row r="103" spans="1:54" x14ac:dyDescent="0.3">
      <c r="A103" s="7"/>
      <c r="B103" s="7"/>
      <c r="C103"/>
      <c r="D103"/>
      <c r="E103"/>
      <c r="F103"/>
      <c r="G103"/>
      <c r="H103"/>
      <c r="I103"/>
      <c r="J103"/>
      <c r="K103"/>
      <c r="L103"/>
      <c r="M103"/>
      <c r="N103"/>
      <c r="O103"/>
      <c r="P103"/>
      <c r="Q103"/>
      <c r="R103"/>
      <c r="S103"/>
      <c r="T103"/>
      <c r="U103"/>
      <c r="V103"/>
      <c r="W103"/>
      <c r="X103"/>
      <c r="Y103"/>
      <c r="Z103"/>
      <c r="AA103" s="8"/>
      <c r="AB103" s="9"/>
      <c r="AC103" s="8"/>
      <c r="AD103" s="8"/>
      <c r="AE103" s="423"/>
      <c r="AF103" s="426"/>
      <c r="AG103" s="426"/>
      <c r="AH103" s="426"/>
      <c r="AI103" s="426"/>
      <c r="AJ103" s="426"/>
      <c r="AK103" s="426"/>
      <c r="AL103" s="426"/>
      <c r="AM103" s="426"/>
      <c r="AN103" s="426"/>
      <c r="AO103" s="426"/>
      <c r="AP103" s="426"/>
      <c r="AQ103" s="426"/>
      <c r="AR103" s="426"/>
      <c r="AS103" s="426"/>
      <c r="AT103" s="426"/>
      <c r="AU103" s="426"/>
      <c r="AV103" s="426"/>
      <c r="AW103" s="426"/>
      <c r="AX103" s="426"/>
      <c r="AY103" s="426"/>
      <c r="AZ103" s="426"/>
      <c r="BA103" s="426"/>
      <c r="BB103" s="426"/>
    </row>
    <row r="104" spans="1:54" x14ac:dyDescent="0.3">
      <c r="A104" s="7"/>
      <c r="B104" s="7"/>
      <c r="C104"/>
      <c r="D104"/>
      <c r="E104"/>
      <c r="F104"/>
      <c r="G104"/>
      <c r="H104"/>
      <c r="I104"/>
      <c r="J104"/>
      <c r="K104"/>
      <c r="L104"/>
      <c r="M104"/>
      <c r="N104"/>
      <c r="O104"/>
      <c r="P104"/>
      <c r="Q104"/>
      <c r="R104"/>
      <c r="S104"/>
      <c r="T104"/>
      <c r="U104"/>
      <c r="V104"/>
      <c r="W104"/>
      <c r="X104"/>
      <c r="Y104"/>
      <c r="Z104"/>
      <c r="AA104" s="8"/>
      <c r="AB104" s="9"/>
      <c r="AC104" s="8"/>
      <c r="AD104" s="8"/>
      <c r="AE104" s="423"/>
      <c r="AF104" s="426"/>
      <c r="AG104" s="426"/>
      <c r="AH104" s="426"/>
      <c r="AI104" s="426"/>
      <c r="AJ104" s="426"/>
      <c r="AK104" s="426"/>
      <c r="AL104" s="426"/>
      <c r="AM104" s="426"/>
      <c r="AN104" s="426"/>
      <c r="AO104" s="426"/>
      <c r="AP104" s="426"/>
      <c r="AQ104" s="426"/>
      <c r="AR104" s="426"/>
      <c r="AS104" s="426"/>
      <c r="AT104" s="426"/>
      <c r="AU104" s="426"/>
      <c r="AV104" s="426"/>
      <c r="AW104" s="426"/>
      <c r="AX104" s="426"/>
      <c r="AY104" s="426"/>
      <c r="AZ104" s="426"/>
      <c r="BA104" s="426"/>
      <c r="BB104" s="426"/>
    </row>
    <row r="105" spans="1:54" x14ac:dyDescent="0.3">
      <c r="A105" s="7"/>
      <c r="B105" s="7"/>
      <c r="C105"/>
      <c r="D105" s="7"/>
      <c r="E105" s="7"/>
      <c r="F105" s="7"/>
      <c r="G105" s="7"/>
      <c r="H105" s="7"/>
      <c r="I105" s="7"/>
      <c r="J105" s="7"/>
      <c r="K105" s="7"/>
      <c r="L105" s="7"/>
      <c r="M105" s="7"/>
      <c r="N105" s="7"/>
      <c r="O105" s="7"/>
      <c r="P105" s="7"/>
      <c r="Q105" s="7"/>
      <c r="R105" s="7"/>
      <c r="S105" s="7"/>
      <c r="T105" s="7"/>
      <c r="U105" s="7"/>
      <c r="V105" s="7"/>
      <c r="W105" s="7"/>
      <c r="X105" s="7"/>
      <c r="Y105" s="7"/>
      <c r="Z105" s="7"/>
      <c r="AA105" s="8"/>
      <c r="AB105" s="9"/>
      <c r="AC105" s="8"/>
      <c r="AD105" s="8"/>
      <c r="AE105" s="423"/>
      <c r="AF105" s="426"/>
      <c r="AG105" s="426"/>
      <c r="AH105" s="426"/>
      <c r="AI105" s="426"/>
      <c r="AJ105" s="426"/>
      <c r="AK105" s="426"/>
      <c r="AL105" s="426"/>
      <c r="AM105" s="426"/>
      <c r="AN105" s="426"/>
      <c r="AO105" s="426"/>
      <c r="AP105" s="426"/>
      <c r="AQ105" s="426"/>
      <c r="AR105" s="426"/>
      <c r="AS105" s="426"/>
      <c r="AT105" s="426"/>
      <c r="AU105" s="426"/>
      <c r="AV105" s="426"/>
      <c r="AW105" s="426"/>
      <c r="AX105" s="426"/>
      <c r="AY105" s="426"/>
      <c r="AZ105" s="426"/>
      <c r="BA105" s="426"/>
      <c r="BB105" s="426"/>
    </row>
    <row r="106" spans="1:54" x14ac:dyDescent="0.3">
      <c r="A106" s="7"/>
      <c r="B106" s="7"/>
      <c r="C106"/>
      <c r="D106" s="7"/>
      <c r="E106" s="7"/>
      <c r="F106" s="7"/>
      <c r="G106" s="7"/>
      <c r="H106" s="7"/>
      <c r="I106" s="7"/>
      <c r="J106" s="7"/>
      <c r="K106" s="7"/>
      <c r="L106" s="7"/>
      <c r="M106" s="7"/>
      <c r="N106" s="7"/>
      <c r="O106" s="7"/>
      <c r="P106" s="7"/>
      <c r="Q106" s="7"/>
      <c r="R106" s="7"/>
      <c r="S106" s="7"/>
      <c r="T106" s="7"/>
      <c r="U106" s="7"/>
      <c r="V106" s="7"/>
      <c r="W106" s="7"/>
      <c r="X106" s="7"/>
      <c r="Y106" s="7"/>
      <c r="Z106" s="7"/>
      <c r="AA106" s="8"/>
      <c r="AB106" s="9"/>
      <c r="AC106" s="8"/>
      <c r="AD106" s="8"/>
      <c r="AE106" s="423"/>
      <c r="AF106" s="426"/>
      <c r="AG106" s="426"/>
      <c r="AH106" s="426"/>
      <c r="AI106" s="426"/>
      <c r="AJ106" s="426"/>
      <c r="AK106" s="426"/>
      <c r="AL106" s="426"/>
      <c r="AM106" s="426"/>
      <c r="AN106" s="426"/>
      <c r="AO106" s="426"/>
      <c r="AP106" s="426"/>
      <c r="AQ106" s="426"/>
      <c r="AR106" s="426"/>
      <c r="AS106" s="426"/>
      <c r="AT106" s="426"/>
      <c r="AU106" s="426"/>
      <c r="AV106" s="426"/>
      <c r="AW106" s="426"/>
      <c r="AX106" s="426"/>
      <c r="AY106" s="426"/>
      <c r="AZ106" s="426"/>
      <c r="BA106" s="426"/>
      <c r="BB106" s="426"/>
    </row>
    <row r="107" spans="1:54" x14ac:dyDescent="0.3">
      <c r="A107" s="7"/>
      <c r="B107" s="7"/>
      <c r="C107"/>
      <c r="D107" s="7"/>
      <c r="E107" s="7"/>
      <c r="F107" s="7"/>
      <c r="G107" s="7"/>
      <c r="H107" s="7"/>
      <c r="I107" s="7"/>
      <c r="J107" s="7"/>
      <c r="K107" s="7"/>
      <c r="L107" s="7"/>
      <c r="M107" s="7"/>
      <c r="N107" s="7"/>
      <c r="O107" s="7"/>
      <c r="P107" s="7"/>
      <c r="Q107" s="7"/>
      <c r="R107" s="7"/>
      <c r="S107" s="7"/>
      <c r="T107" s="7"/>
      <c r="U107" s="7"/>
      <c r="V107" s="7"/>
      <c r="W107" s="7"/>
      <c r="X107" s="7"/>
      <c r="Y107" s="7"/>
      <c r="Z107" s="7"/>
      <c r="AA107" s="8"/>
      <c r="AB107" s="9"/>
      <c r="AC107" s="8"/>
      <c r="AD107" s="8"/>
      <c r="AE107" s="423"/>
      <c r="AF107" s="426"/>
      <c r="AG107" s="426"/>
      <c r="AH107" s="426"/>
      <c r="AI107" s="426"/>
      <c r="AJ107" s="426"/>
      <c r="AK107" s="426"/>
      <c r="AL107" s="426"/>
      <c r="AM107" s="426"/>
      <c r="AN107" s="426"/>
      <c r="AO107" s="426"/>
      <c r="AP107" s="426"/>
      <c r="AQ107" s="426"/>
      <c r="AR107" s="426"/>
      <c r="AS107" s="426"/>
      <c r="AT107" s="426"/>
      <c r="AU107" s="426"/>
      <c r="AV107" s="426"/>
      <c r="AW107" s="426"/>
      <c r="AX107" s="426"/>
      <c r="AY107" s="426"/>
      <c r="AZ107" s="426"/>
      <c r="BA107" s="426"/>
      <c r="BB107" s="426"/>
    </row>
    <row r="108" spans="1:54" x14ac:dyDescent="0.3">
      <c r="A108" s="7"/>
      <c r="B108" s="7"/>
      <c r="C108"/>
      <c r="D108" s="7"/>
      <c r="E108" s="7"/>
      <c r="F108" s="7"/>
      <c r="G108" s="7"/>
      <c r="H108" s="7"/>
      <c r="I108" s="7"/>
      <c r="J108" s="7"/>
      <c r="K108" s="7"/>
      <c r="L108" s="7"/>
      <c r="M108" s="7"/>
      <c r="N108" s="7"/>
      <c r="O108" s="7"/>
      <c r="P108" s="7"/>
      <c r="Q108" s="7"/>
      <c r="R108" s="7"/>
      <c r="S108" s="7"/>
      <c r="T108" s="7"/>
      <c r="U108" s="7"/>
      <c r="V108" s="7"/>
      <c r="W108" s="7"/>
      <c r="X108" s="7"/>
      <c r="Y108" s="7"/>
      <c r="Z108" s="7"/>
      <c r="AA108" s="8"/>
      <c r="AB108" s="9"/>
      <c r="AC108" s="8"/>
      <c r="AD108" s="8"/>
      <c r="AE108" s="423"/>
      <c r="AF108" s="426"/>
      <c r="AG108" s="426"/>
      <c r="AH108" s="426"/>
      <c r="AI108" s="426"/>
      <c r="AJ108" s="426"/>
      <c r="AK108" s="426"/>
      <c r="AL108" s="426"/>
      <c r="AM108" s="426"/>
      <c r="AN108" s="426"/>
      <c r="AO108" s="426"/>
      <c r="AP108" s="426"/>
      <c r="AQ108" s="426"/>
      <c r="AR108" s="426"/>
      <c r="AS108" s="426"/>
      <c r="AT108" s="426"/>
      <c r="AU108" s="426"/>
      <c r="AV108" s="426"/>
      <c r="AW108" s="426"/>
      <c r="AX108" s="426"/>
      <c r="AY108" s="426"/>
      <c r="AZ108" s="426"/>
      <c r="BA108" s="426"/>
      <c r="BB108" s="426"/>
    </row>
    <row r="109" spans="1:54" x14ac:dyDescent="0.3">
      <c r="A109" s="7"/>
      <c r="B109" s="7"/>
      <c r="C109"/>
      <c r="D109" s="7"/>
      <c r="E109" s="7"/>
      <c r="F109" s="7"/>
      <c r="G109" s="7"/>
      <c r="H109" s="7"/>
      <c r="I109" s="7"/>
      <c r="J109" s="7"/>
      <c r="K109" s="7"/>
      <c r="L109" s="7"/>
      <c r="M109" s="7"/>
      <c r="N109" s="7"/>
      <c r="O109" s="7"/>
      <c r="P109" s="7"/>
      <c r="Q109" s="7"/>
      <c r="R109" s="7"/>
      <c r="S109" s="7"/>
      <c r="T109" s="7"/>
      <c r="U109" s="7"/>
      <c r="V109" s="7"/>
      <c r="W109" s="7"/>
      <c r="X109" s="7"/>
      <c r="Y109" s="7"/>
      <c r="Z109" s="7"/>
      <c r="AA109" s="8"/>
      <c r="AB109" s="9"/>
      <c r="AC109" s="8"/>
      <c r="AD109" s="8"/>
      <c r="AE109" s="423"/>
      <c r="AF109" s="426"/>
      <c r="AG109" s="426"/>
      <c r="AH109" s="426"/>
      <c r="AI109" s="426"/>
      <c r="AJ109" s="426"/>
      <c r="AK109" s="426"/>
      <c r="AL109" s="426"/>
      <c r="AM109" s="426"/>
      <c r="AN109" s="426"/>
      <c r="AO109" s="426"/>
      <c r="AP109" s="426"/>
      <c r="AQ109" s="426"/>
      <c r="AR109" s="426"/>
      <c r="AS109" s="426"/>
      <c r="AT109" s="426"/>
      <c r="AU109" s="426"/>
      <c r="AV109" s="426"/>
      <c r="AW109" s="426"/>
      <c r="AX109" s="426"/>
      <c r="AY109" s="426"/>
      <c r="AZ109" s="426"/>
      <c r="BA109" s="426"/>
      <c r="BB109" s="426"/>
    </row>
    <row r="110" spans="1:54" x14ac:dyDescent="0.3">
      <c r="A110" s="7"/>
      <c r="B110" s="7"/>
      <c r="C110"/>
      <c r="D110" s="7"/>
      <c r="E110" s="7"/>
      <c r="F110" s="7"/>
      <c r="G110" s="7"/>
      <c r="H110" s="7"/>
      <c r="I110" s="7"/>
      <c r="J110" s="7"/>
      <c r="K110" s="7"/>
      <c r="L110" s="7"/>
      <c r="M110" s="7"/>
      <c r="N110" s="7"/>
      <c r="O110" s="7"/>
      <c r="P110" s="7"/>
      <c r="Q110" s="7"/>
      <c r="R110" s="7"/>
      <c r="S110" s="7"/>
      <c r="T110" s="7"/>
      <c r="U110" s="7"/>
      <c r="V110" s="7"/>
      <c r="W110" s="7"/>
      <c r="X110" s="7"/>
      <c r="Y110" s="7"/>
      <c r="Z110" s="7"/>
      <c r="AA110" s="8"/>
      <c r="AB110" s="9"/>
      <c r="AC110" s="8"/>
      <c r="AD110" s="8"/>
      <c r="AE110" s="423"/>
      <c r="AF110" s="426"/>
      <c r="AG110" s="426"/>
      <c r="AH110" s="426"/>
      <c r="AI110" s="426"/>
      <c r="AJ110" s="426"/>
      <c r="AK110" s="426"/>
      <c r="AL110" s="426"/>
      <c r="AM110" s="426"/>
      <c r="AN110" s="426"/>
      <c r="AO110" s="426"/>
      <c r="AP110" s="426"/>
      <c r="AQ110" s="426"/>
      <c r="AR110" s="426"/>
      <c r="AS110" s="426"/>
      <c r="AT110" s="426"/>
      <c r="AU110" s="426"/>
      <c r="AV110" s="426"/>
      <c r="AW110" s="426"/>
      <c r="AX110" s="426"/>
      <c r="AY110" s="426"/>
      <c r="AZ110" s="426"/>
      <c r="BA110" s="426"/>
      <c r="BB110" s="426"/>
    </row>
    <row r="111" spans="1:54" x14ac:dyDescent="0.3">
      <c r="A111" s="7"/>
      <c r="B111" s="7"/>
      <c r="C111"/>
      <c r="D111" s="7"/>
      <c r="E111" s="7"/>
      <c r="F111" s="7"/>
      <c r="G111" s="7"/>
      <c r="H111" s="7"/>
      <c r="I111" s="7"/>
      <c r="J111" s="7"/>
      <c r="K111" s="7"/>
      <c r="L111" s="7"/>
      <c r="M111" s="7"/>
      <c r="N111" s="7"/>
      <c r="O111" s="7"/>
      <c r="P111" s="7"/>
      <c r="Q111" s="7"/>
      <c r="R111" s="7"/>
      <c r="S111" s="7"/>
      <c r="T111" s="7"/>
      <c r="U111" s="7"/>
      <c r="V111" s="7"/>
      <c r="W111" s="7"/>
      <c r="X111" s="7"/>
      <c r="Y111" s="7"/>
      <c r="Z111" s="7"/>
      <c r="AA111" s="8"/>
      <c r="AB111" s="9"/>
      <c r="AC111" s="8"/>
      <c r="AD111" s="8"/>
      <c r="AE111" s="423"/>
      <c r="AF111" s="426"/>
      <c r="AG111" s="426"/>
      <c r="AH111" s="426"/>
      <c r="AI111" s="426"/>
      <c r="AJ111" s="426"/>
      <c r="AK111" s="426"/>
      <c r="AL111" s="426"/>
      <c r="AM111" s="426"/>
      <c r="AN111" s="426"/>
      <c r="AO111" s="426"/>
      <c r="AP111" s="426"/>
      <c r="AQ111" s="426"/>
      <c r="AR111" s="426"/>
      <c r="AS111" s="426"/>
      <c r="AT111" s="426"/>
      <c r="AU111" s="426"/>
      <c r="AV111" s="426"/>
      <c r="AW111" s="426"/>
      <c r="AX111" s="426"/>
      <c r="AY111" s="426"/>
      <c r="AZ111" s="426"/>
      <c r="BA111" s="426"/>
      <c r="BB111" s="426"/>
    </row>
    <row r="112" spans="1:54" x14ac:dyDescent="0.3">
      <c r="A112" s="7"/>
      <c r="B112" s="7"/>
      <c r="C112"/>
      <c r="D112" s="7"/>
      <c r="E112" s="7"/>
      <c r="F112" s="7"/>
      <c r="G112" s="7"/>
      <c r="H112" s="7"/>
      <c r="I112" s="7"/>
      <c r="J112" s="7"/>
      <c r="K112" s="7"/>
      <c r="L112" s="7"/>
      <c r="M112" s="7"/>
      <c r="N112" s="7"/>
      <c r="O112" s="7"/>
      <c r="P112" s="7"/>
      <c r="Q112" s="7"/>
      <c r="R112" s="7"/>
      <c r="S112" s="7"/>
      <c r="T112" s="7"/>
      <c r="U112" s="7"/>
      <c r="V112" s="7"/>
      <c r="W112" s="7"/>
      <c r="X112" s="7"/>
      <c r="Y112" s="7"/>
      <c r="Z112" s="7"/>
      <c r="AA112" s="8"/>
      <c r="AB112" s="9"/>
      <c r="AC112" s="8"/>
      <c r="AD112" s="8"/>
      <c r="AE112" s="423"/>
      <c r="AF112" s="426"/>
      <c r="AG112" s="426"/>
      <c r="AH112" s="426"/>
      <c r="AI112" s="426"/>
      <c r="AJ112" s="426"/>
      <c r="AK112" s="426"/>
      <c r="AL112" s="426"/>
      <c r="AM112" s="426"/>
      <c r="AN112" s="426"/>
      <c r="AO112" s="426"/>
      <c r="AP112" s="426"/>
      <c r="AQ112" s="426"/>
      <c r="AR112" s="426"/>
      <c r="AS112" s="426"/>
      <c r="AT112" s="426"/>
      <c r="AU112" s="426"/>
      <c r="AV112" s="426"/>
      <c r="AW112" s="426"/>
      <c r="AX112" s="426"/>
      <c r="AY112" s="426"/>
      <c r="AZ112" s="426"/>
      <c r="BA112" s="426"/>
      <c r="BB112" s="426"/>
    </row>
    <row r="113" spans="1:54 14699:14699" x14ac:dyDescent="0.3">
      <c r="A113" s="7"/>
      <c r="B113" s="7"/>
      <c r="C113"/>
      <c r="D113" s="7"/>
      <c r="E113" s="7"/>
      <c r="F113" s="7"/>
      <c r="G113" s="7"/>
      <c r="H113" s="7"/>
      <c r="I113" s="7"/>
      <c r="J113" s="7"/>
      <c r="K113" s="7"/>
      <c r="L113" s="7"/>
      <c r="M113" s="7"/>
      <c r="N113" s="7"/>
      <c r="O113" s="7"/>
      <c r="P113" s="7"/>
      <c r="Q113" s="7"/>
      <c r="R113" s="7"/>
      <c r="S113" s="7"/>
      <c r="T113" s="7"/>
      <c r="U113" s="7"/>
      <c r="V113" s="7"/>
      <c r="W113" s="7"/>
      <c r="X113" s="7"/>
      <c r="Y113" s="7"/>
      <c r="Z113" s="7"/>
      <c r="AA113" s="8"/>
      <c r="AB113" s="9"/>
      <c r="AC113" s="8"/>
      <c r="AD113" s="8"/>
      <c r="AE113" s="423"/>
      <c r="AF113" s="426"/>
      <c r="AG113" s="426"/>
      <c r="AH113" s="426"/>
      <c r="AI113" s="426"/>
      <c r="AJ113" s="426"/>
      <c r="AK113" s="426"/>
      <c r="AL113" s="426"/>
      <c r="AM113" s="426"/>
      <c r="AN113" s="426"/>
      <c r="AO113" s="426"/>
      <c r="AP113" s="426"/>
      <c r="AQ113" s="426"/>
      <c r="AR113" s="426"/>
      <c r="AS113" s="426"/>
      <c r="AT113" s="426"/>
      <c r="AU113" s="426"/>
      <c r="AV113" s="426"/>
      <c r="AW113" s="426"/>
      <c r="AX113" s="426"/>
      <c r="AY113" s="426"/>
      <c r="AZ113" s="426"/>
      <c r="BA113" s="426"/>
      <c r="BB113" s="426"/>
    </row>
    <row r="114" spans="1:54 14699:14699" x14ac:dyDescent="0.3">
      <c r="A114" s="7"/>
      <c r="B114" s="7"/>
      <c r="C114"/>
      <c r="D114"/>
      <c r="E114"/>
      <c r="F114"/>
      <c r="G114"/>
      <c r="H114"/>
      <c r="I114"/>
      <c r="J114"/>
      <c r="K114"/>
      <c r="L114"/>
      <c r="M114"/>
      <c r="N114"/>
      <c r="O114"/>
      <c r="P114"/>
      <c r="Q114"/>
      <c r="R114"/>
      <c r="S114"/>
      <c r="T114"/>
      <c r="U114"/>
      <c r="V114"/>
      <c r="W114"/>
      <c r="X114"/>
      <c r="Y114"/>
      <c r="Z114"/>
      <c r="AA114" s="8"/>
      <c r="AB114" s="9"/>
      <c r="AC114" s="8"/>
      <c r="AD114" s="8"/>
      <c r="AE114" s="423"/>
      <c r="AV114" s="426"/>
      <c r="AW114" s="426"/>
    </row>
    <row r="115" spans="1:54 14699:14699" x14ac:dyDescent="0.3">
      <c r="A115" s="7"/>
      <c r="B115" s="7"/>
      <c r="C115"/>
      <c r="D115"/>
      <c r="E115"/>
      <c r="F115"/>
      <c r="G115"/>
      <c r="H115"/>
      <c r="I115"/>
      <c r="J115"/>
      <c r="K115"/>
      <c r="L115"/>
      <c r="M115"/>
      <c r="N115"/>
      <c r="O115"/>
      <c r="P115"/>
      <c r="Q115"/>
      <c r="R115"/>
      <c r="S115"/>
      <c r="T115"/>
      <c r="U115"/>
      <c r="V115"/>
      <c r="W115"/>
      <c r="X115"/>
      <c r="Y115"/>
      <c r="Z115"/>
      <c r="AA115" s="8"/>
      <c r="AB115" s="9"/>
      <c r="AC115" s="8"/>
      <c r="AD115" s="8"/>
      <c r="AE115" s="423"/>
      <c r="AV115" s="426"/>
      <c r="AW115" s="426"/>
    </row>
    <row r="116" spans="1:54 14699:14699" x14ac:dyDescent="0.3">
      <c r="A116" s="7"/>
      <c r="B116" s="7"/>
      <c r="C116"/>
      <c r="D116"/>
      <c r="E116"/>
      <c r="F116"/>
      <c r="G116"/>
      <c r="H116"/>
      <c r="I116"/>
      <c r="J116"/>
      <c r="K116"/>
      <c r="L116"/>
      <c r="M116"/>
      <c r="N116"/>
      <c r="O116"/>
      <c r="P116"/>
      <c r="Q116"/>
      <c r="R116"/>
      <c r="S116"/>
      <c r="T116"/>
      <c r="U116"/>
      <c r="V116"/>
      <c r="W116"/>
      <c r="X116"/>
      <c r="Y116"/>
      <c r="Z116"/>
      <c r="AA116" s="8"/>
      <c r="AB116" s="9"/>
      <c r="AC116" s="8"/>
      <c r="AD116" s="8"/>
      <c r="AE116" s="423"/>
      <c r="AV116" s="426"/>
      <c r="AW116" s="426"/>
    </row>
    <row r="117" spans="1:54 14699:14699" x14ac:dyDescent="0.3">
      <c r="A117" s="7"/>
      <c r="B117" s="7"/>
      <c r="C117"/>
      <c r="D117"/>
      <c r="E117"/>
      <c r="F117"/>
      <c r="G117"/>
      <c r="H117"/>
      <c r="I117"/>
      <c r="J117"/>
      <c r="K117"/>
      <c r="L117"/>
      <c r="M117"/>
      <c r="N117"/>
      <c r="O117"/>
      <c r="P117"/>
      <c r="Q117"/>
      <c r="R117"/>
      <c r="S117"/>
      <c r="T117"/>
      <c r="U117"/>
      <c r="V117"/>
      <c r="W117"/>
      <c r="X117"/>
      <c r="Y117"/>
      <c r="Z117"/>
      <c r="AA117" s="8"/>
      <c r="AB117" s="9"/>
      <c r="AC117" s="8"/>
      <c r="AD117" s="8"/>
      <c r="AE117" s="423"/>
    </row>
    <row r="118" spans="1:54 14699:14699" x14ac:dyDescent="0.3">
      <c r="A118" s="7"/>
      <c r="B118" s="7"/>
      <c r="C118"/>
      <c r="D118"/>
      <c r="E118"/>
      <c r="F118"/>
      <c r="G118"/>
      <c r="H118"/>
      <c r="I118"/>
      <c r="J118"/>
      <c r="K118"/>
      <c r="L118"/>
      <c r="M118"/>
      <c r="N118"/>
      <c r="O118"/>
      <c r="P118"/>
      <c r="Q118"/>
      <c r="R118"/>
      <c r="S118"/>
      <c r="T118"/>
      <c r="U118"/>
      <c r="V118"/>
      <c r="W118"/>
      <c r="X118"/>
      <c r="Y118"/>
      <c r="Z118"/>
      <c r="AA118" s="8"/>
      <c r="AB118" s="9"/>
      <c r="AC118" s="8"/>
      <c r="AD118" s="8"/>
      <c r="AE118" s="423"/>
    </row>
    <row r="119" spans="1:54 14699:14699" x14ac:dyDescent="0.3">
      <c r="A119" s="7"/>
      <c r="B119" s="7"/>
      <c r="C119"/>
      <c r="D119"/>
      <c r="E119"/>
      <c r="F119"/>
      <c r="G119"/>
      <c r="H119"/>
      <c r="I119"/>
      <c r="J119"/>
      <c r="K119"/>
      <c r="L119"/>
      <c r="M119"/>
      <c r="N119"/>
      <c r="O119"/>
      <c r="P119"/>
      <c r="Q119"/>
      <c r="R119"/>
      <c r="S119"/>
      <c r="T119"/>
      <c r="U119"/>
      <c r="V119"/>
      <c r="W119"/>
      <c r="X119"/>
      <c r="Y119"/>
      <c r="Z119"/>
      <c r="AA119" s="8"/>
      <c r="AB119" s="9"/>
      <c r="AC119" s="8"/>
      <c r="AD119" s="8"/>
      <c r="AE119" s="423"/>
    </row>
    <row r="120" spans="1:54 14699:14699" x14ac:dyDescent="0.3">
      <c r="A120" s="7"/>
      <c r="B120" s="7"/>
      <c r="C120"/>
      <c r="D120"/>
      <c r="E120"/>
      <c r="F120"/>
      <c r="G120"/>
      <c r="H120"/>
      <c r="I120"/>
      <c r="J120"/>
      <c r="K120"/>
      <c r="L120"/>
      <c r="M120"/>
      <c r="N120"/>
      <c r="O120"/>
      <c r="P120"/>
      <c r="Q120"/>
      <c r="R120"/>
      <c r="S120"/>
      <c r="T120"/>
      <c r="U120"/>
      <c r="V120"/>
      <c r="W120"/>
      <c r="X120"/>
      <c r="Y120"/>
      <c r="Z120"/>
      <c r="AA120" s="8"/>
      <c r="AB120" s="9"/>
      <c r="AC120" s="8"/>
      <c r="AD120" s="8"/>
      <c r="AE120" s="423"/>
    </row>
    <row r="121" spans="1:54 14699:14699" x14ac:dyDescent="0.3">
      <c r="A121" s="7"/>
      <c r="B121" s="7"/>
      <c r="C121"/>
      <c r="D121"/>
      <c r="E121"/>
      <c r="F121"/>
      <c r="G121"/>
      <c r="H121"/>
      <c r="I121"/>
      <c r="J121"/>
      <c r="K121"/>
      <c r="L121"/>
      <c r="M121"/>
      <c r="N121"/>
      <c r="O121"/>
      <c r="P121"/>
      <c r="Q121"/>
      <c r="R121"/>
      <c r="S121"/>
      <c r="T121"/>
      <c r="U121"/>
      <c r="V121"/>
      <c r="W121"/>
      <c r="X121"/>
      <c r="Y121"/>
      <c r="Z121"/>
      <c r="AA121" s="8"/>
      <c r="AB121" s="9"/>
      <c r="AC121" s="8"/>
      <c r="AD121" s="8"/>
      <c r="AE121" s="423"/>
    </row>
    <row r="122" spans="1:54 14699:14699" x14ac:dyDescent="0.3">
      <c r="A122" s="7"/>
      <c r="B122" s="7"/>
      <c r="C122"/>
      <c r="D122"/>
      <c r="E122"/>
      <c r="F122"/>
      <c r="G122"/>
      <c r="H122"/>
      <c r="I122"/>
      <c r="J122"/>
      <c r="K122"/>
      <c r="L122"/>
      <c r="M122"/>
      <c r="N122"/>
      <c r="O122"/>
      <c r="P122"/>
      <c r="Q122"/>
      <c r="R122"/>
      <c r="S122"/>
      <c r="T122"/>
      <c r="U122"/>
      <c r="V122"/>
      <c r="W122"/>
      <c r="X122"/>
      <c r="Y122"/>
      <c r="Z122"/>
      <c r="AA122" s="8"/>
      <c r="AB122" s="9"/>
      <c r="AC122" s="8"/>
      <c r="AD122" s="8"/>
      <c r="AE122" s="423"/>
    </row>
    <row r="123" spans="1:54 14699:14699" x14ac:dyDescent="0.3">
      <c r="A123" s="7"/>
      <c r="B123" s="7"/>
      <c r="C123"/>
      <c r="D123"/>
      <c r="E123"/>
      <c r="F123"/>
      <c r="G123"/>
      <c r="H123"/>
      <c r="I123"/>
      <c r="J123"/>
      <c r="K123"/>
      <c r="L123"/>
      <c r="M123"/>
      <c r="N123"/>
      <c r="O123"/>
      <c r="P123"/>
      <c r="Q123"/>
      <c r="R123"/>
      <c r="S123"/>
      <c r="T123"/>
      <c r="U123"/>
      <c r="V123"/>
      <c r="W123"/>
      <c r="X123"/>
      <c r="Y123"/>
      <c r="Z123"/>
      <c r="AA123" s="8"/>
      <c r="AB123" s="9"/>
      <c r="AC123" s="8"/>
      <c r="AD123" s="8"/>
      <c r="AE123" s="423"/>
    </row>
    <row r="124" spans="1:54 14699:14699" x14ac:dyDescent="0.3">
      <c r="A124" s="7"/>
      <c r="B124" s="7"/>
      <c r="C124"/>
      <c r="D124"/>
      <c r="E124"/>
      <c r="F124"/>
      <c r="G124"/>
      <c r="H124"/>
      <c r="I124"/>
      <c r="J124"/>
      <c r="K124"/>
      <c r="L124"/>
      <c r="M124"/>
      <c r="N124"/>
      <c r="O124"/>
      <c r="P124"/>
      <c r="Q124"/>
      <c r="R124"/>
      <c r="S124"/>
      <c r="T124"/>
      <c r="U124"/>
      <c r="V124"/>
      <c r="W124"/>
      <c r="X124"/>
      <c r="Y124"/>
      <c r="Z124"/>
      <c r="AA124" s="8"/>
      <c r="AB124" s="9"/>
      <c r="AC124" s="8"/>
      <c r="AD124" s="8"/>
      <c r="AE124" s="423"/>
    </row>
    <row r="125" spans="1:54 14699:14699" x14ac:dyDescent="0.3">
      <c r="A125" s="7"/>
      <c r="B125" s="7"/>
      <c r="C125"/>
      <c r="D125"/>
      <c r="E125"/>
      <c r="F125"/>
      <c r="G125"/>
      <c r="H125"/>
      <c r="I125"/>
      <c r="J125"/>
      <c r="K125"/>
      <c r="L125"/>
      <c r="M125"/>
      <c r="N125"/>
      <c r="O125"/>
      <c r="P125"/>
      <c r="Q125"/>
      <c r="R125"/>
      <c r="S125"/>
      <c r="T125"/>
      <c r="U125"/>
      <c r="V125"/>
      <c r="W125"/>
      <c r="X125"/>
      <c r="Y125"/>
      <c r="Z125"/>
      <c r="AA125" s="8"/>
      <c r="AB125" s="9"/>
      <c r="AC125" s="8"/>
      <c r="AD125" s="8"/>
      <c r="AE125" s="423"/>
    </row>
    <row r="126" spans="1:54 14699:14699" x14ac:dyDescent="0.3">
      <c r="A126" s="7"/>
      <c r="B126" s="7"/>
      <c r="C126"/>
      <c r="D126"/>
      <c r="E126"/>
      <c r="F126"/>
      <c r="G126"/>
      <c r="H126"/>
      <c r="I126"/>
      <c r="J126"/>
      <c r="K126"/>
      <c r="L126"/>
      <c r="M126"/>
      <c r="N126"/>
      <c r="O126"/>
      <c r="P126"/>
      <c r="Q126"/>
      <c r="R126"/>
      <c r="S126"/>
      <c r="T126"/>
      <c r="U126"/>
      <c r="V126"/>
      <c r="W126"/>
      <c r="X126"/>
      <c r="Y126"/>
      <c r="Z126"/>
      <c r="AA126" s="8"/>
      <c r="AB126" s="9"/>
      <c r="AC126" s="8"/>
      <c r="AD126" s="8"/>
      <c r="AE126" s="423"/>
    </row>
    <row r="127" spans="1:54 14699:14699" x14ac:dyDescent="0.3">
      <c r="A127" s="7"/>
      <c r="B127" s="7"/>
      <c r="C127"/>
      <c r="D127"/>
      <c r="E127"/>
      <c r="F127"/>
      <c r="G127"/>
      <c r="H127"/>
      <c r="I127"/>
      <c r="J127"/>
      <c r="K127"/>
      <c r="L127"/>
      <c r="M127"/>
      <c r="N127"/>
      <c r="O127"/>
      <c r="P127"/>
      <c r="Q127"/>
      <c r="R127"/>
      <c r="S127"/>
      <c r="T127"/>
      <c r="U127"/>
      <c r="V127"/>
      <c r="W127"/>
      <c r="X127"/>
      <c r="Y127"/>
      <c r="Z127"/>
      <c r="AA127" s="8"/>
      <c r="AB127" s="9"/>
      <c r="AC127" s="8"/>
      <c r="AD127" s="8"/>
      <c r="AE127" s="423"/>
      <c r="USI127" s="426" t="s">
        <v>126</v>
      </c>
    </row>
    <row r="128" spans="1:54 14699:14699" x14ac:dyDescent="0.3">
      <c r="A128" s="7"/>
      <c r="B128" s="7"/>
      <c r="C128"/>
      <c r="D128"/>
      <c r="E128"/>
      <c r="F128"/>
      <c r="G128"/>
      <c r="H128"/>
      <c r="I128"/>
      <c r="J128"/>
      <c r="K128"/>
      <c r="L128"/>
      <c r="M128"/>
      <c r="N128"/>
      <c r="O128"/>
      <c r="P128"/>
      <c r="Q128"/>
      <c r="R128"/>
      <c r="S128"/>
      <c r="T128"/>
      <c r="U128"/>
      <c r="V128"/>
      <c r="W128"/>
      <c r="X128"/>
      <c r="Y128"/>
      <c r="Z128"/>
      <c r="AA128" s="8"/>
      <c r="AB128" s="9"/>
      <c r="AC128" s="8"/>
      <c r="AD128" s="8"/>
      <c r="AE128" s="423"/>
    </row>
    <row r="129" spans="1:31 2941:2941" x14ac:dyDescent="0.3">
      <c r="A129" s="7"/>
      <c r="B129" s="7"/>
      <c r="C129"/>
      <c r="D129"/>
      <c r="E129"/>
      <c r="F129"/>
      <c r="G129"/>
      <c r="H129"/>
      <c r="I129"/>
      <c r="J129"/>
      <c r="K129"/>
      <c r="L129"/>
      <c r="M129"/>
      <c r="N129"/>
      <c r="O129"/>
      <c r="P129"/>
      <c r="Q129"/>
      <c r="R129"/>
      <c r="S129"/>
      <c r="T129"/>
      <c r="U129"/>
      <c r="V129"/>
      <c r="W129"/>
      <c r="X129"/>
      <c r="Y129"/>
      <c r="Z129"/>
      <c r="AA129" s="8"/>
      <c r="AB129" s="9"/>
      <c r="AC129" s="8"/>
      <c r="AD129" s="8"/>
      <c r="AE129" s="423"/>
      <c r="DIC129" s="426" t="s">
        <v>16</v>
      </c>
    </row>
    <row r="130" spans="1:31 2941:2941" x14ac:dyDescent="0.3">
      <c r="A130" s="7"/>
      <c r="B130" s="7"/>
      <c r="C130"/>
      <c r="D130"/>
      <c r="E130"/>
      <c r="F130"/>
      <c r="G130"/>
      <c r="H130"/>
      <c r="I130"/>
      <c r="J130"/>
      <c r="K130"/>
      <c r="L130"/>
      <c r="M130"/>
      <c r="N130"/>
      <c r="O130"/>
      <c r="P130"/>
      <c r="Q130"/>
      <c r="R130"/>
      <c r="S130"/>
      <c r="T130"/>
      <c r="U130"/>
      <c r="V130"/>
      <c r="W130"/>
      <c r="X130"/>
      <c r="Y130"/>
      <c r="Z130"/>
      <c r="AA130" s="8"/>
      <c r="AB130" s="9"/>
      <c r="AC130" s="8"/>
      <c r="AD130" s="8"/>
      <c r="AE130" s="423"/>
    </row>
    <row r="131" spans="1:31 2941:2941" x14ac:dyDescent="0.3">
      <c r="A131" s="7"/>
      <c r="B131" s="7"/>
      <c r="C131"/>
      <c r="D131"/>
      <c r="E131"/>
      <c r="F131"/>
      <c r="G131"/>
      <c r="H131"/>
      <c r="I131"/>
      <c r="J131"/>
      <c r="K131"/>
      <c r="L131"/>
      <c r="M131"/>
      <c r="N131"/>
      <c r="O131"/>
      <c r="P131"/>
      <c r="Q131"/>
      <c r="R131"/>
      <c r="S131"/>
      <c r="T131"/>
      <c r="U131"/>
      <c r="V131"/>
      <c r="W131"/>
      <c r="X131"/>
      <c r="Y131"/>
      <c r="Z131"/>
      <c r="AA131" s="8"/>
      <c r="AB131" s="9"/>
      <c r="AC131" s="8"/>
      <c r="AD131" s="8"/>
      <c r="AE131" s="423"/>
    </row>
    <row r="132" spans="1:31 2941:2941" x14ac:dyDescent="0.3">
      <c r="A132" s="7"/>
      <c r="B132" s="7"/>
      <c r="C132"/>
      <c r="D132"/>
      <c r="E132"/>
      <c r="F132"/>
      <c r="G132"/>
      <c r="H132"/>
      <c r="I132"/>
      <c r="J132"/>
      <c r="K132"/>
      <c r="L132"/>
      <c r="M132"/>
      <c r="N132"/>
      <c r="O132"/>
      <c r="P132"/>
      <c r="Q132"/>
      <c r="R132"/>
      <c r="S132"/>
      <c r="T132"/>
      <c r="U132"/>
      <c r="V132"/>
      <c r="W132"/>
      <c r="X132"/>
      <c r="Y132"/>
      <c r="Z132"/>
      <c r="AA132" s="8"/>
      <c r="AB132" s="9"/>
      <c r="AC132" s="8"/>
      <c r="AD132" s="8"/>
      <c r="AE132" s="423"/>
    </row>
    <row r="133" spans="1:31 2941:2941" x14ac:dyDescent="0.3">
      <c r="A133" s="7"/>
      <c r="B133" s="7"/>
      <c r="C133"/>
      <c r="D133"/>
      <c r="E133"/>
      <c r="F133"/>
      <c r="G133"/>
      <c r="H133"/>
      <c r="I133"/>
      <c r="J133"/>
      <c r="K133"/>
      <c r="L133"/>
      <c r="M133"/>
      <c r="N133"/>
      <c r="O133"/>
      <c r="P133"/>
      <c r="Q133"/>
      <c r="R133"/>
      <c r="S133"/>
      <c r="T133"/>
      <c r="U133"/>
      <c r="V133"/>
      <c r="W133"/>
      <c r="X133"/>
      <c r="Y133"/>
      <c r="Z133"/>
      <c r="AA133" s="8"/>
      <c r="AB133" s="9"/>
      <c r="AC133" s="8"/>
      <c r="AD133" s="8"/>
      <c r="AE133" s="423"/>
    </row>
    <row r="134" spans="1:31 2941:2941" x14ac:dyDescent="0.3">
      <c r="A134" s="7"/>
      <c r="B134" s="7"/>
      <c r="C134"/>
      <c r="D134"/>
      <c r="E134"/>
      <c r="F134"/>
      <c r="G134"/>
      <c r="H134"/>
      <c r="I134"/>
      <c r="J134"/>
      <c r="K134"/>
      <c r="L134"/>
      <c r="M134"/>
      <c r="N134"/>
      <c r="O134"/>
      <c r="P134"/>
      <c r="Q134"/>
      <c r="R134"/>
      <c r="S134"/>
      <c r="T134"/>
      <c r="U134"/>
      <c r="V134"/>
      <c r="W134"/>
      <c r="X134"/>
      <c r="Y134"/>
      <c r="Z134"/>
      <c r="AA134" s="8"/>
      <c r="AB134" s="9"/>
      <c r="AC134" s="8"/>
      <c r="AD134" s="8"/>
      <c r="AE134" s="423"/>
    </row>
    <row r="135" spans="1:31 2941:2941" x14ac:dyDescent="0.3">
      <c r="A135" s="7"/>
      <c r="B135" s="7"/>
      <c r="C135"/>
      <c r="D135"/>
      <c r="E135"/>
      <c r="F135"/>
      <c r="G135"/>
      <c r="H135"/>
      <c r="I135"/>
      <c r="J135"/>
      <c r="K135"/>
      <c r="L135"/>
      <c r="M135"/>
      <c r="N135"/>
      <c r="O135"/>
      <c r="P135"/>
      <c r="Q135"/>
      <c r="R135"/>
      <c r="S135"/>
      <c r="T135"/>
      <c r="U135"/>
      <c r="V135"/>
      <c r="W135"/>
      <c r="X135"/>
      <c r="Y135"/>
      <c r="Z135"/>
      <c r="AA135" s="8"/>
      <c r="AB135" s="9"/>
      <c r="AC135" s="8"/>
      <c r="AD135" s="8"/>
      <c r="AE135" s="423"/>
    </row>
    <row r="136" spans="1:31 2941:2941" x14ac:dyDescent="0.3">
      <c r="A136" s="7"/>
      <c r="B136" s="7"/>
      <c r="C136"/>
      <c r="D136"/>
      <c r="E136"/>
      <c r="F136"/>
      <c r="G136"/>
      <c r="H136"/>
      <c r="I136"/>
      <c r="J136"/>
      <c r="K136"/>
      <c r="L136"/>
      <c r="M136"/>
      <c r="N136"/>
      <c r="O136"/>
      <c r="P136"/>
      <c r="Q136"/>
      <c r="R136"/>
      <c r="S136"/>
      <c r="T136"/>
      <c r="U136"/>
      <c r="V136"/>
      <c r="W136"/>
      <c r="X136"/>
      <c r="Y136"/>
      <c r="Z136"/>
      <c r="AA136" s="8"/>
      <c r="AB136" s="9"/>
      <c r="AC136" s="8"/>
      <c r="AD136" s="8"/>
      <c r="AE136" s="423"/>
    </row>
    <row r="137" spans="1:31 2941:2941" x14ac:dyDescent="0.3">
      <c r="A137" s="7"/>
      <c r="B137" s="7"/>
      <c r="C137"/>
      <c r="D137"/>
      <c r="E137"/>
      <c r="F137"/>
      <c r="G137"/>
      <c r="H137"/>
      <c r="I137"/>
      <c r="J137"/>
      <c r="K137"/>
      <c r="L137"/>
      <c r="M137"/>
      <c r="N137"/>
      <c r="O137"/>
      <c r="P137"/>
      <c r="Q137"/>
      <c r="R137"/>
      <c r="S137"/>
      <c r="T137"/>
      <c r="U137"/>
      <c r="V137"/>
      <c r="W137"/>
      <c r="X137"/>
      <c r="Y137"/>
      <c r="Z137"/>
      <c r="AA137" s="8"/>
      <c r="AB137" s="9"/>
      <c r="AC137" s="8"/>
      <c r="AD137" s="8"/>
      <c r="AE137" s="423"/>
    </row>
    <row r="138" spans="1:31 2941:2941" x14ac:dyDescent="0.3">
      <c r="A138" s="7"/>
      <c r="B138" s="7"/>
      <c r="C138"/>
      <c r="D138"/>
      <c r="E138"/>
      <c r="F138"/>
      <c r="G138"/>
      <c r="H138"/>
      <c r="I138"/>
      <c r="J138"/>
      <c r="K138"/>
      <c r="L138"/>
      <c r="M138"/>
      <c r="N138"/>
      <c r="O138"/>
      <c r="P138"/>
      <c r="Q138"/>
      <c r="R138"/>
      <c r="S138"/>
      <c r="T138"/>
      <c r="U138"/>
      <c r="V138"/>
      <c r="W138"/>
      <c r="X138"/>
      <c r="Y138"/>
      <c r="Z138"/>
      <c r="AA138" s="8"/>
      <c r="AB138" s="9"/>
      <c r="AC138" s="8"/>
      <c r="AD138" s="8"/>
      <c r="AE138" s="423"/>
    </row>
    <row r="139" spans="1:31 2941:2941" x14ac:dyDescent="0.3">
      <c r="A139" s="7"/>
      <c r="B139" s="7"/>
      <c r="C139"/>
      <c r="D139"/>
      <c r="E139"/>
      <c r="F139"/>
      <c r="G139"/>
      <c r="H139"/>
      <c r="I139"/>
      <c r="J139"/>
      <c r="K139"/>
      <c r="L139"/>
      <c r="M139"/>
      <c r="N139"/>
      <c r="O139"/>
      <c r="P139"/>
      <c r="Q139"/>
      <c r="R139"/>
      <c r="S139"/>
      <c r="T139"/>
      <c r="U139"/>
      <c r="V139"/>
      <c r="W139"/>
      <c r="X139"/>
      <c r="Y139"/>
      <c r="Z139"/>
      <c r="AA139" s="8"/>
      <c r="AB139" s="9"/>
      <c r="AC139" s="8"/>
      <c r="AD139" s="8"/>
      <c r="AE139" s="423"/>
    </row>
    <row r="140" spans="1:31 2941:2941" x14ac:dyDescent="0.3">
      <c r="A140" s="7"/>
      <c r="B140" s="7"/>
      <c r="C140"/>
      <c r="D140"/>
      <c r="E140"/>
      <c r="F140"/>
      <c r="G140"/>
      <c r="H140"/>
      <c r="I140"/>
      <c r="J140"/>
      <c r="K140"/>
      <c r="L140"/>
      <c r="M140"/>
      <c r="N140"/>
      <c r="O140"/>
      <c r="P140"/>
      <c r="Q140"/>
      <c r="R140"/>
      <c r="S140"/>
      <c r="T140"/>
      <c r="U140"/>
      <c r="V140"/>
      <c r="W140"/>
      <c r="X140"/>
      <c r="Y140"/>
      <c r="Z140"/>
      <c r="AA140" s="8"/>
      <c r="AB140" s="9"/>
      <c r="AC140" s="8"/>
      <c r="AD140" s="8"/>
      <c r="AE140" s="423"/>
    </row>
    <row r="141" spans="1:31 2941:2941" x14ac:dyDescent="0.3">
      <c r="A141" s="7"/>
      <c r="B141" s="7"/>
      <c r="C141"/>
      <c r="D141"/>
      <c r="E141"/>
      <c r="F141"/>
      <c r="G141"/>
      <c r="H141"/>
      <c r="I141"/>
      <c r="J141"/>
      <c r="K141"/>
      <c r="L141"/>
      <c r="M141"/>
      <c r="N141"/>
      <c r="O141"/>
      <c r="P141"/>
      <c r="Q141"/>
      <c r="R141"/>
      <c r="S141"/>
      <c r="T141"/>
      <c r="U141"/>
      <c r="V141"/>
      <c r="W141"/>
      <c r="X141"/>
      <c r="Y141"/>
      <c r="Z141"/>
      <c r="AA141" s="8"/>
      <c r="AB141" s="9"/>
      <c r="AC141" s="8"/>
      <c r="AD141" s="8"/>
      <c r="AE141" s="423"/>
    </row>
    <row r="142" spans="1:31 2941:2941" x14ac:dyDescent="0.3">
      <c r="A142" s="7"/>
      <c r="B142" s="7"/>
      <c r="C142"/>
      <c r="D142"/>
      <c r="E142"/>
      <c r="F142"/>
      <c r="G142"/>
      <c r="H142"/>
      <c r="I142"/>
      <c r="J142"/>
      <c r="K142"/>
      <c r="L142"/>
      <c r="M142"/>
      <c r="N142"/>
      <c r="O142"/>
      <c r="P142"/>
      <c r="Q142"/>
      <c r="R142"/>
      <c r="S142"/>
      <c r="T142"/>
      <c r="U142"/>
      <c r="V142"/>
      <c r="W142"/>
      <c r="X142"/>
      <c r="Y142"/>
      <c r="Z142"/>
      <c r="AA142" s="8"/>
      <c r="AB142" s="9"/>
      <c r="AC142" s="8"/>
      <c r="AD142" s="8"/>
      <c r="AE142" s="423"/>
    </row>
    <row r="143" spans="1:31 2941:2941" x14ac:dyDescent="0.3">
      <c r="A143" s="7"/>
      <c r="B143" s="7"/>
      <c r="C143"/>
      <c r="D143"/>
      <c r="E143"/>
      <c r="F143"/>
      <c r="G143"/>
      <c r="H143"/>
      <c r="I143"/>
      <c r="J143"/>
      <c r="K143"/>
      <c r="L143"/>
      <c r="M143"/>
      <c r="N143"/>
      <c r="O143"/>
      <c r="P143"/>
      <c r="Q143"/>
      <c r="R143"/>
      <c r="S143"/>
      <c r="T143"/>
      <c r="U143"/>
      <c r="V143"/>
      <c r="W143"/>
      <c r="X143"/>
      <c r="Y143"/>
      <c r="Z143"/>
      <c r="AA143" s="8"/>
      <c r="AB143" s="9"/>
      <c r="AC143" s="8"/>
      <c r="AD143" s="8"/>
      <c r="AE143" s="423"/>
    </row>
    <row r="144" spans="1:31 2941:2941" x14ac:dyDescent="0.3">
      <c r="A144" s="7"/>
      <c r="B144" s="7"/>
      <c r="C144"/>
      <c r="D144"/>
      <c r="E144"/>
      <c r="F144"/>
      <c r="G144"/>
      <c r="H144"/>
      <c r="I144"/>
      <c r="J144"/>
      <c r="K144"/>
      <c r="L144"/>
      <c r="M144"/>
      <c r="N144"/>
      <c r="O144"/>
      <c r="P144"/>
      <c r="Q144"/>
      <c r="R144"/>
      <c r="S144"/>
      <c r="T144"/>
      <c r="U144"/>
      <c r="V144"/>
      <c r="W144"/>
      <c r="X144"/>
      <c r="Y144"/>
      <c r="Z144"/>
      <c r="AA144" s="8"/>
      <c r="AB144" s="9"/>
      <c r="AC144" s="8"/>
      <c r="AD144" s="8"/>
      <c r="AE144" s="423"/>
    </row>
    <row r="145" spans="1:78" x14ac:dyDescent="0.3">
      <c r="A145" s="7"/>
      <c r="B145" s="7"/>
      <c r="C145"/>
      <c r="D145"/>
      <c r="E145"/>
      <c r="F145"/>
      <c r="G145"/>
      <c r="H145"/>
      <c r="I145"/>
      <c r="J145"/>
      <c r="K145"/>
      <c r="L145"/>
      <c r="M145"/>
      <c r="N145"/>
      <c r="O145"/>
      <c r="P145"/>
      <c r="Q145"/>
      <c r="R145"/>
      <c r="S145"/>
      <c r="T145"/>
      <c r="U145"/>
      <c r="V145"/>
      <c r="W145"/>
      <c r="X145"/>
      <c r="Y145"/>
      <c r="Z145"/>
      <c r="AA145" s="8"/>
      <c r="AB145" s="9"/>
      <c r="AC145" s="8"/>
      <c r="AD145" s="8"/>
      <c r="AE145" s="423"/>
    </row>
    <row r="146" spans="1:78" x14ac:dyDescent="0.3">
      <c r="A146" s="7"/>
      <c r="B146" s="7"/>
      <c r="C146"/>
      <c r="D146"/>
      <c r="E146"/>
      <c r="F146"/>
      <c r="G146"/>
      <c r="H146"/>
      <c r="I146"/>
      <c r="J146"/>
      <c r="K146"/>
      <c r="L146"/>
      <c r="M146"/>
      <c r="N146"/>
      <c r="O146"/>
      <c r="P146"/>
      <c r="Q146"/>
      <c r="R146"/>
      <c r="S146"/>
      <c r="T146"/>
      <c r="U146"/>
      <c r="V146"/>
      <c r="W146"/>
      <c r="X146"/>
      <c r="Y146"/>
      <c r="Z146"/>
      <c r="AA146" s="8"/>
      <c r="AB146" s="9"/>
      <c r="AC146" s="8"/>
      <c r="AD146" s="8"/>
      <c r="AE146" s="423"/>
    </row>
    <row r="147" spans="1:78" x14ac:dyDescent="0.3">
      <c r="A147" s="7"/>
      <c r="B147" s="7"/>
      <c r="C147"/>
      <c r="D147"/>
      <c r="E147"/>
      <c r="F147"/>
      <c r="G147"/>
      <c r="H147"/>
      <c r="I147"/>
      <c r="J147"/>
      <c r="K147"/>
      <c r="L147"/>
      <c r="M147"/>
      <c r="N147"/>
      <c r="O147"/>
      <c r="P147"/>
      <c r="Q147"/>
      <c r="R147"/>
      <c r="S147"/>
      <c r="T147"/>
      <c r="U147"/>
      <c r="V147"/>
      <c r="W147"/>
      <c r="X147"/>
      <c r="Y147"/>
      <c r="Z147"/>
      <c r="AA147" s="8"/>
      <c r="AB147" s="9"/>
      <c r="AC147" s="8"/>
      <c r="AD147" s="8"/>
      <c r="AE147" s="423"/>
    </row>
    <row r="148" spans="1:78" x14ac:dyDescent="0.3">
      <c r="A148" s="7"/>
      <c r="B148" s="7"/>
      <c r="C148"/>
      <c r="D148"/>
      <c r="E148"/>
      <c r="F148"/>
      <c r="G148"/>
      <c r="H148"/>
      <c r="I148"/>
      <c r="J148"/>
      <c r="K148"/>
      <c r="L148"/>
      <c r="M148"/>
      <c r="N148"/>
      <c r="O148"/>
      <c r="P148"/>
      <c r="Q148"/>
      <c r="R148"/>
      <c r="S148"/>
      <c r="T148"/>
      <c r="U148"/>
      <c r="V148"/>
      <c r="W148"/>
      <c r="X148"/>
      <c r="Y148"/>
      <c r="Z148"/>
      <c r="AA148" s="8"/>
      <c r="AB148" s="9"/>
      <c r="AC148" s="8"/>
      <c r="AD148" s="8"/>
      <c r="AE148" s="423"/>
    </row>
    <row r="149" spans="1:78" x14ac:dyDescent="0.3">
      <c r="A149" s="7"/>
      <c r="B149" s="7"/>
      <c r="C149"/>
      <c r="D149"/>
      <c r="E149"/>
      <c r="F149"/>
      <c r="G149"/>
      <c r="H149"/>
      <c r="I149"/>
      <c r="J149"/>
      <c r="K149"/>
      <c r="L149"/>
      <c r="M149"/>
      <c r="N149"/>
      <c r="O149"/>
      <c r="P149"/>
      <c r="Q149"/>
      <c r="R149"/>
      <c r="S149"/>
      <c r="T149"/>
      <c r="U149"/>
      <c r="V149"/>
      <c r="W149"/>
      <c r="X149"/>
      <c r="Y149"/>
      <c r="Z149"/>
      <c r="AA149" s="8"/>
      <c r="AB149" s="9"/>
      <c r="AC149" s="8"/>
      <c r="AD149" s="8"/>
      <c r="AE149" s="423"/>
    </row>
    <row r="150" spans="1:78" x14ac:dyDescent="0.3">
      <c r="A150" s="7"/>
      <c r="B150" s="7"/>
      <c r="C150"/>
      <c r="D150"/>
      <c r="E150"/>
      <c r="F150"/>
      <c r="G150"/>
      <c r="H150"/>
      <c r="I150"/>
      <c r="J150"/>
      <c r="K150"/>
      <c r="L150"/>
      <c r="M150"/>
      <c r="N150"/>
      <c r="O150"/>
      <c r="P150"/>
      <c r="Q150"/>
      <c r="R150"/>
      <c r="S150"/>
      <c r="T150"/>
      <c r="U150"/>
      <c r="V150"/>
      <c r="W150"/>
      <c r="X150"/>
      <c r="Y150"/>
      <c r="Z150"/>
      <c r="AA150" s="8"/>
      <c r="AB150" s="9"/>
      <c r="AC150" s="8"/>
      <c r="AD150" s="8"/>
      <c r="AE150" s="423"/>
    </row>
    <row r="151" spans="1:78" x14ac:dyDescent="0.3">
      <c r="A151" s="7"/>
      <c r="B151" s="7"/>
      <c r="C151"/>
      <c r="D151"/>
      <c r="E151"/>
      <c r="F151"/>
      <c r="G151"/>
      <c r="H151"/>
      <c r="I151"/>
      <c r="J151"/>
      <c r="K151"/>
      <c r="L151"/>
      <c r="M151"/>
      <c r="N151"/>
      <c r="O151"/>
      <c r="P151"/>
      <c r="Q151"/>
      <c r="R151"/>
      <c r="S151"/>
      <c r="T151"/>
      <c r="U151"/>
      <c r="V151"/>
      <c r="W151"/>
      <c r="X151"/>
      <c r="Y151"/>
      <c r="Z151"/>
      <c r="AA151" s="8"/>
      <c r="AB151" s="9"/>
      <c r="AC151" s="8"/>
      <c r="AD151" s="8"/>
      <c r="AE151" s="423"/>
    </row>
    <row r="152" spans="1:78" x14ac:dyDescent="0.3">
      <c r="A152" s="7"/>
      <c r="B152" s="7"/>
      <c r="C152"/>
      <c r="D152"/>
      <c r="E152"/>
      <c r="F152"/>
      <c r="G152"/>
      <c r="H152"/>
      <c r="I152"/>
      <c r="J152"/>
      <c r="K152"/>
      <c r="L152"/>
      <c r="M152"/>
      <c r="N152"/>
      <c r="O152"/>
      <c r="P152"/>
      <c r="Q152"/>
      <c r="R152"/>
      <c r="S152"/>
      <c r="T152"/>
      <c r="U152"/>
      <c r="V152"/>
      <c r="W152"/>
      <c r="X152"/>
      <c r="Y152"/>
      <c r="Z152"/>
      <c r="AA152" s="8"/>
      <c r="AB152" s="9"/>
      <c r="AC152" s="8"/>
      <c r="AD152" s="8"/>
      <c r="AE152" s="423"/>
    </row>
    <row r="153" spans="1:78" x14ac:dyDescent="0.3">
      <c r="A153" s="7"/>
      <c r="B153" s="7"/>
      <c r="C153"/>
      <c r="D153"/>
      <c r="E153"/>
      <c r="F153"/>
      <c r="G153"/>
      <c r="H153"/>
      <c r="I153"/>
      <c r="J153"/>
      <c r="K153"/>
      <c r="L153"/>
      <c r="M153"/>
      <c r="N153"/>
      <c r="O153"/>
      <c r="P153"/>
      <c r="Q153"/>
      <c r="R153"/>
      <c r="S153"/>
      <c r="T153"/>
      <c r="U153"/>
      <c r="V153"/>
      <c r="W153"/>
      <c r="X153"/>
      <c r="Y153"/>
      <c r="Z153"/>
      <c r="AA153" s="8"/>
      <c r="AB153" s="9"/>
      <c r="AC153" s="8"/>
      <c r="AD153" s="8"/>
      <c r="AE153" s="423"/>
    </row>
    <row r="154" spans="1:78" x14ac:dyDescent="0.3">
      <c r="A154" s="7"/>
      <c r="B154" s="7"/>
      <c r="C154"/>
      <c r="D154"/>
      <c r="E154"/>
      <c r="F154"/>
      <c r="G154"/>
      <c r="H154"/>
      <c r="I154"/>
      <c r="J154"/>
      <c r="K154"/>
      <c r="L154"/>
      <c r="M154"/>
      <c r="N154"/>
      <c r="O154"/>
      <c r="P154"/>
      <c r="Q154"/>
      <c r="R154"/>
      <c r="S154"/>
      <c r="T154"/>
      <c r="U154"/>
      <c r="V154"/>
      <c r="W154"/>
      <c r="X154"/>
      <c r="Y154"/>
      <c r="Z154"/>
      <c r="AA154" s="8"/>
      <c r="AB154" s="9"/>
      <c r="AC154" s="8"/>
      <c r="AD154" s="8"/>
      <c r="AE154" s="423"/>
    </row>
    <row r="155" spans="1:78" x14ac:dyDescent="0.3">
      <c r="A155" s="7"/>
      <c r="B155" s="7"/>
      <c r="C155"/>
      <c r="D155"/>
      <c r="E155"/>
      <c r="F155"/>
      <c r="G155"/>
      <c r="H155"/>
      <c r="I155"/>
      <c r="J155"/>
      <c r="K155"/>
      <c r="L155"/>
      <c r="M155"/>
      <c r="N155"/>
      <c r="O155"/>
      <c r="P155"/>
      <c r="Q155"/>
      <c r="R155"/>
      <c r="S155"/>
      <c r="T155"/>
      <c r="U155"/>
      <c r="V155"/>
      <c r="W155"/>
      <c r="X155"/>
      <c r="Y155"/>
      <c r="Z155"/>
      <c r="AA155" s="8"/>
      <c r="AB155" s="9"/>
      <c r="AC155" s="8"/>
      <c r="AD155" s="8"/>
      <c r="AE155" s="423"/>
    </row>
    <row r="156" spans="1:78" x14ac:dyDescent="0.3">
      <c r="A156" s="7"/>
      <c r="B156" s="7"/>
      <c r="C156"/>
      <c r="D156"/>
      <c r="E156"/>
      <c r="F156"/>
      <c r="G156"/>
      <c r="H156"/>
      <c r="I156"/>
      <c r="J156"/>
      <c r="K156"/>
      <c r="L156"/>
      <c r="M156"/>
      <c r="N156"/>
      <c r="O156"/>
      <c r="P156"/>
      <c r="Q156"/>
      <c r="R156"/>
      <c r="S156"/>
      <c r="T156"/>
      <c r="U156"/>
      <c r="V156"/>
      <c r="W156"/>
      <c r="X156"/>
      <c r="Y156"/>
      <c r="Z156"/>
      <c r="AA156" s="8"/>
      <c r="AB156" s="9"/>
      <c r="AC156" s="8"/>
      <c r="AD156" s="8"/>
      <c r="AE156" s="423"/>
      <c r="BW156" s="432"/>
      <c r="BX156" s="432"/>
      <c r="BY156" s="432"/>
      <c r="BZ156" s="432"/>
    </row>
    <row r="157" spans="1:78" x14ac:dyDescent="0.3">
      <c r="A157" s="7"/>
      <c r="B157" s="7"/>
      <c r="C157"/>
      <c r="D157"/>
      <c r="E157"/>
      <c r="F157"/>
      <c r="G157"/>
      <c r="H157"/>
      <c r="I157"/>
      <c r="J157"/>
      <c r="K157"/>
      <c r="L157"/>
      <c r="M157"/>
      <c r="N157"/>
      <c r="O157"/>
      <c r="P157"/>
      <c r="Q157"/>
      <c r="R157"/>
      <c r="S157"/>
      <c r="T157"/>
      <c r="U157"/>
      <c r="V157"/>
      <c r="W157"/>
      <c r="X157"/>
      <c r="Y157"/>
      <c r="Z157"/>
      <c r="AA157" s="8"/>
      <c r="AB157" s="9"/>
      <c r="AC157" s="8"/>
      <c r="AD157" s="8"/>
      <c r="AE157" s="423"/>
      <c r="BX157" s="443"/>
    </row>
    <row r="158" spans="1:78" x14ac:dyDescent="0.3">
      <c r="A158" s="7"/>
      <c r="B158" s="7"/>
      <c r="C158"/>
      <c r="D158"/>
      <c r="E158"/>
      <c r="F158"/>
      <c r="G158"/>
      <c r="H158"/>
      <c r="I158"/>
      <c r="J158"/>
      <c r="K158"/>
      <c r="L158"/>
      <c r="M158"/>
      <c r="N158"/>
      <c r="O158"/>
      <c r="P158"/>
      <c r="Q158"/>
      <c r="R158"/>
      <c r="S158"/>
      <c r="T158"/>
      <c r="U158"/>
      <c r="V158"/>
      <c r="W158"/>
      <c r="X158"/>
      <c r="Y158"/>
      <c r="Z158"/>
      <c r="AA158" s="8"/>
      <c r="AB158" s="9"/>
      <c r="AC158" s="8"/>
      <c r="AD158" s="8"/>
      <c r="AE158" s="423"/>
      <c r="BX158" s="443"/>
    </row>
    <row r="159" spans="1:78" x14ac:dyDescent="0.3">
      <c r="A159" s="7"/>
      <c r="B159" s="7"/>
      <c r="C159"/>
      <c r="D159"/>
      <c r="E159"/>
      <c r="F159"/>
      <c r="G159"/>
      <c r="H159"/>
      <c r="I159"/>
      <c r="J159"/>
      <c r="K159"/>
      <c r="L159"/>
      <c r="M159"/>
      <c r="N159"/>
      <c r="O159"/>
      <c r="P159"/>
      <c r="Q159"/>
      <c r="R159"/>
      <c r="S159"/>
      <c r="T159"/>
      <c r="U159"/>
      <c r="V159"/>
      <c r="W159"/>
      <c r="X159"/>
      <c r="Y159"/>
      <c r="Z159"/>
      <c r="AA159" s="8"/>
      <c r="AB159" s="9"/>
      <c r="AC159" s="8"/>
      <c r="AD159" s="8"/>
      <c r="AE159" s="423"/>
      <c r="BX159" s="443"/>
    </row>
    <row r="160" spans="1:78" x14ac:dyDescent="0.3">
      <c r="A160" s="7"/>
      <c r="B160" s="7"/>
      <c r="C160"/>
      <c r="D160"/>
      <c r="E160"/>
      <c r="F160"/>
      <c r="G160"/>
      <c r="H160"/>
      <c r="I160"/>
      <c r="J160"/>
      <c r="K160"/>
      <c r="L160"/>
      <c r="M160"/>
      <c r="N160"/>
      <c r="O160"/>
      <c r="P160"/>
      <c r="Q160"/>
      <c r="R160"/>
      <c r="S160"/>
      <c r="T160"/>
      <c r="U160"/>
      <c r="V160"/>
      <c r="W160"/>
      <c r="X160"/>
      <c r="Y160"/>
      <c r="Z160"/>
      <c r="AA160" s="8"/>
      <c r="AB160" s="9"/>
      <c r="AC160" s="8"/>
      <c r="AD160" s="8"/>
      <c r="AE160" s="423"/>
      <c r="BX160" s="443"/>
    </row>
    <row r="161" spans="1:78" x14ac:dyDescent="0.3">
      <c r="A161" s="7"/>
      <c r="B161" s="7"/>
      <c r="C161"/>
      <c r="D161"/>
      <c r="E161"/>
      <c r="F161"/>
      <c r="G161"/>
      <c r="H161"/>
      <c r="I161"/>
      <c r="J161"/>
      <c r="K161"/>
      <c r="L161"/>
      <c r="M161"/>
      <c r="N161"/>
      <c r="O161"/>
      <c r="P161"/>
      <c r="Q161"/>
      <c r="R161"/>
      <c r="S161"/>
      <c r="T161"/>
      <c r="U161"/>
      <c r="V161"/>
      <c r="W161"/>
      <c r="X161"/>
      <c r="Y161"/>
      <c r="Z161"/>
      <c r="AA161" s="8"/>
      <c r="AB161" s="9"/>
      <c r="AC161" s="8"/>
      <c r="AD161" s="8"/>
      <c r="AE161" s="423"/>
      <c r="BX161" s="443"/>
    </row>
    <row r="162" spans="1:78" x14ac:dyDescent="0.3">
      <c r="A162" s="7"/>
      <c r="B162" s="7"/>
      <c r="C162"/>
      <c r="D162"/>
      <c r="E162"/>
      <c r="F162"/>
      <c r="G162"/>
      <c r="H162"/>
      <c r="I162"/>
      <c r="J162"/>
      <c r="K162"/>
      <c r="L162"/>
      <c r="M162"/>
      <c r="N162"/>
      <c r="O162"/>
      <c r="P162"/>
      <c r="Q162"/>
      <c r="R162"/>
      <c r="S162"/>
      <c r="T162"/>
      <c r="U162"/>
      <c r="V162"/>
      <c r="W162"/>
      <c r="X162"/>
      <c r="Y162"/>
      <c r="Z162"/>
      <c r="AA162" s="8"/>
      <c r="AB162" s="9"/>
      <c r="AC162" s="8"/>
      <c r="AD162" s="8"/>
      <c r="AE162" s="423"/>
      <c r="BX162" s="443"/>
    </row>
    <row r="163" spans="1:78" x14ac:dyDescent="0.3">
      <c r="A163" s="7"/>
      <c r="B163" s="7"/>
      <c r="C163"/>
      <c r="D163"/>
      <c r="E163"/>
      <c r="F163"/>
      <c r="G163"/>
      <c r="H163"/>
      <c r="I163"/>
      <c r="J163"/>
      <c r="K163"/>
      <c r="L163"/>
      <c r="M163"/>
      <c r="N163"/>
      <c r="O163"/>
      <c r="P163"/>
      <c r="Q163"/>
      <c r="R163"/>
      <c r="S163"/>
      <c r="T163"/>
      <c r="U163"/>
      <c r="V163"/>
      <c r="W163"/>
      <c r="X163"/>
      <c r="Y163"/>
      <c r="Z163"/>
      <c r="AA163" s="8"/>
      <c r="AB163" s="9"/>
      <c r="AC163" s="8"/>
      <c r="AD163" s="8"/>
      <c r="AE163" s="423"/>
    </row>
    <row r="164" spans="1:78" x14ac:dyDescent="0.3">
      <c r="A164" s="7"/>
      <c r="B164" s="7"/>
      <c r="C164"/>
      <c r="D164"/>
      <c r="E164"/>
      <c r="F164"/>
      <c r="G164"/>
      <c r="H164"/>
      <c r="I164"/>
      <c r="J164"/>
      <c r="K164"/>
      <c r="L164"/>
      <c r="M164"/>
      <c r="N164"/>
      <c r="O164"/>
      <c r="P164"/>
      <c r="Q164"/>
      <c r="R164"/>
      <c r="S164"/>
      <c r="T164"/>
      <c r="U164"/>
      <c r="V164"/>
      <c r="W164"/>
      <c r="X164"/>
      <c r="Y164"/>
      <c r="Z164"/>
      <c r="AA164" s="8"/>
      <c r="AB164" s="9"/>
      <c r="AC164" s="8"/>
      <c r="AD164" s="8"/>
      <c r="AE164" s="423"/>
      <c r="BW164" s="432"/>
      <c r="BX164" s="432"/>
      <c r="BY164" s="432"/>
      <c r="BZ164" s="432"/>
    </row>
    <row r="165" spans="1:78" x14ac:dyDescent="0.3">
      <c r="A165" s="7"/>
      <c r="B165" s="7"/>
      <c r="C165"/>
      <c r="D165"/>
      <c r="E165"/>
      <c r="F165"/>
      <c r="G165"/>
      <c r="H165"/>
      <c r="I165"/>
      <c r="J165"/>
      <c r="K165"/>
      <c r="L165"/>
      <c r="M165"/>
      <c r="N165"/>
      <c r="O165"/>
      <c r="P165"/>
      <c r="Q165"/>
      <c r="R165"/>
      <c r="S165"/>
      <c r="T165"/>
      <c r="U165"/>
      <c r="V165"/>
      <c r="W165"/>
      <c r="X165"/>
      <c r="Y165"/>
      <c r="Z165"/>
      <c r="AA165" s="8"/>
      <c r="AB165" s="9"/>
      <c r="AC165" s="8"/>
      <c r="AD165" s="8"/>
      <c r="AE165" s="423"/>
      <c r="BX165" s="443"/>
    </row>
    <row r="166" spans="1:78" x14ac:dyDescent="0.3">
      <c r="A166" s="7"/>
      <c r="B166" s="7"/>
      <c r="C166"/>
      <c r="D166"/>
      <c r="E166"/>
      <c r="F166"/>
      <c r="G166"/>
      <c r="H166"/>
      <c r="I166"/>
      <c r="J166"/>
      <c r="K166"/>
      <c r="L166"/>
      <c r="M166"/>
      <c r="N166"/>
      <c r="O166"/>
      <c r="P166"/>
      <c r="Q166"/>
      <c r="R166"/>
      <c r="S166"/>
      <c r="T166"/>
      <c r="U166"/>
      <c r="V166"/>
      <c r="W166"/>
      <c r="X166"/>
      <c r="Y166"/>
      <c r="Z166"/>
      <c r="AA166" s="8"/>
      <c r="AB166" s="9"/>
      <c r="AC166" s="8"/>
      <c r="AD166" s="8"/>
      <c r="AE166" s="423"/>
      <c r="BX166" s="443"/>
    </row>
    <row r="167" spans="1:78" x14ac:dyDescent="0.3">
      <c r="A167" s="7"/>
      <c r="B167" s="7"/>
      <c r="C167"/>
      <c r="D167"/>
      <c r="E167"/>
      <c r="F167"/>
      <c r="G167"/>
      <c r="H167"/>
      <c r="I167"/>
      <c r="J167"/>
      <c r="K167"/>
      <c r="L167"/>
      <c r="M167"/>
      <c r="N167"/>
      <c r="O167"/>
      <c r="P167"/>
      <c r="Q167"/>
      <c r="R167"/>
      <c r="S167"/>
      <c r="T167"/>
      <c r="U167"/>
      <c r="V167"/>
      <c r="W167"/>
      <c r="X167"/>
      <c r="Y167"/>
      <c r="Z167"/>
      <c r="AA167" s="8"/>
      <c r="AB167" s="9"/>
      <c r="AC167" s="8"/>
      <c r="AD167" s="8"/>
      <c r="AE167" s="423"/>
      <c r="BX167" s="443"/>
    </row>
    <row r="168" spans="1:78" x14ac:dyDescent="0.3">
      <c r="A168" s="7"/>
      <c r="B168" s="7"/>
      <c r="C168"/>
      <c r="D168"/>
      <c r="E168"/>
      <c r="F168"/>
      <c r="G168"/>
      <c r="H168"/>
      <c r="I168"/>
      <c r="J168"/>
      <c r="K168"/>
      <c r="L168"/>
      <c r="M168"/>
      <c r="N168"/>
      <c r="O168"/>
      <c r="P168"/>
      <c r="Q168"/>
      <c r="R168"/>
      <c r="S168"/>
      <c r="T168"/>
      <c r="U168"/>
      <c r="V168"/>
      <c r="W168"/>
      <c r="X168"/>
      <c r="Y168"/>
      <c r="Z168"/>
      <c r="AA168" s="8"/>
      <c r="AB168" s="9"/>
      <c r="AC168" s="8"/>
      <c r="AD168" s="8"/>
      <c r="AE168" s="423"/>
      <c r="BX168" s="443"/>
    </row>
    <row r="169" spans="1:78" x14ac:dyDescent="0.3">
      <c r="A169" s="7"/>
      <c r="B169" s="7"/>
      <c r="C169"/>
      <c r="D169"/>
      <c r="E169"/>
      <c r="F169"/>
      <c r="G169"/>
      <c r="H169"/>
      <c r="I169"/>
      <c r="J169"/>
      <c r="K169"/>
      <c r="L169"/>
      <c r="M169"/>
      <c r="N169"/>
      <c r="O169"/>
      <c r="P169"/>
      <c r="Q169"/>
      <c r="R169"/>
      <c r="S169"/>
      <c r="T169"/>
      <c r="U169"/>
      <c r="V169"/>
      <c r="W169"/>
      <c r="X169"/>
      <c r="Y169"/>
      <c r="Z169"/>
      <c r="AA169" s="8"/>
      <c r="AB169" s="9"/>
      <c r="AC169" s="8"/>
      <c r="AD169" s="8"/>
      <c r="AE169" s="423"/>
      <c r="BX169" s="443"/>
    </row>
    <row r="170" spans="1:78" x14ac:dyDescent="0.3">
      <c r="A170" s="7"/>
      <c r="B170" s="7"/>
      <c r="C170"/>
      <c r="D170"/>
      <c r="E170"/>
      <c r="F170"/>
      <c r="G170"/>
      <c r="H170"/>
      <c r="I170"/>
      <c r="J170"/>
      <c r="K170"/>
      <c r="L170"/>
      <c r="M170"/>
      <c r="N170"/>
      <c r="O170"/>
      <c r="P170"/>
      <c r="Q170"/>
      <c r="R170"/>
      <c r="S170"/>
      <c r="T170"/>
      <c r="U170"/>
      <c r="V170"/>
      <c r="W170"/>
      <c r="X170"/>
      <c r="Y170"/>
      <c r="Z170"/>
      <c r="AA170" s="8"/>
      <c r="AB170" s="9"/>
      <c r="AC170" s="8"/>
      <c r="AD170" s="8"/>
      <c r="AE170" s="423"/>
      <c r="BX170" s="443"/>
    </row>
    <row r="171" spans="1:78" x14ac:dyDescent="0.3">
      <c r="A171" s="7"/>
      <c r="B171" s="7"/>
      <c r="C171"/>
      <c r="D171"/>
      <c r="E171"/>
      <c r="F171"/>
      <c r="G171"/>
      <c r="H171"/>
      <c r="I171"/>
      <c r="J171"/>
      <c r="K171"/>
      <c r="L171"/>
      <c r="M171"/>
      <c r="N171"/>
      <c r="O171"/>
      <c r="P171"/>
      <c r="Q171"/>
      <c r="R171"/>
      <c r="S171"/>
      <c r="T171"/>
      <c r="U171"/>
      <c r="V171"/>
      <c r="W171"/>
      <c r="X171"/>
      <c r="Y171"/>
      <c r="Z171"/>
      <c r="AA171" s="8"/>
      <c r="AB171" s="9"/>
      <c r="AC171" s="8"/>
      <c r="AD171" s="8"/>
      <c r="AE171" s="423"/>
    </row>
    <row r="172" spans="1:78" x14ac:dyDescent="0.3">
      <c r="A172" s="7"/>
      <c r="B172" s="7"/>
      <c r="C172"/>
      <c r="D172"/>
      <c r="E172"/>
      <c r="F172"/>
      <c r="G172"/>
      <c r="H172"/>
      <c r="I172"/>
      <c r="J172"/>
      <c r="K172"/>
      <c r="L172"/>
      <c r="M172"/>
      <c r="N172"/>
      <c r="O172"/>
      <c r="P172"/>
      <c r="Q172"/>
      <c r="R172"/>
      <c r="S172"/>
      <c r="T172"/>
      <c r="U172"/>
      <c r="V172"/>
      <c r="W172"/>
      <c r="X172"/>
      <c r="Y172"/>
      <c r="Z172"/>
      <c r="AA172" s="8"/>
      <c r="AB172" s="9"/>
      <c r="AC172" s="8"/>
      <c r="AD172" s="8"/>
      <c r="AE172" s="423"/>
      <c r="BW172" s="432"/>
      <c r="BX172" s="432"/>
      <c r="BY172" s="432"/>
      <c r="BZ172" s="432"/>
    </row>
    <row r="173" spans="1:78" x14ac:dyDescent="0.3">
      <c r="A173" s="7"/>
      <c r="B173" s="7"/>
      <c r="C173"/>
      <c r="D173"/>
      <c r="E173"/>
      <c r="F173"/>
      <c r="G173"/>
      <c r="H173"/>
      <c r="I173"/>
      <c r="J173"/>
      <c r="K173"/>
      <c r="L173"/>
      <c r="M173"/>
      <c r="N173"/>
      <c r="O173"/>
      <c r="P173"/>
      <c r="Q173"/>
      <c r="R173"/>
      <c r="S173"/>
      <c r="T173"/>
      <c r="U173"/>
      <c r="V173"/>
      <c r="W173"/>
      <c r="X173"/>
      <c r="Y173"/>
      <c r="Z173"/>
      <c r="AA173" s="8"/>
      <c r="AB173" s="9"/>
      <c r="AC173" s="8"/>
      <c r="AD173" s="8"/>
      <c r="AE173" s="423"/>
      <c r="BX173" s="443"/>
    </row>
    <row r="174" spans="1:78" x14ac:dyDescent="0.3">
      <c r="A174" s="7"/>
      <c r="B174" s="7"/>
      <c r="C174"/>
      <c r="D174"/>
      <c r="E174"/>
      <c r="F174"/>
      <c r="G174"/>
      <c r="H174"/>
      <c r="I174"/>
      <c r="J174"/>
      <c r="K174"/>
      <c r="L174"/>
      <c r="M174"/>
      <c r="N174"/>
      <c r="O174"/>
      <c r="P174"/>
      <c r="Q174"/>
      <c r="R174"/>
      <c r="S174"/>
      <c r="T174"/>
      <c r="U174"/>
      <c r="V174"/>
      <c r="W174"/>
      <c r="X174"/>
      <c r="Y174"/>
      <c r="Z174"/>
      <c r="AA174" s="8"/>
      <c r="AB174" s="9"/>
      <c r="AC174" s="8"/>
      <c r="AD174" s="8"/>
      <c r="AE174" s="423"/>
      <c r="BX174" s="443"/>
    </row>
    <row r="175" spans="1:78" x14ac:dyDescent="0.3">
      <c r="BX175" s="443"/>
    </row>
    <row r="176" spans="1:78" x14ac:dyDescent="0.3">
      <c r="BX176" s="443"/>
    </row>
    <row r="177" spans="75:78" x14ac:dyDescent="0.3">
      <c r="BX177" s="443"/>
    </row>
    <row r="178" spans="75:78" x14ac:dyDescent="0.3">
      <c r="BX178" s="443"/>
    </row>
    <row r="179" spans="75:78" x14ac:dyDescent="0.3"/>
    <row r="180" spans="75:78" x14ac:dyDescent="0.3">
      <c r="BW180" s="432"/>
      <c r="BX180" s="432"/>
      <c r="BY180" s="432"/>
      <c r="BZ180" s="432"/>
    </row>
    <row r="181" spans="75:78" x14ac:dyDescent="0.3">
      <c r="BX181" s="443"/>
    </row>
    <row r="182" spans="75:78" x14ac:dyDescent="0.3">
      <c r="BX182" s="443"/>
    </row>
    <row r="183" spans="75:78" x14ac:dyDescent="0.3">
      <c r="BX183" s="443"/>
    </row>
    <row r="184" spans="75:78" x14ac:dyDescent="0.3">
      <c r="BX184" s="443"/>
    </row>
    <row r="185" spans="75:78" x14ac:dyDescent="0.3">
      <c r="BX185" s="443"/>
    </row>
    <row r="186" spans="75:78" x14ac:dyDescent="0.3">
      <c r="BX186" s="443"/>
    </row>
    <row r="187" spans="75:78" x14ac:dyDescent="0.3"/>
    <row r="188" spans="75:78" x14ac:dyDescent="0.3">
      <c r="BW188" s="432"/>
      <c r="BX188" s="432"/>
      <c r="BY188" s="432"/>
      <c r="BZ188" s="432"/>
    </row>
    <row r="189" spans="75:78" x14ac:dyDescent="0.3">
      <c r="BX189" s="443"/>
    </row>
    <row r="190" spans="75:78" x14ac:dyDescent="0.3">
      <c r="BX190" s="443"/>
    </row>
    <row r="191" spans="75:78" x14ac:dyDescent="0.3">
      <c r="BX191" s="443"/>
    </row>
    <row r="192" spans="75:78" x14ac:dyDescent="0.3">
      <c r="BX192" s="443"/>
    </row>
    <row r="193" spans="75:78" x14ac:dyDescent="0.3">
      <c r="BX193" s="443"/>
    </row>
    <row r="194" spans="75:78" x14ac:dyDescent="0.3">
      <c r="BX194" s="443"/>
    </row>
    <row r="195" spans="75:78" x14ac:dyDescent="0.3"/>
    <row r="196" spans="75:78" x14ac:dyDescent="0.3">
      <c r="BW196" s="432"/>
      <c r="BX196" s="432"/>
      <c r="BY196" s="432"/>
      <c r="BZ196" s="432"/>
    </row>
    <row r="197" spans="75:78" x14ac:dyDescent="0.3">
      <c r="BX197" s="443"/>
    </row>
    <row r="198" spans="75:78" x14ac:dyDescent="0.3">
      <c r="BX198" s="443"/>
    </row>
    <row r="199" spans="75:78" x14ac:dyDescent="0.3">
      <c r="BX199" s="443"/>
    </row>
    <row r="200" spans="75:78" x14ac:dyDescent="0.3">
      <c r="BX200" s="443"/>
    </row>
    <row r="201" spans="75:78" x14ac:dyDescent="0.3">
      <c r="BX201" s="443"/>
    </row>
    <row r="202" spans="75:78" x14ac:dyDescent="0.3">
      <c r="BX202" s="443"/>
    </row>
    <row r="203" spans="75:78" x14ac:dyDescent="0.3"/>
    <row r="204" spans="75:78" x14ac:dyDescent="0.3"/>
    <row r="205" spans="75:78" x14ac:dyDescent="0.3"/>
    <row r="206" spans="75:78" x14ac:dyDescent="0.3"/>
    <row r="207" spans="75:78" x14ac:dyDescent="0.3"/>
    <row r="208" spans="75:78" x14ac:dyDescent="0.3"/>
    <row r="209" x14ac:dyDescent="0.3"/>
    <row r="210" x14ac:dyDescent="0.3"/>
    <row r="211" x14ac:dyDescent="0.3"/>
    <row r="212" x14ac:dyDescent="0.3"/>
    <row r="213" x14ac:dyDescent="0.3"/>
  </sheetData>
  <sheetProtection algorithmName="SHA-512" hashValue="LncAyGz1fWS1A9jAeRW9mgmjMRdUO1qb8GXZXX/yWXgvDkWXpbfhP27GzY7VvewHicNF3UUpNHxVLkQVovzOFw==" saltValue="CSMtAE+W42F9nYHeHMbqfA==" spinCount="100000" sheet="1" selectLockedCells="1"/>
  <mergeCells count="31">
    <mergeCell ref="E82:E83"/>
    <mergeCell ref="E76:E79"/>
    <mergeCell ref="P53:R54"/>
    <mergeCell ref="E65:E72"/>
    <mergeCell ref="G1:H1"/>
    <mergeCell ref="E20:E25"/>
    <mergeCell ref="E28:E33"/>
    <mergeCell ref="E36:E41"/>
    <mergeCell ref="Q89:AA91"/>
    <mergeCell ref="Q92:AA94"/>
    <mergeCell ref="I97:N97"/>
    <mergeCell ref="I89:N89"/>
    <mergeCell ref="I90:N90"/>
    <mergeCell ref="I94:N94"/>
    <mergeCell ref="I93:N93"/>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3" type="noConversion"/>
  <conditionalFormatting sqref="E59:E60">
    <cfRule type="expression" dxfId="92" priority="17">
      <formula>SUM($AK$55:$AK$60)=18</formula>
    </cfRule>
  </conditionalFormatting>
  <conditionalFormatting sqref="F59:M60">
    <cfRule type="expression" dxfId="91" priority="15">
      <formula>SUM($AK$55:$AK$60)=18</formula>
    </cfRule>
  </conditionalFormatting>
  <conditionalFormatting sqref="J65">
    <cfRule type="expression" dxfId="90" priority="58">
      <formula>IF(COUNT($K65:$L65)=2,IF(AND($J65&lt;&gt;$M65,$K65=$L65,$J65&lt;&gt;"",$M65&lt;&gt;""),1=2,IF(AND($J65&lt;&gt;"",$K65=$L65),1=1,IF(AND($J65="",$K65=$L65),1=1,1=2))),1=2)</formula>
    </cfRule>
  </conditionalFormatting>
  <conditionalFormatting sqref="J66:J67">
    <cfRule type="expression" dxfId="89" priority="55">
      <formula>IF(COUNT($K66:$L66)=2,IF(AND($J66&lt;&gt;$M66,$K66=$L66,$J66&lt;&gt;"",$M66&lt;&gt;""),1=2,IF(AND($J66&lt;&gt;"",$K66=$L66),1=1,IF(AND($J66="",$K66=$L66),1=1,1=2))),1=2)</formula>
    </cfRule>
  </conditionalFormatting>
  <conditionalFormatting sqref="J68">
    <cfRule type="expression" dxfId="88" priority="57">
      <formula>IF(COUNT($K68:$L68)=2,IF(AND($J68&lt;&gt;$M68,$K68=$L68,$J68&lt;&gt;"",$M68&lt;&gt;""),1=2,IF(AND($J68&lt;&gt;"",$K68=$L68),1=1,IF(AND($J68="",$K68=$L68),1=1,1=2))),1=2)</formula>
    </cfRule>
  </conditionalFormatting>
  <conditionalFormatting sqref="J69">
    <cfRule type="expression" dxfId="87" priority="54">
      <formula>IF(COUNT($K69:$L69)=2,IF(AND($J69&lt;&gt;$M69,$K69=$L69,$J69&lt;&gt;"",$M69&lt;&gt;""),1=2,IF(AND($J69&lt;&gt;"",$K69=$L69),1=1,IF(AND($J69="",$K69=$L69),1=1,1=2))),1=2)</formula>
    </cfRule>
  </conditionalFormatting>
  <conditionalFormatting sqref="J70:J71">
    <cfRule type="expression" dxfId="86" priority="51">
      <formula>IF(COUNT($K70:$L70)=2,IF(AND($J70&lt;&gt;$M70,$K70=$L70,$J70&lt;&gt;"",$M70&lt;&gt;""),1=2,IF(AND($J70&lt;&gt;"",$K70=$L70),1=1,IF(AND($J70="",$K70=$L70),1=1,1=2))),1=2)</formula>
    </cfRule>
  </conditionalFormatting>
  <conditionalFormatting sqref="J72">
    <cfRule type="expression" dxfId="85" priority="53">
      <formula>IF(COUNT($K72:$L72)=2,IF(AND($J72&lt;&gt;$M72,$K72=$L72,$J72&lt;&gt;"",$M72&lt;&gt;""),1=2,IF(AND($J72&lt;&gt;"",$K72=$L72),1=1,IF(AND($J72="",$K72=$L72),1=1,1=2))),1=2)</formula>
    </cfRule>
  </conditionalFormatting>
  <conditionalFormatting sqref="J76 M76">
    <cfRule type="expression" dxfId="84" priority="306">
      <formula>IF(COUNT($K76:$L76)=2,IF(AND($J76&lt;&gt;$M76,$K76=$L76,$J76&lt;&gt;"",$M76&lt;&gt;""),1=2,IF(AND($J76&lt;&gt;"",$K76=$L76),1=1,IF(AND($J76="",$K76=$L76),1=1,1=2))),1=2)</formula>
    </cfRule>
  </conditionalFormatting>
  <conditionalFormatting sqref="J77:J78">
    <cfRule type="expression" dxfId="83" priority="96">
      <formula>IF(COUNT($K77:$L77)=2,IF(AND($J77&lt;&gt;$M77,$K77=$L77,$J77&lt;&gt;"",$M77&lt;&gt;""),1=2,IF(AND($J77&lt;&gt;"",$K77=$L77),1=1,IF(AND($J77="",$K77=$L77),1=1,1=2))),1=2)</formula>
    </cfRule>
  </conditionalFormatting>
  <conditionalFormatting sqref="J79">
    <cfRule type="expression" dxfId="82" priority="100">
      <formula>IF(COUNT($K79:$L79)=2,IF(AND($J79&lt;&gt;$M79,$K79=$L79,$J79&lt;&gt;"",$M79&lt;&gt;""),1=2,IF(AND($J79&lt;&gt;"",$K79=$L79),1=1,IF(AND($J79="",$K79=$L79),1=1,1=2))),1=2)</formula>
    </cfRule>
  </conditionalFormatting>
  <conditionalFormatting sqref="J82:J83 M82:M83">
    <cfRule type="expression" dxfId="81" priority="177">
      <formula>IF(COUNT($K82:$L82)=2,IF(AND($J82&lt;&gt;$M82,$K82=$L82,$J82&lt;&gt;"",$M82&lt;&gt;""),1=2,IF(AND($J82&lt;&gt;"",$K82=$L82),1=1,IF(AND($J82="",$K82=$L82),1=1,1=2))),1=2)</formula>
    </cfRule>
  </conditionalFormatting>
  <conditionalFormatting sqref="J86 M86">
    <cfRule type="expression" dxfId="80" priority="124">
      <formula>IF(COUNT($K86:$L86)=2,IF(AND($J86&lt;&gt;$M86,$K86=$L86,$J86&lt;&gt;"",$M86&lt;&gt;""),1=2,IF(AND($J86&lt;&gt;"",$K86=$L86),1=1,IF(AND($J86="",$K86=$L86),1=1,1=2))),1=2)</formula>
    </cfRule>
  </conditionalFormatting>
  <conditionalFormatting sqref="K4:L4">
    <cfRule type="expression" dxfId="79" priority="5">
      <formula>K4=""</formula>
    </cfRule>
  </conditionalFormatting>
  <conditionalFormatting sqref="K5:L9">
    <cfRule type="expression" dxfId="78" priority="4">
      <formula>K5=""</formula>
    </cfRule>
  </conditionalFormatting>
  <conditionalFormatting sqref="K12:L12">
    <cfRule type="expression" dxfId="77" priority="171">
      <formula>K12=""</formula>
    </cfRule>
  </conditionalFormatting>
  <conditionalFormatting sqref="K13:L17">
    <cfRule type="expression" dxfId="76" priority="170">
      <formula>K13=""</formula>
    </cfRule>
  </conditionalFormatting>
  <conditionalFormatting sqref="K20:L20">
    <cfRule type="expression" dxfId="75" priority="153">
      <formula>K20=""</formula>
    </cfRule>
  </conditionalFormatting>
  <conditionalFormatting sqref="K21:L25">
    <cfRule type="expression" dxfId="74" priority="152">
      <formula>K21=""</formula>
    </cfRule>
  </conditionalFormatting>
  <conditionalFormatting sqref="K28:L28">
    <cfRule type="expression" dxfId="73" priority="23">
      <formula>K28=""</formula>
    </cfRule>
  </conditionalFormatting>
  <conditionalFormatting sqref="K29:L33">
    <cfRule type="expression" dxfId="72" priority="22">
      <formula>K29=""</formula>
    </cfRule>
  </conditionalFormatting>
  <conditionalFormatting sqref="K36:L36">
    <cfRule type="expression" dxfId="71" priority="21">
      <formula>K36=""</formula>
    </cfRule>
  </conditionalFormatting>
  <conditionalFormatting sqref="K37:L41">
    <cfRule type="expression" dxfId="70" priority="20">
      <formula>K37=""</formula>
    </cfRule>
  </conditionalFormatting>
  <conditionalFormatting sqref="K44:L44">
    <cfRule type="expression" dxfId="69" priority="19">
      <formula>K44=""</formula>
    </cfRule>
  </conditionalFormatting>
  <conditionalFormatting sqref="K45:L49">
    <cfRule type="expression" dxfId="68" priority="18">
      <formula>K45=""</formula>
    </cfRule>
  </conditionalFormatting>
  <conditionalFormatting sqref="K65:L65">
    <cfRule type="expression" dxfId="67" priority="40">
      <formula>K65=""</formula>
    </cfRule>
  </conditionalFormatting>
  <conditionalFormatting sqref="K66:L71">
    <cfRule type="expression" dxfId="66" priority="27">
      <formula>K66=""</formula>
    </cfRule>
  </conditionalFormatting>
  <conditionalFormatting sqref="K72:L72">
    <cfRule type="expression" dxfId="65" priority="33">
      <formula>K72=""</formula>
    </cfRule>
  </conditionalFormatting>
  <conditionalFormatting sqref="K76:L76">
    <cfRule type="expression" dxfId="64" priority="366">
      <formula>K76=""</formula>
    </cfRule>
  </conditionalFormatting>
  <conditionalFormatting sqref="K77:L78">
    <cfRule type="expression" dxfId="63" priority="330">
      <formula>K77=""</formula>
    </cfRule>
  </conditionalFormatting>
  <conditionalFormatting sqref="K79:L79">
    <cfRule type="expression" dxfId="62" priority="327">
      <formula>K79=""</formula>
    </cfRule>
  </conditionalFormatting>
  <conditionalFormatting sqref="K82:L83">
    <cfRule type="expression" dxfId="61" priority="409">
      <formula>K82=""</formula>
    </cfRule>
  </conditionalFormatting>
  <conditionalFormatting sqref="K86:L86">
    <cfRule type="expression" dxfId="60" priority="122">
      <formula>K86=""</formula>
    </cfRule>
  </conditionalFormatting>
  <conditionalFormatting sqref="M65">
    <cfRule type="expression" dxfId="59" priority="50">
      <formula>IF(COUNT($K65:$L65)=2,IF(AND($J65&lt;&gt;$M65,$K65=$L65,$J65&lt;&gt;"",$M65&lt;&gt;""),1=2,IF(AND($J65&lt;&gt;"",$K65=$L65),1=1,IF(AND($J65="",$K65=$L65),1=1,1=2))),1=2)</formula>
    </cfRule>
  </conditionalFormatting>
  <conditionalFormatting sqref="M66:M67">
    <cfRule type="expression" dxfId="58" priority="47">
      <formula>IF(COUNT($K66:$L66)=2,IF(AND($J66&lt;&gt;$M66,$K66=$L66,$J66&lt;&gt;"",$M66&lt;&gt;""),1=2,IF(AND($J66&lt;&gt;"",$K66=$L66),1=1,IF(AND($J66="",$K66=$L66),1=1,1=2))),1=2)</formula>
    </cfRule>
  </conditionalFormatting>
  <conditionalFormatting sqref="M68">
    <cfRule type="expression" dxfId="57" priority="49">
      <formula>IF(COUNT($K68:$L68)=2,IF(AND($J68&lt;&gt;$M68,$K68=$L68,$J68&lt;&gt;"",$M68&lt;&gt;""),1=2,IF(AND($J68&lt;&gt;"",$K68=$L68),1=1,IF(AND($J68="",$K68=$L68),1=1,1=2))),1=2)</formula>
    </cfRule>
  </conditionalFormatting>
  <conditionalFormatting sqref="M69">
    <cfRule type="expression" dxfId="56" priority="46">
      <formula>IF(COUNT($K69:$L69)=2,IF(AND($J69&lt;&gt;$M69,$K69=$L69,$J69&lt;&gt;"",$M69&lt;&gt;""),1=2,IF(AND($J69&lt;&gt;"",$K69=$L69),1=1,IF(AND($J69="",$K69=$L69),1=1,1=2))),1=2)</formula>
    </cfRule>
  </conditionalFormatting>
  <conditionalFormatting sqref="M70:M71">
    <cfRule type="expression" dxfId="55" priority="43">
      <formula>IF(COUNT($K70:$L70)=2,IF(AND($J70&lt;&gt;$M70,$K70=$L70,$J70&lt;&gt;"",$M70&lt;&gt;""),1=2,IF(AND($J70&lt;&gt;"",$K70=$L70),1=1,IF(AND($J70="",$K70=$L70),1=1,1=2))),1=2)</formula>
    </cfRule>
  </conditionalFormatting>
  <conditionalFormatting sqref="M72">
    <cfRule type="expression" dxfId="54" priority="45">
      <formula>IF(COUNT($K72:$L72)=2,IF(AND($J72&lt;&gt;$M72,$K72=$L72,$J72&lt;&gt;"",$M72&lt;&gt;""),1=2,IF(AND($J72&lt;&gt;"",$K72=$L72),1=1,IF(AND($J72="",$K72=$L72),1=1,1=2))),1=2)</formula>
    </cfRule>
  </conditionalFormatting>
  <conditionalFormatting sqref="M77:M78">
    <cfRule type="expression" dxfId="53" priority="95">
      <formula>IF(COUNT($K77:$L77)=2,IF(AND($J77&lt;&gt;$M77,$K77=$L77,$J77&lt;&gt;"",$M77&lt;&gt;""),1=2,IF(AND($J77&lt;&gt;"",$K77=$L77),1=1,IF(AND($J77="",$K77=$L77),1=1,1=2))),1=2)</formula>
    </cfRule>
  </conditionalFormatting>
  <conditionalFormatting sqref="M79">
    <cfRule type="expression" dxfId="52" priority="99">
      <formula>IF(COUNT($K79:$L79)=2,IF(AND($J79&lt;&gt;$M79,$K79=$L79,$J79&lt;&gt;"",$M79&lt;&gt;""),1=2,IF(AND($J79&lt;&gt;"",$K79=$L79),1=1,IF(AND($J79="",$K79=$L79),1=1,1=2))),1=2)</formula>
    </cfRule>
  </conditionalFormatting>
  <conditionalFormatting sqref="N59:N60">
    <cfRule type="expression" dxfId="51" priority="16">
      <formula>SUM($AK$55:$AK$60)=18</formula>
    </cfRule>
  </conditionalFormatting>
  <conditionalFormatting sqref="O4:O9">
    <cfRule type="iconSet" priority="522">
      <iconSet iconSet="3Symbols2" showValue="0">
        <cfvo type="percent" val="0"/>
        <cfvo type="num" val="0.5"/>
        <cfvo type="num" val="1"/>
      </iconSet>
    </cfRule>
  </conditionalFormatting>
  <conditionalFormatting sqref="O12:O17">
    <cfRule type="iconSet" priority="174">
      <iconSet iconSet="3Symbols2" showValue="0">
        <cfvo type="percent" val="0"/>
        <cfvo type="num" val="0.5"/>
        <cfvo type="num" val="1"/>
      </iconSet>
    </cfRule>
  </conditionalFormatting>
  <conditionalFormatting sqref="O20:O25">
    <cfRule type="iconSet" priority="156">
      <iconSet iconSet="3Symbols2" showValue="0">
        <cfvo type="percent" val="0"/>
        <cfvo type="num" val="0.5"/>
        <cfvo type="num" val="1"/>
      </iconSet>
    </cfRule>
  </conditionalFormatting>
  <conditionalFormatting sqref="O28:O33">
    <cfRule type="iconSet" priority="94">
      <iconSet iconSet="3Symbols2" showValue="0">
        <cfvo type="percent" val="0"/>
        <cfvo type="num" val="0.5"/>
        <cfvo type="num" val="1"/>
      </iconSet>
    </cfRule>
  </conditionalFormatting>
  <conditionalFormatting sqref="O36:O41">
    <cfRule type="iconSet" priority="82">
      <iconSet iconSet="3Symbols2" showValue="0">
        <cfvo type="percent" val="0"/>
        <cfvo type="num" val="0.5"/>
        <cfvo type="num" val="1"/>
      </iconSet>
    </cfRule>
  </conditionalFormatting>
  <conditionalFormatting sqref="O44:O49">
    <cfRule type="iconSet" priority="70">
      <iconSet iconSet="3Symbols2" showValue="0">
        <cfvo type="percent" val="0"/>
        <cfvo type="num" val="0.5"/>
        <cfvo type="num" val="1"/>
      </iconSet>
    </cfRule>
  </conditionalFormatting>
  <conditionalFormatting sqref="O55:O60">
    <cfRule type="iconSet" priority="551">
      <iconSet iconSet="3Symbols2" showValue="0">
        <cfvo type="percent" val="0"/>
        <cfvo type="num" val="0"/>
        <cfvo type="num" val="90"/>
      </iconSet>
    </cfRule>
  </conditionalFormatting>
  <conditionalFormatting sqref="O65:O70">
    <cfRule type="iconSet" priority="7">
      <iconSet iconSet="3Symbols2" showValue="0">
        <cfvo type="percent" val="0"/>
        <cfvo type="num" val="0.5"/>
        <cfvo type="num" val="1"/>
      </iconSet>
    </cfRule>
  </conditionalFormatting>
  <conditionalFormatting sqref="O71:O72">
    <cfRule type="iconSet" priority="1">
      <iconSet iconSet="3Symbols2" showValue="0">
        <cfvo type="percent" val="0"/>
        <cfvo type="num" val="0.5"/>
        <cfvo type="num" val="1"/>
      </iconSet>
    </cfRule>
  </conditionalFormatting>
  <conditionalFormatting sqref="O73">
    <cfRule type="iconSet" priority="10">
      <iconSet iconSet="3Symbols2" showValue="0">
        <cfvo type="percent" val="0"/>
        <cfvo type="num" val="0"/>
        <cfvo type="num" val="90"/>
      </iconSet>
    </cfRule>
  </conditionalFormatting>
  <conditionalFormatting sqref="O76:O79 O82:O83">
    <cfRule type="iconSet" priority="9">
      <iconSet iconSet="3Symbols2" showValue="0">
        <cfvo type="percent" val="0"/>
        <cfvo type="num" val="0.5"/>
        <cfvo type="num" val="1"/>
      </iconSet>
    </cfRule>
  </conditionalFormatting>
  <conditionalFormatting sqref="O86">
    <cfRule type="iconSet" priority="123">
      <iconSet iconSet="3Symbols2" showValue="0">
        <cfvo type="percent" val="0"/>
        <cfvo type="num" val="0.5"/>
        <cfvo type="num" val="1"/>
      </iconSet>
    </cfRule>
  </conditionalFormatting>
  <conditionalFormatting sqref="O89:O90">
    <cfRule type="iconSet" priority="119">
      <iconSet iconSet="3Symbols2" showValue="0">
        <cfvo type="percent" val="0"/>
        <cfvo type="num" val="0.5"/>
        <cfvo type="num" val="1"/>
      </iconSet>
    </cfRule>
  </conditionalFormatting>
  <conditionalFormatting sqref="O93:O95">
    <cfRule type="iconSet" priority="118">
      <iconSet iconSet="3Symbols2" showValue="0">
        <cfvo type="percent" val="0"/>
        <cfvo type="num" val="0.5"/>
        <cfvo type="num" val="1"/>
      </iconSet>
    </cfRule>
  </conditionalFormatting>
  <conditionalFormatting sqref="O97">
    <cfRule type="iconSet" priority="116">
      <iconSet iconSet="3Symbols2" showValue="0">
        <cfvo type="percent" val="0"/>
        <cfvo type="num" val="0.5"/>
        <cfvo type="num" val="1"/>
      </iconSet>
    </cfRule>
  </conditionalFormatting>
  <conditionalFormatting sqref="P53:R54">
    <cfRule type="expression" dxfId="50" priority="127">
      <formula>$O$54&gt;0</formula>
    </cfRule>
  </conditionalFormatting>
  <conditionalFormatting sqref="Q9">
    <cfRule type="expression" dxfId="49" priority="189">
      <formula>SUM($T$6:$T$9)=12</formula>
    </cfRule>
  </conditionalFormatting>
  <conditionalFormatting sqref="Q17">
    <cfRule type="expression" dxfId="48" priority="159">
      <formula>SUM($T$14:$T$17)=12</formula>
    </cfRule>
  </conditionalFormatting>
  <conditionalFormatting sqref="Q55:Q60">
    <cfRule type="expression" dxfId="47" priority="24">
      <formula>IF(AND(VLOOKUP(P55,$F$55:$O$60,10,0)&gt;=0,VLOOKUP(P55,$F$55:$O$60,10,0)&lt;90),1,0)</formula>
    </cfRule>
  </conditionalFormatting>
  <conditionalFormatting sqref="Q8:Z8">
    <cfRule type="expression" dxfId="46" priority="560">
      <formula>AND(SUM($H$55:$H60)=18,OR($R$8=$F$59,$R$8=$F$60))</formula>
    </cfRule>
  </conditionalFormatting>
  <conditionalFormatting sqref="Q16:Z16">
    <cfRule type="expression" dxfId="45" priority="561">
      <formula>AND(SUM($H$55:$H60)=18,OR($R$16=$F$59,$R$16=$F$60))</formula>
    </cfRule>
  </conditionalFormatting>
  <conditionalFormatting sqref="Q24:Z24">
    <cfRule type="expression" dxfId="44" priority="562">
      <formula>AND(SUM($H$55:$H60)=18,OR($R$24=$F$59,$R$24=$F$60))</formula>
    </cfRule>
  </conditionalFormatting>
  <conditionalFormatting sqref="Q25:Z25">
    <cfRule type="expression" dxfId="43" priority="139">
      <formula>SUM($T$22:$T$25)=12</formula>
    </cfRule>
  </conditionalFormatting>
  <conditionalFormatting sqref="Q32:Z32">
    <cfRule type="expression" dxfId="42" priority="563">
      <formula>AND(SUM($H$55:$H60)=18,OR($R$32=$F$59,$R$32=$F$60))</formula>
    </cfRule>
  </conditionalFormatting>
  <conditionalFormatting sqref="Q33:Z33">
    <cfRule type="expression" dxfId="41" priority="83">
      <formula>SUM($T$30:$T$33)=12</formula>
    </cfRule>
  </conditionalFormatting>
  <conditionalFormatting sqref="Q40:Z40">
    <cfRule type="expression" dxfId="40" priority="565">
      <formula>AND(SUM($H$55:$H60)=18,OR($R$40=$F$59,$R$40=$F$60))</formula>
    </cfRule>
  </conditionalFormatting>
  <conditionalFormatting sqref="Q41:Z41">
    <cfRule type="expression" dxfId="39" priority="71">
      <formula>SUM($T$38:$T$41)=12</formula>
    </cfRule>
  </conditionalFormatting>
  <conditionalFormatting sqref="Q48:Z48">
    <cfRule type="expression" dxfId="38" priority="564">
      <formula>AND(SUM($H$55:$H60)=18,OR($R$48=$F$59,$R$48=$F$60))</formula>
    </cfRule>
  </conditionalFormatting>
  <conditionalFormatting sqref="Q49:Z49">
    <cfRule type="expression" dxfId="37" priority="59">
      <formula>SUM($T$46:$T$49)=12</formula>
    </cfRule>
  </conditionalFormatting>
  <conditionalFormatting sqref="Q89:AA94">
    <cfRule type="expression" dxfId="36" priority="114" stopIfTrue="1">
      <formula>IF($Q$89=$R$87,1,0)</formula>
    </cfRule>
  </conditionalFormatting>
  <conditionalFormatting sqref="R9:Y9">
    <cfRule type="expression" dxfId="35" priority="187">
      <formula>SUM($T$6:$T$9)=12</formula>
    </cfRule>
  </conditionalFormatting>
  <conditionalFormatting sqref="R17:Y17">
    <cfRule type="expression" dxfId="34" priority="157">
      <formula>SUM($T$14:$T$17)=12</formula>
    </cfRule>
  </conditionalFormatting>
  <conditionalFormatting sqref="Z9">
    <cfRule type="expression" dxfId="33" priority="188">
      <formula>SUM($T$6:$T$9)=12</formula>
    </cfRule>
  </conditionalFormatting>
  <conditionalFormatting sqref="Z17">
    <cfRule type="expression" dxfId="32" priority="158">
      <formula>SUM($T$14:$T$17)=12</formula>
    </cfRule>
  </conditionalFormatting>
  <conditionalFormatting sqref="AA6:AA9">
    <cfRule type="iconSet" priority="521">
      <iconSet iconSet="3Symbols2" showValue="0">
        <cfvo type="percent" val="0"/>
        <cfvo type="num" val="0"/>
        <cfvo type="num" val="90"/>
      </iconSet>
    </cfRule>
  </conditionalFormatting>
  <conditionalFormatting sqref="AA14:AA17">
    <cfRule type="iconSet" priority="173">
      <iconSet iconSet="3Symbols2" showValue="0">
        <cfvo type="percent" val="0"/>
        <cfvo type="num" val="0"/>
        <cfvo type="num" val="90"/>
      </iconSet>
    </cfRule>
  </conditionalFormatting>
  <conditionalFormatting sqref="AA22:AA25">
    <cfRule type="iconSet" priority="6">
      <iconSet iconSet="3Symbols2" showValue="0">
        <cfvo type="percent" val="0"/>
        <cfvo type="num" val="0"/>
        <cfvo type="num" val="90"/>
      </iconSet>
    </cfRule>
  </conditionalFormatting>
  <conditionalFormatting sqref="AA30:AA33">
    <cfRule type="iconSet" priority="93">
      <iconSet iconSet="3Symbols2" showValue="0">
        <cfvo type="percent" val="0"/>
        <cfvo type="num" val="0"/>
        <cfvo type="num" val="90"/>
      </iconSet>
    </cfRule>
  </conditionalFormatting>
  <conditionalFormatting sqref="AA38:AA41">
    <cfRule type="iconSet" priority="81">
      <iconSet iconSet="3Symbols2" showValue="0">
        <cfvo type="percent" val="0"/>
        <cfvo type="num" val="0"/>
        <cfvo type="num" val="90"/>
      </iconSet>
    </cfRule>
  </conditionalFormatting>
  <conditionalFormatting sqref="AA46:AA49">
    <cfRule type="iconSet" priority="69">
      <iconSet iconSet="3Symbols2" showValue="0">
        <cfvo type="percent" val="0"/>
        <cfvo type="num" val="0"/>
        <cfvo type="num" val="90"/>
      </iconSet>
    </cfRule>
  </conditionalFormatting>
  <conditionalFormatting sqref="AB4:AD5">
    <cfRule type="expression" dxfId="31" priority="202">
      <formula>$AA$5&gt;0</formula>
    </cfRule>
  </conditionalFormatting>
  <conditionalFormatting sqref="AB12:AD13">
    <cfRule type="expression" dxfId="30" priority="165">
      <formula>$AA$13&gt;0</formula>
    </cfRule>
  </conditionalFormatting>
  <conditionalFormatting sqref="AB20:AD21">
    <cfRule type="expression" dxfId="29" priority="147">
      <formula>$AA$21&gt;0</formula>
    </cfRule>
  </conditionalFormatting>
  <conditionalFormatting sqref="AB28:AD29">
    <cfRule type="expression" dxfId="28" priority="89">
      <formula>$AA$29&gt;0</formula>
    </cfRule>
  </conditionalFormatting>
  <conditionalFormatting sqref="AB36:AD37">
    <cfRule type="expression" dxfId="27" priority="77">
      <formula>$AA$37&gt;0</formula>
    </cfRule>
  </conditionalFormatting>
  <conditionalFormatting sqref="AB44:AD45">
    <cfRule type="expression" dxfId="26" priority="65">
      <formula>$AA$45&gt;0</formula>
    </cfRule>
  </conditionalFormatting>
  <conditionalFormatting sqref="AC6:AC9">
    <cfRule type="expression" dxfId="25" priority="210">
      <formula>IF(AND(VLOOKUP(AB6,$R$6:$AA$9,10,0)&gt;=0,VLOOKUP(AB6,$R$6:$AA$9,10,0)&lt;90),1,0)</formula>
    </cfRule>
  </conditionalFormatting>
  <conditionalFormatting sqref="AC14:AC17">
    <cfRule type="expression" dxfId="24" priority="166">
      <formula>IF(AND(VLOOKUP(AB14,$R$14:$AA$17,10,0)&gt;=0,VLOOKUP(AB14,$R$14:$AA$17,10,0)&lt;90),1,0)</formula>
    </cfRule>
  </conditionalFormatting>
  <conditionalFormatting sqref="AC22:AC25">
    <cfRule type="expression" dxfId="23" priority="148">
      <formula>IF(AND(VLOOKUP(AB22,$R$22:$AA$25,10,0)&gt;=0,VLOOKUP(AB22,$R$22:$AA$25,10,0)&lt;90),1,0)</formula>
    </cfRule>
  </conditionalFormatting>
  <conditionalFormatting sqref="AC30:AC33">
    <cfRule type="expression" dxfId="22" priority="90">
      <formula>IF(AND(VLOOKUP(AB30,$R$30:$AA$33,10,0)&gt;=0,VLOOKUP(AB30,$R$30:$AA$33,10,0)&lt;90),1,0)</formula>
    </cfRule>
  </conditionalFormatting>
  <conditionalFormatting sqref="AC38:AC41">
    <cfRule type="expression" dxfId="21" priority="78">
      <formula>IF(AND(VLOOKUP(AB38,$R$38:$AA$41,10,0)&gt;=0,VLOOKUP(AB38,$R$38:$AA$41,10,0)&lt;90),1,0)</formula>
    </cfRule>
  </conditionalFormatting>
  <conditionalFormatting sqref="AC46:AC49">
    <cfRule type="expression" dxfId="20" priority="66">
      <formula>IF(AND(VLOOKUP(AB46,$R$46:$AA$49,10,0)&gt;=0,VLOOKUP(AB46,$R$46:$AA$49,10,0)&lt;90),1,0)</formula>
    </cfRule>
  </conditionalFormatting>
  <conditionalFormatting sqref="CE54:DI54">
    <cfRule type="duplicateValues" dxfId="19" priority="3"/>
  </conditionalFormatting>
  <conditionalFormatting sqref="CX5:DD5">
    <cfRule type="duplicateValues" dxfId="18" priority="2"/>
  </conditionalFormatting>
  <conditionalFormatting sqref="DJ53:DK53 EG53 ES53:CLF53">
    <cfRule type="expression" dxfId="17" priority="14">
      <formula>IF(DJ$53=6,1,0)</formula>
    </cfRule>
  </conditionalFormatting>
  <dataValidations count="10">
    <dataValidation type="whole" allowBlank="1" showInputMessage="1" showErrorMessage="1" error="Introduzca un número." sqref="J76:M79 J82:M83 J86:M86 J65:M72" xr:uid="{00000000-0002-0000-0100-000000000000}">
      <formula1>0</formula1>
      <formula2>100</formula2>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sqref="Q60" xr:uid="{8D54714B-E032-6B44-95CB-CAE952A628A3}">
      <formula1>OFFSET($DK$53,1,MATCH($BL$59,$DL$53:$EF$53,0),HLOOKUP($BL59,$DL$53:$EF$60,8,0),1)</formula1>
    </dataValidation>
    <dataValidation type="list" allowBlank="1" showInputMessage="1" showErrorMessage="1" sqref="Q55" xr:uid="{8278BFB8-F0CD-1641-8419-F7CE5FFA5322}">
      <formula1>OFFSET($DK$53,1,MATCH($BL$54,$DL$53:$EF$53,0),HLOOKUP($BL54,$DL$53:$EF$60,8,0),1)</formula1>
    </dataValidation>
    <dataValidation type="list" allowBlank="1" showInputMessage="1" showErrorMessage="1" sqref="Q56" xr:uid="{56D00164-4901-3E46-8FAB-4CFDCFD8BFEA}">
      <formula1>OFFSET($DK$53,1,MATCH($BL$55,$DL$53:$EF$53,0),HLOOKUP($BL55,$DL$53:$EF$60,8,0),1)</formula1>
    </dataValidation>
    <dataValidation type="list" allowBlank="1" showInputMessage="1" showErrorMessage="1" sqref="Q57" xr:uid="{F22F996A-4E4E-D44D-8926-474490A04FCC}">
      <formula1>OFFSET($DK$53,1,MATCH($BL$56,$DL$53:$EF$53,0),HLOOKUP($BL56,$DL$53:$EF$60,8,0),1)</formula1>
    </dataValidation>
    <dataValidation type="list" allowBlank="1" showInputMessage="1" showErrorMessage="1" sqref="Q58" xr:uid="{71BA9FE5-A757-8140-82B4-9E079FDC8971}">
      <formula1>OFFSET($DK$53,1,MATCH($BL$57,$DL$53:$EF$53,0),HLOOKUP($BL57,$DL$53:$EF$60,8,0),1)</formula1>
    </dataValidation>
    <dataValidation type="list" allowBlank="1" showInputMessage="1" showErrorMessage="1" sqref="Q59" xr:uid="{6F92FFEA-E789-C146-B566-B201CB621E26}">
      <formula1>OFFSET($DK$53,1,MATCH($BL$58,$DL$53:$EF$53,0),HLOOKUP($BL58,$DL$53:$EF$60,8,0),1)</formula1>
    </dataValidation>
    <dataValidation type="list" allowBlank="1" showInputMessage="1" showErrorMessage="1" error="Introduce un puesto que corresponda_x000a_" sqref="AC6 AC14 AC22 AC30 AC38 AC46" xr:uid="{00000000-0002-0000-0100-000001000000}">
      <formula1>OFFSET($DF$4,1,MATCH($CN6,$DG$4:$DP$4,0),HLOOKUP($CN6,$DG$4:$DP$9,6,0),1)</formula1>
    </dataValidation>
    <dataValidation type="list" allowBlank="1" showInputMessage="1" showErrorMessage="1" sqref="AC15:AC17 AC23:AC25 AC31:AC33 AC39:AC41 AC47:AC49 AC7:AC9" xr:uid="{00000000-0002-0000-0100-000002000000}">
      <formula1>OFFSET($DF$4,1,MATCH($CN7,$DG$4:$DP$4,0),HLOOKUP($CN7,$DG$4:$DP$9,6,0),1)</formula1>
    </dataValidation>
  </dataValidations>
  <pageMargins left="0.7" right="0.7" top="0.75" bottom="0.75" header="0.3" footer="0.3"/>
  <pageSetup paperSize="9" orientation="portrait" r:id="rId1"/>
  <ignoredErrors>
    <ignoredError sqref="J81 M81"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Horarios!$Q$3:$Q$93</xm:f>
          </x14:formula1>
          <xm:sqref>G1:H1</xm:sqref>
        </x14:dataValidation>
        <x14:dataValidation type="list" allowBlank="1" showInputMessage="1" showErrorMessage="1" xr:uid="{D26D55D1-3BE8-4368-AFF2-A6CFD9BED820}">
          <x14:formula1>
            <xm:f>Jugadores!$A$1:$A$620</xm:f>
          </x14:formula1>
          <xm:sqref>I93:N94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4547A-C5D3-4643-A581-0BC2E4DB4C75}">
  <dimension ref="A1:A620"/>
  <sheetViews>
    <sheetView workbookViewId="0"/>
  </sheetViews>
  <sheetFormatPr defaultRowHeight="14.4" x14ac:dyDescent="0.3"/>
  <cols>
    <col min="1" max="1" width="44.88671875" bestFit="1" customWidth="1"/>
  </cols>
  <sheetData>
    <row r="1" spans="1:1" x14ac:dyDescent="0.3">
      <c r="A1" t="s">
        <v>127</v>
      </c>
    </row>
    <row r="2" spans="1:1" x14ac:dyDescent="0.3">
      <c r="A2" t="s">
        <v>128</v>
      </c>
    </row>
    <row r="3" spans="1:1" x14ac:dyDescent="0.3">
      <c r="A3" t="s">
        <v>129</v>
      </c>
    </row>
    <row r="4" spans="1:1" x14ac:dyDescent="0.3">
      <c r="A4" t="s">
        <v>130</v>
      </c>
    </row>
    <row r="5" spans="1:1" x14ac:dyDescent="0.3">
      <c r="A5" t="s">
        <v>131</v>
      </c>
    </row>
    <row r="6" spans="1:1" x14ac:dyDescent="0.3">
      <c r="A6" t="s">
        <v>132</v>
      </c>
    </row>
    <row r="7" spans="1:1" x14ac:dyDescent="0.3">
      <c r="A7" t="s">
        <v>133</v>
      </c>
    </row>
    <row r="8" spans="1:1" x14ac:dyDescent="0.3">
      <c r="A8" t="s">
        <v>134</v>
      </c>
    </row>
    <row r="9" spans="1:1" x14ac:dyDescent="0.3">
      <c r="A9" t="s">
        <v>135</v>
      </c>
    </row>
    <row r="10" spans="1:1" x14ac:dyDescent="0.3">
      <c r="A10" t="s">
        <v>136</v>
      </c>
    </row>
    <row r="11" spans="1:1" x14ac:dyDescent="0.3">
      <c r="A11" t="s">
        <v>137</v>
      </c>
    </row>
    <row r="12" spans="1:1" x14ac:dyDescent="0.3">
      <c r="A12" t="s">
        <v>138</v>
      </c>
    </row>
    <row r="13" spans="1:1" x14ac:dyDescent="0.3">
      <c r="A13" t="s">
        <v>139</v>
      </c>
    </row>
    <row r="14" spans="1:1" x14ac:dyDescent="0.3">
      <c r="A14" t="s">
        <v>140</v>
      </c>
    </row>
    <row r="15" spans="1:1" x14ac:dyDescent="0.3">
      <c r="A15" t="s">
        <v>141</v>
      </c>
    </row>
    <row r="16" spans="1:1" x14ac:dyDescent="0.3">
      <c r="A16" t="s">
        <v>142</v>
      </c>
    </row>
    <row r="17" spans="1:1" x14ac:dyDescent="0.3">
      <c r="A17" t="s">
        <v>143</v>
      </c>
    </row>
    <row r="18" spans="1:1" x14ac:dyDescent="0.3">
      <c r="A18" t="s">
        <v>144</v>
      </c>
    </row>
    <row r="19" spans="1:1" x14ac:dyDescent="0.3">
      <c r="A19" t="s">
        <v>145</v>
      </c>
    </row>
    <row r="20" spans="1:1" x14ac:dyDescent="0.3">
      <c r="A20" t="s">
        <v>146</v>
      </c>
    </row>
    <row r="21" spans="1:1" x14ac:dyDescent="0.3">
      <c r="A21" t="s">
        <v>147</v>
      </c>
    </row>
    <row r="22" spans="1:1" x14ac:dyDescent="0.3">
      <c r="A22" t="s">
        <v>148</v>
      </c>
    </row>
    <row r="23" spans="1:1" x14ac:dyDescent="0.3">
      <c r="A23" t="s">
        <v>149</v>
      </c>
    </row>
    <row r="24" spans="1:1" x14ac:dyDescent="0.3">
      <c r="A24" t="s">
        <v>150</v>
      </c>
    </row>
    <row r="25" spans="1:1" x14ac:dyDescent="0.3">
      <c r="A25" t="s">
        <v>151</v>
      </c>
    </row>
    <row r="26" spans="1:1" x14ac:dyDescent="0.3">
      <c r="A26" t="s">
        <v>152</v>
      </c>
    </row>
    <row r="27" spans="1:1" x14ac:dyDescent="0.3">
      <c r="A27" t="s">
        <v>153</v>
      </c>
    </row>
    <row r="28" spans="1:1" x14ac:dyDescent="0.3">
      <c r="A28" t="s">
        <v>154</v>
      </c>
    </row>
    <row r="29" spans="1:1" x14ac:dyDescent="0.3">
      <c r="A29" t="s">
        <v>155</v>
      </c>
    </row>
    <row r="30" spans="1:1" x14ac:dyDescent="0.3">
      <c r="A30" t="s">
        <v>156</v>
      </c>
    </row>
    <row r="31" spans="1:1" x14ac:dyDescent="0.3">
      <c r="A31" t="s">
        <v>157</v>
      </c>
    </row>
    <row r="32" spans="1:1" x14ac:dyDescent="0.3">
      <c r="A32" t="s">
        <v>158</v>
      </c>
    </row>
    <row r="33" spans="1:1" x14ac:dyDescent="0.3">
      <c r="A33" t="s">
        <v>159</v>
      </c>
    </row>
    <row r="34" spans="1:1" x14ac:dyDescent="0.3">
      <c r="A34" t="s">
        <v>160</v>
      </c>
    </row>
    <row r="35" spans="1:1" x14ac:dyDescent="0.3">
      <c r="A35" t="s">
        <v>161</v>
      </c>
    </row>
    <row r="36" spans="1:1" x14ac:dyDescent="0.3">
      <c r="A36" t="s">
        <v>162</v>
      </c>
    </row>
    <row r="37" spans="1:1" x14ac:dyDescent="0.3">
      <c r="A37" t="s">
        <v>163</v>
      </c>
    </row>
    <row r="38" spans="1:1" x14ac:dyDescent="0.3">
      <c r="A38" t="s">
        <v>164</v>
      </c>
    </row>
    <row r="39" spans="1:1" x14ac:dyDescent="0.3">
      <c r="A39" t="s">
        <v>165</v>
      </c>
    </row>
    <row r="40" spans="1:1" x14ac:dyDescent="0.3">
      <c r="A40" t="s">
        <v>166</v>
      </c>
    </row>
    <row r="41" spans="1:1" x14ac:dyDescent="0.3">
      <c r="A41" t="s">
        <v>167</v>
      </c>
    </row>
    <row r="42" spans="1:1" x14ac:dyDescent="0.3">
      <c r="A42" t="s">
        <v>168</v>
      </c>
    </row>
    <row r="43" spans="1:1" x14ac:dyDescent="0.3">
      <c r="A43" t="s">
        <v>169</v>
      </c>
    </row>
    <row r="44" spans="1:1" x14ac:dyDescent="0.3">
      <c r="A44" t="s">
        <v>170</v>
      </c>
    </row>
    <row r="45" spans="1:1" x14ac:dyDescent="0.3">
      <c r="A45" t="s">
        <v>171</v>
      </c>
    </row>
    <row r="46" spans="1:1" x14ac:dyDescent="0.3">
      <c r="A46" t="s">
        <v>172</v>
      </c>
    </row>
    <row r="47" spans="1:1" x14ac:dyDescent="0.3">
      <c r="A47" t="s">
        <v>173</v>
      </c>
    </row>
    <row r="48" spans="1:1" x14ac:dyDescent="0.3">
      <c r="A48" t="s">
        <v>174</v>
      </c>
    </row>
    <row r="49" spans="1:1" x14ac:dyDescent="0.3">
      <c r="A49" t="s">
        <v>175</v>
      </c>
    </row>
    <row r="50" spans="1:1" x14ac:dyDescent="0.3">
      <c r="A50" t="s">
        <v>176</v>
      </c>
    </row>
    <row r="51" spans="1:1" x14ac:dyDescent="0.3">
      <c r="A51" t="s">
        <v>177</v>
      </c>
    </row>
    <row r="52" spans="1:1" x14ac:dyDescent="0.3">
      <c r="A52" t="s">
        <v>178</v>
      </c>
    </row>
    <row r="53" spans="1:1" x14ac:dyDescent="0.3">
      <c r="A53" t="s">
        <v>179</v>
      </c>
    </row>
    <row r="54" spans="1:1" x14ac:dyDescent="0.3">
      <c r="A54" t="s">
        <v>180</v>
      </c>
    </row>
    <row r="55" spans="1:1" x14ac:dyDescent="0.3">
      <c r="A55" t="s">
        <v>181</v>
      </c>
    </row>
    <row r="56" spans="1:1" x14ac:dyDescent="0.3">
      <c r="A56" t="s">
        <v>182</v>
      </c>
    </row>
    <row r="57" spans="1:1" x14ac:dyDescent="0.3">
      <c r="A57" t="s">
        <v>183</v>
      </c>
    </row>
    <row r="58" spans="1:1" x14ac:dyDescent="0.3">
      <c r="A58" t="s">
        <v>184</v>
      </c>
    </row>
    <row r="59" spans="1:1" x14ac:dyDescent="0.3">
      <c r="A59" t="s">
        <v>185</v>
      </c>
    </row>
    <row r="60" spans="1:1" x14ac:dyDescent="0.3">
      <c r="A60" t="s">
        <v>186</v>
      </c>
    </row>
    <row r="61" spans="1:1" x14ac:dyDescent="0.3">
      <c r="A61" t="s">
        <v>187</v>
      </c>
    </row>
    <row r="62" spans="1:1" x14ac:dyDescent="0.3">
      <c r="A62" t="s">
        <v>188</v>
      </c>
    </row>
    <row r="63" spans="1:1" x14ac:dyDescent="0.3">
      <c r="A63" t="s">
        <v>189</v>
      </c>
    </row>
    <row r="64" spans="1:1" x14ac:dyDescent="0.3">
      <c r="A64" t="s">
        <v>190</v>
      </c>
    </row>
    <row r="65" spans="1:1" x14ac:dyDescent="0.3">
      <c r="A65" t="s">
        <v>191</v>
      </c>
    </row>
    <row r="66" spans="1:1" x14ac:dyDescent="0.3">
      <c r="A66" t="s">
        <v>192</v>
      </c>
    </row>
    <row r="67" spans="1:1" x14ac:dyDescent="0.3">
      <c r="A67" t="s">
        <v>193</v>
      </c>
    </row>
    <row r="68" spans="1:1" x14ac:dyDescent="0.3">
      <c r="A68" t="s">
        <v>194</v>
      </c>
    </row>
    <row r="69" spans="1:1" x14ac:dyDescent="0.3">
      <c r="A69" t="s">
        <v>195</v>
      </c>
    </row>
    <row r="70" spans="1:1" x14ac:dyDescent="0.3">
      <c r="A70" t="s">
        <v>196</v>
      </c>
    </row>
    <row r="71" spans="1:1" x14ac:dyDescent="0.3">
      <c r="A71" t="s">
        <v>197</v>
      </c>
    </row>
    <row r="72" spans="1:1" x14ac:dyDescent="0.3">
      <c r="A72" t="s">
        <v>198</v>
      </c>
    </row>
    <row r="73" spans="1:1" x14ac:dyDescent="0.3">
      <c r="A73" t="s">
        <v>199</v>
      </c>
    </row>
    <row r="74" spans="1:1" x14ac:dyDescent="0.3">
      <c r="A74" t="s">
        <v>200</v>
      </c>
    </row>
    <row r="75" spans="1:1" x14ac:dyDescent="0.3">
      <c r="A75" t="s">
        <v>201</v>
      </c>
    </row>
    <row r="76" spans="1:1" x14ac:dyDescent="0.3">
      <c r="A76" t="s">
        <v>202</v>
      </c>
    </row>
    <row r="77" spans="1:1" x14ac:dyDescent="0.3">
      <c r="A77" t="s">
        <v>203</v>
      </c>
    </row>
    <row r="78" spans="1:1" x14ac:dyDescent="0.3">
      <c r="A78" t="s">
        <v>204</v>
      </c>
    </row>
    <row r="79" spans="1:1" x14ac:dyDescent="0.3">
      <c r="A79" t="s">
        <v>205</v>
      </c>
    </row>
    <row r="80" spans="1:1" x14ac:dyDescent="0.3">
      <c r="A80" t="s">
        <v>206</v>
      </c>
    </row>
    <row r="81" spans="1:1" x14ac:dyDescent="0.3">
      <c r="A81" t="s">
        <v>207</v>
      </c>
    </row>
    <row r="82" spans="1:1" x14ac:dyDescent="0.3">
      <c r="A82" t="s">
        <v>208</v>
      </c>
    </row>
    <row r="83" spans="1:1" x14ac:dyDescent="0.3">
      <c r="A83" t="s">
        <v>209</v>
      </c>
    </row>
    <row r="84" spans="1:1" x14ac:dyDescent="0.3">
      <c r="A84" t="s">
        <v>210</v>
      </c>
    </row>
    <row r="85" spans="1:1" x14ac:dyDescent="0.3">
      <c r="A85" t="s">
        <v>211</v>
      </c>
    </row>
    <row r="86" spans="1:1" x14ac:dyDescent="0.3">
      <c r="A86" t="s">
        <v>212</v>
      </c>
    </row>
    <row r="87" spans="1:1" x14ac:dyDescent="0.3">
      <c r="A87" t="s">
        <v>213</v>
      </c>
    </row>
    <row r="88" spans="1:1" x14ac:dyDescent="0.3">
      <c r="A88" t="s">
        <v>214</v>
      </c>
    </row>
    <row r="89" spans="1:1" x14ac:dyDescent="0.3">
      <c r="A89" t="s">
        <v>215</v>
      </c>
    </row>
    <row r="90" spans="1:1" x14ac:dyDescent="0.3">
      <c r="A90" t="s">
        <v>216</v>
      </c>
    </row>
    <row r="91" spans="1:1" x14ac:dyDescent="0.3">
      <c r="A91" t="s">
        <v>217</v>
      </c>
    </row>
    <row r="92" spans="1:1" x14ac:dyDescent="0.3">
      <c r="A92" t="s">
        <v>218</v>
      </c>
    </row>
    <row r="93" spans="1:1" x14ac:dyDescent="0.3">
      <c r="A93" t="s">
        <v>219</v>
      </c>
    </row>
    <row r="94" spans="1:1" x14ac:dyDescent="0.3">
      <c r="A94" t="s">
        <v>220</v>
      </c>
    </row>
    <row r="95" spans="1:1" x14ac:dyDescent="0.3">
      <c r="A95" t="s">
        <v>221</v>
      </c>
    </row>
    <row r="96" spans="1:1" x14ac:dyDescent="0.3">
      <c r="A96" t="s">
        <v>222</v>
      </c>
    </row>
    <row r="97" spans="1:1" x14ac:dyDescent="0.3">
      <c r="A97" t="s">
        <v>223</v>
      </c>
    </row>
    <row r="98" spans="1:1" x14ac:dyDescent="0.3">
      <c r="A98" t="s">
        <v>224</v>
      </c>
    </row>
    <row r="99" spans="1:1" x14ac:dyDescent="0.3">
      <c r="A99" t="s">
        <v>225</v>
      </c>
    </row>
    <row r="100" spans="1:1" x14ac:dyDescent="0.3">
      <c r="A100" t="s">
        <v>226</v>
      </c>
    </row>
    <row r="101" spans="1:1" x14ac:dyDescent="0.3">
      <c r="A101" t="s">
        <v>227</v>
      </c>
    </row>
    <row r="102" spans="1:1" x14ac:dyDescent="0.3">
      <c r="A102" t="s">
        <v>228</v>
      </c>
    </row>
    <row r="103" spans="1:1" x14ac:dyDescent="0.3">
      <c r="A103" t="s">
        <v>229</v>
      </c>
    </row>
    <row r="104" spans="1:1" x14ac:dyDescent="0.3">
      <c r="A104" t="s">
        <v>230</v>
      </c>
    </row>
    <row r="105" spans="1:1" x14ac:dyDescent="0.3">
      <c r="A105" t="s">
        <v>231</v>
      </c>
    </row>
    <row r="106" spans="1:1" x14ac:dyDescent="0.3">
      <c r="A106" t="s">
        <v>232</v>
      </c>
    </row>
    <row r="107" spans="1:1" x14ac:dyDescent="0.3">
      <c r="A107" t="s">
        <v>233</v>
      </c>
    </row>
    <row r="108" spans="1:1" x14ac:dyDescent="0.3">
      <c r="A108" t="s">
        <v>234</v>
      </c>
    </row>
    <row r="109" spans="1:1" x14ac:dyDescent="0.3">
      <c r="A109" t="s">
        <v>235</v>
      </c>
    </row>
    <row r="110" spans="1:1" x14ac:dyDescent="0.3">
      <c r="A110" t="s">
        <v>236</v>
      </c>
    </row>
    <row r="111" spans="1:1" x14ac:dyDescent="0.3">
      <c r="A111" t="s">
        <v>237</v>
      </c>
    </row>
    <row r="112" spans="1:1" x14ac:dyDescent="0.3">
      <c r="A112" t="s">
        <v>238</v>
      </c>
    </row>
    <row r="113" spans="1:1" x14ac:dyDescent="0.3">
      <c r="A113" t="s">
        <v>239</v>
      </c>
    </row>
    <row r="114" spans="1:1" x14ac:dyDescent="0.3">
      <c r="A114" t="s">
        <v>240</v>
      </c>
    </row>
    <row r="115" spans="1:1" x14ac:dyDescent="0.3">
      <c r="A115" t="s">
        <v>241</v>
      </c>
    </row>
    <row r="116" spans="1:1" x14ac:dyDescent="0.3">
      <c r="A116" t="s">
        <v>242</v>
      </c>
    </row>
    <row r="117" spans="1:1" x14ac:dyDescent="0.3">
      <c r="A117" t="s">
        <v>243</v>
      </c>
    </row>
    <row r="118" spans="1:1" x14ac:dyDescent="0.3">
      <c r="A118" t="s">
        <v>244</v>
      </c>
    </row>
    <row r="119" spans="1:1" x14ac:dyDescent="0.3">
      <c r="A119" t="s">
        <v>245</v>
      </c>
    </row>
    <row r="120" spans="1:1" x14ac:dyDescent="0.3">
      <c r="A120" t="s">
        <v>246</v>
      </c>
    </row>
    <row r="121" spans="1:1" x14ac:dyDescent="0.3">
      <c r="A121" t="s">
        <v>247</v>
      </c>
    </row>
    <row r="122" spans="1:1" x14ac:dyDescent="0.3">
      <c r="A122" t="s">
        <v>248</v>
      </c>
    </row>
    <row r="123" spans="1:1" x14ac:dyDescent="0.3">
      <c r="A123" t="s">
        <v>249</v>
      </c>
    </row>
    <row r="124" spans="1:1" x14ac:dyDescent="0.3">
      <c r="A124" t="s">
        <v>250</v>
      </c>
    </row>
    <row r="125" spans="1:1" x14ac:dyDescent="0.3">
      <c r="A125" t="s">
        <v>251</v>
      </c>
    </row>
    <row r="126" spans="1:1" x14ac:dyDescent="0.3">
      <c r="A126" t="s">
        <v>252</v>
      </c>
    </row>
    <row r="127" spans="1:1" x14ac:dyDescent="0.3">
      <c r="A127" t="s">
        <v>253</v>
      </c>
    </row>
    <row r="128" spans="1:1" x14ac:dyDescent="0.3">
      <c r="A128" t="s">
        <v>254</v>
      </c>
    </row>
    <row r="129" spans="1:1" x14ac:dyDescent="0.3">
      <c r="A129" t="s">
        <v>255</v>
      </c>
    </row>
    <row r="130" spans="1:1" x14ac:dyDescent="0.3">
      <c r="A130" t="s">
        <v>256</v>
      </c>
    </row>
    <row r="131" spans="1:1" x14ac:dyDescent="0.3">
      <c r="A131" t="s">
        <v>257</v>
      </c>
    </row>
    <row r="132" spans="1:1" x14ac:dyDescent="0.3">
      <c r="A132" t="s">
        <v>258</v>
      </c>
    </row>
    <row r="133" spans="1:1" x14ac:dyDescent="0.3">
      <c r="A133" t="s">
        <v>259</v>
      </c>
    </row>
    <row r="134" spans="1:1" x14ac:dyDescent="0.3">
      <c r="A134" t="s">
        <v>260</v>
      </c>
    </row>
    <row r="135" spans="1:1" x14ac:dyDescent="0.3">
      <c r="A135" t="s">
        <v>261</v>
      </c>
    </row>
    <row r="136" spans="1:1" x14ac:dyDescent="0.3">
      <c r="A136" t="s">
        <v>262</v>
      </c>
    </row>
    <row r="137" spans="1:1" x14ac:dyDescent="0.3">
      <c r="A137" t="s">
        <v>263</v>
      </c>
    </row>
    <row r="138" spans="1:1" x14ac:dyDescent="0.3">
      <c r="A138" t="s">
        <v>264</v>
      </c>
    </row>
    <row r="139" spans="1:1" x14ac:dyDescent="0.3">
      <c r="A139" t="s">
        <v>265</v>
      </c>
    </row>
    <row r="140" spans="1:1" x14ac:dyDescent="0.3">
      <c r="A140" t="s">
        <v>266</v>
      </c>
    </row>
    <row r="141" spans="1:1" x14ac:dyDescent="0.3">
      <c r="A141" t="s">
        <v>267</v>
      </c>
    </row>
    <row r="142" spans="1:1" x14ac:dyDescent="0.3">
      <c r="A142" t="s">
        <v>268</v>
      </c>
    </row>
    <row r="143" spans="1:1" x14ac:dyDescent="0.3">
      <c r="A143" t="s">
        <v>269</v>
      </c>
    </row>
    <row r="144" spans="1:1" x14ac:dyDescent="0.3">
      <c r="A144" t="s">
        <v>270</v>
      </c>
    </row>
    <row r="145" spans="1:1" x14ac:dyDescent="0.3">
      <c r="A145" t="s">
        <v>271</v>
      </c>
    </row>
    <row r="146" spans="1:1" x14ac:dyDescent="0.3">
      <c r="A146" t="s">
        <v>272</v>
      </c>
    </row>
    <row r="147" spans="1:1" x14ac:dyDescent="0.3">
      <c r="A147" t="s">
        <v>273</v>
      </c>
    </row>
    <row r="148" spans="1:1" x14ac:dyDescent="0.3">
      <c r="A148" t="s">
        <v>274</v>
      </c>
    </row>
    <row r="149" spans="1:1" x14ac:dyDescent="0.3">
      <c r="A149" t="s">
        <v>275</v>
      </c>
    </row>
    <row r="150" spans="1:1" x14ac:dyDescent="0.3">
      <c r="A150" t="s">
        <v>276</v>
      </c>
    </row>
    <row r="151" spans="1:1" x14ac:dyDescent="0.3">
      <c r="A151" t="s">
        <v>277</v>
      </c>
    </row>
    <row r="152" spans="1:1" x14ac:dyDescent="0.3">
      <c r="A152" t="s">
        <v>278</v>
      </c>
    </row>
    <row r="153" spans="1:1" x14ac:dyDescent="0.3">
      <c r="A153" t="s">
        <v>279</v>
      </c>
    </row>
    <row r="154" spans="1:1" x14ac:dyDescent="0.3">
      <c r="A154" t="s">
        <v>280</v>
      </c>
    </row>
    <row r="155" spans="1:1" x14ac:dyDescent="0.3">
      <c r="A155" t="s">
        <v>281</v>
      </c>
    </row>
    <row r="156" spans="1:1" x14ac:dyDescent="0.3">
      <c r="A156" t="s">
        <v>282</v>
      </c>
    </row>
    <row r="157" spans="1:1" x14ac:dyDescent="0.3">
      <c r="A157" t="s">
        <v>283</v>
      </c>
    </row>
    <row r="158" spans="1:1" x14ac:dyDescent="0.3">
      <c r="A158" t="s">
        <v>284</v>
      </c>
    </row>
    <row r="159" spans="1:1" x14ac:dyDescent="0.3">
      <c r="A159" t="s">
        <v>285</v>
      </c>
    </row>
    <row r="160" spans="1:1" x14ac:dyDescent="0.3">
      <c r="A160" t="s">
        <v>286</v>
      </c>
    </row>
    <row r="161" spans="1:1" x14ac:dyDescent="0.3">
      <c r="A161" t="s">
        <v>287</v>
      </c>
    </row>
    <row r="162" spans="1:1" x14ac:dyDescent="0.3">
      <c r="A162" t="s">
        <v>288</v>
      </c>
    </row>
    <row r="163" spans="1:1" x14ac:dyDescent="0.3">
      <c r="A163" t="s">
        <v>289</v>
      </c>
    </row>
    <row r="164" spans="1:1" x14ac:dyDescent="0.3">
      <c r="A164" t="s">
        <v>290</v>
      </c>
    </row>
    <row r="165" spans="1:1" x14ac:dyDescent="0.3">
      <c r="A165" t="s">
        <v>291</v>
      </c>
    </row>
    <row r="166" spans="1:1" x14ac:dyDescent="0.3">
      <c r="A166" t="s">
        <v>292</v>
      </c>
    </row>
    <row r="167" spans="1:1" x14ac:dyDescent="0.3">
      <c r="A167" t="s">
        <v>293</v>
      </c>
    </row>
    <row r="168" spans="1:1" x14ac:dyDescent="0.3">
      <c r="A168" t="s">
        <v>294</v>
      </c>
    </row>
    <row r="169" spans="1:1" x14ac:dyDescent="0.3">
      <c r="A169" t="s">
        <v>295</v>
      </c>
    </row>
    <row r="170" spans="1:1" x14ac:dyDescent="0.3">
      <c r="A170" t="s">
        <v>296</v>
      </c>
    </row>
    <row r="171" spans="1:1" x14ac:dyDescent="0.3">
      <c r="A171" t="s">
        <v>297</v>
      </c>
    </row>
    <row r="172" spans="1:1" x14ac:dyDescent="0.3">
      <c r="A172" t="s">
        <v>298</v>
      </c>
    </row>
    <row r="173" spans="1:1" x14ac:dyDescent="0.3">
      <c r="A173" t="s">
        <v>299</v>
      </c>
    </row>
    <row r="174" spans="1:1" x14ac:dyDescent="0.3">
      <c r="A174" t="s">
        <v>300</v>
      </c>
    </row>
    <row r="175" spans="1:1" x14ac:dyDescent="0.3">
      <c r="A175" t="s">
        <v>301</v>
      </c>
    </row>
    <row r="176" spans="1:1" x14ac:dyDescent="0.3">
      <c r="A176" t="s">
        <v>302</v>
      </c>
    </row>
    <row r="177" spans="1:1" x14ac:dyDescent="0.3">
      <c r="A177" t="s">
        <v>303</v>
      </c>
    </row>
    <row r="178" spans="1:1" x14ac:dyDescent="0.3">
      <c r="A178" t="s">
        <v>304</v>
      </c>
    </row>
    <row r="179" spans="1:1" x14ac:dyDescent="0.3">
      <c r="A179" t="s">
        <v>305</v>
      </c>
    </row>
    <row r="180" spans="1:1" x14ac:dyDescent="0.3">
      <c r="A180" t="s">
        <v>306</v>
      </c>
    </row>
    <row r="181" spans="1:1" x14ac:dyDescent="0.3">
      <c r="A181" t="s">
        <v>307</v>
      </c>
    </row>
    <row r="182" spans="1:1" x14ac:dyDescent="0.3">
      <c r="A182" t="s">
        <v>308</v>
      </c>
    </row>
    <row r="183" spans="1:1" x14ac:dyDescent="0.3">
      <c r="A183" t="s">
        <v>309</v>
      </c>
    </row>
    <row r="184" spans="1:1" x14ac:dyDescent="0.3">
      <c r="A184" t="s">
        <v>310</v>
      </c>
    </row>
    <row r="185" spans="1:1" x14ac:dyDescent="0.3">
      <c r="A185" t="s">
        <v>311</v>
      </c>
    </row>
    <row r="186" spans="1:1" x14ac:dyDescent="0.3">
      <c r="A186" t="s">
        <v>312</v>
      </c>
    </row>
    <row r="187" spans="1:1" x14ac:dyDescent="0.3">
      <c r="A187" t="s">
        <v>313</v>
      </c>
    </row>
    <row r="188" spans="1:1" x14ac:dyDescent="0.3">
      <c r="A188" t="s">
        <v>314</v>
      </c>
    </row>
    <row r="189" spans="1:1" x14ac:dyDescent="0.3">
      <c r="A189" t="s">
        <v>315</v>
      </c>
    </row>
    <row r="190" spans="1:1" x14ac:dyDescent="0.3">
      <c r="A190" t="s">
        <v>316</v>
      </c>
    </row>
    <row r="191" spans="1:1" x14ac:dyDescent="0.3">
      <c r="A191" t="s">
        <v>317</v>
      </c>
    </row>
    <row r="192" spans="1:1" x14ac:dyDescent="0.3">
      <c r="A192" t="s">
        <v>318</v>
      </c>
    </row>
    <row r="193" spans="1:1" x14ac:dyDescent="0.3">
      <c r="A193" t="s">
        <v>319</v>
      </c>
    </row>
    <row r="194" spans="1:1" x14ac:dyDescent="0.3">
      <c r="A194" t="s">
        <v>320</v>
      </c>
    </row>
    <row r="195" spans="1:1" x14ac:dyDescent="0.3">
      <c r="A195" t="s">
        <v>321</v>
      </c>
    </row>
    <row r="196" spans="1:1" x14ac:dyDescent="0.3">
      <c r="A196" t="s">
        <v>322</v>
      </c>
    </row>
    <row r="197" spans="1:1" x14ac:dyDescent="0.3">
      <c r="A197" t="s">
        <v>323</v>
      </c>
    </row>
    <row r="198" spans="1:1" x14ac:dyDescent="0.3">
      <c r="A198" t="s">
        <v>324</v>
      </c>
    </row>
    <row r="199" spans="1:1" x14ac:dyDescent="0.3">
      <c r="A199" t="s">
        <v>325</v>
      </c>
    </row>
    <row r="200" spans="1:1" x14ac:dyDescent="0.3">
      <c r="A200" t="s">
        <v>326</v>
      </c>
    </row>
    <row r="201" spans="1:1" x14ac:dyDescent="0.3">
      <c r="A201" t="s">
        <v>327</v>
      </c>
    </row>
    <row r="202" spans="1:1" x14ac:dyDescent="0.3">
      <c r="A202" t="s">
        <v>328</v>
      </c>
    </row>
    <row r="203" spans="1:1" x14ac:dyDescent="0.3">
      <c r="A203" t="s">
        <v>329</v>
      </c>
    </row>
    <row r="204" spans="1:1" x14ac:dyDescent="0.3">
      <c r="A204" t="s">
        <v>330</v>
      </c>
    </row>
    <row r="205" spans="1:1" x14ac:dyDescent="0.3">
      <c r="A205" t="s">
        <v>331</v>
      </c>
    </row>
    <row r="206" spans="1:1" x14ac:dyDescent="0.3">
      <c r="A206" t="s">
        <v>332</v>
      </c>
    </row>
    <row r="207" spans="1:1" x14ac:dyDescent="0.3">
      <c r="A207" t="s">
        <v>333</v>
      </c>
    </row>
    <row r="208" spans="1:1" x14ac:dyDescent="0.3">
      <c r="A208" t="s">
        <v>334</v>
      </c>
    </row>
    <row r="209" spans="1:1" x14ac:dyDescent="0.3">
      <c r="A209" t="s">
        <v>335</v>
      </c>
    </row>
    <row r="210" spans="1:1" x14ac:dyDescent="0.3">
      <c r="A210" t="s">
        <v>336</v>
      </c>
    </row>
    <row r="211" spans="1:1" x14ac:dyDescent="0.3">
      <c r="A211" t="s">
        <v>337</v>
      </c>
    </row>
    <row r="212" spans="1:1" x14ac:dyDescent="0.3">
      <c r="A212" t="s">
        <v>338</v>
      </c>
    </row>
    <row r="213" spans="1:1" x14ac:dyDescent="0.3">
      <c r="A213" t="s">
        <v>339</v>
      </c>
    </row>
    <row r="214" spans="1:1" x14ac:dyDescent="0.3">
      <c r="A214" t="s">
        <v>340</v>
      </c>
    </row>
    <row r="215" spans="1:1" x14ac:dyDescent="0.3">
      <c r="A215" t="s">
        <v>341</v>
      </c>
    </row>
    <row r="216" spans="1:1" x14ac:dyDescent="0.3">
      <c r="A216" t="s">
        <v>342</v>
      </c>
    </row>
    <row r="217" spans="1:1" x14ac:dyDescent="0.3">
      <c r="A217" t="s">
        <v>343</v>
      </c>
    </row>
    <row r="218" spans="1:1" x14ac:dyDescent="0.3">
      <c r="A218" t="s">
        <v>344</v>
      </c>
    </row>
    <row r="219" spans="1:1" x14ac:dyDescent="0.3">
      <c r="A219" t="s">
        <v>345</v>
      </c>
    </row>
    <row r="220" spans="1:1" x14ac:dyDescent="0.3">
      <c r="A220" t="s">
        <v>346</v>
      </c>
    </row>
    <row r="221" spans="1:1" x14ac:dyDescent="0.3">
      <c r="A221" t="s">
        <v>347</v>
      </c>
    </row>
    <row r="222" spans="1:1" x14ac:dyDescent="0.3">
      <c r="A222" t="s">
        <v>348</v>
      </c>
    </row>
    <row r="223" spans="1:1" x14ac:dyDescent="0.3">
      <c r="A223" t="s">
        <v>349</v>
      </c>
    </row>
    <row r="224" spans="1:1" x14ac:dyDescent="0.3">
      <c r="A224" t="s">
        <v>350</v>
      </c>
    </row>
    <row r="225" spans="1:1" x14ac:dyDescent="0.3">
      <c r="A225" t="s">
        <v>351</v>
      </c>
    </row>
    <row r="226" spans="1:1" x14ac:dyDescent="0.3">
      <c r="A226" t="s">
        <v>352</v>
      </c>
    </row>
    <row r="227" spans="1:1" x14ac:dyDescent="0.3">
      <c r="A227" t="s">
        <v>353</v>
      </c>
    </row>
    <row r="228" spans="1:1" x14ac:dyDescent="0.3">
      <c r="A228" t="s">
        <v>354</v>
      </c>
    </row>
    <row r="229" spans="1:1" x14ac:dyDescent="0.3">
      <c r="A229" t="s">
        <v>355</v>
      </c>
    </row>
    <row r="230" spans="1:1" x14ac:dyDescent="0.3">
      <c r="A230" t="s">
        <v>356</v>
      </c>
    </row>
    <row r="231" spans="1:1" x14ac:dyDescent="0.3">
      <c r="A231" t="s">
        <v>357</v>
      </c>
    </row>
    <row r="232" spans="1:1" x14ac:dyDescent="0.3">
      <c r="A232" t="s">
        <v>358</v>
      </c>
    </row>
    <row r="233" spans="1:1" x14ac:dyDescent="0.3">
      <c r="A233" t="s">
        <v>359</v>
      </c>
    </row>
    <row r="234" spans="1:1" x14ac:dyDescent="0.3">
      <c r="A234" t="s">
        <v>360</v>
      </c>
    </row>
    <row r="235" spans="1:1" x14ac:dyDescent="0.3">
      <c r="A235" t="s">
        <v>361</v>
      </c>
    </row>
    <row r="236" spans="1:1" x14ac:dyDescent="0.3">
      <c r="A236" t="s">
        <v>362</v>
      </c>
    </row>
    <row r="237" spans="1:1" x14ac:dyDescent="0.3">
      <c r="A237" t="s">
        <v>363</v>
      </c>
    </row>
    <row r="238" spans="1:1" x14ac:dyDescent="0.3">
      <c r="A238" t="s">
        <v>364</v>
      </c>
    </row>
    <row r="239" spans="1:1" x14ac:dyDescent="0.3">
      <c r="A239" t="s">
        <v>365</v>
      </c>
    </row>
    <row r="240" spans="1:1" x14ac:dyDescent="0.3">
      <c r="A240" t="s">
        <v>366</v>
      </c>
    </row>
    <row r="241" spans="1:1" x14ac:dyDescent="0.3">
      <c r="A241" t="s">
        <v>367</v>
      </c>
    </row>
    <row r="242" spans="1:1" x14ac:dyDescent="0.3">
      <c r="A242" t="s">
        <v>368</v>
      </c>
    </row>
    <row r="243" spans="1:1" x14ac:dyDescent="0.3">
      <c r="A243" t="s">
        <v>369</v>
      </c>
    </row>
    <row r="244" spans="1:1" x14ac:dyDescent="0.3">
      <c r="A244" t="s">
        <v>370</v>
      </c>
    </row>
    <row r="245" spans="1:1" x14ac:dyDescent="0.3">
      <c r="A245" t="s">
        <v>371</v>
      </c>
    </row>
    <row r="246" spans="1:1" x14ac:dyDescent="0.3">
      <c r="A246" t="s">
        <v>372</v>
      </c>
    </row>
    <row r="247" spans="1:1" x14ac:dyDescent="0.3">
      <c r="A247" t="s">
        <v>373</v>
      </c>
    </row>
    <row r="248" spans="1:1" x14ac:dyDescent="0.3">
      <c r="A248" t="s">
        <v>374</v>
      </c>
    </row>
    <row r="249" spans="1:1" x14ac:dyDescent="0.3">
      <c r="A249" t="s">
        <v>375</v>
      </c>
    </row>
    <row r="250" spans="1:1" x14ac:dyDescent="0.3">
      <c r="A250" t="s">
        <v>376</v>
      </c>
    </row>
    <row r="251" spans="1:1" x14ac:dyDescent="0.3">
      <c r="A251" t="s">
        <v>377</v>
      </c>
    </row>
    <row r="252" spans="1:1" x14ac:dyDescent="0.3">
      <c r="A252" t="s">
        <v>378</v>
      </c>
    </row>
    <row r="253" spans="1:1" x14ac:dyDescent="0.3">
      <c r="A253" t="s">
        <v>379</v>
      </c>
    </row>
    <row r="254" spans="1:1" x14ac:dyDescent="0.3">
      <c r="A254" t="s">
        <v>380</v>
      </c>
    </row>
    <row r="255" spans="1:1" x14ac:dyDescent="0.3">
      <c r="A255" t="s">
        <v>381</v>
      </c>
    </row>
    <row r="256" spans="1:1" x14ac:dyDescent="0.3">
      <c r="A256" t="s">
        <v>382</v>
      </c>
    </row>
    <row r="257" spans="1:1" x14ac:dyDescent="0.3">
      <c r="A257" t="s">
        <v>383</v>
      </c>
    </row>
    <row r="258" spans="1:1" x14ac:dyDescent="0.3">
      <c r="A258" t="s">
        <v>384</v>
      </c>
    </row>
    <row r="259" spans="1:1" x14ac:dyDescent="0.3">
      <c r="A259" t="s">
        <v>385</v>
      </c>
    </row>
    <row r="260" spans="1:1" x14ac:dyDescent="0.3">
      <c r="A260" t="s">
        <v>386</v>
      </c>
    </row>
    <row r="261" spans="1:1" x14ac:dyDescent="0.3">
      <c r="A261" t="s">
        <v>387</v>
      </c>
    </row>
    <row r="262" spans="1:1" x14ac:dyDescent="0.3">
      <c r="A262" t="s">
        <v>388</v>
      </c>
    </row>
    <row r="263" spans="1:1" x14ac:dyDescent="0.3">
      <c r="A263" t="s">
        <v>389</v>
      </c>
    </row>
    <row r="264" spans="1:1" x14ac:dyDescent="0.3">
      <c r="A264" t="s">
        <v>390</v>
      </c>
    </row>
    <row r="265" spans="1:1" x14ac:dyDescent="0.3">
      <c r="A265" t="s">
        <v>391</v>
      </c>
    </row>
    <row r="266" spans="1:1" x14ac:dyDescent="0.3">
      <c r="A266" t="s">
        <v>392</v>
      </c>
    </row>
    <row r="267" spans="1:1" x14ac:dyDescent="0.3">
      <c r="A267" t="s">
        <v>393</v>
      </c>
    </row>
    <row r="268" spans="1:1" x14ac:dyDescent="0.3">
      <c r="A268" t="s">
        <v>394</v>
      </c>
    </row>
    <row r="269" spans="1:1" x14ac:dyDescent="0.3">
      <c r="A269" t="s">
        <v>395</v>
      </c>
    </row>
    <row r="270" spans="1:1" x14ac:dyDescent="0.3">
      <c r="A270" t="s">
        <v>396</v>
      </c>
    </row>
    <row r="271" spans="1:1" x14ac:dyDescent="0.3">
      <c r="A271" t="s">
        <v>397</v>
      </c>
    </row>
    <row r="272" spans="1:1" x14ac:dyDescent="0.3">
      <c r="A272" t="s">
        <v>398</v>
      </c>
    </row>
    <row r="273" spans="1:1" x14ac:dyDescent="0.3">
      <c r="A273" t="s">
        <v>399</v>
      </c>
    </row>
    <row r="274" spans="1:1" x14ac:dyDescent="0.3">
      <c r="A274" t="s">
        <v>400</v>
      </c>
    </row>
    <row r="275" spans="1:1" x14ac:dyDescent="0.3">
      <c r="A275" t="s">
        <v>401</v>
      </c>
    </row>
    <row r="276" spans="1:1" x14ac:dyDescent="0.3">
      <c r="A276" t="s">
        <v>402</v>
      </c>
    </row>
    <row r="277" spans="1:1" x14ac:dyDescent="0.3">
      <c r="A277" t="s">
        <v>403</v>
      </c>
    </row>
    <row r="278" spans="1:1" x14ac:dyDescent="0.3">
      <c r="A278" t="s">
        <v>404</v>
      </c>
    </row>
    <row r="279" spans="1:1" x14ac:dyDescent="0.3">
      <c r="A279" t="s">
        <v>405</v>
      </c>
    </row>
    <row r="280" spans="1:1" x14ac:dyDescent="0.3">
      <c r="A280" t="s">
        <v>406</v>
      </c>
    </row>
    <row r="281" spans="1:1" x14ac:dyDescent="0.3">
      <c r="A281" t="s">
        <v>407</v>
      </c>
    </row>
    <row r="282" spans="1:1" x14ac:dyDescent="0.3">
      <c r="A282" t="s">
        <v>408</v>
      </c>
    </row>
    <row r="283" spans="1:1" x14ac:dyDescent="0.3">
      <c r="A283" t="s">
        <v>409</v>
      </c>
    </row>
    <row r="284" spans="1:1" x14ac:dyDescent="0.3">
      <c r="A284" t="s">
        <v>410</v>
      </c>
    </row>
    <row r="285" spans="1:1" x14ac:dyDescent="0.3">
      <c r="A285" t="s">
        <v>411</v>
      </c>
    </row>
    <row r="286" spans="1:1" x14ac:dyDescent="0.3">
      <c r="A286" t="s">
        <v>412</v>
      </c>
    </row>
    <row r="287" spans="1:1" x14ac:dyDescent="0.3">
      <c r="A287" t="s">
        <v>413</v>
      </c>
    </row>
    <row r="288" spans="1:1" x14ac:dyDescent="0.3">
      <c r="A288" t="s">
        <v>414</v>
      </c>
    </row>
    <row r="289" spans="1:1" x14ac:dyDescent="0.3">
      <c r="A289" t="s">
        <v>415</v>
      </c>
    </row>
    <row r="290" spans="1:1" x14ac:dyDescent="0.3">
      <c r="A290" t="s">
        <v>416</v>
      </c>
    </row>
    <row r="291" spans="1:1" x14ac:dyDescent="0.3">
      <c r="A291" t="s">
        <v>417</v>
      </c>
    </row>
    <row r="292" spans="1:1" x14ac:dyDescent="0.3">
      <c r="A292" t="s">
        <v>418</v>
      </c>
    </row>
    <row r="293" spans="1:1" x14ac:dyDescent="0.3">
      <c r="A293" t="s">
        <v>419</v>
      </c>
    </row>
    <row r="294" spans="1:1" x14ac:dyDescent="0.3">
      <c r="A294" t="s">
        <v>420</v>
      </c>
    </row>
    <row r="295" spans="1:1" x14ac:dyDescent="0.3">
      <c r="A295" t="s">
        <v>421</v>
      </c>
    </row>
    <row r="296" spans="1:1" x14ac:dyDescent="0.3">
      <c r="A296" t="s">
        <v>422</v>
      </c>
    </row>
    <row r="297" spans="1:1" x14ac:dyDescent="0.3">
      <c r="A297" t="s">
        <v>423</v>
      </c>
    </row>
    <row r="298" spans="1:1" x14ac:dyDescent="0.3">
      <c r="A298" t="s">
        <v>424</v>
      </c>
    </row>
    <row r="299" spans="1:1" x14ac:dyDescent="0.3">
      <c r="A299" t="s">
        <v>425</v>
      </c>
    </row>
    <row r="300" spans="1:1" x14ac:dyDescent="0.3">
      <c r="A300" t="s">
        <v>426</v>
      </c>
    </row>
    <row r="301" spans="1:1" x14ac:dyDescent="0.3">
      <c r="A301" t="s">
        <v>427</v>
      </c>
    </row>
    <row r="302" spans="1:1" x14ac:dyDescent="0.3">
      <c r="A302" t="s">
        <v>428</v>
      </c>
    </row>
    <row r="303" spans="1:1" x14ac:dyDescent="0.3">
      <c r="A303" t="s">
        <v>429</v>
      </c>
    </row>
    <row r="304" spans="1:1" x14ac:dyDescent="0.3">
      <c r="A304" t="s">
        <v>430</v>
      </c>
    </row>
    <row r="305" spans="1:1" x14ac:dyDescent="0.3">
      <c r="A305" t="s">
        <v>431</v>
      </c>
    </row>
    <row r="306" spans="1:1" x14ac:dyDescent="0.3">
      <c r="A306" t="s">
        <v>432</v>
      </c>
    </row>
    <row r="307" spans="1:1" x14ac:dyDescent="0.3">
      <c r="A307" t="s">
        <v>433</v>
      </c>
    </row>
    <row r="308" spans="1:1" x14ac:dyDescent="0.3">
      <c r="A308" t="s">
        <v>434</v>
      </c>
    </row>
    <row r="309" spans="1:1" x14ac:dyDescent="0.3">
      <c r="A309" t="s">
        <v>435</v>
      </c>
    </row>
    <row r="310" spans="1:1" x14ac:dyDescent="0.3">
      <c r="A310" t="s">
        <v>436</v>
      </c>
    </row>
    <row r="311" spans="1:1" x14ac:dyDescent="0.3">
      <c r="A311" t="s">
        <v>437</v>
      </c>
    </row>
    <row r="312" spans="1:1" x14ac:dyDescent="0.3">
      <c r="A312" t="s">
        <v>438</v>
      </c>
    </row>
    <row r="313" spans="1:1" x14ac:dyDescent="0.3">
      <c r="A313" t="s">
        <v>439</v>
      </c>
    </row>
    <row r="314" spans="1:1" x14ac:dyDescent="0.3">
      <c r="A314" t="s">
        <v>440</v>
      </c>
    </row>
    <row r="315" spans="1:1" x14ac:dyDescent="0.3">
      <c r="A315" t="s">
        <v>441</v>
      </c>
    </row>
    <row r="316" spans="1:1" x14ac:dyDescent="0.3">
      <c r="A316" t="s">
        <v>442</v>
      </c>
    </row>
    <row r="317" spans="1:1" x14ac:dyDescent="0.3">
      <c r="A317" t="s">
        <v>443</v>
      </c>
    </row>
    <row r="318" spans="1:1" x14ac:dyDescent="0.3">
      <c r="A318" t="s">
        <v>444</v>
      </c>
    </row>
    <row r="319" spans="1:1" x14ac:dyDescent="0.3">
      <c r="A319" t="s">
        <v>445</v>
      </c>
    </row>
    <row r="320" spans="1:1" x14ac:dyDescent="0.3">
      <c r="A320" t="s">
        <v>446</v>
      </c>
    </row>
    <row r="321" spans="1:1" x14ac:dyDescent="0.3">
      <c r="A321" t="s">
        <v>447</v>
      </c>
    </row>
    <row r="322" spans="1:1" x14ac:dyDescent="0.3">
      <c r="A322" t="s">
        <v>448</v>
      </c>
    </row>
    <row r="323" spans="1:1" x14ac:dyDescent="0.3">
      <c r="A323" t="s">
        <v>449</v>
      </c>
    </row>
    <row r="324" spans="1:1" x14ac:dyDescent="0.3">
      <c r="A324" t="s">
        <v>450</v>
      </c>
    </row>
    <row r="325" spans="1:1" x14ac:dyDescent="0.3">
      <c r="A325" t="s">
        <v>451</v>
      </c>
    </row>
    <row r="326" spans="1:1" x14ac:dyDescent="0.3">
      <c r="A326" t="s">
        <v>452</v>
      </c>
    </row>
    <row r="327" spans="1:1" x14ac:dyDescent="0.3">
      <c r="A327" t="s">
        <v>453</v>
      </c>
    </row>
    <row r="328" spans="1:1" x14ac:dyDescent="0.3">
      <c r="A328" t="s">
        <v>454</v>
      </c>
    </row>
    <row r="329" spans="1:1" x14ac:dyDescent="0.3">
      <c r="A329" t="s">
        <v>455</v>
      </c>
    </row>
    <row r="330" spans="1:1" x14ac:dyDescent="0.3">
      <c r="A330" t="s">
        <v>456</v>
      </c>
    </row>
    <row r="331" spans="1:1" x14ac:dyDescent="0.3">
      <c r="A331" t="s">
        <v>457</v>
      </c>
    </row>
    <row r="332" spans="1:1" x14ac:dyDescent="0.3">
      <c r="A332" t="s">
        <v>458</v>
      </c>
    </row>
    <row r="333" spans="1:1" x14ac:dyDescent="0.3">
      <c r="A333" t="s">
        <v>459</v>
      </c>
    </row>
    <row r="334" spans="1:1" x14ac:dyDescent="0.3">
      <c r="A334" t="s">
        <v>460</v>
      </c>
    </row>
    <row r="335" spans="1:1" x14ac:dyDescent="0.3">
      <c r="A335" t="s">
        <v>461</v>
      </c>
    </row>
    <row r="336" spans="1:1" x14ac:dyDescent="0.3">
      <c r="A336" t="s">
        <v>462</v>
      </c>
    </row>
    <row r="337" spans="1:1" x14ac:dyDescent="0.3">
      <c r="A337" t="s">
        <v>463</v>
      </c>
    </row>
    <row r="338" spans="1:1" x14ac:dyDescent="0.3">
      <c r="A338" t="s">
        <v>464</v>
      </c>
    </row>
    <row r="339" spans="1:1" x14ac:dyDescent="0.3">
      <c r="A339" t="s">
        <v>465</v>
      </c>
    </row>
    <row r="340" spans="1:1" x14ac:dyDescent="0.3">
      <c r="A340" t="s">
        <v>466</v>
      </c>
    </row>
    <row r="341" spans="1:1" x14ac:dyDescent="0.3">
      <c r="A341" t="s">
        <v>467</v>
      </c>
    </row>
    <row r="342" spans="1:1" x14ac:dyDescent="0.3">
      <c r="A342" t="s">
        <v>468</v>
      </c>
    </row>
    <row r="343" spans="1:1" x14ac:dyDescent="0.3">
      <c r="A343" t="s">
        <v>469</v>
      </c>
    </row>
    <row r="344" spans="1:1" x14ac:dyDescent="0.3">
      <c r="A344" t="s">
        <v>470</v>
      </c>
    </row>
    <row r="345" spans="1:1" x14ac:dyDescent="0.3">
      <c r="A345" t="s">
        <v>471</v>
      </c>
    </row>
    <row r="346" spans="1:1" x14ac:dyDescent="0.3">
      <c r="A346" t="s">
        <v>472</v>
      </c>
    </row>
    <row r="347" spans="1:1" x14ac:dyDescent="0.3">
      <c r="A347" t="s">
        <v>473</v>
      </c>
    </row>
    <row r="348" spans="1:1" x14ac:dyDescent="0.3">
      <c r="A348" t="s">
        <v>474</v>
      </c>
    </row>
    <row r="349" spans="1:1" x14ac:dyDescent="0.3">
      <c r="A349" t="s">
        <v>475</v>
      </c>
    </row>
    <row r="350" spans="1:1" x14ac:dyDescent="0.3">
      <c r="A350" t="s">
        <v>476</v>
      </c>
    </row>
    <row r="351" spans="1:1" x14ac:dyDescent="0.3">
      <c r="A351" t="s">
        <v>477</v>
      </c>
    </row>
    <row r="352" spans="1:1" x14ac:dyDescent="0.3">
      <c r="A352" t="s">
        <v>478</v>
      </c>
    </row>
    <row r="353" spans="1:1" x14ac:dyDescent="0.3">
      <c r="A353" t="s">
        <v>479</v>
      </c>
    </row>
    <row r="354" spans="1:1" x14ac:dyDescent="0.3">
      <c r="A354" t="s">
        <v>480</v>
      </c>
    </row>
    <row r="355" spans="1:1" x14ac:dyDescent="0.3">
      <c r="A355" t="s">
        <v>481</v>
      </c>
    </row>
    <row r="356" spans="1:1" x14ac:dyDescent="0.3">
      <c r="A356" t="s">
        <v>482</v>
      </c>
    </row>
    <row r="357" spans="1:1" x14ac:dyDescent="0.3">
      <c r="A357" t="s">
        <v>483</v>
      </c>
    </row>
    <row r="358" spans="1:1" x14ac:dyDescent="0.3">
      <c r="A358" t="s">
        <v>484</v>
      </c>
    </row>
    <row r="359" spans="1:1" x14ac:dyDescent="0.3">
      <c r="A359" t="s">
        <v>485</v>
      </c>
    </row>
    <row r="360" spans="1:1" x14ac:dyDescent="0.3">
      <c r="A360" t="s">
        <v>486</v>
      </c>
    </row>
    <row r="361" spans="1:1" x14ac:dyDescent="0.3">
      <c r="A361" t="s">
        <v>487</v>
      </c>
    </row>
    <row r="362" spans="1:1" x14ac:dyDescent="0.3">
      <c r="A362" t="s">
        <v>488</v>
      </c>
    </row>
    <row r="363" spans="1:1" x14ac:dyDescent="0.3">
      <c r="A363" t="s">
        <v>489</v>
      </c>
    </row>
    <row r="364" spans="1:1" x14ac:dyDescent="0.3">
      <c r="A364" t="s">
        <v>490</v>
      </c>
    </row>
    <row r="365" spans="1:1" x14ac:dyDescent="0.3">
      <c r="A365" t="s">
        <v>491</v>
      </c>
    </row>
    <row r="366" spans="1:1" x14ac:dyDescent="0.3">
      <c r="A366" t="s">
        <v>492</v>
      </c>
    </row>
    <row r="367" spans="1:1" x14ac:dyDescent="0.3">
      <c r="A367" t="s">
        <v>493</v>
      </c>
    </row>
    <row r="368" spans="1:1" x14ac:dyDescent="0.3">
      <c r="A368" t="s">
        <v>494</v>
      </c>
    </row>
    <row r="369" spans="1:1" x14ac:dyDescent="0.3">
      <c r="A369" t="s">
        <v>495</v>
      </c>
    </row>
    <row r="370" spans="1:1" x14ac:dyDescent="0.3">
      <c r="A370" t="s">
        <v>496</v>
      </c>
    </row>
    <row r="371" spans="1:1" x14ac:dyDescent="0.3">
      <c r="A371" t="s">
        <v>497</v>
      </c>
    </row>
    <row r="372" spans="1:1" x14ac:dyDescent="0.3">
      <c r="A372" t="s">
        <v>498</v>
      </c>
    </row>
    <row r="373" spans="1:1" x14ac:dyDescent="0.3">
      <c r="A373" t="s">
        <v>499</v>
      </c>
    </row>
    <row r="374" spans="1:1" x14ac:dyDescent="0.3">
      <c r="A374" t="s">
        <v>500</v>
      </c>
    </row>
    <row r="375" spans="1:1" x14ac:dyDescent="0.3">
      <c r="A375" t="s">
        <v>501</v>
      </c>
    </row>
    <row r="376" spans="1:1" x14ac:dyDescent="0.3">
      <c r="A376" t="s">
        <v>502</v>
      </c>
    </row>
    <row r="377" spans="1:1" x14ac:dyDescent="0.3">
      <c r="A377" t="s">
        <v>503</v>
      </c>
    </row>
    <row r="378" spans="1:1" x14ac:dyDescent="0.3">
      <c r="A378" t="s">
        <v>504</v>
      </c>
    </row>
    <row r="379" spans="1:1" x14ac:dyDescent="0.3">
      <c r="A379" t="s">
        <v>505</v>
      </c>
    </row>
    <row r="380" spans="1:1" x14ac:dyDescent="0.3">
      <c r="A380" t="s">
        <v>506</v>
      </c>
    </row>
    <row r="381" spans="1:1" x14ac:dyDescent="0.3">
      <c r="A381" t="s">
        <v>507</v>
      </c>
    </row>
    <row r="382" spans="1:1" x14ac:dyDescent="0.3">
      <c r="A382" t="s">
        <v>508</v>
      </c>
    </row>
    <row r="383" spans="1:1" x14ac:dyDescent="0.3">
      <c r="A383" t="s">
        <v>509</v>
      </c>
    </row>
    <row r="384" spans="1:1" x14ac:dyDescent="0.3">
      <c r="A384" t="s">
        <v>510</v>
      </c>
    </row>
    <row r="385" spans="1:1" x14ac:dyDescent="0.3">
      <c r="A385" t="s">
        <v>511</v>
      </c>
    </row>
    <row r="386" spans="1:1" x14ac:dyDescent="0.3">
      <c r="A386" t="s">
        <v>512</v>
      </c>
    </row>
    <row r="387" spans="1:1" x14ac:dyDescent="0.3">
      <c r="A387" t="s">
        <v>513</v>
      </c>
    </row>
    <row r="388" spans="1:1" x14ac:dyDescent="0.3">
      <c r="A388" t="s">
        <v>514</v>
      </c>
    </row>
    <row r="389" spans="1:1" x14ac:dyDescent="0.3">
      <c r="A389" t="s">
        <v>515</v>
      </c>
    </row>
    <row r="390" spans="1:1" x14ac:dyDescent="0.3">
      <c r="A390" t="s">
        <v>516</v>
      </c>
    </row>
    <row r="391" spans="1:1" x14ac:dyDescent="0.3">
      <c r="A391" t="s">
        <v>517</v>
      </c>
    </row>
    <row r="392" spans="1:1" x14ac:dyDescent="0.3">
      <c r="A392" t="s">
        <v>518</v>
      </c>
    </row>
    <row r="393" spans="1:1" x14ac:dyDescent="0.3">
      <c r="A393" t="s">
        <v>519</v>
      </c>
    </row>
    <row r="394" spans="1:1" x14ac:dyDescent="0.3">
      <c r="A394" t="s">
        <v>520</v>
      </c>
    </row>
    <row r="395" spans="1:1" x14ac:dyDescent="0.3">
      <c r="A395" t="s">
        <v>521</v>
      </c>
    </row>
    <row r="396" spans="1:1" x14ac:dyDescent="0.3">
      <c r="A396" t="s">
        <v>522</v>
      </c>
    </row>
    <row r="397" spans="1:1" x14ac:dyDescent="0.3">
      <c r="A397" t="s">
        <v>523</v>
      </c>
    </row>
    <row r="398" spans="1:1" x14ac:dyDescent="0.3">
      <c r="A398" t="s">
        <v>524</v>
      </c>
    </row>
    <row r="399" spans="1:1" x14ac:dyDescent="0.3">
      <c r="A399" t="s">
        <v>525</v>
      </c>
    </row>
    <row r="400" spans="1:1" x14ac:dyDescent="0.3">
      <c r="A400" t="s">
        <v>526</v>
      </c>
    </row>
    <row r="401" spans="1:1" x14ac:dyDescent="0.3">
      <c r="A401" t="s">
        <v>527</v>
      </c>
    </row>
    <row r="402" spans="1:1" x14ac:dyDescent="0.3">
      <c r="A402" t="s">
        <v>528</v>
      </c>
    </row>
    <row r="403" spans="1:1" x14ac:dyDescent="0.3">
      <c r="A403" t="s">
        <v>529</v>
      </c>
    </row>
    <row r="404" spans="1:1" x14ac:dyDescent="0.3">
      <c r="A404" t="s">
        <v>530</v>
      </c>
    </row>
    <row r="405" spans="1:1" x14ac:dyDescent="0.3">
      <c r="A405" t="s">
        <v>531</v>
      </c>
    </row>
    <row r="406" spans="1:1" x14ac:dyDescent="0.3">
      <c r="A406" t="s">
        <v>532</v>
      </c>
    </row>
    <row r="407" spans="1:1" x14ac:dyDescent="0.3">
      <c r="A407" t="s">
        <v>533</v>
      </c>
    </row>
    <row r="408" spans="1:1" x14ac:dyDescent="0.3">
      <c r="A408" t="s">
        <v>534</v>
      </c>
    </row>
    <row r="409" spans="1:1" x14ac:dyDescent="0.3">
      <c r="A409" t="s">
        <v>535</v>
      </c>
    </row>
    <row r="410" spans="1:1" x14ac:dyDescent="0.3">
      <c r="A410" t="s">
        <v>536</v>
      </c>
    </row>
    <row r="411" spans="1:1" x14ac:dyDescent="0.3">
      <c r="A411" t="s">
        <v>537</v>
      </c>
    </row>
    <row r="412" spans="1:1" x14ac:dyDescent="0.3">
      <c r="A412" t="s">
        <v>538</v>
      </c>
    </row>
    <row r="413" spans="1:1" x14ac:dyDescent="0.3">
      <c r="A413" t="s">
        <v>539</v>
      </c>
    </row>
    <row r="414" spans="1:1" x14ac:dyDescent="0.3">
      <c r="A414" t="s">
        <v>540</v>
      </c>
    </row>
    <row r="415" spans="1:1" x14ac:dyDescent="0.3">
      <c r="A415" t="s">
        <v>541</v>
      </c>
    </row>
    <row r="416" spans="1:1" x14ac:dyDescent="0.3">
      <c r="A416" t="s">
        <v>542</v>
      </c>
    </row>
    <row r="417" spans="1:1" x14ac:dyDescent="0.3">
      <c r="A417" t="s">
        <v>543</v>
      </c>
    </row>
    <row r="418" spans="1:1" x14ac:dyDescent="0.3">
      <c r="A418" t="s">
        <v>544</v>
      </c>
    </row>
    <row r="419" spans="1:1" x14ac:dyDescent="0.3">
      <c r="A419" t="s">
        <v>545</v>
      </c>
    </row>
    <row r="420" spans="1:1" x14ac:dyDescent="0.3">
      <c r="A420" t="s">
        <v>546</v>
      </c>
    </row>
    <row r="421" spans="1:1" x14ac:dyDescent="0.3">
      <c r="A421" t="s">
        <v>547</v>
      </c>
    </row>
    <row r="422" spans="1:1" x14ac:dyDescent="0.3">
      <c r="A422" t="s">
        <v>548</v>
      </c>
    </row>
    <row r="423" spans="1:1" x14ac:dyDescent="0.3">
      <c r="A423" t="s">
        <v>549</v>
      </c>
    </row>
    <row r="424" spans="1:1" x14ac:dyDescent="0.3">
      <c r="A424" t="s">
        <v>550</v>
      </c>
    </row>
    <row r="425" spans="1:1" x14ac:dyDescent="0.3">
      <c r="A425" t="s">
        <v>551</v>
      </c>
    </row>
    <row r="426" spans="1:1" x14ac:dyDescent="0.3">
      <c r="A426" t="s">
        <v>552</v>
      </c>
    </row>
    <row r="427" spans="1:1" x14ac:dyDescent="0.3">
      <c r="A427" t="s">
        <v>553</v>
      </c>
    </row>
    <row r="428" spans="1:1" x14ac:dyDescent="0.3">
      <c r="A428" t="s">
        <v>554</v>
      </c>
    </row>
    <row r="429" spans="1:1" x14ac:dyDescent="0.3">
      <c r="A429" t="s">
        <v>555</v>
      </c>
    </row>
    <row r="430" spans="1:1" x14ac:dyDescent="0.3">
      <c r="A430" t="s">
        <v>556</v>
      </c>
    </row>
    <row r="431" spans="1:1" x14ac:dyDescent="0.3">
      <c r="A431" t="s">
        <v>557</v>
      </c>
    </row>
    <row r="432" spans="1:1" x14ac:dyDescent="0.3">
      <c r="A432" t="s">
        <v>558</v>
      </c>
    </row>
    <row r="433" spans="1:1" x14ac:dyDescent="0.3">
      <c r="A433" t="s">
        <v>559</v>
      </c>
    </row>
    <row r="434" spans="1:1" x14ac:dyDescent="0.3">
      <c r="A434" t="s">
        <v>560</v>
      </c>
    </row>
    <row r="435" spans="1:1" x14ac:dyDescent="0.3">
      <c r="A435" t="s">
        <v>561</v>
      </c>
    </row>
    <row r="436" spans="1:1" x14ac:dyDescent="0.3">
      <c r="A436" t="s">
        <v>562</v>
      </c>
    </row>
    <row r="437" spans="1:1" x14ac:dyDescent="0.3">
      <c r="A437" t="s">
        <v>563</v>
      </c>
    </row>
    <row r="438" spans="1:1" x14ac:dyDescent="0.3">
      <c r="A438" t="s">
        <v>564</v>
      </c>
    </row>
    <row r="439" spans="1:1" x14ac:dyDescent="0.3">
      <c r="A439" t="s">
        <v>565</v>
      </c>
    </row>
    <row r="440" spans="1:1" x14ac:dyDescent="0.3">
      <c r="A440" t="s">
        <v>566</v>
      </c>
    </row>
    <row r="441" spans="1:1" x14ac:dyDescent="0.3">
      <c r="A441" t="s">
        <v>567</v>
      </c>
    </row>
    <row r="442" spans="1:1" x14ac:dyDescent="0.3">
      <c r="A442" t="s">
        <v>568</v>
      </c>
    </row>
    <row r="443" spans="1:1" x14ac:dyDescent="0.3">
      <c r="A443" t="s">
        <v>569</v>
      </c>
    </row>
    <row r="444" spans="1:1" x14ac:dyDescent="0.3">
      <c r="A444" t="s">
        <v>570</v>
      </c>
    </row>
    <row r="445" spans="1:1" x14ac:dyDescent="0.3">
      <c r="A445" t="s">
        <v>571</v>
      </c>
    </row>
    <row r="446" spans="1:1" x14ac:dyDescent="0.3">
      <c r="A446" t="s">
        <v>572</v>
      </c>
    </row>
    <row r="447" spans="1:1" x14ac:dyDescent="0.3">
      <c r="A447" t="s">
        <v>573</v>
      </c>
    </row>
    <row r="448" spans="1:1" x14ac:dyDescent="0.3">
      <c r="A448" t="s">
        <v>574</v>
      </c>
    </row>
    <row r="449" spans="1:1" x14ac:dyDescent="0.3">
      <c r="A449" t="s">
        <v>575</v>
      </c>
    </row>
    <row r="450" spans="1:1" x14ac:dyDescent="0.3">
      <c r="A450" t="s">
        <v>576</v>
      </c>
    </row>
    <row r="451" spans="1:1" x14ac:dyDescent="0.3">
      <c r="A451" t="s">
        <v>577</v>
      </c>
    </row>
    <row r="452" spans="1:1" x14ac:dyDescent="0.3">
      <c r="A452" t="s">
        <v>578</v>
      </c>
    </row>
    <row r="453" spans="1:1" x14ac:dyDescent="0.3">
      <c r="A453" t="s">
        <v>579</v>
      </c>
    </row>
    <row r="454" spans="1:1" x14ac:dyDescent="0.3">
      <c r="A454" t="s">
        <v>580</v>
      </c>
    </row>
    <row r="455" spans="1:1" x14ac:dyDescent="0.3">
      <c r="A455" t="s">
        <v>581</v>
      </c>
    </row>
    <row r="456" spans="1:1" x14ac:dyDescent="0.3">
      <c r="A456" t="s">
        <v>582</v>
      </c>
    </row>
    <row r="457" spans="1:1" x14ac:dyDescent="0.3">
      <c r="A457" t="s">
        <v>583</v>
      </c>
    </row>
    <row r="458" spans="1:1" x14ac:dyDescent="0.3">
      <c r="A458" t="s">
        <v>584</v>
      </c>
    </row>
    <row r="459" spans="1:1" x14ac:dyDescent="0.3">
      <c r="A459" t="s">
        <v>585</v>
      </c>
    </row>
    <row r="460" spans="1:1" x14ac:dyDescent="0.3">
      <c r="A460" t="s">
        <v>586</v>
      </c>
    </row>
    <row r="461" spans="1:1" x14ac:dyDescent="0.3">
      <c r="A461" t="s">
        <v>587</v>
      </c>
    </row>
    <row r="462" spans="1:1" x14ac:dyDescent="0.3">
      <c r="A462" t="s">
        <v>588</v>
      </c>
    </row>
    <row r="463" spans="1:1" x14ac:dyDescent="0.3">
      <c r="A463" t="s">
        <v>589</v>
      </c>
    </row>
    <row r="464" spans="1:1" x14ac:dyDescent="0.3">
      <c r="A464" t="s">
        <v>590</v>
      </c>
    </row>
    <row r="465" spans="1:1" x14ac:dyDescent="0.3">
      <c r="A465" t="s">
        <v>591</v>
      </c>
    </row>
    <row r="466" spans="1:1" x14ac:dyDescent="0.3">
      <c r="A466" t="s">
        <v>592</v>
      </c>
    </row>
    <row r="467" spans="1:1" x14ac:dyDescent="0.3">
      <c r="A467" t="s">
        <v>593</v>
      </c>
    </row>
    <row r="468" spans="1:1" x14ac:dyDescent="0.3">
      <c r="A468" t="s">
        <v>594</v>
      </c>
    </row>
    <row r="469" spans="1:1" x14ac:dyDescent="0.3">
      <c r="A469" t="s">
        <v>595</v>
      </c>
    </row>
    <row r="470" spans="1:1" x14ac:dyDescent="0.3">
      <c r="A470" t="s">
        <v>596</v>
      </c>
    </row>
    <row r="471" spans="1:1" x14ac:dyDescent="0.3">
      <c r="A471" t="s">
        <v>597</v>
      </c>
    </row>
    <row r="472" spans="1:1" x14ac:dyDescent="0.3">
      <c r="A472" t="s">
        <v>598</v>
      </c>
    </row>
    <row r="473" spans="1:1" x14ac:dyDescent="0.3">
      <c r="A473" t="s">
        <v>599</v>
      </c>
    </row>
    <row r="474" spans="1:1" x14ac:dyDescent="0.3">
      <c r="A474" t="s">
        <v>600</v>
      </c>
    </row>
    <row r="475" spans="1:1" x14ac:dyDescent="0.3">
      <c r="A475" t="s">
        <v>601</v>
      </c>
    </row>
    <row r="476" spans="1:1" x14ac:dyDescent="0.3">
      <c r="A476" t="s">
        <v>602</v>
      </c>
    </row>
    <row r="477" spans="1:1" x14ac:dyDescent="0.3">
      <c r="A477" t="s">
        <v>603</v>
      </c>
    </row>
    <row r="478" spans="1:1" x14ac:dyDescent="0.3">
      <c r="A478" t="s">
        <v>604</v>
      </c>
    </row>
    <row r="479" spans="1:1" x14ac:dyDescent="0.3">
      <c r="A479" t="s">
        <v>605</v>
      </c>
    </row>
    <row r="480" spans="1:1" x14ac:dyDescent="0.3">
      <c r="A480" t="s">
        <v>606</v>
      </c>
    </row>
    <row r="481" spans="1:1" x14ac:dyDescent="0.3">
      <c r="A481" t="s">
        <v>607</v>
      </c>
    </row>
    <row r="482" spans="1:1" x14ac:dyDescent="0.3">
      <c r="A482" t="s">
        <v>608</v>
      </c>
    </row>
    <row r="483" spans="1:1" x14ac:dyDescent="0.3">
      <c r="A483" t="s">
        <v>609</v>
      </c>
    </row>
    <row r="484" spans="1:1" x14ac:dyDescent="0.3">
      <c r="A484" t="s">
        <v>610</v>
      </c>
    </row>
    <row r="485" spans="1:1" x14ac:dyDescent="0.3">
      <c r="A485" t="s">
        <v>611</v>
      </c>
    </row>
    <row r="486" spans="1:1" x14ac:dyDescent="0.3">
      <c r="A486" t="s">
        <v>612</v>
      </c>
    </row>
    <row r="487" spans="1:1" x14ac:dyDescent="0.3">
      <c r="A487" t="s">
        <v>613</v>
      </c>
    </row>
    <row r="488" spans="1:1" x14ac:dyDescent="0.3">
      <c r="A488" t="s">
        <v>614</v>
      </c>
    </row>
    <row r="489" spans="1:1" x14ac:dyDescent="0.3">
      <c r="A489" t="s">
        <v>615</v>
      </c>
    </row>
    <row r="490" spans="1:1" x14ac:dyDescent="0.3">
      <c r="A490" t="s">
        <v>616</v>
      </c>
    </row>
    <row r="491" spans="1:1" x14ac:dyDescent="0.3">
      <c r="A491" t="s">
        <v>617</v>
      </c>
    </row>
    <row r="492" spans="1:1" x14ac:dyDescent="0.3">
      <c r="A492" t="s">
        <v>618</v>
      </c>
    </row>
    <row r="493" spans="1:1" x14ac:dyDescent="0.3">
      <c r="A493" t="s">
        <v>619</v>
      </c>
    </row>
    <row r="494" spans="1:1" x14ac:dyDescent="0.3">
      <c r="A494" t="s">
        <v>620</v>
      </c>
    </row>
    <row r="495" spans="1:1" x14ac:dyDescent="0.3">
      <c r="A495" t="s">
        <v>621</v>
      </c>
    </row>
    <row r="496" spans="1:1" x14ac:dyDescent="0.3">
      <c r="A496" t="s">
        <v>622</v>
      </c>
    </row>
    <row r="497" spans="1:1" x14ac:dyDescent="0.3">
      <c r="A497" t="s">
        <v>623</v>
      </c>
    </row>
    <row r="498" spans="1:1" x14ac:dyDescent="0.3">
      <c r="A498" t="s">
        <v>624</v>
      </c>
    </row>
    <row r="499" spans="1:1" x14ac:dyDescent="0.3">
      <c r="A499" t="s">
        <v>625</v>
      </c>
    </row>
    <row r="500" spans="1:1" x14ac:dyDescent="0.3">
      <c r="A500" t="s">
        <v>626</v>
      </c>
    </row>
    <row r="501" spans="1:1" x14ac:dyDescent="0.3">
      <c r="A501" t="s">
        <v>627</v>
      </c>
    </row>
    <row r="502" spans="1:1" x14ac:dyDescent="0.3">
      <c r="A502" t="s">
        <v>628</v>
      </c>
    </row>
    <row r="503" spans="1:1" x14ac:dyDescent="0.3">
      <c r="A503" t="s">
        <v>629</v>
      </c>
    </row>
    <row r="504" spans="1:1" x14ac:dyDescent="0.3">
      <c r="A504" t="s">
        <v>630</v>
      </c>
    </row>
    <row r="505" spans="1:1" x14ac:dyDescent="0.3">
      <c r="A505" t="s">
        <v>631</v>
      </c>
    </row>
    <row r="506" spans="1:1" x14ac:dyDescent="0.3">
      <c r="A506" t="s">
        <v>632</v>
      </c>
    </row>
    <row r="507" spans="1:1" x14ac:dyDescent="0.3">
      <c r="A507" t="s">
        <v>633</v>
      </c>
    </row>
    <row r="508" spans="1:1" x14ac:dyDescent="0.3">
      <c r="A508" t="s">
        <v>634</v>
      </c>
    </row>
    <row r="509" spans="1:1" x14ac:dyDescent="0.3">
      <c r="A509" t="s">
        <v>635</v>
      </c>
    </row>
    <row r="510" spans="1:1" x14ac:dyDescent="0.3">
      <c r="A510" t="s">
        <v>636</v>
      </c>
    </row>
    <row r="511" spans="1:1" x14ac:dyDescent="0.3">
      <c r="A511" t="s">
        <v>637</v>
      </c>
    </row>
    <row r="512" spans="1:1" x14ac:dyDescent="0.3">
      <c r="A512" t="s">
        <v>638</v>
      </c>
    </row>
    <row r="513" spans="1:1" x14ac:dyDescent="0.3">
      <c r="A513" t="s">
        <v>639</v>
      </c>
    </row>
    <row r="514" spans="1:1" x14ac:dyDescent="0.3">
      <c r="A514" t="s">
        <v>640</v>
      </c>
    </row>
    <row r="515" spans="1:1" x14ac:dyDescent="0.3">
      <c r="A515" t="s">
        <v>641</v>
      </c>
    </row>
    <row r="516" spans="1:1" x14ac:dyDescent="0.3">
      <c r="A516" t="s">
        <v>642</v>
      </c>
    </row>
    <row r="517" spans="1:1" x14ac:dyDescent="0.3">
      <c r="A517" t="s">
        <v>643</v>
      </c>
    </row>
    <row r="518" spans="1:1" x14ac:dyDescent="0.3">
      <c r="A518" t="s">
        <v>644</v>
      </c>
    </row>
    <row r="519" spans="1:1" x14ac:dyDescent="0.3">
      <c r="A519" t="s">
        <v>645</v>
      </c>
    </row>
    <row r="520" spans="1:1" x14ac:dyDescent="0.3">
      <c r="A520" t="s">
        <v>646</v>
      </c>
    </row>
    <row r="521" spans="1:1" x14ac:dyDescent="0.3">
      <c r="A521" t="s">
        <v>647</v>
      </c>
    </row>
    <row r="522" spans="1:1" x14ac:dyDescent="0.3">
      <c r="A522" t="s">
        <v>648</v>
      </c>
    </row>
    <row r="523" spans="1:1" x14ac:dyDescent="0.3">
      <c r="A523" t="s">
        <v>649</v>
      </c>
    </row>
    <row r="524" spans="1:1" x14ac:dyDescent="0.3">
      <c r="A524" t="s">
        <v>650</v>
      </c>
    </row>
    <row r="525" spans="1:1" x14ac:dyDescent="0.3">
      <c r="A525" t="s">
        <v>651</v>
      </c>
    </row>
    <row r="526" spans="1:1" x14ac:dyDescent="0.3">
      <c r="A526" t="s">
        <v>652</v>
      </c>
    </row>
    <row r="527" spans="1:1" x14ac:dyDescent="0.3">
      <c r="A527" t="s">
        <v>653</v>
      </c>
    </row>
    <row r="528" spans="1:1" x14ac:dyDescent="0.3">
      <c r="A528" t="s">
        <v>654</v>
      </c>
    </row>
    <row r="529" spans="1:1" x14ac:dyDescent="0.3">
      <c r="A529" t="s">
        <v>655</v>
      </c>
    </row>
    <row r="530" spans="1:1" x14ac:dyDescent="0.3">
      <c r="A530" t="s">
        <v>656</v>
      </c>
    </row>
    <row r="531" spans="1:1" x14ac:dyDescent="0.3">
      <c r="A531" t="s">
        <v>657</v>
      </c>
    </row>
    <row r="532" spans="1:1" x14ac:dyDescent="0.3">
      <c r="A532" t="s">
        <v>658</v>
      </c>
    </row>
    <row r="533" spans="1:1" x14ac:dyDescent="0.3">
      <c r="A533" t="s">
        <v>659</v>
      </c>
    </row>
    <row r="534" spans="1:1" x14ac:dyDescent="0.3">
      <c r="A534" t="s">
        <v>660</v>
      </c>
    </row>
    <row r="535" spans="1:1" x14ac:dyDescent="0.3">
      <c r="A535" t="s">
        <v>661</v>
      </c>
    </row>
    <row r="536" spans="1:1" x14ac:dyDescent="0.3">
      <c r="A536" t="s">
        <v>662</v>
      </c>
    </row>
    <row r="537" spans="1:1" x14ac:dyDescent="0.3">
      <c r="A537" t="s">
        <v>663</v>
      </c>
    </row>
    <row r="538" spans="1:1" x14ac:dyDescent="0.3">
      <c r="A538" t="s">
        <v>664</v>
      </c>
    </row>
    <row r="539" spans="1:1" x14ac:dyDescent="0.3">
      <c r="A539" t="s">
        <v>665</v>
      </c>
    </row>
    <row r="540" spans="1:1" x14ac:dyDescent="0.3">
      <c r="A540" t="s">
        <v>666</v>
      </c>
    </row>
    <row r="541" spans="1:1" x14ac:dyDescent="0.3">
      <c r="A541" t="s">
        <v>667</v>
      </c>
    </row>
    <row r="542" spans="1:1" x14ac:dyDescent="0.3">
      <c r="A542" t="s">
        <v>668</v>
      </c>
    </row>
    <row r="543" spans="1:1" x14ac:dyDescent="0.3">
      <c r="A543" t="s">
        <v>669</v>
      </c>
    </row>
    <row r="544" spans="1:1" x14ac:dyDescent="0.3">
      <c r="A544" t="s">
        <v>670</v>
      </c>
    </row>
    <row r="545" spans="1:1" x14ac:dyDescent="0.3">
      <c r="A545" t="s">
        <v>671</v>
      </c>
    </row>
    <row r="546" spans="1:1" x14ac:dyDescent="0.3">
      <c r="A546" t="s">
        <v>672</v>
      </c>
    </row>
    <row r="547" spans="1:1" x14ac:dyDescent="0.3">
      <c r="A547" t="s">
        <v>673</v>
      </c>
    </row>
    <row r="548" spans="1:1" x14ac:dyDescent="0.3">
      <c r="A548" t="s">
        <v>674</v>
      </c>
    </row>
    <row r="549" spans="1:1" x14ac:dyDescent="0.3">
      <c r="A549" t="s">
        <v>675</v>
      </c>
    </row>
    <row r="550" spans="1:1" x14ac:dyDescent="0.3">
      <c r="A550" t="s">
        <v>676</v>
      </c>
    </row>
    <row r="551" spans="1:1" x14ac:dyDescent="0.3">
      <c r="A551" t="s">
        <v>677</v>
      </c>
    </row>
    <row r="552" spans="1:1" x14ac:dyDescent="0.3">
      <c r="A552" t="s">
        <v>678</v>
      </c>
    </row>
    <row r="553" spans="1:1" x14ac:dyDescent="0.3">
      <c r="A553" t="s">
        <v>679</v>
      </c>
    </row>
    <row r="554" spans="1:1" x14ac:dyDescent="0.3">
      <c r="A554" t="s">
        <v>680</v>
      </c>
    </row>
    <row r="555" spans="1:1" x14ac:dyDescent="0.3">
      <c r="A555" t="s">
        <v>681</v>
      </c>
    </row>
    <row r="556" spans="1:1" x14ac:dyDescent="0.3">
      <c r="A556" t="s">
        <v>682</v>
      </c>
    </row>
    <row r="557" spans="1:1" x14ac:dyDescent="0.3">
      <c r="A557" t="s">
        <v>683</v>
      </c>
    </row>
    <row r="558" spans="1:1" x14ac:dyDescent="0.3">
      <c r="A558" t="s">
        <v>684</v>
      </c>
    </row>
    <row r="559" spans="1:1" x14ac:dyDescent="0.3">
      <c r="A559" t="s">
        <v>685</v>
      </c>
    </row>
    <row r="560" spans="1:1" x14ac:dyDescent="0.3">
      <c r="A560" t="s">
        <v>686</v>
      </c>
    </row>
    <row r="561" spans="1:1" x14ac:dyDescent="0.3">
      <c r="A561" t="s">
        <v>687</v>
      </c>
    </row>
    <row r="562" spans="1:1" x14ac:dyDescent="0.3">
      <c r="A562" t="s">
        <v>688</v>
      </c>
    </row>
    <row r="563" spans="1:1" x14ac:dyDescent="0.3">
      <c r="A563" t="s">
        <v>689</v>
      </c>
    </row>
    <row r="564" spans="1:1" x14ac:dyDescent="0.3">
      <c r="A564" t="s">
        <v>690</v>
      </c>
    </row>
    <row r="565" spans="1:1" x14ac:dyDescent="0.3">
      <c r="A565" t="s">
        <v>691</v>
      </c>
    </row>
    <row r="566" spans="1:1" x14ac:dyDescent="0.3">
      <c r="A566" t="s">
        <v>692</v>
      </c>
    </row>
    <row r="567" spans="1:1" x14ac:dyDescent="0.3">
      <c r="A567" t="s">
        <v>693</v>
      </c>
    </row>
    <row r="568" spans="1:1" x14ac:dyDescent="0.3">
      <c r="A568" t="s">
        <v>694</v>
      </c>
    </row>
    <row r="569" spans="1:1" x14ac:dyDescent="0.3">
      <c r="A569" t="s">
        <v>695</v>
      </c>
    </row>
    <row r="570" spans="1:1" x14ac:dyDescent="0.3">
      <c r="A570" t="s">
        <v>696</v>
      </c>
    </row>
    <row r="571" spans="1:1" x14ac:dyDescent="0.3">
      <c r="A571" t="s">
        <v>697</v>
      </c>
    </row>
    <row r="572" spans="1:1" x14ac:dyDescent="0.3">
      <c r="A572" t="s">
        <v>698</v>
      </c>
    </row>
    <row r="573" spans="1:1" x14ac:dyDescent="0.3">
      <c r="A573" t="s">
        <v>699</v>
      </c>
    </row>
    <row r="574" spans="1:1" x14ac:dyDescent="0.3">
      <c r="A574" t="s">
        <v>700</v>
      </c>
    </row>
    <row r="575" spans="1:1" x14ac:dyDescent="0.3">
      <c r="A575" t="s">
        <v>701</v>
      </c>
    </row>
    <row r="576" spans="1:1" x14ac:dyDescent="0.3">
      <c r="A576" t="s">
        <v>702</v>
      </c>
    </row>
    <row r="577" spans="1:1" x14ac:dyDescent="0.3">
      <c r="A577" t="s">
        <v>703</v>
      </c>
    </row>
    <row r="578" spans="1:1" x14ac:dyDescent="0.3">
      <c r="A578" t="s">
        <v>704</v>
      </c>
    </row>
    <row r="579" spans="1:1" x14ac:dyDescent="0.3">
      <c r="A579" t="s">
        <v>705</v>
      </c>
    </row>
    <row r="580" spans="1:1" x14ac:dyDescent="0.3">
      <c r="A580" t="s">
        <v>706</v>
      </c>
    </row>
    <row r="581" spans="1:1" x14ac:dyDescent="0.3">
      <c r="A581" t="s">
        <v>707</v>
      </c>
    </row>
    <row r="582" spans="1:1" x14ac:dyDescent="0.3">
      <c r="A582" t="s">
        <v>708</v>
      </c>
    </row>
    <row r="583" spans="1:1" x14ac:dyDescent="0.3">
      <c r="A583" t="s">
        <v>709</v>
      </c>
    </row>
    <row r="584" spans="1:1" x14ac:dyDescent="0.3">
      <c r="A584" t="s">
        <v>710</v>
      </c>
    </row>
    <row r="585" spans="1:1" x14ac:dyDescent="0.3">
      <c r="A585" t="s">
        <v>711</v>
      </c>
    </row>
    <row r="586" spans="1:1" x14ac:dyDescent="0.3">
      <c r="A586" t="s">
        <v>712</v>
      </c>
    </row>
    <row r="587" spans="1:1" x14ac:dyDescent="0.3">
      <c r="A587" t="s">
        <v>713</v>
      </c>
    </row>
    <row r="588" spans="1:1" x14ac:dyDescent="0.3">
      <c r="A588" t="s">
        <v>714</v>
      </c>
    </row>
    <row r="589" spans="1:1" x14ac:dyDescent="0.3">
      <c r="A589" t="s">
        <v>715</v>
      </c>
    </row>
    <row r="590" spans="1:1" x14ac:dyDescent="0.3">
      <c r="A590" t="s">
        <v>716</v>
      </c>
    </row>
    <row r="591" spans="1:1" x14ac:dyDescent="0.3">
      <c r="A591" t="s">
        <v>717</v>
      </c>
    </row>
    <row r="592" spans="1:1" x14ac:dyDescent="0.3">
      <c r="A592" t="s">
        <v>718</v>
      </c>
    </row>
    <row r="593" spans="1:1" x14ac:dyDescent="0.3">
      <c r="A593" t="s">
        <v>719</v>
      </c>
    </row>
    <row r="594" spans="1:1" x14ac:dyDescent="0.3">
      <c r="A594" t="s">
        <v>720</v>
      </c>
    </row>
    <row r="595" spans="1:1" x14ac:dyDescent="0.3">
      <c r="A595" t="s">
        <v>721</v>
      </c>
    </row>
    <row r="596" spans="1:1" x14ac:dyDescent="0.3">
      <c r="A596" t="s">
        <v>722</v>
      </c>
    </row>
    <row r="597" spans="1:1" x14ac:dyDescent="0.3">
      <c r="A597" t="s">
        <v>723</v>
      </c>
    </row>
    <row r="598" spans="1:1" x14ac:dyDescent="0.3">
      <c r="A598" t="s">
        <v>724</v>
      </c>
    </row>
    <row r="599" spans="1:1" x14ac:dyDescent="0.3">
      <c r="A599" t="s">
        <v>725</v>
      </c>
    </row>
    <row r="600" spans="1:1" x14ac:dyDescent="0.3">
      <c r="A600" t="s">
        <v>726</v>
      </c>
    </row>
    <row r="601" spans="1:1" x14ac:dyDescent="0.3">
      <c r="A601" t="s">
        <v>727</v>
      </c>
    </row>
    <row r="602" spans="1:1" x14ac:dyDescent="0.3">
      <c r="A602" t="s">
        <v>728</v>
      </c>
    </row>
    <row r="603" spans="1:1" x14ac:dyDescent="0.3">
      <c r="A603" t="s">
        <v>729</v>
      </c>
    </row>
    <row r="604" spans="1:1" x14ac:dyDescent="0.3">
      <c r="A604" t="s">
        <v>730</v>
      </c>
    </row>
    <row r="605" spans="1:1" x14ac:dyDescent="0.3">
      <c r="A605" t="s">
        <v>731</v>
      </c>
    </row>
    <row r="606" spans="1:1" x14ac:dyDescent="0.3">
      <c r="A606" t="s">
        <v>732</v>
      </c>
    </row>
    <row r="607" spans="1:1" x14ac:dyDescent="0.3">
      <c r="A607" t="s">
        <v>733</v>
      </c>
    </row>
    <row r="608" spans="1:1" x14ac:dyDescent="0.3">
      <c r="A608" t="s">
        <v>734</v>
      </c>
    </row>
    <row r="609" spans="1:1" x14ac:dyDescent="0.3">
      <c r="A609" t="s">
        <v>735</v>
      </c>
    </row>
    <row r="610" spans="1:1" x14ac:dyDescent="0.3">
      <c r="A610" t="s">
        <v>736</v>
      </c>
    </row>
    <row r="611" spans="1:1" x14ac:dyDescent="0.3">
      <c r="A611" t="s">
        <v>737</v>
      </c>
    </row>
    <row r="612" spans="1:1" x14ac:dyDescent="0.3">
      <c r="A612" t="s">
        <v>738</v>
      </c>
    </row>
    <row r="613" spans="1:1" x14ac:dyDescent="0.3">
      <c r="A613" t="s">
        <v>739</v>
      </c>
    </row>
    <row r="614" spans="1:1" x14ac:dyDescent="0.3">
      <c r="A614" t="s">
        <v>740</v>
      </c>
    </row>
    <row r="615" spans="1:1" x14ac:dyDescent="0.3">
      <c r="A615" t="s">
        <v>741</v>
      </c>
    </row>
    <row r="616" spans="1:1" x14ac:dyDescent="0.3">
      <c r="A616" t="s">
        <v>742</v>
      </c>
    </row>
    <row r="617" spans="1:1" x14ac:dyDescent="0.3">
      <c r="A617" t="s">
        <v>743</v>
      </c>
    </row>
    <row r="618" spans="1:1" x14ac:dyDescent="0.3">
      <c r="A618" t="s">
        <v>744</v>
      </c>
    </row>
    <row r="619" spans="1:1" x14ac:dyDescent="0.3">
      <c r="A619" t="s">
        <v>745</v>
      </c>
    </row>
    <row r="620" spans="1:1" x14ac:dyDescent="0.3">
      <c r="A620" t="s">
        <v>746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1:AI93"/>
  <sheetViews>
    <sheetView showGridLines="0" showRowColHeaders="0" topLeftCell="FE1221" zoomScaleNormal="100" workbookViewId="0">
      <selection activeCell="FE1221" sqref="FE1221"/>
    </sheetView>
  </sheetViews>
  <sheetFormatPr defaultColWidth="10.6640625" defaultRowHeight="15.6" x14ac:dyDescent="0.3"/>
  <cols>
    <col min="1" max="1" width="13.109375" style="444" bestFit="1" customWidth="1"/>
    <col min="2" max="2" width="10.6640625" style="412"/>
    <col min="3" max="3" width="12.44140625" style="412" customWidth="1"/>
    <col min="4" max="4" width="10.6640625" style="412"/>
    <col min="5" max="5" width="12.33203125" style="412" bestFit="1" customWidth="1"/>
    <col min="6" max="15" width="10.6640625" style="412"/>
    <col min="16" max="16" width="4.6640625" style="412" bestFit="1" customWidth="1"/>
    <col min="17" max="17" width="17.6640625" style="412" bestFit="1" customWidth="1"/>
    <col min="18" max="18" width="11.109375" style="412" bestFit="1" customWidth="1"/>
    <col min="19" max="19" width="11" style="412" bestFit="1" customWidth="1"/>
    <col min="20" max="20" width="10.33203125" style="412" bestFit="1" customWidth="1"/>
    <col min="21" max="21" width="8.109375" style="412" bestFit="1" customWidth="1"/>
    <col min="22" max="22" width="10.33203125" style="412" customWidth="1"/>
    <col min="23" max="23" width="3.33203125" style="412" bestFit="1" customWidth="1"/>
    <col min="24" max="16384" width="10.6640625" style="412"/>
  </cols>
  <sheetData>
    <row r="1" spans="1:35" ht="16.2" thickBot="1" x14ac:dyDescent="0.35">
      <c r="K1" s="445" t="s">
        <v>747</v>
      </c>
      <c r="L1" s="446" t="s">
        <v>748</v>
      </c>
      <c r="M1" s="446" t="s">
        <v>749</v>
      </c>
      <c r="N1" s="446" t="s">
        <v>750</v>
      </c>
    </row>
    <row r="2" spans="1:35" ht="16.2" thickBot="1" x14ac:dyDescent="0.35">
      <c r="K2" s="446" t="s">
        <v>751</v>
      </c>
      <c r="L2" s="446" t="str">
        <f>Idiomas!D192</f>
        <v>Alemania</v>
      </c>
      <c r="M2" s="446">
        <f>INDEX($R$3:$R$93,MATCH($L$2,$Q$3:$Q$93,0))</f>
        <v>2</v>
      </c>
      <c r="N2" s="447">
        <f>INDEX($S$3:$S$93,MATCH($L$2,$Q$3:$Q$93,0))</f>
        <v>8.3333333333333329E-2</v>
      </c>
      <c r="P2" s="448" t="s">
        <v>752</v>
      </c>
      <c r="Q2" s="448" t="s">
        <v>748</v>
      </c>
      <c r="R2" s="448" t="s">
        <v>753</v>
      </c>
      <c r="S2" s="448" t="s">
        <v>754</v>
      </c>
      <c r="T2" s="448" t="s">
        <v>755</v>
      </c>
      <c r="U2" s="448" t="s">
        <v>756</v>
      </c>
      <c r="V2" s="448" t="s">
        <v>757</v>
      </c>
      <c r="W2" s="449" t="s">
        <v>758</v>
      </c>
      <c r="Z2" s="448" t="s">
        <v>752</v>
      </c>
      <c r="AA2" s="448" t="s">
        <v>759</v>
      </c>
      <c r="AB2" s="448" t="s">
        <v>753</v>
      </c>
      <c r="AC2" s="448" t="s">
        <v>754</v>
      </c>
      <c r="AD2" s="448" t="s">
        <v>755</v>
      </c>
      <c r="AE2" s="448" t="s">
        <v>756</v>
      </c>
      <c r="AF2" s="448" t="s">
        <v>757</v>
      </c>
      <c r="AG2" s="449" t="s">
        <v>758</v>
      </c>
      <c r="AH2" s="448" t="s">
        <v>760</v>
      </c>
      <c r="AI2" s="448" t="s">
        <v>90</v>
      </c>
    </row>
    <row r="3" spans="1:35" x14ac:dyDescent="0.3">
      <c r="A3" s="450" t="s">
        <v>761</v>
      </c>
      <c r="C3" s="412">
        <f>IFERROR(INDEX($P$3:$P$93,MATCH(EURO2024!$G$1,Horarios!$Q$3:$Q$93,0)),1)</f>
        <v>17</v>
      </c>
      <c r="K3" s="412" t="s">
        <v>762</v>
      </c>
      <c r="P3" s="412">
        <v>1</v>
      </c>
      <c r="Q3" s="412" t="str">
        <f t="shared" ref="Q3:Q34" si="0">INDEX($AA$3:$AA$57,MATCH(P3,$AI$3:$AI$57,0))</f>
        <v>Albania</v>
      </c>
      <c r="R3" s="412">
        <f t="shared" ref="R3:R34" si="1">INDEX(AB$3:AB$93,MATCH($Q3,$AA$3:$AA$93,0))</f>
        <v>2</v>
      </c>
      <c r="S3" s="451">
        <f t="shared" ref="S3:S34" si="2">INDEX(AC$3:AC$93,MATCH($Q3,$AA$3:$AA$93,0))</f>
        <v>8.3333333333333329E-2</v>
      </c>
      <c r="T3" s="412">
        <f t="shared" ref="T3:T34" si="3">INDEX(AD$3:AD$93,MATCH($Q3,$AA$3:$AA$93,0))</f>
        <v>0</v>
      </c>
      <c r="U3" s="412">
        <f t="shared" ref="U3:U34" si="4">INDEX(AE$3:AE$93,MATCH($Q3,$AA$3:$AA$93,0))</f>
        <v>0</v>
      </c>
      <c r="V3" s="451">
        <f t="shared" ref="V3:V34" si="5">INDEX(AF$3:AF$93,MATCH($Q3,$AA$3:$AA$93,0))</f>
        <v>0</v>
      </c>
      <c r="W3" s="412">
        <f t="shared" ref="W3:W34" si="6">INDEX(AG$3:AG$93,MATCH($Q3,$AA$3:$AA$93,0))</f>
        <v>0</v>
      </c>
      <c r="Z3" s="412">
        <v>1</v>
      </c>
      <c r="AA3" s="412" t="str">
        <f>Idiomas!D132</f>
        <v>Albania</v>
      </c>
      <c r="AB3" s="412">
        <v>2</v>
      </c>
      <c r="AC3" s="451">
        <v>8.3333333333333329E-2</v>
      </c>
      <c r="AD3" s="412">
        <f>IF(AA3=$L$2,1,0)</f>
        <v>0</v>
      </c>
      <c r="AE3" s="412">
        <f>AB3-$M$2</f>
        <v>0</v>
      </c>
      <c r="AF3" s="451">
        <f>ABS(AE3/24)</f>
        <v>0</v>
      </c>
      <c r="AG3" s="412">
        <f>IF(AB3&gt;$M$2,1,IF(AB3=$M$2,0,-1))</f>
        <v>0</v>
      </c>
      <c r="AH3" s="412">
        <v>1</v>
      </c>
      <c r="AI3" s="412">
        <f>COUNTIF($AA$3:$AA$57,"&lt;="&amp;AA3)</f>
        <v>1</v>
      </c>
    </row>
    <row r="4" spans="1:35" x14ac:dyDescent="0.3">
      <c r="A4" s="452">
        <v>45457.875</v>
      </c>
      <c r="C4" s="453" cm="1">
        <f t="array" ref="C4">A4+INDEX($V$3:V$93,$C$3)*INDEX($W$3:$W$93,$C$3)</f>
        <v>45457.875</v>
      </c>
      <c r="E4" s="453"/>
      <c r="P4" s="412">
        <v>2</v>
      </c>
      <c r="Q4" s="412" t="str">
        <f t="shared" si="0"/>
        <v>Alemania</v>
      </c>
      <c r="R4" s="412">
        <f t="shared" si="1"/>
        <v>2</v>
      </c>
      <c r="S4" s="451">
        <f t="shared" si="2"/>
        <v>8.3333333333333329E-2</v>
      </c>
      <c r="T4" s="412">
        <f t="shared" si="3"/>
        <v>1</v>
      </c>
      <c r="U4" s="412">
        <f t="shared" si="4"/>
        <v>0</v>
      </c>
      <c r="V4" s="451">
        <f t="shared" si="5"/>
        <v>0</v>
      </c>
      <c r="W4" s="412">
        <f t="shared" si="6"/>
        <v>0</v>
      </c>
      <c r="Z4" s="412">
        <v>2</v>
      </c>
      <c r="AA4" s="412" t="str">
        <f>Idiomas!D133</f>
        <v>Alemania</v>
      </c>
      <c r="AB4" s="412">
        <v>2</v>
      </c>
      <c r="AC4" s="451">
        <v>8.3333333333333329E-2</v>
      </c>
      <c r="AD4" s="412">
        <f t="shared" ref="AD4:AD67" si="7">IF(AA4=$L$2,1,0)</f>
        <v>1</v>
      </c>
      <c r="AE4" s="412">
        <f t="shared" ref="AE4:AE67" si="8">AB4-$M$2</f>
        <v>0</v>
      </c>
      <c r="AF4" s="451">
        <f t="shared" ref="AF4:AF67" si="9">ABS(AE4/24)</f>
        <v>0</v>
      </c>
      <c r="AG4" s="412">
        <f t="shared" ref="AG4:AG67" si="10">IF(AB4&gt;$M$2,1,IF(AB4=$M$2,0,-1))</f>
        <v>0</v>
      </c>
      <c r="AH4" s="412">
        <v>1</v>
      </c>
      <c r="AI4" s="412">
        <f t="shared" ref="AI4:AI57" si="11">COUNTIF($AA$3:$AA$57,"&lt;="&amp;AA4)</f>
        <v>2</v>
      </c>
    </row>
    <row r="5" spans="1:35" x14ac:dyDescent="0.3">
      <c r="A5" s="452">
        <v>45458.625</v>
      </c>
      <c r="C5" s="453" cm="1">
        <f t="array" ref="C5">A5+INDEX($V$3:V$93,$C$3)*INDEX($W$3:$W$93,$C$3)</f>
        <v>45458.625</v>
      </c>
      <c r="E5" s="453"/>
      <c r="P5" s="412">
        <v>3</v>
      </c>
      <c r="Q5" s="412" t="str">
        <f t="shared" si="0"/>
        <v>Andorra</v>
      </c>
      <c r="R5" s="412">
        <f t="shared" si="1"/>
        <v>2</v>
      </c>
      <c r="S5" s="451">
        <f t="shared" si="2"/>
        <v>8.3333333333333329E-2</v>
      </c>
      <c r="T5" s="412">
        <f t="shared" si="3"/>
        <v>0</v>
      </c>
      <c r="U5" s="412">
        <f t="shared" si="4"/>
        <v>0</v>
      </c>
      <c r="V5" s="451">
        <f t="shared" si="5"/>
        <v>0</v>
      </c>
      <c r="W5" s="412">
        <f t="shared" si="6"/>
        <v>0</v>
      </c>
      <c r="Z5" s="412">
        <v>3</v>
      </c>
      <c r="AA5" s="412" t="str">
        <f>Idiomas!D134</f>
        <v>Andorra</v>
      </c>
      <c r="AB5" s="412">
        <v>2</v>
      </c>
      <c r="AC5" s="451">
        <v>8.3333333333333329E-2</v>
      </c>
      <c r="AD5" s="412">
        <f t="shared" si="7"/>
        <v>0</v>
      </c>
      <c r="AE5" s="412">
        <f t="shared" si="8"/>
        <v>0</v>
      </c>
      <c r="AF5" s="451">
        <f t="shared" si="9"/>
        <v>0</v>
      </c>
      <c r="AG5" s="412">
        <f t="shared" si="10"/>
        <v>0</v>
      </c>
      <c r="AH5" s="412">
        <v>1</v>
      </c>
      <c r="AI5" s="412">
        <f t="shared" si="11"/>
        <v>3</v>
      </c>
    </row>
    <row r="6" spans="1:35" x14ac:dyDescent="0.3">
      <c r="A6" s="452">
        <v>45462.75</v>
      </c>
      <c r="C6" s="453" cm="1">
        <f t="array" ref="C6">A6+INDEX($V$3:V$93,$C$3)*INDEX($W$3:$W$93,$C$3)</f>
        <v>45462.75</v>
      </c>
      <c r="E6" s="453"/>
      <c r="P6" s="412">
        <v>4</v>
      </c>
      <c r="Q6" s="412" t="str">
        <f t="shared" si="0"/>
        <v>Armenia</v>
      </c>
      <c r="R6" s="412">
        <f t="shared" si="1"/>
        <v>4</v>
      </c>
      <c r="S6" s="451">
        <f t="shared" si="2"/>
        <v>0.16666666666666666</v>
      </c>
      <c r="T6" s="412">
        <f t="shared" si="3"/>
        <v>0</v>
      </c>
      <c r="U6" s="412">
        <f t="shared" si="4"/>
        <v>2</v>
      </c>
      <c r="V6" s="451">
        <f t="shared" si="5"/>
        <v>8.3333333333333329E-2</v>
      </c>
      <c r="W6" s="412">
        <f t="shared" si="6"/>
        <v>1</v>
      </c>
      <c r="Z6" s="412">
        <v>4</v>
      </c>
      <c r="AA6" s="412" t="str">
        <f>Idiomas!D135</f>
        <v>Armenia</v>
      </c>
      <c r="AB6" s="412">
        <v>4</v>
      </c>
      <c r="AC6" s="451">
        <v>0.16666666666666666</v>
      </c>
      <c r="AD6" s="412">
        <f t="shared" si="7"/>
        <v>0</v>
      </c>
      <c r="AE6" s="412">
        <f t="shared" si="8"/>
        <v>2</v>
      </c>
      <c r="AF6" s="451">
        <f t="shared" si="9"/>
        <v>8.3333333333333329E-2</v>
      </c>
      <c r="AG6" s="412">
        <f t="shared" si="10"/>
        <v>1</v>
      </c>
      <c r="AH6" s="412">
        <v>4</v>
      </c>
      <c r="AI6" s="412">
        <f t="shared" si="11"/>
        <v>4</v>
      </c>
    </row>
    <row r="7" spans="1:35" x14ac:dyDescent="0.3">
      <c r="A7" s="452">
        <v>45462.875</v>
      </c>
      <c r="C7" s="453" cm="1">
        <f t="array" ref="C7">A7+INDEX($V$3:V$93,$C$3)*INDEX($W$3:$W$93,$C$3)</f>
        <v>45462.875</v>
      </c>
      <c r="E7" s="453"/>
      <c r="P7" s="412">
        <v>5</v>
      </c>
      <c r="Q7" s="412" t="str">
        <f t="shared" si="0"/>
        <v>Austria</v>
      </c>
      <c r="R7" s="412">
        <f t="shared" si="1"/>
        <v>2</v>
      </c>
      <c r="S7" s="451">
        <f t="shared" si="2"/>
        <v>8.3333333333333329E-2</v>
      </c>
      <c r="T7" s="412">
        <f t="shared" si="3"/>
        <v>0</v>
      </c>
      <c r="U7" s="412">
        <f t="shared" si="4"/>
        <v>0</v>
      </c>
      <c r="V7" s="451">
        <f t="shared" si="5"/>
        <v>0</v>
      </c>
      <c r="W7" s="412">
        <f t="shared" si="6"/>
        <v>0</v>
      </c>
      <c r="Z7" s="412">
        <v>5</v>
      </c>
      <c r="AA7" s="412" t="str">
        <f>Idiomas!D136</f>
        <v>Austria</v>
      </c>
      <c r="AB7" s="412">
        <v>2</v>
      </c>
      <c r="AC7" s="451">
        <v>8.3333333333333329E-2</v>
      </c>
      <c r="AD7" s="412">
        <f t="shared" si="7"/>
        <v>0</v>
      </c>
      <c r="AE7" s="412">
        <f t="shared" si="8"/>
        <v>0</v>
      </c>
      <c r="AF7" s="451">
        <f t="shared" si="9"/>
        <v>0</v>
      </c>
      <c r="AG7" s="412">
        <f t="shared" si="10"/>
        <v>0</v>
      </c>
      <c r="AH7" s="412">
        <v>1</v>
      </c>
      <c r="AI7" s="412">
        <f t="shared" si="11"/>
        <v>5</v>
      </c>
    </row>
    <row r="8" spans="1:35" x14ac:dyDescent="0.3">
      <c r="A8" s="452">
        <v>45466.875</v>
      </c>
      <c r="C8" s="453" cm="1">
        <f t="array" ref="C8">A8+INDEX($V$3:V$93,$C$3)*INDEX($W$3:$W$93,$C$3)</f>
        <v>45466.875</v>
      </c>
      <c r="E8" s="453"/>
      <c r="P8" s="412">
        <v>6</v>
      </c>
      <c r="Q8" s="412" t="str">
        <f t="shared" si="0"/>
        <v>Azerbaiyán</v>
      </c>
      <c r="R8" s="412">
        <f t="shared" si="1"/>
        <v>4</v>
      </c>
      <c r="S8" s="451">
        <f t="shared" si="2"/>
        <v>0.16666666666666666</v>
      </c>
      <c r="T8" s="412">
        <f t="shared" si="3"/>
        <v>0</v>
      </c>
      <c r="U8" s="412">
        <f t="shared" si="4"/>
        <v>2</v>
      </c>
      <c r="V8" s="451">
        <f t="shared" si="5"/>
        <v>8.3333333333333329E-2</v>
      </c>
      <c r="W8" s="412">
        <f t="shared" si="6"/>
        <v>1</v>
      </c>
      <c r="Z8" s="412">
        <v>6</v>
      </c>
      <c r="AA8" s="412" t="str">
        <f>Idiomas!D137</f>
        <v>Azerbaiyán</v>
      </c>
      <c r="AB8" s="412">
        <v>4</v>
      </c>
      <c r="AC8" s="451">
        <v>0.16666666666666666</v>
      </c>
      <c r="AD8" s="412">
        <f t="shared" si="7"/>
        <v>0</v>
      </c>
      <c r="AE8" s="412">
        <f t="shared" si="8"/>
        <v>2</v>
      </c>
      <c r="AF8" s="451">
        <f t="shared" si="9"/>
        <v>8.3333333333333329E-2</v>
      </c>
      <c r="AG8" s="412">
        <f t="shared" si="10"/>
        <v>1</v>
      </c>
      <c r="AH8" s="412">
        <v>4</v>
      </c>
      <c r="AI8" s="412">
        <f t="shared" si="11"/>
        <v>6</v>
      </c>
    </row>
    <row r="9" spans="1:35" x14ac:dyDescent="0.3">
      <c r="A9" s="452">
        <v>45466.875</v>
      </c>
      <c r="C9" s="453" cm="1">
        <f t="array" ref="C9">A9+INDEX($V$3:V$93,$C$3)*INDEX($W$3:$W$93,$C$3)</f>
        <v>45466.875</v>
      </c>
      <c r="E9" s="453"/>
      <c r="P9" s="412">
        <v>7</v>
      </c>
      <c r="Q9" s="412" t="str">
        <f t="shared" si="0"/>
        <v>Bélgica</v>
      </c>
      <c r="R9" s="412">
        <f t="shared" si="1"/>
        <v>2</v>
      </c>
      <c r="S9" s="451">
        <f t="shared" si="2"/>
        <v>8.3333333333333329E-2</v>
      </c>
      <c r="T9" s="412">
        <f t="shared" si="3"/>
        <v>0</v>
      </c>
      <c r="U9" s="412">
        <f t="shared" si="4"/>
        <v>0</v>
      </c>
      <c r="V9" s="451">
        <f t="shared" si="5"/>
        <v>0</v>
      </c>
      <c r="W9" s="412">
        <f t="shared" si="6"/>
        <v>0</v>
      </c>
      <c r="Z9" s="412">
        <v>7</v>
      </c>
      <c r="AA9" s="412" t="str">
        <f>Idiomas!D138</f>
        <v>Bélgica</v>
      </c>
      <c r="AB9" s="412">
        <v>2</v>
      </c>
      <c r="AC9" s="451">
        <v>8.3333333333333329E-2</v>
      </c>
      <c r="AD9" s="412">
        <f t="shared" si="7"/>
        <v>0</v>
      </c>
      <c r="AE9" s="412">
        <f t="shared" si="8"/>
        <v>0</v>
      </c>
      <c r="AF9" s="451">
        <f t="shared" si="9"/>
        <v>0</v>
      </c>
      <c r="AG9" s="412">
        <f t="shared" si="10"/>
        <v>0</v>
      </c>
      <c r="AH9" s="412">
        <v>1</v>
      </c>
      <c r="AI9" s="412">
        <f t="shared" si="11"/>
        <v>7</v>
      </c>
    </row>
    <row r="10" spans="1:35" x14ac:dyDescent="0.3">
      <c r="C10" s="453"/>
      <c r="E10" s="453"/>
      <c r="P10" s="412">
        <v>8</v>
      </c>
      <c r="Q10" s="412" t="str">
        <f t="shared" si="0"/>
        <v>Bielorrusia</v>
      </c>
      <c r="R10" s="412">
        <f t="shared" si="1"/>
        <v>3</v>
      </c>
      <c r="S10" s="451">
        <f t="shared" si="2"/>
        <v>0.125</v>
      </c>
      <c r="T10" s="412">
        <f t="shared" si="3"/>
        <v>0</v>
      </c>
      <c r="U10" s="412">
        <f t="shared" si="4"/>
        <v>1</v>
      </c>
      <c r="V10" s="451">
        <f t="shared" si="5"/>
        <v>4.1666666666666664E-2</v>
      </c>
      <c r="W10" s="412">
        <f t="shared" si="6"/>
        <v>1</v>
      </c>
      <c r="Z10" s="412">
        <v>8</v>
      </c>
      <c r="AA10" s="412" t="str">
        <f>Idiomas!D139</f>
        <v>Bielorrusia</v>
      </c>
      <c r="AB10" s="412">
        <v>3</v>
      </c>
      <c r="AC10" s="451">
        <v>0.125</v>
      </c>
      <c r="AD10" s="412">
        <f t="shared" si="7"/>
        <v>0</v>
      </c>
      <c r="AE10" s="412">
        <f t="shared" si="8"/>
        <v>1</v>
      </c>
      <c r="AF10" s="451">
        <f t="shared" si="9"/>
        <v>4.1666666666666664E-2</v>
      </c>
      <c r="AG10" s="412">
        <f t="shared" si="10"/>
        <v>1</v>
      </c>
      <c r="AH10" s="412">
        <v>3</v>
      </c>
      <c r="AI10" s="412">
        <f t="shared" si="11"/>
        <v>8</v>
      </c>
    </row>
    <row r="11" spans="1:35" x14ac:dyDescent="0.3">
      <c r="A11" s="454" t="s">
        <v>763</v>
      </c>
      <c r="C11" s="453"/>
      <c r="E11" s="453"/>
      <c r="P11" s="412">
        <v>9</v>
      </c>
      <c r="Q11" s="412" t="str">
        <f t="shared" si="0"/>
        <v>Bosnia y Herzegovina</v>
      </c>
      <c r="R11" s="412">
        <f t="shared" si="1"/>
        <v>2</v>
      </c>
      <c r="S11" s="451">
        <f t="shared" si="2"/>
        <v>8.3333333333333329E-2</v>
      </c>
      <c r="T11" s="412">
        <f t="shared" si="3"/>
        <v>0</v>
      </c>
      <c r="U11" s="412">
        <f t="shared" si="4"/>
        <v>0</v>
      </c>
      <c r="V11" s="451">
        <f t="shared" si="5"/>
        <v>0</v>
      </c>
      <c r="W11" s="412">
        <f t="shared" si="6"/>
        <v>0</v>
      </c>
      <c r="Z11" s="412">
        <v>9</v>
      </c>
      <c r="AA11" s="412" t="str">
        <f>Idiomas!D140</f>
        <v>Bosnia y Herzegovina</v>
      </c>
      <c r="AB11" s="412">
        <v>2</v>
      </c>
      <c r="AC11" s="451">
        <v>8.3333333333333329E-2</v>
      </c>
      <c r="AD11" s="412">
        <f t="shared" si="7"/>
        <v>0</v>
      </c>
      <c r="AE11" s="412">
        <f t="shared" si="8"/>
        <v>0</v>
      </c>
      <c r="AF11" s="451">
        <f t="shared" si="9"/>
        <v>0</v>
      </c>
      <c r="AG11" s="412">
        <f t="shared" si="10"/>
        <v>0</v>
      </c>
      <c r="AH11" s="412">
        <v>1</v>
      </c>
      <c r="AI11" s="412">
        <f t="shared" si="11"/>
        <v>9</v>
      </c>
    </row>
    <row r="12" spans="1:35" x14ac:dyDescent="0.3">
      <c r="A12" s="452">
        <v>45458.75</v>
      </c>
      <c r="C12" s="453" cm="1">
        <f t="array" ref="C12">A12+INDEX($V$3:V$93,$C$3)*INDEX($W$3:$W$93,$C$3)</f>
        <v>45458.75</v>
      </c>
      <c r="E12" s="453"/>
      <c r="P12" s="412">
        <v>10</v>
      </c>
      <c r="Q12" s="412" t="str">
        <f t="shared" si="0"/>
        <v>Bulgaria</v>
      </c>
      <c r="R12" s="412">
        <f t="shared" si="1"/>
        <v>3</v>
      </c>
      <c r="S12" s="451">
        <f t="shared" si="2"/>
        <v>0.125</v>
      </c>
      <c r="T12" s="412">
        <f t="shared" si="3"/>
        <v>0</v>
      </c>
      <c r="U12" s="412">
        <f t="shared" si="4"/>
        <v>1</v>
      </c>
      <c r="V12" s="451">
        <f t="shared" si="5"/>
        <v>4.1666666666666664E-2</v>
      </c>
      <c r="W12" s="412">
        <f t="shared" si="6"/>
        <v>1</v>
      </c>
      <c r="Z12" s="412">
        <v>10</v>
      </c>
      <c r="AA12" s="412" t="str">
        <f>Idiomas!D141</f>
        <v>Bulgaria</v>
      </c>
      <c r="AB12" s="412">
        <v>3</v>
      </c>
      <c r="AC12" s="451">
        <v>0.125</v>
      </c>
      <c r="AD12" s="412">
        <f t="shared" si="7"/>
        <v>0</v>
      </c>
      <c r="AE12" s="412">
        <f t="shared" si="8"/>
        <v>1</v>
      </c>
      <c r="AF12" s="451">
        <f t="shared" si="9"/>
        <v>4.1666666666666664E-2</v>
      </c>
      <c r="AG12" s="412">
        <f t="shared" si="10"/>
        <v>1</v>
      </c>
      <c r="AH12" s="412">
        <v>2</v>
      </c>
      <c r="AI12" s="412">
        <f t="shared" si="11"/>
        <v>10</v>
      </c>
    </row>
    <row r="13" spans="1:35" x14ac:dyDescent="0.3">
      <c r="A13" s="452">
        <v>45458.875</v>
      </c>
      <c r="C13" s="453" cm="1">
        <f t="array" ref="C13">A13+INDEX($V$3:V$93,$C$3)*INDEX($W$3:$W$93,$C$3)</f>
        <v>45458.875</v>
      </c>
      <c r="E13" s="453"/>
      <c r="P13" s="412">
        <v>11</v>
      </c>
      <c r="Q13" s="412" t="str">
        <f t="shared" si="0"/>
        <v>Chipre</v>
      </c>
      <c r="R13" s="412">
        <f t="shared" si="1"/>
        <v>3</v>
      </c>
      <c r="S13" s="451">
        <f t="shared" si="2"/>
        <v>0.125</v>
      </c>
      <c r="T13" s="412">
        <f t="shared" si="3"/>
        <v>0</v>
      </c>
      <c r="U13" s="412">
        <f t="shared" si="4"/>
        <v>1</v>
      </c>
      <c r="V13" s="451">
        <f t="shared" si="5"/>
        <v>4.1666666666666664E-2</v>
      </c>
      <c r="W13" s="412">
        <f t="shared" si="6"/>
        <v>1</v>
      </c>
      <c r="Z13" s="412">
        <v>11</v>
      </c>
      <c r="AA13" s="412" t="str">
        <f>Idiomas!D142</f>
        <v>Chipre</v>
      </c>
      <c r="AB13" s="412">
        <v>3</v>
      </c>
      <c r="AC13" s="451">
        <v>0.125</v>
      </c>
      <c r="AD13" s="412">
        <f t="shared" si="7"/>
        <v>0</v>
      </c>
      <c r="AE13" s="412">
        <f t="shared" si="8"/>
        <v>1</v>
      </c>
      <c r="AF13" s="451">
        <f t="shared" si="9"/>
        <v>4.1666666666666664E-2</v>
      </c>
      <c r="AG13" s="412">
        <f t="shared" si="10"/>
        <v>1</v>
      </c>
      <c r="AH13" s="412">
        <v>2</v>
      </c>
      <c r="AI13" s="412">
        <f t="shared" si="11"/>
        <v>11</v>
      </c>
    </row>
    <row r="14" spans="1:35" x14ac:dyDescent="0.3">
      <c r="A14" s="452">
        <v>45462.625</v>
      </c>
      <c r="C14" s="453" cm="1">
        <f t="array" ref="C14">A14+INDEX($V$3:V$93,$C$3)*INDEX($W$3:$W$93,$C$3)</f>
        <v>45462.625</v>
      </c>
      <c r="E14" s="453"/>
      <c r="P14" s="412">
        <v>12</v>
      </c>
      <c r="Q14" s="412" t="str">
        <f t="shared" si="0"/>
        <v>Croacia</v>
      </c>
      <c r="R14" s="412">
        <f t="shared" si="1"/>
        <v>2</v>
      </c>
      <c r="S14" s="451">
        <f t="shared" si="2"/>
        <v>8.3333333333333329E-2</v>
      </c>
      <c r="T14" s="412">
        <f t="shared" si="3"/>
        <v>0</v>
      </c>
      <c r="U14" s="412">
        <f t="shared" si="4"/>
        <v>0</v>
      </c>
      <c r="V14" s="451">
        <f t="shared" si="5"/>
        <v>0</v>
      </c>
      <c r="W14" s="412">
        <f t="shared" si="6"/>
        <v>0</v>
      </c>
      <c r="Z14" s="412">
        <v>12</v>
      </c>
      <c r="AA14" s="412" t="str">
        <f>Idiomas!D143</f>
        <v>Croacia</v>
      </c>
      <c r="AB14" s="412">
        <v>2</v>
      </c>
      <c r="AC14" s="451">
        <v>8.3333333333333329E-2</v>
      </c>
      <c r="AD14" s="412">
        <f t="shared" si="7"/>
        <v>0</v>
      </c>
      <c r="AE14" s="412">
        <f t="shared" si="8"/>
        <v>0</v>
      </c>
      <c r="AF14" s="451">
        <f t="shared" si="9"/>
        <v>0</v>
      </c>
      <c r="AG14" s="412">
        <f t="shared" si="10"/>
        <v>0</v>
      </c>
      <c r="AH14" s="412">
        <v>1</v>
      </c>
      <c r="AI14" s="412">
        <f t="shared" si="11"/>
        <v>12</v>
      </c>
    </row>
    <row r="15" spans="1:35" x14ac:dyDescent="0.3">
      <c r="A15" s="452">
        <v>45463.875</v>
      </c>
      <c r="C15" s="453" cm="1">
        <f t="array" ref="C15">A15+INDEX($V$3:V$93,$C$3)*INDEX($W$3:$W$93,$C$3)</f>
        <v>45463.875</v>
      </c>
      <c r="E15" s="453"/>
      <c r="P15" s="412">
        <v>13</v>
      </c>
      <c r="Q15" s="412" t="str">
        <f t="shared" si="0"/>
        <v>Dinamarca</v>
      </c>
      <c r="R15" s="412">
        <f t="shared" si="1"/>
        <v>2</v>
      </c>
      <c r="S15" s="451">
        <f t="shared" si="2"/>
        <v>8.3333333333333329E-2</v>
      </c>
      <c r="T15" s="412">
        <f t="shared" si="3"/>
        <v>0</v>
      </c>
      <c r="U15" s="412">
        <f t="shared" si="4"/>
        <v>0</v>
      </c>
      <c r="V15" s="451">
        <f t="shared" si="5"/>
        <v>0</v>
      </c>
      <c r="W15" s="412">
        <f t="shared" si="6"/>
        <v>0</v>
      </c>
      <c r="Z15" s="412">
        <v>13</v>
      </c>
      <c r="AA15" s="412" t="str">
        <f>Idiomas!D144</f>
        <v>Dinamarca</v>
      </c>
      <c r="AB15" s="412">
        <v>2</v>
      </c>
      <c r="AC15" s="451">
        <v>8.3333333333333329E-2</v>
      </c>
      <c r="AD15" s="412">
        <f t="shared" si="7"/>
        <v>0</v>
      </c>
      <c r="AE15" s="412">
        <f t="shared" si="8"/>
        <v>0</v>
      </c>
      <c r="AF15" s="451">
        <f t="shared" si="9"/>
        <v>0</v>
      </c>
      <c r="AG15" s="412">
        <f t="shared" si="10"/>
        <v>0</v>
      </c>
      <c r="AH15" s="412">
        <v>1</v>
      </c>
      <c r="AI15" s="412">
        <f t="shared" si="11"/>
        <v>13</v>
      </c>
    </row>
    <row r="16" spans="1:35" x14ac:dyDescent="0.3">
      <c r="A16" s="452">
        <v>45467.875</v>
      </c>
      <c r="C16" s="453" cm="1">
        <f t="array" ref="C16">A16+INDEX($V$3:V$93,$C$3)*INDEX($W$3:$W$93,$C$3)</f>
        <v>45467.875</v>
      </c>
      <c r="E16" s="453"/>
      <c r="P16" s="412">
        <v>14</v>
      </c>
      <c r="Q16" s="412" t="str">
        <f t="shared" si="0"/>
        <v>Escocia</v>
      </c>
      <c r="R16" s="412">
        <f t="shared" si="1"/>
        <v>1</v>
      </c>
      <c r="S16" s="451">
        <f t="shared" si="2"/>
        <v>4.1666666666666664E-2</v>
      </c>
      <c r="T16" s="412">
        <f t="shared" si="3"/>
        <v>0</v>
      </c>
      <c r="U16" s="412">
        <f t="shared" si="4"/>
        <v>-1</v>
      </c>
      <c r="V16" s="451">
        <f t="shared" si="5"/>
        <v>4.1666666666666664E-2</v>
      </c>
      <c r="W16" s="412">
        <f t="shared" si="6"/>
        <v>-1</v>
      </c>
      <c r="Z16" s="412">
        <v>14</v>
      </c>
      <c r="AA16" s="412" t="str">
        <f>Idiomas!D145</f>
        <v>Escocia</v>
      </c>
      <c r="AB16" s="412">
        <v>1</v>
      </c>
      <c r="AC16" s="451">
        <v>4.1666666666666664E-2</v>
      </c>
      <c r="AD16" s="412">
        <f t="shared" si="7"/>
        <v>0</v>
      </c>
      <c r="AE16" s="412">
        <f t="shared" si="8"/>
        <v>-1</v>
      </c>
      <c r="AF16" s="451">
        <f t="shared" si="9"/>
        <v>4.1666666666666664E-2</v>
      </c>
      <c r="AG16" s="412">
        <f t="shared" si="10"/>
        <v>-1</v>
      </c>
      <c r="AH16" s="412">
        <v>0</v>
      </c>
      <c r="AI16" s="412">
        <f t="shared" si="11"/>
        <v>14</v>
      </c>
    </row>
    <row r="17" spans="1:35" x14ac:dyDescent="0.3">
      <c r="A17" s="452">
        <v>45467.875</v>
      </c>
      <c r="C17" s="453" cm="1">
        <f t="array" ref="C17">A17+INDEX($V$3:V$93,$C$3)*INDEX($W$3:$W$93,$C$3)</f>
        <v>45467.875</v>
      </c>
      <c r="E17" s="453"/>
      <c r="P17" s="412">
        <v>15</v>
      </c>
      <c r="Q17" s="412" t="str">
        <f t="shared" si="0"/>
        <v>Eslovaquia</v>
      </c>
      <c r="R17" s="412">
        <f t="shared" si="1"/>
        <v>2</v>
      </c>
      <c r="S17" s="451">
        <f t="shared" si="2"/>
        <v>8.3333333333333329E-2</v>
      </c>
      <c r="T17" s="412">
        <f t="shared" si="3"/>
        <v>0</v>
      </c>
      <c r="U17" s="412">
        <f t="shared" si="4"/>
        <v>0</v>
      </c>
      <c r="V17" s="451">
        <f t="shared" si="5"/>
        <v>0</v>
      </c>
      <c r="W17" s="412">
        <f t="shared" si="6"/>
        <v>0</v>
      </c>
      <c r="Z17" s="412">
        <v>15</v>
      </c>
      <c r="AA17" s="412" t="str">
        <f>Idiomas!D146</f>
        <v>Eslovaquia</v>
      </c>
      <c r="AB17" s="412">
        <v>2</v>
      </c>
      <c r="AC17" s="451">
        <v>8.3333333333333329E-2</v>
      </c>
      <c r="AD17" s="412">
        <f t="shared" si="7"/>
        <v>0</v>
      </c>
      <c r="AE17" s="412">
        <f t="shared" si="8"/>
        <v>0</v>
      </c>
      <c r="AF17" s="451">
        <f t="shared" si="9"/>
        <v>0</v>
      </c>
      <c r="AG17" s="412">
        <f t="shared" si="10"/>
        <v>0</v>
      </c>
      <c r="AH17" s="412">
        <v>1</v>
      </c>
      <c r="AI17" s="412">
        <f t="shared" si="11"/>
        <v>15</v>
      </c>
    </row>
    <row r="18" spans="1:35" x14ac:dyDescent="0.3">
      <c r="C18" s="453"/>
      <c r="E18" s="453"/>
      <c r="P18" s="412">
        <v>16</v>
      </c>
      <c r="Q18" s="412" t="str">
        <f t="shared" si="0"/>
        <v>Eslovenia</v>
      </c>
      <c r="R18" s="412">
        <f t="shared" si="1"/>
        <v>2</v>
      </c>
      <c r="S18" s="451">
        <f t="shared" si="2"/>
        <v>8.3333333333333329E-2</v>
      </c>
      <c r="T18" s="412">
        <f t="shared" si="3"/>
        <v>0</v>
      </c>
      <c r="U18" s="412">
        <f t="shared" si="4"/>
        <v>0</v>
      </c>
      <c r="V18" s="451">
        <f t="shared" si="5"/>
        <v>0</v>
      </c>
      <c r="W18" s="412">
        <f t="shared" si="6"/>
        <v>0</v>
      </c>
      <c r="Z18" s="412">
        <v>16</v>
      </c>
      <c r="AA18" s="412" t="str">
        <f>Idiomas!D147</f>
        <v>Eslovenia</v>
      </c>
      <c r="AB18" s="412">
        <v>2</v>
      </c>
      <c r="AC18" s="451">
        <v>8.3333333333333329E-2</v>
      </c>
      <c r="AD18" s="412">
        <f t="shared" si="7"/>
        <v>0</v>
      </c>
      <c r="AE18" s="412">
        <f t="shared" si="8"/>
        <v>0</v>
      </c>
      <c r="AF18" s="451">
        <f t="shared" si="9"/>
        <v>0</v>
      </c>
      <c r="AG18" s="412">
        <f t="shared" si="10"/>
        <v>0</v>
      </c>
      <c r="AH18" s="412">
        <v>1</v>
      </c>
      <c r="AI18" s="412">
        <f t="shared" si="11"/>
        <v>16</v>
      </c>
    </row>
    <row r="19" spans="1:35" x14ac:dyDescent="0.3">
      <c r="A19" s="455" t="s">
        <v>33</v>
      </c>
      <c r="C19" s="453"/>
      <c r="E19" s="453"/>
      <c r="P19" s="412">
        <v>17</v>
      </c>
      <c r="Q19" s="412" t="str">
        <f t="shared" si="0"/>
        <v>España</v>
      </c>
      <c r="R19" s="412">
        <f t="shared" si="1"/>
        <v>2</v>
      </c>
      <c r="S19" s="451">
        <f t="shared" si="2"/>
        <v>8.3333333333333329E-2</v>
      </c>
      <c r="T19" s="412">
        <f t="shared" si="3"/>
        <v>0</v>
      </c>
      <c r="U19" s="412">
        <f t="shared" si="4"/>
        <v>0</v>
      </c>
      <c r="V19" s="451">
        <f t="shared" si="5"/>
        <v>0</v>
      </c>
      <c r="W19" s="412">
        <f t="shared" si="6"/>
        <v>0</v>
      </c>
      <c r="Z19" s="412">
        <v>17</v>
      </c>
      <c r="AA19" s="412" t="str">
        <f>Idiomas!D148</f>
        <v>España</v>
      </c>
      <c r="AB19" s="412">
        <v>2</v>
      </c>
      <c r="AC19" s="451">
        <v>8.3333333333333329E-2</v>
      </c>
      <c r="AD19" s="412">
        <f t="shared" si="7"/>
        <v>0</v>
      </c>
      <c r="AE19" s="412">
        <f t="shared" si="8"/>
        <v>0</v>
      </c>
      <c r="AF19" s="451">
        <f t="shared" si="9"/>
        <v>0</v>
      </c>
      <c r="AG19" s="412">
        <f t="shared" si="10"/>
        <v>0</v>
      </c>
      <c r="AH19" s="412">
        <v>1</v>
      </c>
      <c r="AI19" s="412">
        <f t="shared" si="11"/>
        <v>17</v>
      </c>
    </row>
    <row r="20" spans="1:35" x14ac:dyDescent="0.3">
      <c r="A20" s="452">
        <v>45459.75</v>
      </c>
      <c r="C20" s="453" cm="1">
        <f t="array" ref="C20">A20+INDEX($V$3:V$93,$C$3)*INDEX($W$3:$W$93,$C$3)</f>
        <v>45459.75</v>
      </c>
      <c r="E20" s="453"/>
      <c r="P20" s="412">
        <v>18</v>
      </c>
      <c r="Q20" s="412" t="str">
        <f t="shared" si="0"/>
        <v>Estonia</v>
      </c>
      <c r="R20" s="412">
        <f t="shared" si="1"/>
        <v>3</v>
      </c>
      <c r="S20" s="451">
        <f t="shared" si="2"/>
        <v>0.125</v>
      </c>
      <c r="T20" s="412">
        <f t="shared" si="3"/>
        <v>0</v>
      </c>
      <c r="U20" s="412">
        <f t="shared" si="4"/>
        <v>1</v>
      </c>
      <c r="V20" s="451">
        <f t="shared" si="5"/>
        <v>4.1666666666666664E-2</v>
      </c>
      <c r="W20" s="412">
        <f t="shared" si="6"/>
        <v>1</v>
      </c>
      <c r="Z20" s="412">
        <v>18</v>
      </c>
      <c r="AA20" s="412" t="str">
        <f>Idiomas!D149</f>
        <v>Estonia</v>
      </c>
      <c r="AB20" s="412">
        <v>3</v>
      </c>
      <c r="AC20" s="451">
        <v>0.125</v>
      </c>
      <c r="AD20" s="412">
        <f t="shared" si="7"/>
        <v>0</v>
      </c>
      <c r="AE20" s="412">
        <f t="shared" si="8"/>
        <v>1</v>
      </c>
      <c r="AF20" s="451">
        <f t="shared" si="9"/>
        <v>4.1666666666666664E-2</v>
      </c>
      <c r="AG20" s="412">
        <f t="shared" si="10"/>
        <v>1</v>
      </c>
      <c r="AH20" s="412">
        <v>2</v>
      </c>
      <c r="AI20" s="412">
        <f t="shared" si="11"/>
        <v>18</v>
      </c>
    </row>
    <row r="21" spans="1:35" x14ac:dyDescent="0.3">
      <c r="A21" s="452">
        <v>45459.875</v>
      </c>
      <c r="C21" s="453" cm="1">
        <f t="array" ref="C21">A21+INDEX($V$3:V$93,$C$3)*INDEX($W$3:$W$93,$C$3)</f>
        <v>45459.875</v>
      </c>
      <c r="E21" s="453"/>
      <c r="P21" s="412">
        <v>19</v>
      </c>
      <c r="Q21" s="412" t="str">
        <f t="shared" si="0"/>
        <v>Finlandia</v>
      </c>
      <c r="R21" s="412">
        <f t="shared" si="1"/>
        <v>3</v>
      </c>
      <c r="S21" s="451">
        <f t="shared" si="2"/>
        <v>0.125</v>
      </c>
      <c r="T21" s="412">
        <f t="shared" si="3"/>
        <v>0</v>
      </c>
      <c r="U21" s="412">
        <f t="shared" si="4"/>
        <v>1</v>
      </c>
      <c r="V21" s="451">
        <f t="shared" si="5"/>
        <v>4.1666666666666664E-2</v>
      </c>
      <c r="W21" s="412">
        <f t="shared" si="6"/>
        <v>1</v>
      </c>
      <c r="Z21" s="412">
        <v>19</v>
      </c>
      <c r="AA21" s="412" t="str">
        <f>Idiomas!D150</f>
        <v>Finlandia</v>
      </c>
      <c r="AB21" s="412">
        <v>3</v>
      </c>
      <c r="AC21" s="451">
        <v>0.125</v>
      </c>
      <c r="AD21" s="412">
        <f t="shared" si="7"/>
        <v>0</v>
      </c>
      <c r="AE21" s="412">
        <f t="shared" si="8"/>
        <v>1</v>
      </c>
      <c r="AF21" s="451">
        <f t="shared" si="9"/>
        <v>4.1666666666666664E-2</v>
      </c>
      <c r="AG21" s="412">
        <f t="shared" si="10"/>
        <v>1</v>
      </c>
      <c r="AH21" s="412">
        <v>2</v>
      </c>
      <c r="AI21" s="412">
        <f t="shared" si="11"/>
        <v>19</v>
      </c>
    </row>
    <row r="22" spans="1:35" x14ac:dyDescent="0.3">
      <c r="A22" s="452">
        <v>45463.625</v>
      </c>
      <c r="C22" s="453" cm="1">
        <f t="array" ref="C22">A22+INDEX($V$3:V$93,$C$3)*INDEX($W$3:$W$93,$C$3)</f>
        <v>45463.625</v>
      </c>
      <c r="E22" s="453"/>
      <c r="P22" s="412">
        <v>20</v>
      </c>
      <c r="Q22" s="412" t="str">
        <f t="shared" si="0"/>
        <v>Francia</v>
      </c>
      <c r="R22" s="412">
        <f t="shared" si="1"/>
        <v>2</v>
      </c>
      <c r="S22" s="451">
        <f t="shared" si="2"/>
        <v>8.3333333333333329E-2</v>
      </c>
      <c r="T22" s="412">
        <f t="shared" si="3"/>
        <v>0</v>
      </c>
      <c r="U22" s="412">
        <f t="shared" si="4"/>
        <v>0</v>
      </c>
      <c r="V22" s="451">
        <f t="shared" si="5"/>
        <v>0</v>
      </c>
      <c r="W22" s="412">
        <f t="shared" si="6"/>
        <v>0</v>
      </c>
      <c r="Z22" s="412">
        <v>20</v>
      </c>
      <c r="AA22" s="412" t="str">
        <f>Idiomas!D151</f>
        <v>Francia</v>
      </c>
      <c r="AB22" s="412">
        <v>2</v>
      </c>
      <c r="AC22" s="451">
        <v>8.3333333333333329E-2</v>
      </c>
      <c r="AD22" s="412">
        <f t="shared" si="7"/>
        <v>0</v>
      </c>
      <c r="AE22" s="412">
        <f t="shared" si="8"/>
        <v>0</v>
      </c>
      <c r="AF22" s="451">
        <f t="shared" si="9"/>
        <v>0</v>
      </c>
      <c r="AG22" s="412">
        <f t="shared" si="10"/>
        <v>0</v>
      </c>
      <c r="AH22" s="412">
        <v>1</v>
      </c>
      <c r="AI22" s="412">
        <f t="shared" si="11"/>
        <v>20</v>
      </c>
    </row>
    <row r="23" spans="1:35" x14ac:dyDescent="0.3">
      <c r="A23" s="452">
        <v>45463.75</v>
      </c>
      <c r="C23" s="453" cm="1">
        <f t="array" ref="C23">A23+INDEX($V$3:V$93,$C$3)*INDEX($W$3:$W$93,$C$3)</f>
        <v>45463.75</v>
      </c>
      <c r="E23" s="453"/>
      <c r="P23" s="412">
        <v>21</v>
      </c>
      <c r="Q23" s="412" t="str">
        <f t="shared" si="0"/>
        <v>Gales</v>
      </c>
      <c r="R23" s="412">
        <f t="shared" si="1"/>
        <v>1</v>
      </c>
      <c r="S23" s="451">
        <f t="shared" si="2"/>
        <v>4.1666666666666664E-2</v>
      </c>
      <c r="T23" s="412">
        <f t="shared" si="3"/>
        <v>0</v>
      </c>
      <c r="U23" s="412">
        <f t="shared" si="4"/>
        <v>-1</v>
      </c>
      <c r="V23" s="451">
        <f t="shared" si="5"/>
        <v>4.1666666666666664E-2</v>
      </c>
      <c r="W23" s="412">
        <f t="shared" si="6"/>
        <v>-1</v>
      </c>
      <c r="Z23" s="412">
        <v>21</v>
      </c>
      <c r="AA23" s="412" t="str">
        <f>Idiomas!D152</f>
        <v>Gales</v>
      </c>
      <c r="AB23" s="412">
        <v>1</v>
      </c>
      <c r="AC23" s="451">
        <v>4.1666666666666664E-2</v>
      </c>
      <c r="AD23" s="412">
        <f t="shared" si="7"/>
        <v>0</v>
      </c>
      <c r="AE23" s="412">
        <f t="shared" si="8"/>
        <v>-1</v>
      </c>
      <c r="AF23" s="451">
        <f t="shared" si="9"/>
        <v>4.1666666666666664E-2</v>
      </c>
      <c r="AG23" s="412">
        <f t="shared" si="10"/>
        <v>-1</v>
      </c>
      <c r="AH23" s="412">
        <v>0</v>
      </c>
      <c r="AI23" s="412">
        <f t="shared" si="11"/>
        <v>21</v>
      </c>
    </row>
    <row r="24" spans="1:35" x14ac:dyDescent="0.3">
      <c r="A24" s="452">
        <v>45468.875</v>
      </c>
      <c r="C24" s="453" cm="1">
        <f t="array" ref="C24">A24+INDEX($V$3:V$93,$C$3)*INDEX($W$3:$W$93,$C$3)</f>
        <v>45468.875</v>
      </c>
      <c r="E24" s="453"/>
      <c r="P24" s="412">
        <v>22</v>
      </c>
      <c r="Q24" s="412" t="str">
        <f t="shared" si="0"/>
        <v>Georgia</v>
      </c>
      <c r="R24" s="412">
        <f t="shared" si="1"/>
        <v>4</v>
      </c>
      <c r="S24" s="451">
        <f t="shared" si="2"/>
        <v>0.16666666666666666</v>
      </c>
      <c r="T24" s="412">
        <f t="shared" si="3"/>
        <v>0</v>
      </c>
      <c r="U24" s="412">
        <f t="shared" si="4"/>
        <v>2</v>
      </c>
      <c r="V24" s="451">
        <f t="shared" si="5"/>
        <v>8.3333333333333329E-2</v>
      </c>
      <c r="W24" s="412">
        <f t="shared" si="6"/>
        <v>1</v>
      </c>
      <c r="Z24" s="412">
        <v>22</v>
      </c>
      <c r="AA24" s="412" t="str">
        <f>Idiomas!D153</f>
        <v>Georgia</v>
      </c>
      <c r="AB24" s="412">
        <v>4</v>
      </c>
      <c r="AC24" s="451">
        <v>0.16666666666666666</v>
      </c>
      <c r="AD24" s="412">
        <f t="shared" si="7"/>
        <v>0</v>
      </c>
      <c r="AE24" s="412">
        <f t="shared" si="8"/>
        <v>2</v>
      </c>
      <c r="AF24" s="451">
        <f t="shared" si="9"/>
        <v>8.3333333333333329E-2</v>
      </c>
      <c r="AG24" s="412">
        <f t="shared" si="10"/>
        <v>1</v>
      </c>
      <c r="AH24" s="412">
        <v>4</v>
      </c>
      <c r="AI24" s="412">
        <f t="shared" si="11"/>
        <v>22</v>
      </c>
    </row>
    <row r="25" spans="1:35" x14ac:dyDescent="0.3">
      <c r="A25" s="452">
        <v>45468.875</v>
      </c>
      <c r="C25" s="453" cm="1">
        <f t="array" ref="C25">A25+INDEX($V$3:V$93,$C$3)*INDEX($W$3:$W$93,$C$3)</f>
        <v>45468.875</v>
      </c>
      <c r="E25" s="453"/>
      <c r="P25" s="412">
        <v>23</v>
      </c>
      <c r="Q25" s="412" t="str">
        <f t="shared" si="0"/>
        <v>Gibraltar</v>
      </c>
      <c r="R25" s="412">
        <f t="shared" si="1"/>
        <v>2</v>
      </c>
      <c r="S25" s="451">
        <f t="shared" si="2"/>
        <v>8.3333333333333329E-2</v>
      </c>
      <c r="T25" s="412">
        <f t="shared" si="3"/>
        <v>0</v>
      </c>
      <c r="U25" s="412">
        <f t="shared" si="4"/>
        <v>0</v>
      </c>
      <c r="V25" s="451">
        <f t="shared" si="5"/>
        <v>0</v>
      </c>
      <c r="W25" s="412">
        <f t="shared" si="6"/>
        <v>0</v>
      </c>
      <c r="Z25" s="412">
        <v>23</v>
      </c>
      <c r="AA25" s="412" t="str">
        <f>Idiomas!D154</f>
        <v>Gibraltar</v>
      </c>
      <c r="AB25" s="412">
        <v>2</v>
      </c>
      <c r="AC25" s="451">
        <v>8.3333333333333329E-2</v>
      </c>
      <c r="AD25" s="412">
        <f t="shared" si="7"/>
        <v>0</v>
      </c>
      <c r="AE25" s="412">
        <f t="shared" si="8"/>
        <v>0</v>
      </c>
      <c r="AF25" s="451">
        <f t="shared" si="9"/>
        <v>0</v>
      </c>
      <c r="AG25" s="412">
        <f t="shared" si="10"/>
        <v>0</v>
      </c>
      <c r="AH25" s="412">
        <v>1</v>
      </c>
      <c r="AI25" s="412">
        <f t="shared" si="11"/>
        <v>23</v>
      </c>
    </row>
    <row r="26" spans="1:35" x14ac:dyDescent="0.3">
      <c r="C26" s="453"/>
      <c r="E26" s="453"/>
      <c r="P26" s="412">
        <v>24</v>
      </c>
      <c r="Q26" s="412" t="str">
        <f t="shared" si="0"/>
        <v>Grecia</v>
      </c>
      <c r="R26" s="412">
        <f t="shared" si="1"/>
        <v>3</v>
      </c>
      <c r="S26" s="451">
        <f t="shared" si="2"/>
        <v>0.125</v>
      </c>
      <c r="T26" s="412">
        <f t="shared" si="3"/>
        <v>0</v>
      </c>
      <c r="U26" s="412">
        <f t="shared" si="4"/>
        <v>1</v>
      </c>
      <c r="V26" s="451">
        <f t="shared" si="5"/>
        <v>4.1666666666666664E-2</v>
      </c>
      <c r="W26" s="412">
        <f t="shared" si="6"/>
        <v>1</v>
      </c>
      <c r="Z26" s="412">
        <v>24</v>
      </c>
      <c r="AA26" s="412" t="str">
        <f>Idiomas!D155</f>
        <v>Grecia</v>
      </c>
      <c r="AB26" s="412">
        <v>3</v>
      </c>
      <c r="AC26" s="451">
        <v>0.125</v>
      </c>
      <c r="AD26" s="412">
        <f t="shared" si="7"/>
        <v>0</v>
      </c>
      <c r="AE26" s="412">
        <f t="shared" si="8"/>
        <v>1</v>
      </c>
      <c r="AF26" s="451">
        <f t="shared" si="9"/>
        <v>4.1666666666666664E-2</v>
      </c>
      <c r="AG26" s="412">
        <f t="shared" si="10"/>
        <v>1</v>
      </c>
      <c r="AH26" s="412">
        <v>2</v>
      </c>
      <c r="AI26" s="412">
        <f t="shared" si="11"/>
        <v>24</v>
      </c>
    </row>
    <row r="27" spans="1:35" x14ac:dyDescent="0.3">
      <c r="A27" s="455" t="s">
        <v>764</v>
      </c>
      <c r="C27" s="453"/>
      <c r="E27" s="453"/>
      <c r="P27" s="412">
        <v>25</v>
      </c>
      <c r="Q27" s="412" t="str">
        <f t="shared" si="0"/>
        <v>Hungría</v>
      </c>
      <c r="R27" s="412">
        <f t="shared" si="1"/>
        <v>2</v>
      </c>
      <c r="S27" s="451">
        <f t="shared" si="2"/>
        <v>8.3333333333333329E-2</v>
      </c>
      <c r="T27" s="412">
        <f t="shared" si="3"/>
        <v>0</v>
      </c>
      <c r="U27" s="412">
        <f t="shared" si="4"/>
        <v>0</v>
      </c>
      <c r="V27" s="451">
        <f t="shared" si="5"/>
        <v>0</v>
      </c>
      <c r="W27" s="412">
        <f t="shared" si="6"/>
        <v>0</v>
      </c>
      <c r="Z27" s="412">
        <v>25</v>
      </c>
      <c r="AA27" s="412" t="str">
        <f>Idiomas!D156</f>
        <v>Hungría</v>
      </c>
      <c r="AB27" s="412">
        <v>2</v>
      </c>
      <c r="AC27" s="451">
        <v>8.3333333333333329E-2</v>
      </c>
      <c r="AD27" s="412">
        <f t="shared" si="7"/>
        <v>0</v>
      </c>
      <c r="AE27" s="412">
        <f t="shared" si="8"/>
        <v>0</v>
      </c>
      <c r="AF27" s="451">
        <f t="shared" si="9"/>
        <v>0</v>
      </c>
      <c r="AG27" s="412">
        <f t="shared" si="10"/>
        <v>0</v>
      </c>
      <c r="AH27" s="412">
        <v>1</v>
      </c>
      <c r="AI27" s="412">
        <f t="shared" si="11"/>
        <v>25</v>
      </c>
    </row>
    <row r="28" spans="1:35" x14ac:dyDescent="0.3">
      <c r="A28" s="452">
        <v>45459.625</v>
      </c>
      <c r="C28" s="453" cm="1">
        <f t="array" ref="C28">A28+INDEX($V$3:V$93,$C$3)*INDEX($W$3:$W$93,$C$3)</f>
        <v>45459.625</v>
      </c>
      <c r="E28" s="453"/>
      <c r="P28" s="412">
        <v>26</v>
      </c>
      <c r="Q28" s="412" t="str">
        <f t="shared" si="0"/>
        <v>Inglaterra</v>
      </c>
      <c r="R28" s="412">
        <f t="shared" si="1"/>
        <v>1</v>
      </c>
      <c r="S28" s="451">
        <f t="shared" si="2"/>
        <v>4.1666666666666664E-2</v>
      </c>
      <c r="T28" s="412">
        <f t="shared" si="3"/>
        <v>0</v>
      </c>
      <c r="U28" s="412">
        <f t="shared" si="4"/>
        <v>-1</v>
      </c>
      <c r="V28" s="451">
        <f t="shared" si="5"/>
        <v>4.1666666666666664E-2</v>
      </c>
      <c r="W28" s="412">
        <f t="shared" si="6"/>
        <v>-1</v>
      </c>
      <c r="Z28" s="412">
        <v>26</v>
      </c>
      <c r="AA28" s="412" t="str">
        <f>Idiomas!D157</f>
        <v>Inglaterra</v>
      </c>
      <c r="AB28" s="412">
        <v>1</v>
      </c>
      <c r="AC28" s="451">
        <v>4.1666666666666664E-2</v>
      </c>
      <c r="AD28" s="412">
        <f t="shared" si="7"/>
        <v>0</v>
      </c>
      <c r="AE28" s="412">
        <f t="shared" si="8"/>
        <v>-1</v>
      </c>
      <c r="AF28" s="451">
        <f t="shared" si="9"/>
        <v>4.1666666666666664E-2</v>
      </c>
      <c r="AG28" s="412">
        <f t="shared" si="10"/>
        <v>-1</v>
      </c>
      <c r="AH28" s="412">
        <v>0</v>
      </c>
      <c r="AI28" s="412">
        <f t="shared" si="11"/>
        <v>26</v>
      </c>
    </row>
    <row r="29" spans="1:35" x14ac:dyDescent="0.3">
      <c r="A29" s="452">
        <v>45460.875</v>
      </c>
      <c r="C29" s="453" cm="1">
        <f t="array" ref="C29">A29+INDEX($V$3:V$93,$C$3)*INDEX($W$3:$W$93,$C$3)</f>
        <v>45460.875</v>
      </c>
      <c r="E29" s="453"/>
      <c r="P29" s="412">
        <v>27</v>
      </c>
      <c r="Q29" s="412" t="str">
        <f t="shared" si="0"/>
        <v>Irlanda</v>
      </c>
      <c r="R29" s="412">
        <f t="shared" si="1"/>
        <v>1</v>
      </c>
      <c r="S29" s="451">
        <f t="shared" si="2"/>
        <v>4.1666666666666664E-2</v>
      </c>
      <c r="T29" s="412">
        <f t="shared" si="3"/>
        <v>0</v>
      </c>
      <c r="U29" s="412">
        <f t="shared" si="4"/>
        <v>-1</v>
      </c>
      <c r="V29" s="451">
        <f t="shared" si="5"/>
        <v>4.1666666666666664E-2</v>
      </c>
      <c r="W29" s="412">
        <f t="shared" si="6"/>
        <v>-1</v>
      </c>
      <c r="Z29" s="412">
        <v>27</v>
      </c>
      <c r="AA29" s="412" t="str">
        <f>Idiomas!D158</f>
        <v>Irlanda</v>
      </c>
      <c r="AB29" s="412">
        <v>1</v>
      </c>
      <c r="AC29" s="451">
        <v>4.1666666666666664E-2</v>
      </c>
      <c r="AD29" s="412">
        <f t="shared" si="7"/>
        <v>0</v>
      </c>
      <c r="AE29" s="412">
        <f t="shared" si="8"/>
        <v>-1</v>
      </c>
      <c r="AF29" s="451">
        <f t="shared" si="9"/>
        <v>4.1666666666666664E-2</v>
      </c>
      <c r="AG29" s="412">
        <f t="shared" si="10"/>
        <v>-1</v>
      </c>
      <c r="AH29" s="412">
        <v>0</v>
      </c>
      <c r="AI29" s="412">
        <f t="shared" si="11"/>
        <v>27</v>
      </c>
    </row>
    <row r="30" spans="1:35" x14ac:dyDescent="0.3">
      <c r="A30" s="452">
        <v>45464.75</v>
      </c>
      <c r="C30" s="453" cm="1">
        <f t="array" ref="C30">A30+INDEX($V$3:V$93,$C$3)*INDEX($W$3:$W$93,$C$3)</f>
        <v>45464.75</v>
      </c>
      <c r="E30" s="453"/>
      <c r="P30" s="412">
        <v>28</v>
      </c>
      <c r="Q30" s="412" t="str">
        <f t="shared" si="0"/>
        <v>Irlanda del Norte</v>
      </c>
      <c r="R30" s="412">
        <f t="shared" si="1"/>
        <v>1</v>
      </c>
      <c r="S30" s="451">
        <f t="shared" si="2"/>
        <v>4.1666666666666664E-2</v>
      </c>
      <c r="T30" s="412">
        <f t="shared" si="3"/>
        <v>0</v>
      </c>
      <c r="U30" s="412">
        <f t="shared" si="4"/>
        <v>-1</v>
      </c>
      <c r="V30" s="451">
        <f t="shared" si="5"/>
        <v>4.1666666666666664E-2</v>
      </c>
      <c r="W30" s="412">
        <f t="shared" si="6"/>
        <v>-1</v>
      </c>
      <c r="Z30" s="412">
        <v>28</v>
      </c>
      <c r="AA30" s="412" t="str">
        <f>Idiomas!D159</f>
        <v>Irlanda del Norte</v>
      </c>
      <c r="AB30" s="412">
        <v>1</v>
      </c>
      <c r="AC30" s="451">
        <v>4.1666666666666664E-2</v>
      </c>
      <c r="AD30" s="412">
        <f t="shared" si="7"/>
        <v>0</v>
      </c>
      <c r="AE30" s="412">
        <f t="shared" si="8"/>
        <v>-1</v>
      </c>
      <c r="AF30" s="451">
        <f t="shared" si="9"/>
        <v>4.1666666666666664E-2</v>
      </c>
      <c r="AG30" s="412">
        <f t="shared" si="10"/>
        <v>-1</v>
      </c>
      <c r="AH30" s="412">
        <v>0</v>
      </c>
      <c r="AI30" s="412">
        <f t="shared" si="11"/>
        <v>28</v>
      </c>
    </row>
    <row r="31" spans="1:35" x14ac:dyDescent="0.3">
      <c r="A31" s="452">
        <v>45464.875</v>
      </c>
      <c r="C31" s="453" cm="1">
        <f t="array" ref="C31">A31+INDEX($V$3:V$93,$C$3)*INDEX($W$3:$W$93,$C$3)</f>
        <v>45464.875</v>
      </c>
      <c r="E31" s="453"/>
      <c r="P31" s="412">
        <v>29</v>
      </c>
      <c r="Q31" s="412" t="str">
        <f t="shared" si="0"/>
        <v>Islandia</v>
      </c>
      <c r="R31" s="412">
        <f t="shared" si="1"/>
        <v>0</v>
      </c>
      <c r="S31" s="451">
        <f t="shared" si="2"/>
        <v>0</v>
      </c>
      <c r="T31" s="412">
        <f t="shared" si="3"/>
        <v>0</v>
      </c>
      <c r="U31" s="412">
        <f t="shared" si="4"/>
        <v>-2</v>
      </c>
      <c r="V31" s="451">
        <f t="shared" si="5"/>
        <v>8.3333333333333329E-2</v>
      </c>
      <c r="W31" s="412">
        <f t="shared" si="6"/>
        <v>-1</v>
      </c>
      <c r="Z31" s="412">
        <v>29</v>
      </c>
      <c r="AA31" s="412" t="str">
        <f>Idiomas!D160</f>
        <v>Islandia</v>
      </c>
      <c r="AB31" s="412">
        <v>0</v>
      </c>
      <c r="AC31" s="451">
        <v>0</v>
      </c>
      <c r="AD31" s="412">
        <f t="shared" si="7"/>
        <v>0</v>
      </c>
      <c r="AE31" s="412">
        <f t="shared" si="8"/>
        <v>-2</v>
      </c>
      <c r="AF31" s="451">
        <f t="shared" si="9"/>
        <v>8.3333333333333329E-2</v>
      </c>
      <c r="AG31" s="412">
        <f t="shared" si="10"/>
        <v>-1</v>
      </c>
      <c r="AH31" s="412">
        <v>0</v>
      </c>
      <c r="AI31" s="412">
        <f t="shared" si="11"/>
        <v>29</v>
      </c>
    </row>
    <row r="32" spans="1:35" x14ac:dyDescent="0.3">
      <c r="A32" s="452">
        <v>45468.75</v>
      </c>
      <c r="C32" s="453" cm="1">
        <f t="array" ref="C32">A32+INDEX($V$3:V$93,$C$3)*INDEX($W$3:$W$93,$C$3)</f>
        <v>45468.75</v>
      </c>
      <c r="E32" s="453"/>
      <c r="P32" s="412">
        <v>30</v>
      </c>
      <c r="Q32" s="412" t="str">
        <f t="shared" si="0"/>
        <v>Islas Feroe</v>
      </c>
      <c r="R32" s="412">
        <f t="shared" si="1"/>
        <v>1</v>
      </c>
      <c r="S32" s="451">
        <f t="shared" si="2"/>
        <v>4.1666666666666664E-2</v>
      </c>
      <c r="T32" s="412">
        <f t="shared" si="3"/>
        <v>0</v>
      </c>
      <c r="U32" s="412">
        <f t="shared" si="4"/>
        <v>-1</v>
      </c>
      <c r="V32" s="451">
        <f t="shared" si="5"/>
        <v>4.1666666666666664E-2</v>
      </c>
      <c r="W32" s="412">
        <f t="shared" si="6"/>
        <v>-1</v>
      </c>
      <c r="Z32" s="412">
        <v>30</v>
      </c>
      <c r="AA32" s="412" t="str">
        <f>Idiomas!D161</f>
        <v>Islas Feroe</v>
      </c>
      <c r="AB32" s="412">
        <v>1</v>
      </c>
      <c r="AC32" s="451">
        <v>4.1666666666666664E-2</v>
      </c>
      <c r="AD32" s="412">
        <f t="shared" si="7"/>
        <v>0</v>
      </c>
      <c r="AE32" s="412">
        <f t="shared" si="8"/>
        <v>-1</v>
      </c>
      <c r="AF32" s="451">
        <f t="shared" si="9"/>
        <v>4.1666666666666664E-2</v>
      </c>
      <c r="AG32" s="412">
        <f t="shared" si="10"/>
        <v>-1</v>
      </c>
      <c r="AH32" s="412">
        <v>0</v>
      </c>
      <c r="AI32" s="412">
        <f t="shared" si="11"/>
        <v>30</v>
      </c>
    </row>
    <row r="33" spans="1:35" x14ac:dyDescent="0.3">
      <c r="A33" s="452">
        <v>45468.75</v>
      </c>
      <c r="C33" s="453" cm="1">
        <f t="array" ref="C33">A33+INDEX($V$3:V$93,$C$3)*INDEX($W$3:$W$93,$C$3)</f>
        <v>45468.75</v>
      </c>
      <c r="E33" s="453"/>
      <c r="P33" s="412">
        <v>31</v>
      </c>
      <c r="Q33" s="412" t="str">
        <f t="shared" si="0"/>
        <v>Israel</v>
      </c>
      <c r="R33" s="412">
        <f t="shared" si="1"/>
        <v>3</v>
      </c>
      <c r="S33" s="451">
        <f t="shared" si="2"/>
        <v>0.125</v>
      </c>
      <c r="T33" s="412">
        <f t="shared" si="3"/>
        <v>0</v>
      </c>
      <c r="U33" s="412">
        <f t="shared" si="4"/>
        <v>1</v>
      </c>
      <c r="V33" s="451">
        <f t="shared" si="5"/>
        <v>4.1666666666666664E-2</v>
      </c>
      <c r="W33" s="412">
        <f t="shared" si="6"/>
        <v>1</v>
      </c>
      <c r="Z33" s="412">
        <v>31</v>
      </c>
      <c r="AA33" s="412" t="str">
        <f>Idiomas!D162</f>
        <v>Israel</v>
      </c>
      <c r="AB33" s="412">
        <v>3</v>
      </c>
      <c r="AC33" s="451">
        <v>0.125</v>
      </c>
      <c r="AD33" s="412">
        <f t="shared" si="7"/>
        <v>0</v>
      </c>
      <c r="AE33" s="412">
        <f t="shared" si="8"/>
        <v>1</v>
      </c>
      <c r="AF33" s="451">
        <f t="shared" si="9"/>
        <v>4.1666666666666664E-2</v>
      </c>
      <c r="AG33" s="412">
        <f t="shared" si="10"/>
        <v>1</v>
      </c>
      <c r="AH33" s="412">
        <v>3</v>
      </c>
      <c r="AI33" s="412">
        <f t="shared" si="11"/>
        <v>31</v>
      </c>
    </row>
    <row r="34" spans="1:35" x14ac:dyDescent="0.3">
      <c r="C34" s="453"/>
      <c r="E34" s="453"/>
      <c r="P34" s="412">
        <v>32</v>
      </c>
      <c r="Q34" s="412" t="str">
        <f t="shared" si="0"/>
        <v>Italia</v>
      </c>
      <c r="R34" s="412">
        <f t="shared" si="1"/>
        <v>2</v>
      </c>
      <c r="S34" s="451">
        <f t="shared" si="2"/>
        <v>8.3333333333333329E-2</v>
      </c>
      <c r="T34" s="412">
        <f t="shared" si="3"/>
        <v>0</v>
      </c>
      <c r="U34" s="412">
        <f t="shared" si="4"/>
        <v>0</v>
      </c>
      <c r="V34" s="451">
        <f t="shared" si="5"/>
        <v>0</v>
      </c>
      <c r="W34" s="412">
        <f t="shared" si="6"/>
        <v>0</v>
      </c>
      <c r="Z34" s="412">
        <v>32</v>
      </c>
      <c r="AA34" s="412" t="str">
        <f>Idiomas!D163</f>
        <v>Italia</v>
      </c>
      <c r="AB34" s="412">
        <v>2</v>
      </c>
      <c r="AC34" s="451">
        <v>8.3333333333333329E-2</v>
      </c>
      <c r="AD34" s="412">
        <f t="shared" si="7"/>
        <v>0</v>
      </c>
      <c r="AE34" s="412">
        <f t="shared" si="8"/>
        <v>0</v>
      </c>
      <c r="AF34" s="451">
        <f t="shared" si="9"/>
        <v>0</v>
      </c>
      <c r="AG34" s="412">
        <f t="shared" si="10"/>
        <v>0</v>
      </c>
      <c r="AH34" s="412">
        <v>1</v>
      </c>
      <c r="AI34" s="412">
        <f t="shared" si="11"/>
        <v>32</v>
      </c>
    </row>
    <row r="35" spans="1:35" x14ac:dyDescent="0.3">
      <c r="A35" s="455" t="s">
        <v>765</v>
      </c>
      <c r="C35" s="453"/>
      <c r="E35" s="453"/>
      <c r="P35" s="412">
        <v>33</v>
      </c>
      <c r="Q35" s="412" t="str">
        <f t="shared" ref="Q35:Q57" si="12">INDEX($AA$3:$AA$57,MATCH(P35,$AI$3:$AI$57,0))</f>
        <v>Kazajistán</v>
      </c>
      <c r="R35" s="412">
        <f t="shared" ref="R35:R66" si="13">INDEX(AB$3:AB$93,MATCH($Q35,$AA$3:$AA$93,0))</f>
        <v>6</v>
      </c>
      <c r="S35" s="451">
        <f t="shared" ref="S35:S66" si="14">INDEX(AC$3:AC$93,MATCH($Q35,$AA$3:$AA$93,0))</f>
        <v>0.25</v>
      </c>
      <c r="T35" s="412">
        <f t="shared" ref="T35:T66" si="15">INDEX(AD$3:AD$93,MATCH($Q35,$AA$3:$AA$93,0))</f>
        <v>0</v>
      </c>
      <c r="U35" s="412">
        <f t="shared" ref="U35:U66" si="16">INDEX(AE$3:AE$93,MATCH($Q35,$AA$3:$AA$93,0))</f>
        <v>4</v>
      </c>
      <c r="V35" s="451">
        <f t="shared" ref="V35:V66" si="17">INDEX(AF$3:AF$93,MATCH($Q35,$AA$3:$AA$93,0))</f>
        <v>0.16666666666666666</v>
      </c>
      <c r="W35" s="412">
        <f t="shared" ref="W35:W66" si="18">INDEX(AG$3:AG$93,MATCH($Q35,$AA$3:$AA$93,0))</f>
        <v>1</v>
      </c>
      <c r="Z35" s="412">
        <v>33</v>
      </c>
      <c r="AA35" s="412" t="str">
        <f>Idiomas!D164</f>
        <v>Kazajistán</v>
      </c>
      <c r="AB35" s="412">
        <v>6</v>
      </c>
      <c r="AC35" s="451">
        <v>0.25</v>
      </c>
      <c r="AD35" s="412">
        <f t="shared" si="7"/>
        <v>0</v>
      </c>
      <c r="AE35" s="412">
        <f t="shared" si="8"/>
        <v>4</v>
      </c>
      <c r="AF35" s="451">
        <f t="shared" si="9"/>
        <v>0.16666666666666666</v>
      </c>
      <c r="AG35" s="412">
        <f t="shared" si="10"/>
        <v>1</v>
      </c>
      <c r="AH35" s="412">
        <v>6</v>
      </c>
      <c r="AI35" s="412">
        <f t="shared" si="11"/>
        <v>33</v>
      </c>
    </row>
    <row r="36" spans="1:35" x14ac:dyDescent="0.3">
      <c r="A36" s="452">
        <v>45460.625</v>
      </c>
      <c r="C36" s="453" cm="1">
        <f t="array" ref="C36">A36+INDEX($V$3:V$93,$C$3)*INDEX($W$3:$W$93,$C$3)</f>
        <v>45460.625</v>
      </c>
      <c r="E36" s="453"/>
      <c r="P36" s="412">
        <v>34</v>
      </c>
      <c r="Q36" s="412" t="str">
        <f t="shared" si="12"/>
        <v>Kosovo</v>
      </c>
      <c r="R36" s="412">
        <f t="shared" si="13"/>
        <v>2</v>
      </c>
      <c r="S36" s="451">
        <f t="shared" si="14"/>
        <v>8.3333333333333329E-2</v>
      </c>
      <c r="T36" s="412">
        <f t="shared" si="15"/>
        <v>0</v>
      </c>
      <c r="U36" s="412">
        <f t="shared" si="16"/>
        <v>0</v>
      </c>
      <c r="V36" s="451">
        <f t="shared" si="17"/>
        <v>0</v>
      </c>
      <c r="W36" s="412">
        <f t="shared" si="18"/>
        <v>0</v>
      </c>
      <c r="Z36" s="412">
        <v>34</v>
      </c>
      <c r="AA36" s="412" t="str">
        <f>Idiomas!D165</f>
        <v>Kosovo</v>
      </c>
      <c r="AB36" s="412">
        <v>2</v>
      </c>
      <c r="AC36" s="451">
        <v>8.3333333333333329E-2</v>
      </c>
      <c r="AD36" s="412">
        <f t="shared" si="7"/>
        <v>0</v>
      </c>
      <c r="AE36" s="412">
        <f t="shared" si="8"/>
        <v>0</v>
      </c>
      <c r="AF36" s="451">
        <f t="shared" si="9"/>
        <v>0</v>
      </c>
      <c r="AG36" s="412">
        <f t="shared" si="10"/>
        <v>0</v>
      </c>
      <c r="AH36" s="412">
        <v>1</v>
      </c>
      <c r="AI36" s="412">
        <f t="shared" si="11"/>
        <v>34</v>
      </c>
    </row>
    <row r="37" spans="1:35" x14ac:dyDescent="0.3">
      <c r="A37" s="452">
        <v>45460.75</v>
      </c>
      <c r="C37" s="453" cm="1">
        <f t="array" ref="C37">A37+INDEX($V$3:V$93,$C$3)*INDEX($W$3:$W$93,$C$3)</f>
        <v>45460.75</v>
      </c>
      <c r="E37" s="453"/>
      <c r="P37" s="412">
        <v>35</v>
      </c>
      <c r="Q37" s="412" t="str">
        <f t="shared" si="12"/>
        <v>Letonia</v>
      </c>
      <c r="R37" s="412">
        <f t="shared" si="13"/>
        <v>3</v>
      </c>
      <c r="S37" s="451">
        <f t="shared" si="14"/>
        <v>0.125</v>
      </c>
      <c r="T37" s="412">
        <f t="shared" si="15"/>
        <v>0</v>
      </c>
      <c r="U37" s="412">
        <f t="shared" si="16"/>
        <v>1</v>
      </c>
      <c r="V37" s="451">
        <f t="shared" si="17"/>
        <v>4.1666666666666664E-2</v>
      </c>
      <c r="W37" s="412">
        <f t="shared" si="18"/>
        <v>1</v>
      </c>
      <c r="Z37" s="412">
        <v>35</v>
      </c>
      <c r="AA37" s="412" t="str">
        <f>Idiomas!D166</f>
        <v>Letonia</v>
      </c>
      <c r="AB37" s="412">
        <v>3</v>
      </c>
      <c r="AC37" s="451">
        <v>0.125</v>
      </c>
      <c r="AD37" s="412">
        <f t="shared" si="7"/>
        <v>0</v>
      </c>
      <c r="AE37" s="412">
        <f t="shared" si="8"/>
        <v>1</v>
      </c>
      <c r="AF37" s="451">
        <f t="shared" si="9"/>
        <v>4.1666666666666664E-2</v>
      </c>
      <c r="AG37" s="412">
        <f t="shared" si="10"/>
        <v>1</v>
      </c>
      <c r="AH37" s="412">
        <v>2</v>
      </c>
      <c r="AI37" s="412">
        <f t="shared" si="11"/>
        <v>35</v>
      </c>
    </row>
    <row r="38" spans="1:35" x14ac:dyDescent="0.3">
      <c r="A38" s="452">
        <v>45464.625</v>
      </c>
      <c r="C38" s="453" cm="1">
        <f t="array" ref="C38">A38+INDEX($V$3:V$93,$C$3)*INDEX($W$3:$W$93,$C$3)</f>
        <v>45464.625</v>
      </c>
      <c r="E38" s="453"/>
      <c r="P38" s="412">
        <v>36</v>
      </c>
      <c r="Q38" s="412" t="str">
        <f t="shared" si="12"/>
        <v>Liechtenstein</v>
      </c>
      <c r="R38" s="412">
        <f t="shared" si="13"/>
        <v>2</v>
      </c>
      <c r="S38" s="451">
        <f t="shared" si="14"/>
        <v>8.3333333333333329E-2</v>
      </c>
      <c r="T38" s="412">
        <f t="shared" si="15"/>
        <v>0</v>
      </c>
      <c r="U38" s="412">
        <f t="shared" si="16"/>
        <v>0</v>
      </c>
      <c r="V38" s="451">
        <f t="shared" si="17"/>
        <v>0</v>
      </c>
      <c r="W38" s="412">
        <f t="shared" si="18"/>
        <v>0</v>
      </c>
      <c r="Z38" s="412">
        <v>36</v>
      </c>
      <c r="AA38" s="412" t="str">
        <f>Idiomas!D167</f>
        <v>Liechtenstein</v>
      </c>
      <c r="AB38" s="412">
        <v>2</v>
      </c>
      <c r="AC38" s="451">
        <v>8.3333333333333329E-2</v>
      </c>
      <c r="AD38" s="412">
        <f t="shared" si="7"/>
        <v>0</v>
      </c>
      <c r="AE38" s="412">
        <f t="shared" si="8"/>
        <v>0</v>
      </c>
      <c r="AF38" s="451">
        <f t="shared" si="9"/>
        <v>0</v>
      </c>
      <c r="AG38" s="412">
        <f t="shared" si="10"/>
        <v>0</v>
      </c>
      <c r="AH38" s="412">
        <v>1</v>
      </c>
      <c r="AI38" s="412">
        <f t="shared" si="11"/>
        <v>36</v>
      </c>
    </row>
    <row r="39" spans="1:35" x14ac:dyDescent="0.3">
      <c r="A39" s="452">
        <v>45465.875</v>
      </c>
      <c r="C39" s="453" cm="1">
        <f t="array" ref="C39">A39+INDEX($V$3:V$93,$C$3)*INDEX($W$3:$W$93,$C$3)</f>
        <v>45465.875</v>
      </c>
      <c r="E39" s="453"/>
      <c r="P39" s="412">
        <v>37</v>
      </c>
      <c r="Q39" s="412" t="str">
        <f t="shared" si="12"/>
        <v>Lituania</v>
      </c>
      <c r="R39" s="412">
        <f t="shared" si="13"/>
        <v>3</v>
      </c>
      <c r="S39" s="451">
        <f t="shared" si="14"/>
        <v>0.125</v>
      </c>
      <c r="T39" s="412">
        <f t="shared" si="15"/>
        <v>0</v>
      </c>
      <c r="U39" s="412">
        <f t="shared" si="16"/>
        <v>1</v>
      </c>
      <c r="V39" s="451">
        <f t="shared" si="17"/>
        <v>4.1666666666666664E-2</v>
      </c>
      <c r="W39" s="412">
        <f t="shared" si="18"/>
        <v>1</v>
      </c>
      <c r="Z39" s="412">
        <v>37</v>
      </c>
      <c r="AA39" s="412" t="str">
        <f>Idiomas!D168</f>
        <v>Lituania</v>
      </c>
      <c r="AB39" s="412">
        <v>3</v>
      </c>
      <c r="AC39" s="451">
        <v>0.125</v>
      </c>
      <c r="AD39" s="412">
        <f t="shared" si="7"/>
        <v>0</v>
      </c>
      <c r="AE39" s="412">
        <f t="shared" si="8"/>
        <v>1</v>
      </c>
      <c r="AF39" s="451">
        <f t="shared" si="9"/>
        <v>4.1666666666666664E-2</v>
      </c>
      <c r="AG39" s="412">
        <f t="shared" si="10"/>
        <v>1</v>
      </c>
      <c r="AH39" s="412">
        <v>2</v>
      </c>
      <c r="AI39" s="412">
        <f t="shared" si="11"/>
        <v>37</v>
      </c>
    </row>
    <row r="40" spans="1:35" x14ac:dyDescent="0.3">
      <c r="A40" s="452">
        <v>45469.75</v>
      </c>
      <c r="C40" s="453" cm="1">
        <f t="array" ref="C40">A40+INDEX($V$3:V$93,$C$3)*INDEX($W$3:$W$93,$C$3)</f>
        <v>45469.75</v>
      </c>
      <c r="E40" s="453"/>
      <c r="P40" s="412">
        <v>38</v>
      </c>
      <c r="Q40" s="412" t="str">
        <f t="shared" si="12"/>
        <v>Luxemburgo</v>
      </c>
      <c r="R40" s="412">
        <f t="shared" si="13"/>
        <v>2</v>
      </c>
      <c r="S40" s="451">
        <f t="shared" si="14"/>
        <v>8.3333333333333329E-2</v>
      </c>
      <c r="T40" s="412">
        <f t="shared" si="15"/>
        <v>0</v>
      </c>
      <c r="U40" s="412">
        <f t="shared" si="16"/>
        <v>0</v>
      </c>
      <c r="V40" s="451">
        <f t="shared" si="17"/>
        <v>0</v>
      </c>
      <c r="W40" s="412">
        <f t="shared" si="18"/>
        <v>0</v>
      </c>
      <c r="Z40" s="412">
        <v>38</v>
      </c>
      <c r="AA40" s="412" t="str">
        <f>Idiomas!D169</f>
        <v>Luxemburgo</v>
      </c>
      <c r="AB40" s="412">
        <v>2</v>
      </c>
      <c r="AC40" s="451">
        <v>8.3333333333333329E-2</v>
      </c>
      <c r="AD40" s="412">
        <f t="shared" si="7"/>
        <v>0</v>
      </c>
      <c r="AE40" s="412">
        <f t="shared" si="8"/>
        <v>0</v>
      </c>
      <c r="AF40" s="451">
        <f t="shared" si="9"/>
        <v>0</v>
      </c>
      <c r="AG40" s="412">
        <f t="shared" si="10"/>
        <v>0</v>
      </c>
      <c r="AH40" s="412">
        <v>1</v>
      </c>
      <c r="AI40" s="412">
        <f t="shared" si="11"/>
        <v>38</v>
      </c>
    </row>
    <row r="41" spans="1:35" x14ac:dyDescent="0.3">
      <c r="A41" s="452">
        <v>45469.75</v>
      </c>
      <c r="C41" s="453" cm="1">
        <f t="array" ref="C41">A41+INDEX($V$3:V$93,$C$3)*INDEX($W$3:$W$93,$C$3)</f>
        <v>45469.75</v>
      </c>
      <c r="E41" s="453"/>
      <c r="P41" s="412">
        <v>39</v>
      </c>
      <c r="Q41" s="412" t="str">
        <f t="shared" si="12"/>
        <v>Macedonia del Norte</v>
      </c>
      <c r="R41" s="412">
        <f t="shared" si="13"/>
        <v>2</v>
      </c>
      <c r="S41" s="451">
        <f t="shared" si="14"/>
        <v>8.3333333333333329E-2</v>
      </c>
      <c r="T41" s="412">
        <f t="shared" si="15"/>
        <v>0</v>
      </c>
      <c r="U41" s="412">
        <f t="shared" si="16"/>
        <v>0</v>
      </c>
      <c r="V41" s="451">
        <f t="shared" si="17"/>
        <v>0</v>
      </c>
      <c r="W41" s="412">
        <f t="shared" si="18"/>
        <v>0</v>
      </c>
      <c r="Z41" s="412">
        <v>39</v>
      </c>
      <c r="AA41" s="412" t="str">
        <f>Idiomas!D170</f>
        <v>Macedonia del Norte</v>
      </c>
      <c r="AB41" s="412">
        <v>2</v>
      </c>
      <c r="AC41" s="451">
        <v>8.3333333333333329E-2</v>
      </c>
      <c r="AD41" s="412">
        <f t="shared" si="7"/>
        <v>0</v>
      </c>
      <c r="AE41" s="412">
        <f t="shared" si="8"/>
        <v>0</v>
      </c>
      <c r="AF41" s="451">
        <f t="shared" si="9"/>
        <v>0</v>
      </c>
      <c r="AG41" s="412">
        <f t="shared" si="10"/>
        <v>0</v>
      </c>
      <c r="AH41" s="412">
        <v>1</v>
      </c>
      <c r="AI41" s="412">
        <f t="shared" si="11"/>
        <v>39</v>
      </c>
    </row>
    <row r="42" spans="1:35" x14ac:dyDescent="0.3">
      <c r="C42" s="453"/>
      <c r="E42" s="453"/>
      <c r="P42" s="412">
        <v>40</v>
      </c>
      <c r="Q42" s="412" t="str">
        <f t="shared" si="12"/>
        <v>Malta</v>
      </c>
      <c r="R42" s="412">
        <f t="shared" si="13"/>
        <v>2</v>
      </c>
      <c r="S42" s="451">
        <f t="shared" si="14"/>
        <v>8.3333333333333329E-2</v>
      </c>
      <c r="T42" s="412">
        <f t="shared" si="15"/>
        <v>0</v>
      </c>
      <c r="U42" s="412">
        <f t="shared" si="16"/>
        <v>0</v>
      </c>
      <c r="V42" s="451">
        <f t="shared" si="17"/>
        <v>0</v>
      </c>
      <c r="W42" s="412">
        <f t="shared" si="18"/>
        <v>0</v>
      </c>
      <c r="Z42" s="412">
        <v>40</v>
      </c>
      <c r="AA42" s="412" t="str">
        <f>Idiomas!D171</f>
        <v>Malta</v>
      </c>
      <c r="AB42" s="412">
        <v>2</v>
      </c>
      <c r="AC42" s="451">
        <v>8.3333333333333329E-2</v>
      </c>
      <c r="AD42" s="412">
        <f t="shared" si="7"/>
        <v>0</v>
      </c>
      <c r="AE42" s="412">
        <f t="shared" si="8"/>
        <v>0</v>
      </c>
      <c r="AF42" s="451">
        <f t="shared" si="9"/>
        <v>0</v>
      </c>
      <c r="AG42" s="412">
        <f t="shared" si="10"/>
        <v>0</v>
      </c>
      <c r="AH42" s="412">
        <v>1</v>
      </c>
      <c r="AI42" s="412">
        <f t="shared" si="11"/>
        <v>40</v>
      </c>
    </row>
    <row r="43" spans="1:35" x14ac:dyDescent="0.3">
      <c r="A43" s="455" t="s">
        <v>32</v>
      </c>
      <c r="C43" s="453"/>
      <c r="E43" s="453"/>
      <c r="P43" s="412">
        <v>41</v>
      </c>
      <c r="Q43" s="412" t="str">
        <f t="shared" si="12"/>
        <v>Moldavia</v>
      </c>
      <c r="R43" s="412">
        <f t="shared" si="13"/>
        <v>3</v>
      </c>
      <c r="S43" s="451">
        <f t="shared" si="14"/>
        <v>0.125</v>
      </c>
      <c r="T43" s="412">
        <f t="shared" si="15"/>
        <v>0</v>
      </c>
      <c r="U43" s="412">
        <f t="shared" si="16"/>
        <v>1</v>
      </c>
      <c r="V43" s="451">
        <f t="shared" si="17"/>
        <v>4.1666666666666664E-2</v>
      </c>
      <c r="W43" s="412">
        <f t="shared" si="18"/>
        <v>1</v>
      </c>
      <c r="Z43" s="412">
        <v>41</v>
      </c>
      <c r="AA43" s="412" t="str">
        <f>Idiomas!D172</f>
        <v>Moldavia</v>
      </c>
      <c r="AB43" s="412">
        <v>3</v>
      </c>
      <c r="AC43" s="451">
        <v>0.125</v>
      </c>
      <c r="AD43" s="412">
        <f t="shared" si="7"/>
        <v>0</v>
      </c>
      <c r="AE43" s="412">
        <f t="shared" si="8"/>
        <v>1</v>
      </c>
      <c r="AF43" s="451">
        <f t="shared" si="9"/>
        <v>4.1666666666666664E-2</v>
      </c>
      <c r="AG43" s="412">
        <f t="shared" si="10"/>
        <v>1</v>
      </c>
      <c r="AH43" s="412">
        <v>2</v>
      </c>
      <c r="AI43" s="412">
        <f t="shared" si="11"/>
        <v>41</v>
      </c>
    </row>
    <row r="44" spans="1:35" x14ac:dyDescent="0.3">
      <c r="A44" s="452">
        <v>45461.75</v>
      </c>
      <c r="C44" s="453" cm="1">
        <f t="array" ref="C44">A44+INDEX($V$3:V$93,$C$3)*INDEX($W$3:$W$93,$C$3)</f>
        <v>45461.75</v>
      </c>
      <c r="E44" s="453"/>
      <c r="P44" s="412">
        <v>42</v>
      </c>
      <c r="Q44" s="412" t="str">
        <f t="shared" si="12"/>
        <v>Montenegro</v>
      </c>
      <c r="R44" s="412">
        <f t="shared" si="13"/>
        <v>2</v>
      </c>
      <c r="S44" s="451">
        <f t="shared" si="14"/>
        <v>8.3333333333333329E-2</v>
      </c>
      <c r="T44" s="412">
        <f t="shared" si="15"/>
        <v>0</v>
      </c>
      <c r="U44" s="412">
        <f t="shared" si="16"/>
        <v>0</v>
      </c>
      <c r="V44" s="451">
        <f t="shared" si="17"/>
        <v>0</v>
      </c>
      <c r="W44" s="412">
        <f t="shared" si="18"/>
        <v>0</v>
      </c>
      <c r="Z44" s="412">
        <v>42</v>
      </c>
      <c r="AA44" s="412" t="str">
        <f>Idiomas!D173</f>
        <v>Montenegro</v>
      </c>
      <c r="AB44" s="412">
        <v>2</v>
      </c>
      <c r="AC44" s="451">
        <v>8.3333333333333329E-2</v>
      </c>
      <c r="AD44" s="412">
        <f t="shared" si="7"/>
        <v>0</v>
      </c>
      <c r="AE44" s="412">
        <f t="shared" si="8"/>
        <v>0</v>
      </c>
      <c r="AF44" s="451">
        <f t="shared" si="9"/>
        <v>0</v>
      </c>
      <c r="AG44" s="412">
        <f t="shared" si="10"/>
        <v>0</v>
      </c>
      <c r="AH44" s="412">
        <v>1</v>
      </c>
      <c r="AI44" s="412">
        <f t="shared" si="11"/>
        <v>42</v>
      </c>
    </row>
    <row r="45" spans="1:35" x14ac:dyDescent="0.3">
      <c r="A45" s="452">
        <v>45461.875</v>
      </c>
      <c r="C45" s="453" cm="1">
        <f t="array" ref="C45">A45+INDEX($V$3:V$93,$C$3)*INDEX($W$3:$W$93,$C$3)</f>
        <v>45461.875</v>
      </c>
      <c r="E45" s="453"/>
      <c r="P45" s="412">
        <v>43</v>
      </c>
      <c r="Q45" s="412" t="str">
        <f t="shared" si="12"/>
        <v>Noruega</v>
      </c>
      <c r="R45" s="412">
        <f t="shared" si="13"/>
        <v>2</v>
      </c>
      <c r="S45" s="451">
        <f t="shared" si="14"/>
        <v>8.3333333333333329E-2</v>
      </c>
      <c r="T45" s="412">
        <f t="shared" si="15"/>
        <v>0</v>
      </c>
      <c r="U45" s="412">
        <f t="shared" si="16"/>
        <v>0</v>
      </c>
      <c r="V45" s="451">
        <f t="shared" si="17"/>
        <v>0</v>
      </c>
      <c r="W45" s="412">
        <f t="shared" si="18"/>
        <v>0</v>
      </c>
      <c r="Z45" s="412">
        <v>43</v>
      </c>
      <c r="AA45" s="412" t="str">
        <f>Idiomas!D174</f>
        <v>Noruega</v>
      </c>
      <c r="AB45" s="412">
        <v>2</v>
      </c>
      <c r="AC45" s="451">
        <v>8.3333333333333329E-2</v>
      </c>
      <c r="AD45" s="412">
        <f t="shared" si="7"/>
        <v>0</v>
      </c>
      <c r="AE45" s="412">
        <f t="shared" si="8"/>
        <v>0</v>
      </c>
      <c r="AF45" s="451">
        <f t="shared" si="9"/>
        <v>0</v>
      </c>
      <c r="AG45" s="412">
        <f t="shared" si="10"/>
        <v>0</v>
      </c>
      <c r="AH45" s="412">
        <v>1</v>
      </c>
      <c r="AI45" s="412">
        <f t="shared" si="11"/>
        <v>43</v>
      </c>
    </row>
    <row r="46" spans="1:35" x14ac:dyDescent="0.3">
      <c r="A46" s="452">
        <v>45465.625</v>
      </c>
      <c r="C46" s="453" cm="1">
        <f t="array" ref="C46">A46+INDEX($V$3:V$93,$C$3)*INDEX($W$3:$W$93,$C$3)</f>
        <v>45465.625</v>
      </c>
      <c r="E46" s="453"/>
      <c r="P46" s="412">
        <v>44</v>
      </c>
      <c r="Q46" s="412" t="str">
        <f t="shared" si="12"/>
        <v>Países Bajos</v>
      </c>
      <c r="R46" s="412">
        <f t="shared" si="13"/>
        <v>2</v>
      </c>
      <c r="S46" s="451">
        <f t="shared" si="14"/>
        <v>8.3333333333333329E-2</v>
      </c>
      <c r="T46" s="412">
        <f t="shared" si="15"/>
        <v>0</v>
      </c>
      <c r="U46" s="412">
        <f t="shared" si="16"/>
        <v>0</v>
      </c>
      <c r="V46" s="451">
        <f t="shared" si="17"/>
        <v>0</v>
      </c>
      <c r="W46" s="412">
        <f t="shared" si="18"/>
        <v>0</v>
      </c>
      <c r="Z46" s="412">
        <v>44</v>
      </c>
      <c r="AA46" s="412" t="str">
        <f>Idiomas!D175</f>
        <v>Países Bajos</v>
      </c>
      <c r="AB46" s="412">
        <v>2</v>
      </c>
      <c r="AC46" s="451">
        <v>8.3333333333333329E-2</v>
      </c>
      <c r="AD46" s="412">
        <f t="shared" si="7"/>
        <v>0</v>
      </c>
      <c r="AE46" s="412">
        <f t="shared" si="8"/>
        <v>0</v>
      </c>
      <c r="AF46" s="451">
        <f t="shared" si="9"/>
        <v>0</v>
      </c>
      <c r="AG46" s="412">
        <f t="shared" si="10"/>
        <v>0</v>
      </c>
      <c r="AH46" s="412">
        <v>1</v>
      </c>
      <c r="AI46" s="412">
        <f t="shared" si="11"/>
        <v>44</v>
      </c>
    </row>
    <row r="47" spans="1:35" x14ac:dyDescent="0.3">
      <c r="A47" s="452">
        <v>45465.75</v>
      </c>
      <c r="C47" s="453" cm="1">
        <f t="array" ref="C47">A47+INDEX($V$3:V$93,$C$3)*INDEX($W$3:$W$93,$C$3)</f>
        <v>45465.75</v>
      </c>
      <c r="E47" s="453"/>
      <c r="P47" s="412">
        <v>45</v>
      </c>
      <c r="Q47" s="412" t="str">
        <f t="shared" si="12"/>
        <v>Polonia</v>
      </c>
      <c r="R47" s="412">
        <f t="shared" si="13"/>
        <v>2</v>
      </c>
      <c r="S47" s="451">
        <f t="shared" si="14"/>
        <v>8.3333333333333329E-2</v>
      </c>
      <c r="T47" s="412">
        <f t="shared" si="15"/>
        <v>0</v>
      </c>
      <c r="U47" s="412">
        <f t="shared" si="16"/>
        <v>0</v>
      </c>
      <c r="V47" s="451">
        <f t="shared" si="17"/>
        <v>0</v>
      </c>
      <c r="W47" s="412">
        <f t="shared" si="18"/>
        <v>0</v>
      </c>
      <c r="Z47" s="412">
        <v>45</v>
      </c>
      <c r="AA47" s="412" t="str">
        <f>Idiomas!D176</f>
        <v>Polonia</v>
      </c>
      <c r="AB47" s="412">
        <v>2</v>
      </c>
      <c r="AC47" s="451">
        <v>8.3333333333333329E-2</v>
      </c>
      <c r="AD47" s="412">
        <f t="shared" si="7"/>
        <v>0</v>
      </c>
      <c r="AE47" s="412">
        <f t="shared" si="8"/>
        <v>0</v>
      </c>
      <c r="AF47" s="451">
        <f t="shared" si="9"/>
        <v>0</v>
      </c>
      <c r="AG47" s="412">
        <f t="shared" si="10"/>
        <v>0</v>
      </c>
      <c r="AH47" s="412">
        <v>1</v>
      </c>
      <c r="AI47" s="412">
        <f t="shared" si="11"/>
        <v>45</v>
      </c>
    </row>
    <row r="48" spans="1:35" x14ac:dyDescent="0.3">
      <c r="A48" s="452">
        <v>45469.875</v>
      </c>
      <c r="C48" s="453" cm="1">
        <f t="array" ref="C48">A48+INDEX($V$3:V$93,$C$3)*INDEX($W$3:$W$93,$C$3)</f>
        <v>45469.875</v>
      </c>
      <c r="E48" s="453"/>
      <c r="P48" s="412">
        <v>46</v>
      </c>
      <c r="Q48" s="412" t="str">
        <f t="shared" si="12"/>
        <v>Portugal</v>
      </c>
      <c r="R48" s="412">
        <f t="shared" si="13"/>
        <v>1</v>
      </c>
      <c r="S48" s="451">
        <f t="shared" si="14"/>
        <v>4.1666666666666664E-2</v>
      </c>
      <c r="T48" s="412">
        <f t="shared" si="15"/>
        <v>0</v>
      </c>
      <c r="U48" s="412">
        <f t="shared" si="16"/>
        <v>-1</v>
      </c>
      <c r="V48" s="451">
        <f t="shared" si="17"/>
        <v>4.1666666666666664E-2</v>
      </c>
      <c r="W48" s="412">
        <f t="shared" si="18"/>
        <v>-1</v>
      </c>
      <c r="Z48" s="412">
        <v>46</v>
      </c>
      <c r="AA48" s="412" t="str">
        <f>Idiomas!D177</f>
        <v>Portugal</v>
      </c>
      <c r="AB48" s="412">
        <v>1</v>
      </c>
      <c r="AC48" s="451">
        <v>4.1666666666666664E-2</v>
      </c>
      <c r="AD48" s="412">
        <f t="shared" si="7"/>
        <v>0</v>
      </c>
      <c r="AE48" s="412">
        <f t="shared" si="8"/>
        <v>-1</v>
      </c>
      <c r="AF48" s="451">
        <f t="shared" si="9"/>
        <v>4.1666666666666664E-2</v>
      </c>
      <c r="AG48" s="412">
        <f t="shared" si="10"/>
        <v>-1</v>
      </c>
      <c r="AH48" s="412">
        <v>0</v>
      </c>
      <c r="AI48" s="412">
        <f t="shared" si="11"/>
        <v>46</v>
      </c>
    </row>
    <row r="49" spans="1:35" x14ac:dyDescent="0.3">
      <c r="A49" s="452">
        <v>45469.875</v>
      </c>
      <c r="C49" s="453" cm="1">
        <f t="array" ref="C49">A49+INDEX($V$3:V$93,$C$3)*INDEX($W$3:$W$93,$C$3)</f>
        <v>45469.875</v>
      </c>
      <c r="E49" s="453"/>
      <c r="P49" s="412">
        <v>47</v>
      </c>
      <c r="Q49" s="412" t="str">
        <f t="shared" si="12"/>
        <v>República Checa</v>
      </c>
      <c r="R49" s="412">
        <f t="shared" si="13"/>
        <v>2</v>
      </c>
      <c r="S49" s="451">
        <f t="shared" si="14"/>
        <v>8.3333333333333329E-2</v>
      </c>
      <c r="T49" s="412">
        <f t="shared" si="15"/>
        <v>0</v>
      </c>
      <c r="U49" s="412">
        <f t="shared" si="16"/>
        <v>0</v>
      </c>
      <c r="V49" s="451">
        <f t="shared" si="17"/>
        <v>0</v>
      </c>
      <c r="W49" s="412">
        <f t="shared" si="18"/>
        <v>0</v>
      </c>
      <c r="Z49" s="412">
        <v>47</v>
      </c>
      <c r="AA49" s="412" t="str">
        <f>Idiomas!D178</f>
        <v>República Checa</v>
      </c>
      <c r="AB49" s="412">
        <v>2</v>
      </c>
      <c r="AC49" s="451">
        <v>8.3333333333333329E-2</v>
      </c>
      <c r="AD49" s="412">
        <f t="shared" si="7"/>
        <v>0</v>
      </c>
      <c r="AE49" s="412">
        <f t="shared" si="8"/>
        <v>0</v>
      </c>
      <c r="AF49" s="451">
        <f t="shared" si="9"/>
        <v>0</v>
      </c>
      <c r="AG49" s="412">
        <f t="shared" si="10"/>
        <v>0</v>
      </c>
      <c r="AH49" s="412">
        <v>1</v>
      </c>
      <c r="AI49" s="412">
        <f t="shared" si="11"/>
        <v>47</v>
      </c>
    </row>
    <row r="50" spans="1:35" x14ac:dyDescent="0.3">
      <c r="C50" s="453"/>
      <c r="E50" s="453"/>
      <c r="P50" s="412">
        <v>48</v>
      </c>
      <c r="Q50" s="412" t="str">
        <f t="shared" si="12"/>
        <v>Rumanía</v>
      </c>
      <c r="R50" s="412">
        <f t="shared" si="13"/>
        <v>3</v>
      </c>
      <c r="S50" s="451">
        <f t="shared" si="14"/>
        <v>0.125</v>
      </c>
      <c r="T50" s="412">
        <f t="shared" si="15"/>
        <v>0</v>
      </c>
      <c r="U50" s="412">
        <f t="shared" si="16"/>
        <v>1</v>
      </c>
      <c r="V50" s="451">
        <f t="shared" si="17"/>
        <v>4.1666666666666664E-2</v>
      </c>
      <c r="W50" s="412">
        <f t="shared" si="18"/>
        <v>1</v>
      </c>
      <c r="Z50" s="412">
        <v>48</v>
      </c>
      <c r="AA50" s="412" t="str">
        <f>Idiomas!D179</f>
        <v>Rumanía</v>
      </c>
      <c r="AB50" s="412">
        <v>3</v>
      </c>
      <c r="AC50" s="451">
        <v>0.125</v>
      </c>
      <c r="AD50" s="412">
        <f t="shared" si="7"/>
        <v>0</v>
      </c>
      <c r="AE50" s="412">
        <f t="shared" si="8"/>
        <v>1</v>
      </c>
      <c r="AF50" s="451">
        <f t="shared" si="9"/>
        <v>4.1666666666666664E-2</v>
      </c>
      <c r="AG50" s="412">
        <f t="shared" si="10"/>
        <v>1</v>
      </c>
      <c r="AH50" s="412">
        <v>2</v>
      </c>
      <c r="AI50" s="412">
        <f t="shared" si="11"/>
        <v>48</v>
      </c>
    </row>
    <row r="51" spans="1:35" x14ac:dyDescent="0.3">
      <c r="C51" s="453"/>
      <c r="E51" s="453"/>
      <c r="P51" s="412">
        <v>49</v>
      </c>
      <c r="Q51" s="412" t="str">
        <f t="shared" si="12"/>
        <v>Rusia</v>
      </c>
      <c r="R51" s="412">
        <f t="shared" si="13"/>
        <v>3</v>
      </c>
      <c r="S51" s="451">
        <f t="shared" si="14"/>
        <v>0.125</v>
      </c>
      <c r="T51" s="412">
        <f t="shared" si="15"/>
        <v>0</v>
      </c>
      <c r="U51" s="412">
        <f t="shared" si="16"/>
        <v>1</v>
      </c>
      <c r="V51" s="451">
        <f t="shared" si="17"/>
        <v>4.1666666666666664E-2</v>
      </c>
      <c r="W51" s="412">
        <f t="shared" si="18"/>
        <v>1</v>
      </c>
      <c r="Z51" s="412">
        <v>49</v>
      </c>
      <c r="AA51" s="412" t="str">
        <f>Idiomas!D180</f>
        <v>Rusia</v>
      </c>
      <c r="AB51" s="412">
        <v>3</v>
      </c>
      <c r="AC51" s="451">
        <v>0.125</v>
      </c>
      <c r="AD51" s="412">
        <f t="shared" si="7"/>
        <v>0</v>
      </c>
      <c r="AE51" s="412">
        <f t="shared" si="8"/>
        <v>1</v>
      </c>
      <c r="AF51" s="451">
        <f t="shared" si="9"/>
        <v>4.1666666666666664E-2</v>
      </c>
      <c r="AG51" s="412">
        <f t="shared" si="10"/>
        <v>1</v>
      </c>
      <c r="AH51" s="412">
        <v>3</v>
      </c>
      <c r="AI51" s="412">
        <f t="shared" si="11"/>
        <v>49</v>
      </c>
    </row>
    <row r="52" spans="1:35" x14ac:dyDescent="0.3">
      <c r="C52" s="453"/>
      <c r="E52" s="453"/>
      <c r="P52" s="412">
        <v>50</v>
      </c>
      <c r="Q52" s="412" t="str">
        <f t="shared" si="12"/>
        <v>San Marino</v>
      </c>
      <c r="R52" s="412">
        <f t="shared" si="13"/>
        <v>2</v>
      </c>
      <c r="S52" s="451">
        <f t="shared" si="14"/>
        <v>8.3333333333333329E-2</v>
      </c>
      <c r="T52" s="412">
        <f t="shared" si="15"/>
        <v>0</v>
      </c>
      <c r="U52" s="412">
        <f t="shared" si="16"/>
        <v>0</v>
      </c>
      <c r="V52" s="451">
        <f t="shared" si="17"/>
        <v>0</v>
      </c>
      <c r="W52" s="412">
        <f t="shared" si="18"/>
        <v>0</v>
      </c>
      <c r="Z52" s="412">
        <v>50</v>
      </c>
      <c r="AA52" s="412" t="str">
        <f>Idiomas!D181</f>
        <v>San Marino</v>
      </c>
      <c r="AB52" s="412">
        <v>2</v>
      </c>
      <c r="AC52" s="451">
        <v>8.3333333333333329E-2</v>
      </c>
      <c r="AD52" s="412">
        <f t="shared" si="7"/>
        <v>0</v>
      </c>
      <c r="AE52" s="412">
        <f t="shared" si="8"/>
        <v>0</v>
      </c>
      <c r="AF52" s="451">
        <f t="shared" si="9"/>
        <v>0</v>
      </c>
      <c r="AG52" s="412">
        <f t="shared" si="10"/>
        <v>0</v>
      </c>
      <c r="AH52" s="412">
        <v>1</v>
      </c>
      <c r="AI52" s="412">
        <f t="shared" si="11"/>
        <v>50</v>
      </c>
    </row>
    <row r="53" spans="1:35" x14ac:dyDescent="0.3">
      <c r="C53" s="453"/>
      <c r="E53" s="453"/>
      <c r="P53" s="412">
        <v>51</v>
      </c>
      <c r="Q53" s="412" t="str">
        <f t="shared" si="12"/>
        <v>Serbia</v>
      </c>
      <c r="R53" s="412">
        <f t="shared" si="13"/>
        <v>2</v>
      </c>
      <c r="S53" s="451">
        <f t="shared" si="14"/>
        <v>8.3333333333333329E-2</v>
      </c>
      <c r="T53" s="412">
        <f t="shared" si="15"/>
        <v>0</v>
      </c>
      <c r="U53" s="412">
        <f t="shared" si="16"/>
        <v>0</v>
      </c>
      <c r="V53" s="451">
        <f t="shared" si="17"/>
        <v>0</v>
      </c>
      <c r="W53" s="412">
        <f t="shared" si="18"/>
        <v>0</v>
      </c>
      <c r="Z53" s="412">
        <v>51</v>
      </c>
      <c r="AA53" s="412" t="str">
        <f>Idiomas!D182</f>
        <v>Serbia</v>
      </c>
      <c r="AB53" s="412">
        <v>2</v>
      </c>
      <c r="AC53" s="451">
        <v>8.3333333333333329E-2</v>
      </c>
      <c r="AD53" s="412">
        <f t="shared" si="7"/>
        <v>0</v>
      </c>
      <c r="AE53" s="412">
        <f t="shared" si="8"/>
        <v>0</v>
      </c>
      <c r="AF53" s="451">
        <f t="shared" si="9"/>
        <v>0</v>
      </c>
      <c r="AG53" s="412">
        <f t="shared" si="10"/>
        <v>0</v>
      </c>
      <c r="AH53" s="412">
        <v>1</v>
      </c>
      <c r="AI53" s="412">
        <f t="shared" si="11"/>
        <v>51</v>
      </c>
    </row>
    <row r="54" spans="1:35" x14ac:dyDescent="0.3">
      <c r="C54" s="453"/>
      <c r="E54" s="453"/>
      <c r="P54" s="412">
        <v>52</v>
      </c>
      <c r="Q54" s="412" t="str">
        <f t="shared" si="12"/>
        <v>Suecia</v>
      </c>
      <c r="R54" s="412">
        <f t="shared" si="13"/>
        <v>2</v>
      </c>
      <c r="S54" s="451">
        <f t="shared" si="14"/>
        <v>8.3333333333333329E-2</v>
      </c>
      <c r="T54" s="412">
        <f t="shared" si="15"/>
        <v>0</v>
      </c>
      <c r="U54" s="412">
        <f t="shared" si="16"/>
        <v>0</v>
      </c>
      <c r="V54" s="451">
        <f t="shared" si="17"/>
        <v>0</v>
      </c>
      <c r="W54" s="412">
        <f t="shared" si="18"/>
        <v>0</v>
      </c>
      <c r="Z54" s="412">
        <v>52</v>
      </c>
      <c r="AA54" s="412" t="str">
        <f>Idiomas!D183</f>
        <v>Suecia</v>
      </c>
      <c r="AB54" s="412">
        <v>2</v>
      </c>
      <c r="AC54" s="451">
        <v>8.3333333333333329E-2</v>
      </c>
      <c r="AD54" s="412">
        <f t="shared" si="7"/>
        <v>0</v>
      </c>
      <c r="AE54" s="412">
        <f t="shared" si="8"/>
        <v>0</v>
      </c>
      <c r="AF54" s="451">
        <f t="shared" si="9"/>
        <v>0</v>
      </c>
      <c r="AG54" s="412">
        <f t="shared" si="10"/>
        <v>0</v>
      </c>
      <c r="AH54" s="412">
        <v>1</v>
      </c>
      <c r="AI54" s="412">
        <f t="shared" si="11"/>
        <v>52</v>
      </c>
    </row>
    <row r="55" spans="1:35" x14ac:dyDescent="0.3">
      <c r="C55" s="453"/>
      <c r="E55" s="453"/>
      <c r="P55" s="412">
        <v>53</v>
      </c>
      <c r="Q55" s="412" t="str">
        <f t="shared" si="12"/>
        <v>Suiza</v>
      </c>
      <c r="R55" s="412">
        <f t="shared" si="13"/>
        <v>2</v>
      </c>
      <c r="S55" s="451">
        <f t="shared" si="14"/>
        <v>8.3333333333333329E-2</v>
      </c>
      <c r="T55" s="412">
        <f t="shared" si="15"/>
        <v>0</v>
      </c>
      <c r="U55" s="412">
        <f t="shared" si="16"/>
        <v>0</v>
      </c>
      <c r="V55" s="451">
        <f t="shared" si="17"/>
        <v>0</v>
      </c>
      <c r="W55" s="412">
        <f t="shared" si="18"/>
        <v>0</v>
      </c>
      <c r="Z55" s="412">
        <v>53</v>
      </c>
      <c r="AA55" s="412" t="str">
        <f>Idiomas!D184</f>
        <v>Suiza</v>
      </c>
      <c r="AB55" s="412">
        <v>2</v>
      </c>
      <c r="AC55" s="451">
        <v>8.3333333333333329E-2</v>
      </c>
      <c r="AD55" s="412">
        <f t="shared" si="7"/>
        <v>0</v>
      </c>
      <c r="AE55" s="412">
        <f t="shared" si="8"/>
        <v>0</v>
      </c>
      <c r="AF55" s="451">
        <f t="shared" si="9"/>
        <v>0</v>
      </c>
      <c r="AG55" s="412">
        <f t="shared" si="10"/>
        <v>0</v>
      </c>
      <c r="AH55" s="412">
        <v>1</v>
      </c>
      <c r="AI55" s="412">
        <f t="shared" si="11"/>
        <v>53</v>
      </c>
    </row>
    <row r="56" spans="1:35" x14ac:dyDescent="0.3">
      <c r="C56" s="453"/>
      <c r="E56" s="453"/>
      <c r="P56" s="412">
        <v>54</v>
      </c>
      <c r="Q56" s="412" t="str">
        <f t="shared" si="12"/>
        <v>Turquía</v>
      </c>
      <c r="R56" s="412">
        <f t="shared" si="13"/>
        <v>3</v>
      </c>
      <c r="S56" s="451">
        <f t="shared" si="14"/>
        <v>0.125</v>
      </c>
      <c r="T56" s="412">
        <f t="shared" si="15"/>
        <v>0</v>
      </c>
      <c r="U56" s="412">
        <f t="shared" si="16"/>
        <v>1</v>
      </c>
      <c r="V56" s="451">
        <f t="shared" si="17"/>
        <v>4.1666666666666664E-2</v>
      </c>
      <c r="W56" s="412">
        <f t="shared" si="18"/>
        <v>1</v>
      </c>
      <c r="Z56" s="412">
        <v>54</v>
      </c>
      <c r="AA56" s="412" t="str">
        <f>Idiomas!D185</f>
        <v>Turquía</v>
      </c>
      <c r="AB56" s="412">
        <v>3</v>
      </c>
      <c r="AC56" s="451">
        <v>0.125</v>
      </c>
      <c r="AD56" s="412">
        <f t="shared" si="7"/>
        <v>0</v>
      </c>
      <c r="AE56" s="412">
        <f t="shared" si="8"/>
        <v>1</v>
      </c>
      <c r="AF56" s="451">
        <f t="shared" si="9"/>
        <v>4.1666666666666664E-2</v>
      </c>
      <c r="AG56" s="412">
        <f t="shared" si="10"/>
        <v>1</v>
      </c>
      <c r="AH56" s="412">
        <v>3</v>
      </c>
      <c r="AI56" s="412">
        <f t="shared" si="11"/>
        <v>54</v>
      </c>
    </row>
    <row r="57" spans="1:35" x14ac:dyDescent="0.3">
      <c r="C57" s="453"/>
      <c r="E57" s="453"/>
      <c r="P57" s="412">
        <v>55</v>
      </c>
      <c r="Q57" s="412" t="str">
        <f t="shared" si="12"/>
        <v>Ucrania</v>
      </c>
      <c r="R57" s="412">
        <f t="shared" si="13"/>
        <v>3</v>
      </c>
      <c r="S57" s="451">
        <f t="shared" si="14"/>
        <v>0.125</v>
      </c>
      <c r="T57" s="412">
        <f t="shared" si="15"/>
        <v>0</v>
      </c>
      <c r="U57" s="412">
        <f t="shared" si="16"/>
        <v>1</v>
      </c>
      <c r="V57" s="451">
        <f t="shared" si="17"/>
        <v>4.1666666666666664E-2</v>
      </c>
      <c r="W57" s="412">
        <f t="shared" si="18"/>
        <v>1</v>
      </c>
      <c r="Z57" s="412">
        <v>55</v>
      </c>
      <c r="AA57" s="412" t="str">
        <f>Idiomas!D189</f>
        <v>Ucrania</v>
      </c>
      <c r="AB57" s="412">
        <v>3</v>
      </c>
      <c r="AC57" s="451">
        <v>0.125</v>
      </c>
      <c r="AD57" s="412">
        <f t="shared" si="7"/>
        <v>0</v>
      </c>
      <c r="AE57" s="412">
        <f t="shared" si="8"/>
        <v>1</v>
      </c>
      <c r="AF57" s="451">
        <f t="shared" si="9"/>
        <v>4.1666666666666664E-2</v>
      </c>
      <c r="AG57" s="412">
        <f t="shared" si="10"/>
        <v>1</v>
      </c>
      <c r="AH57" s="412">
        <v>2</v>
      </c>
      <c r="AI57" s="412">
        <f t="shared" si="11"/>
        <v>55</v>
      </c>
    </row>
    <row r="58" spans="1:35" x14ac:dyDescent="0.3">
      <c r="C58" s="453"/>
      <c r="E58" s="453"/>
      <c r="P58" s="412">
        <v>56</v>
      </c>
      <c r="Q58" s="412" t="s">
        <v>766</v>
      </c>
      <c r="R58" s="412">
        <f t="shared" si="13"/>
        <v>-12</v>
      </c>
      <c r="S58" s="451">
        <f t="shared" si="14"/>
        <v>0.5</v>
      </c>
      <c r="T58" s="412">
        <f t="shared" si="15"/>
        <v>0</v>
      </c>
      <c r="U58" s="412">
        <f t="shared" si="16"/>
        <v>-14</v>
      </c>
      <c r="V58" s="451">
        <f t="shared" si="17"/>
        <v>0.58333333333333337</v>
      </c>
      <c r="W58" s="412">
        <f t="shared" si="18"/>
        <v>-1</v>
      </c>
      <c r="Z58" s="412">
        <v>56</v>
      </c>
      <c r="AA58" s="412" t="s">
        <v>766</v>
      </c>
      <c r="AB58" s="412">
        <v>-12</v>
      </c>
      <c r="AC58" s="451">
        <v>0.5</v>
      </c>
      <c r="AD58" s="412">
        <f t="shared" si="7"/>
        <v>0</v>
      </c>
      <c r="AE58" s="412">
        <f t="shared" si="8"/>
        <v>-14</v>
      </c>
      <c r="AF58" s="451">
        <f t="shared" si="9"/>
        <v>0.58333333333333337</v>
      </c>
      <c r="AG58" s="412">
        <f t="shared" si="10"/>
        <v>-1</v>
      </c>
    </row>
    <row r="59" spans="1:35" x14ac:dyDescent="0.3">
      <c r="C59" s="453"/>
      <c r="E59" s="453"/>
      <c r="P59" s="412">
        <v>57</v>
      </c>
      <c r="Q59" s="412" t="s">
        <v>767</v>
      </c>
      <c r="R59" s="412">
        <f t="shared" si="13"/>
        <v>-11</v>
      </c>
      <c r="S59" s="451">
        <f t="shared" si="14"/>
        <v>0.45833333333333331</v>
      </c>
      <c r="T59" s="412">
        <f t="shared" si="15"/>
        <v>0</v>
      </c>
      <c r="U59" s="412">
        <f t="shared" si="16"/>
        <v>-13</v>
      </c>
      <c r="V59" s="451">
        <f t="shared" si="17"/>
        <v>0.54166666666666663</v>
      </c>
      <c r="W59" s="412">
        <f t="shared" si="18"/>
        <v>-1</v>
      </c>
      <c r="Z59" s="412">
        <v>57</v>
      </c>
      <c r="AA59" s="412" t="s">
        <v>767</v>
      </c>
      <c r="AB59" s="412">
        <v>-11</v>
      </c>
      <c r="AC59" s="451">
        <v>0.45833333333333331</v>
      </c>
      <c r="AD59" s="412">
        <f t="shared" si="7"/>
        <v>0</v>
      </c>
      <c r="AE59" s="412">
        <f t="shared" si="8"/>
        <v>-13</v>
      </c>
      <c r="AF59" s="451">
        <f t="shared" si="9"/>
        <v>0.54166666666666663</v>
      </c>
      <c r="AG59" s="412">
        <f t="shared" si="10"/>
        <v>-1</v>
      </c>
    </row>
    <row r="60" spans="1:35" x14ac:dyDescent="0.3">
      <c r="C60" s="453"/>
      <c r="E60" s="453"/>
      <c r="P60" s="412">
        <v>58</v>
      </c>
      <c r="Q60" s="412" t="s">
        <v>768</v>
      </c>
      <c r="R60" s="412">
        <f t="shared" si="13"/>
        <v>-10</v>
      </c>
      <c r="S60" s="451">
        <f t="shared" si="14"/>
        <v>0.41666666666666702</v>
      </c>
      <c r="T60" s="412">
        <f t="shared" si="15"/>
        <v>0</v>
      </c>
      <c r="U60" s="412">
        <f t="shared" si="16"/>
        <v>-12</v>
      </c>
      <c r="V60" s="451">
        <f t="shared" si="17"/>
        <v>0.5</v>
      </c>
      <c r="W60" s="412">
        <f t="shared" si="18"/>
        <v>-1</v>
      </c>
      <c r="Z60" s="412">
        <v>58</v>
      </c>
      <c r="AA60" s="412" t="s">
        <v>768</v>
      </c>
      <c r="AB60" s="412">
        <v>-10</v>
      </c>
      <c r="AC60" s="451">
        <v>0.41666666666666702</v>
      </c>
      <c r="AD60" s="412">
        <f t="shared" si="7"/>
        <v>0</v>
      </c>
      <c r="AE60" s="412">
        <f t="shared" si="8"/>
        <v>-12</v>
      </c>
      <c r="AF60" s="451">
        <f t="shared" si="9"/>
        <v>0.5</v>
      </c>
      <c r="AG60" s="412">
        <f t="shared" si="10"/>
        <v>-1</v>
      </c>
    </row>
    <row r="61" spans="1:35" x14ac:dyDescent="0.3">
      <c r="C61" s="453"/>
      <c r="E61" s="453"/>
      <c r="P61" s="412">
        <v>59</v>
      </c>
      <c r="Q61" s="412" t="s">
        <v>769</v>
      </c>
      <c r="R61" s="412">
        <f t="shared" si="13"/>
        <v>-9</v>
      </c>
      <c r="S61" s="451">
        <f t="shared" si="14"/>
        <v>0.375</v>
      </c>
      <c r="T61" s="412">
        <f t="shared" si="15"/>
        <v>0</v>
      </c>
      <c r="U61" s="412">
        <f t="shared" si="16"/>
        <v>-11</v>
      </c>
      <c r="V61" s="451">
        <f t="shared" si="17"/>
        <v>0.45833333333333331</v>
      </c>
      <c r="W61" s="412">
        <f t="shared" si="18"/>
        <v>-1</v>
      </c>
      <c r="Z61" s="412">
        <v>59</v>
      </c>
      <c r="AA61" s="412" t="s">
        <v>769</v>
      </c>
      <c r="AB61" s="412">
        <v>-9</v>
      </c>
      <c r="AC61" s="451">
        <v>0.375</v>
      </c>
      <c r="AD61" s="412">
        <f t="shared" si="7"/>
        <v>0</v>
      </c>
      <c r="AE61" s="412">
        <f t="shared" si="8"/>
        <v>-11</v>
      </c>
      <c r="AF61" s="451">
        <f t="shared" si="9"/>
        <v>0.45833333333333331</v>
      </c>
      <c r="AG61" s="412">
        <f t="shared" si="10"/>
        <v>-1</v>
      </c>
    </row>
    <row r="62" spans="1:35" x14ac:dyDescent="0.3">
      <c r="C62" s="453"/>
      <c r="E62" s="453"/>
      <c r="P62" s="412">
        <v>60</v>
      </c>
      <c r="Q62" s="412" t="s">
        <v>770</v>
      </c>
      <c r="R62" s="412">
        <f t="shared" si="13"/>
        <v>-8</v>
      </c>
      <c r="S62" s="451">
        <f t="shared" si="14"/>
        <v>0.33333333333333298</v>
      </c>
      <c r="T62" s="412">
        <f t="shared" si="15"/>
        <v>0</v>
      </c>
      <c r="U62" s="412">
        <f t="shared" si="16"/>
        <v>-10</v>
      </c>
      <c r="V62" s="451">
        <f t="shared" si="17"/>
        <v>0.41666666666666669</v>
      </c>
      <c r="W62" s="412">
        <f t="shared" si="18"/>
        <v>-1</v>
      </c>
      <c r="Z62" s="412">
        <v>60</v>
      </c>
      <c r="AA62" s="412" t="s">
        <v>770</v>
      </c>
      <c r="AB62" s="412">
        <v>-8</v>
      </c>
      <c r="AC62" s="451">
        <v>0.33333333333333298</v>
      </c>
      <c r="AD62" s="412">
        <f t="shared" si="7"/>
        <v>0</v>
      </c>
      <c r="AE62" s="412">
        <f t="shared" si="8"/>
        <v>-10</v>
      </c>
      <c r="AF62" s="451">
        <f t="shared" si="9"/>
        <v>0.41666666666666669</v>
      </c>
      <c r="AG62" s="412">
        <f t="shared" si="10"/>
        <v>-1</v>
      </c>
    </row>
    <row r="63" spans="1:35" x14ac:dyDescent="0.3">
      <c r="C63" s="453"/>
      <c r="E63" s="453"/>
      <c r="P63" s="412">
        <v>61</v>
      </c>
      <c r="Q63" s="412" t="s">
        <v>771</v>
      </c>
      <c r="R63" s="412">
        <f t="shared" si="13"/>
        <v>-7</v>
      </c>
      <c r="S63" s="451">
        <f t="shared" si="14"/>
        <v>0.29166666666666702</v>
      </c>
      <c r="T63" s="412">
        <f t="shared" si="15"/>
        <v>0</v>
      </c>
      <c r="U63" s="412">
        <f t="shared" si="16"/>
        <v>-9</v>
      </c>
      <c r="V63" s="451">
        <f t="shared" si="17"/>
        <v>0.375</v>
      </c>
      <c r="W63" s="412">
        <f t="shared" si="18"/>
        <v>-1</v>
      </c>
      <c r="Z63" s="412">
        <v>61</v>
      </c>
      <c r="AA63" s="412" t="s">
        <v>771</v>
      </c>
      <c r="AB63" s="412">
        <v>-7</v>
      </c>
      <c r="AC63" s="451">
        <v>0.29166666666666702</v>
      </c>
      <c r="AD63" s="412">
        <f t="shared" si="7"/>
        <v>0</v>
      </c>
      <c r="AE63" s="412">
        <f t="shared" si="8"/>
        <v>-9</v>
      </c>
      <c r="AF63" s="451">
        <f t="shared" si="9"/>
        <v>0.375</v>
      </c>
      <c r="AG63" s="412">
        <f t="shared" si="10"/>
        <v>-1</v>
      </c>
    </row>
    <row r="64" spans="1:35" x14ac:dyDescent="0.3">
      <c r="A64" s="456" t="s">
        <v>772</v>
      </c>
      <c r="C64" s="453"/>
      <c r="E64" s="453"/>
      <c r="P64" s="412">
        <v>62</v>
      </c>
      <c r="Q64" s="412" t="s">
        <v>773</v>
      </c>
      <c r="R64" s="412">
        <f t="shared" si="13"/>
        <v>-6</v>
      </c>
      <c r="S64" s="451">
        <f t="shared" si="14"/>
        <v>0.25</v>
      </c>
      <c r="T64" s="412">
        <f t="shared" si="15"/>
        <v>0</v>
      </c>
      <c r="U64" s="412">
        <f t="shared" si="16"/>
        <v>-8</v>
      </c>
      <c r="V64" s="451">
        <f t="shared" si="17"/>
        <v>0.33333333333333331</v>
      </c>
      <c r="W64" s="412">
        <f t="shared" si="18"/>
        <v>-1</v>
      </c>
      <c r="Z64" s="412">
        <v>62</v>
      </c>
      <c r="AA64" s="412" t="s">
        <v>773</v>
      </c>
      <c r="AB64" s="412">
        <v>-6</v>
      </c>
      <c r="AC64" s="451">
        <v>0.25</v>
      </c>
      <c r="AD64" s="412">
        <f t="shared" si="7"/>
        <v>0</v>
      </c>
      <c r="AE64" s="412">
        <f t="shared" si="8"/>
        <v>-8</v>
      </c>
      <c r="AF64" s="451">
        <f t="shared" si="9"/>
        <v>0.33333333333333331</v>
      </c>
      <c r="AG64" s="412">
        <f t="shared" si="10"/>
        <v>-1</v>
      </c>
    </row>
    <row r="65" spans="1:33" x14ac:dyDescent="0.3">
      <c r="A65" s="457">
        <v>45472.75</v>
      </c>
      <c r="C65" s="453" cm="1">
        <f t="array" ref="C65">A65+INDEX($V$3:V$93,$C$3)*INDEX($W$3:$W$93,$C$3)</f>
        <v>45472.75</v>
      </c>
      <c r="E65" s="453"/>
      <c r="P65" s="412">
        <v>63</v>
      </c>
      <c r="Q65" s="412" t="s">
        <v>774</v>
      </c>
      <c r="R65" s="412">
        <f t="shared" si="13"/>
        <v>-5</v>
      </c>
      <c r="S65" s="451">
        <f t="shared" si="14"/>
        <v>0.20833333333333301</v>
      </c>
      <c r="T65" s="412">
        <f t="shared" si="15"/>
        <v>0</v>
      </c>
      <c r="U65" s="412">
        <f t="shared" si="16"/>
        <v>-7</v>
      </c>
      <c r="V65" s="451">
        <f t="shared" si="17"/>
        <v>0.29166666666666669</v>
      </c>
      <c r="W65" s="412">
        <f t="shared" si="18"/>
        <v>-1</v>
      </c>
      <c r="Z65" s="412">
        <v>63</v>
      </c>
      <c r="AA65" s="412" t="s">
        <v>774</v>
      </c>
      <c r="AB65" s="412">
        <v>-5</v>
      </c>
      <c r="AC65" s="451">
        <v>0.20833333333333301</v>
      </c>
      <c r="AD65" s="412">
        <f t="shared" si="7"/>
        <v>0</v>
      </c>
      <c r="AE65" s="412">
        <f t="shared" si="8"/>
        <v>-7</v>
      </c>
      <c r="AF65" s="451">
        <f t="shared" si="9"/>
        <v>0.29166666666666669</v>
      </c>
      <c r="AG65" s="412">
        <f t="shared" si="10"/>
        <v>-1</v>
      </c>
    </row>
    <row r="66" spans="1:33" x14ac:dyDescent="0.3">
      <c r="A66" s="452">
        <v>45472.875</v>
      </c>
      <c r="C66" s="453" cm="1">
        <f t="array" ref="C66">A66+INDEX($V$3:V$93,$C$3)*INDEX($W$3:$W$93,$C$3)</f>
        <v>45472.875</v>
      </c>
      <c r="E66" s="453"/>
      <c r="P66" s="412">
        <v>64</v>
      </c>
      <c r="Q66" s="412" t="s">
        <v>775</v>
      </c>
      <c r="R66" s="412">
        <f t="shared" si="13"/>
        <v>-4</v>
      </c>
      <c r="S66" s="451">
        <f t="shared" si="14"/>
        <v>0.16666666666666699</v>
      </c>
      <c r="T66" s="412">
        <f t="shared" si="15"/>
        <v>0</v>
      </c>
      <c r="U66" s="412">
        <f t="shared" si="16"/>
        <v>-6</v>
      </c>
      <c r="V66" s="451">
        <f t="shared" si="17"/>
        <v>0.25</v>
      </c>
      <c r="W66" s="412">
        <f t="shared" si="18"/>
        <v>-1</v>
      </c>
      <c r="Z66" s="412">
        <v>64</v>
      </c>
      <c r="AA66" s="412" t="s">
        <v>775</v>
      </c>
      <c r="AB66" s="412">
        <v>-4</v>
      </c>
      <c r="AC66" s="451">
        <v>0.16666666666666699</v>
      </c>
      <c r="AD66" s="412">
        <f t="shared" si="7"/>
        <v>0</v>
      </c>
      <c r="AE66" s="412">
        <f t="shared" si="8"/>
        <v>-6</v>
      </c>
      <c r="AF66" s="451">
        <f t="shared" si="9"/>
        <v>0.25</v>
      </c>
      <c r="AG66" s="412">
        <f t="shared" si="10"/>
        <v>-1</v>
      </c>
    </row>
    <row r="67" spans="1:33" x14ac:dyDescent="0.3">
      <c r="A67" s="452">
        <v>45473.75</v>
      </c>
      <c r="C67" s="453" cm="1">
        <f t="array" ref="C67">A67+INDEX($V$3:V$93,$C$3)*INDEX($W$3:$W$93,$C$3)</f>
        <v>45473.75</v>
      </c>
      <c r="E67" s="453"/>
      <c r="P67" s="412">
        <v>65</v>
      </c>
      <c r="Q67" s="412" t="s">
        <v>776</v>
      </c>
      <c r="R67" s="412">
        <f t="shared" ref="R67:R93" si="19">INDEX(AB$3:AB$93,MATCH($Q67,$AA$3:$AA$93,0))</f>
        <v>-3.5</v>
      </c>
      <c r="S67" s="451">
        <f t="shared" ref="S67:S93" si="20">INDEX(AC$3:AC$93,MATCH($Q67,$AA$3:$AA$93,0))</f>
        <v>0.14583333333333334</v>
      </c>
      <c r="T67" s="412">
        <f t="shared" ref="T67:T93" si="21">INDEX(AD$3:AD$93,MATCH($Q67,$AA$3:$AA$93,0))</f>
        <v>0</v>
      </c>
      <c r="U67" s="412">
        <f t="shared" ref="U67:U93" si="22">INDEX(AE$3:AE$93,MATCH($Q67,$AA$3:$AA$93,0))</f>
        <v>-5.5</v>
      </c>
      <c r="V67" s="451">
        <f t="shared" ref="V67:V93" si="23">INDEX(AF$3:AF$93,MATCH($Q67,$AA$3:$AA$93,0))</f>
        <v>0.22916666666666666</v>
      </c>
      <c r="W67" s="412">
        <f t="shared" ref="W67:W93" si="24">INDEX(AG$3:AG$93,MATCH($Q67,$AA$3:$AA$93,0))</f>
        <v>-1</v>
      </c>
      <c r="Z67" s="412">
        <v>65</v>
      </c>
      <c r="AA67" s="412" t="s">
        <v>776</v>
      </c>
      <c r="AB67" s="412">
        <v>-3.5</v>
      </c>
      <c r="AC67" s="451">
        <v>0.14583333333333334</v>
      </c>
      <c r="AD67" s="412">
        <f t="shared" si="7"/>
        <v>0</v>
      </c>
      <c r="AE67" s="412">
        <f t="shared" si="8"/>
        <v>-5.5</v>
      </c>
      <c r="AF67" s="451">
        <f t="shared" si="9"/>
        <v>0.22916666666666666</v>
      </c>
      <c r="AG67" s="412">
        <f t="shared" si="10"/>
        <v>-1</v>
      </c>
    </row>
    <row r="68" spans="1:33" x14ac:dyDescent="0.3">
      <c r="A68" s="452">
        <v>45473.875</v>
      </c>
      <c r="C68" s="453" cm="1">
        <f t="array" ref="C68">A68+INDEX($V$3:V$93,$C$3)*INDEX($W$3:$W$93,$C$3)</f>
        <v>45473.875</v>
      </c>
      <c r="E68" s="453"/>
      <c r="P68" s="412">
        <v>66</v>
      </c>
      <c r="Q68" s="412" t="s">
        <v>777</v>
      </c>
      <c r="R68" s="412">
        <f t="shared" si="19"/>
        <v>-3</v>
      </c>
      <c r="S68" s="451">
        <f t="shared" si="20"/>
        <v>0.125</v>
      </c>
      <c r="T68" s="412">
        <f t="shared" si="21"/>
        <v>0</v>
      </c>
      <c r="U68" s="412">
        <f t="shared" si="22"/>
        <v>-5</v>
      </c>
      <c r="V68" s="451">
        <f t="shared" si="23"/>
        <v>0.20833333333333334</v>
      </c>
      <c r="W68" s="412">
        <f t="shared" si="24"/>
        <v>-1</v>
      </c>
      <c r="Z68" s="412">
        <v>66</v>
      </c>
      <c r="AA68" s="412" t="s">
        <v>777</v>
      </c>
      <c r="AB68" s="412">
        <v>-3</v>
      </c>
      <c r="AC68" s="451">
        <v>0.125</v>
      </c>
      <c r="AD68" s="412">
        <f t="shared" ref="AD68:AD93" si="25">IF(AA68=$L$2,1,0)</f>
        <v>0</v>
      </c>
      <c r="AE68" s="412">
        <f t="shared" ref="AE68:AE93" si="26">AB68-$M$2</f>
        <v>-5</v>
      </c>
      <c r="AF68" s="451">
        <f t="shared" ref="AF68:AF93" si="27">ABS(AE68/24)</f>
        <v>0.20833333333333334</v>
      </c>
      <c r="AG68" s="412">
        <f t="shared" ref="AG68:AG93" si="28">IF(AB68&gt;$M$2,1,IF(AB68=$M$2,0,-1))</f>
        <v>-1</v>
      </c>
    </row>
    <row r="69" spans="1:33" x14ac:dyDescent="0.3">
      <c r="A69" s="457">
        <v>45474.75</v>
      </c>
      <c r="C69" s="453" cm="1">
        <f t="array" ref="C69">A69+INDEX($V$3:V$93,$C$3)*INDEX($W$3:$W$93,$C$3)</f>
        <v>45474.75</v>
      </c>
      <c r="E69" s="453"/>
      <c r="P69" s="412">
        <v>67</v>
      </c>
      <c r="Q69" s="412" t="s">
        <v>778</v>
      </c>
      <c r="R69" s="412">
        <f t="shared" si="19"/>
        <v>-2</v>
      </c>
      <c r="S69" s="451">
        <f t="shared" si="20"/>
        <v>8.3333333333333329E-2</v>
      </c>
      <c r="T69" s="412">
        <f t="shared" si="21"/>
        <v>0</v>
      </c>
      <c r="U69" s="412">
        <f t="shared" si="22"/>
        <v>-4</v>
      </c>
      <c r="V69" s="451">
        <f t="shared" si="23"/>
        <v>0.16666666666666666</v>
      </c>
      <c r="W69" s="412">
        <f t="shared" si="24"/>
        <v>-1</v>
      </c>
      <c r="Z69" s="412">
        <v>67</v>
      </c>
      <c r="AA69" s="412" t="s">
        <v>778</v>
      </c>
      <c r="AB69" s="412">
        <v>-2</v>
      </c>
      <c r="AC69" s="451">
        <v>8.3333333333333329E-2</v>
      </c>
      <c r="AD69" s="412">
        <f t="shared" si="25"/>
        <v>0</v>
      </c>
      <c r="AE69" s="412">
        <f t="shared" si="26"/>
        <v>-4</v>
      </c>
      <c r="AF69" s="451">
        <f t="shared" si="27"/>
        <v>0.16666666666666666</v>
      </c>
      <c r="AG69" s="412">
        <f t="shared" si="28"/>
        <v>-1</v>
      </c>
    </row>
    <row r="70" spans="1:33" x14ac:dyDescent="0.3">
      <c r="A70" s="452">
        <v>45474.875</v>
      </c>
      <c r="C70" s="453" cm="1">
        <f t="array" ref="C70">A70+INDEX($V$3:V$93,$C$3)*INDEX($W$3:$W$93,$C$3)</f>
        <v>45474.875</v>
      </c>
      <c r="E70" s="453"/>
      <c r="P70" s="412">
        <v>68</v>
      </c>
      <c r="Q70" s="412" t="s">
        <v>779</v>
      </c>
      <c r="R70" s="412">
        <f t="shared" si="19"/>
        <v>-1</v>
      </c>
      <c r="S70" s="451">
        <f t="shared" si="20"/>
        <v>4.1666666666666699E-2</v>
      </c>
      <c r="T70" s="412">
        <f t="shared" si="21"/>
        <v>0</v>
      </c>
      <c r="U70" s="412">
        <f t="shared" si="22"/>
        <v>-3</v>
      </c>
      <c r="V70" s="451">
        <f t="shared" si="23"/>
        <v>0.125</v>
      </c>
      <c r="W70" s="412">
        <f t="shared" si="24"/>
        <v>-1</v>
      </c>
      <c r="Z70" s="412">
        <v>68</v>
      </c>
      <c r="AA70" s="412" t="s">
        <v>779</v>
      </c>
      <c r="AB70" s="412">
        <v>-1</v>
      </c>
      <c r="AC70" s="451">
        <v>4.1666666666666699E-2</v>
      </c>
      <c r="AD70" s="412">
        <f t="shared" si="25"/>
        <v>0</v>
      </c>
      <c r="AE70" s="412">
        <f t="shared" si="26"/>
        <v>-3</v>
      </c>
      <c r="AF70" s="451">
        <f t="shared" si="27"/>
        <v>0.125</v>
      </c>
      <c r="AG70" s="412">
        <f t="shared" si="28"/>
        <v>-1</v>
      </c>
    </row>
    <row r="71" spans="1:33" x14ac:dyDescent="0.3">
      <c r="A71" s="452">
        <v>45475.75</v>
      </c>
      <c r="C71" s="453" cm="1">
        <f t="array" ref="C71">A71+INDEX($V$3:V$93,$C$3)*INDEX($W$3:$W$93,$C$3)</f>
        <v>45475.75</v>
      </c>
      <c r="E71" s="453"/>
      <c r="P71" s="412">
        <v>69</v>
      </c>
      <c r="Q71" s="412" t="s">
        <v>749</v>
      </c>
      <c r="R71" s="412">
        <f t="shared" si="19"/>
        <v>0</v>
      </c>
      <c r="S71" s="451">
        <f t="shared" si="20"/>
        <v>0</v>
      </c>
      <c r="T71" s="412">
        <f t="shared" si="21"/>
        <v>0</v>
      </c>
      <c r="U71" s="412">
        <f t="shared" si="22"/>
        <v>-2</v>
      </c>
      <c r="V71" s="451">
        <f t="shared" si="23"/>
        <v>8.3333333333333329E-2</v>
      </c>
      <c r="W71" s="412">
        <f t="shared" si="24"/>
        <v>-1</v>
      </c>
      <c r="Z71" s="412">
        <v>69</v>
      </c>
      <c r="AA71" s="412" t="s">
        <v>749</v>
      </c>
      <c r="AB71" s="412">
        <v>0</v>
      </c>
      <c r="AC71" s="451">
        <v>0</v>
      </c>
      <c r="AD71" s="412">
        <f t="shared" si="25"/>
        <v>0</v>
      </c>
      <c r="AE71" s="412">
        <f t="shared" si="26"/>
        <v>-2</v>
      </c>
      <c r="AF71" s="451">
        <f t="shared" si="27"/>
        <v>8.3333333333333329E-2</v>
      </c>
      <c r="AG71" s="412">
        <f t="shared" si="28"/>
        <v>-1</v>
      </c>
    </row>
    <row r="72" spans="1:33" x14ac:dyDescent="0.3">
      <c r="A72" s="452">
        <v>45475.875</v>
      </c>
      <c r="C72" s="453" cm="1">
        <f t="array" ref="C72">A72+INDEX($V$3:V$93,$C$3)*INDEX($W$3:$W$93,$C$3)</f>
        <v>45475.875</v>
      </c>
      <c r="E72" s="453"/>
      <c r="P72" s="412">
        <v>70</v>
      </c>
      <c r="Q72" s="412" t="s">
        <v>780</v>
      </c>
      <c r="R72" s="412">
        <f t="shared" si="19"/>
        <v>1</v>
      </c>
      <c r="S72" s="451">
        <f t="shared" si="20"/>
        <v>4.1666666666666699E-2</v>
      </c>
      <c r="T72" s="412">
        <f t="shared" si="21"/>
        <v>0</v>
      </c>
      <c r="U72" s="412">
        <f t="shared" si="22"/>
        <v>-1</v>
      </c>
      <c r="V72" s="451">
        <f t="shared" si="23"/>
        <v>4.1666666666666664E-2</v>
      </c>
      <c r="W72" s="412">
        <f t="shared" si="24"/>
        <v>-1</v>
      </c>
      <c r="Z72" s="412">
        <v>70</v>
      </c>
      <c r="AA72" s="412" t="s">
        <v>780</v>
      </c>
      <c r="AB72" s="412">
        <v>1</v>
      </c>
      <c r="AC72" s="451">
        <v>4.1666666666666699E-2</v>
      </c>
      <c r="AD72" s="412">
        <f t="shared" si="25"/>
        <v>0</v>
      </c>
      <c r="AE72" s="412">
        <f t="shared" si="26"/>
        <v>-1</v>
      </c>
      <c r="AF72" s="451">
        <f t="shared" si="27"/>
        <v>4.1666666666666664E-2</v>
      </c>
      <c r="AG72" s="412">
        <f t="shared" si="28"/>
        <v>-1</v>
      </c>
    </row>
    <row r="73" spans="1:33" x14ac:dyDescent="0.3">
      <c r="C73" s="453"/>
      <c r="E73" s="453"/>
      <c r="P73" s="412">
        <v>71</v>
      </c>
      <c r="Q73" s="412" t="s">
        <v>781</v>
      </c>
      <c r="R73" s="412">
        <f t="shared" si="19"/>
        <v>2</v>
      </c>
      <c r="S73" s="451">
        <f t="shared" si="20"/>
        <v>8.3333333333333329E-2</v>
      </c>
      <c r="T73" s="412">
        <f t="shared" si="21"/>
        <v>0</v>
      </c>
      <c r="U73" s="412">
        <f t="shared" si="22"/>
        <v>0</v>
      </c>
      <c r="V73" s="451">
        <f t="shared" si="23"/>
        <v>0</v>
      </c>
      <c r="W73" s="412">
        <f t="shared" si="24"/>
        <v>0</v>
      </c>
      <c r="Z73" s="412">
        <v>71</v>
      </c>
      <c r="AA73" s="412" t="s">
        <v>781</v>
      </c>
      <c r="AB73" s="412">
        <v>2</v>
      </c>
      <c r="AC73" s="451">
        <v>8.3333333333333329E-2</v>
      </c>
      <c r="AD73" s="412">
        <f t="shared" si="25"/>
        <v>0</v>
      </c>
      <c r="AE73" s="412">
        <f t="shared" si="26"/>
        <v>0</v>
      </c>
      <c r="AF73" s="451">
        <f t="shared" si="27"/>
        <v>0</v>
      </c>
      <c r="AG73" s="412">
        <f t="shared" si="28"/>
        <v>0</v>
      </c>
    </row>
    <row r="74" spans="1:33" x14ac:dyDescent="0.3">
      <c r="C74" s="453"/>
      <c r="E74" s="453"/>
      <c r="P74" s="412">
        <v>72</v>
      </c>
      <c r="Q74" s="412" t="s">
        <v>782</v>
      </c>
      <c r="R74" s="412">
        <f t="shared" si="19"/>
        <v>3</v>
      </c>
      <c r="S74" s="451">
        <f t="shared" si="20"/>
        <v>0.125</v>
      </c>
      <c r="T74" s="412">
        <f t="shared" si="21"/>
        <v>0</v>
      </c>
      <c r="U74" s="412">
        <f t="shared" si="22"/>
        <v>1</v>
      </c>
      <c r="V74" s="451">
        <f t="shared" si="23"/>
        <v>4.1666666666666664E-2</v>
      </c>
      <c r="W74" s="412">
        <f t="shared" si="24"/>
        <v>1</v>
      </c>
      <c r="Z74" s="412">
        <v>72</v>
      </c>
      <c r="AA74" s="412" t="s">
        <v>782</v>
      </c>
      <c r="AB74" s="412">
        <v>3</v>
      </c>
      <c r="AC74" s="451">
        <v>0.125</v>
      </c>
      <c r="AD74" s="412">
        <f t="shared" si="25"/>
        <v>0</v>
      </c>
      <c r="AE74" s="412">
        <f t="shared" si="26"/>
        <v>1</v>
      </c>
      <c r="AF74" s="451">
        <f t="shared" si="27"/>
        <v>4.1666666666666664E-2</v>
      </c>
      <c r="AG74" s="412">
        <f t="shared" si="28"/>
        <v>1</v>
      </c>
    </row>
    <row r="75" spans="1:33" x14ac:dyDescent="0.3">
      <c r="A75" s="456" t="s">
        <v>783</v>
      </c>
      <c r="C75" s="453"/>
      <c r="E75" s="453"/>
      <c r="P75" s="412">
        <v>73</v>
      </c>
      <c r="Q75" s="412" t="s">
        <v>784</v>
      </c>
      <c r="R75" s="412">
        <f t="shared" si="19"/>
        <v>3.5</v>
      </c>
      <c r="S75" s="451">
        <f t="shared" si="20"/>
        <v>0.14583333333333334</v>
      </c>
      <c r="T75" s="412">
        <f t="shared" si="21"/>
        <v>0</v>
      </c>
      <c r="U75" s="412">
        <f t="shared" si="22"/>
        <v>1.5</v>
      </c>
      <c r="V75" s="451">
        <f t="shared" si="23"/>
        <v>6.25E-2</v>
      </c>
      <c r="W75" s="412">
        <f t="shared" si="24"/>
        <v>1</v>
      </c>
      <c r="Z75" s="412">
        <v>73</v>
      </c>
      <c r="AA75" s="412" t="s">
        <v>784</v>
      </c>
      <c r="AB75" s="412">
        <v>3.5</v>
      </c>
      <c r="AC75" s="451">
        <v>0.14583333333333334</v>
      </c>
      <c r="AD75" s="412">
        <f t="shared" si="25"/>
        <v>0</v>
      </c>
      <c r="AE75" s="412">
        <f t="shared" si="26"/>
        <v>1.5</v>
      </c>
      <c r="AF75" s="451">
        <f t="shared" si="27"/>
        <v>6.25E-2</v>
      </c>
      <c r="AG75" s="412">
        <f t="shared" si="28"/>
        <v>1</v>
      </c>
    </row>
    <row r="76" spans="1:33" x14ac:dyDescent="0.3">
      <c r="A76" s="457">
        <v>45478.75</v>
      </c>
      <c r="C76" s="453" cm="1">
        <f t="array" ref="C76">A76+INDEX($V$3:V$93,$C$3)*INDEX($W$3:$W$93,$C$3)</f>
        <v>45478.75</v>
      </c>
      <c r="E76" s="453"/>
      <c r="P76" s="412">
        <v>74</v>
      </c>
      <c r="Q76" s="412" t="s">
        <v>785</v>
      </c>
      <c r="R76" s="412">
        <f t="shared" si="19"/>
        <v>4</v>
      </c>
      <c r="S76" s="451">
        <f t="shared" si="20"/>
        <v>0.16666666666666666</v>
      </c>
      <c r="T76" s="412">
        <f t="shared" si="21"/>
        <v>0</v>
      </c>
      <c r="U76" s="412">
        <f t="shared" si="22"/>
        <v>2</v>
      </c>
      <c r="V76" s="451">
        <f t="shared" si="23"/>
        <v>8.3333333333333329E-2</v>
      </c>
      <c r="W76" s="412">
        <f t="shared" si="24"/>
        <v>1</v>
      </c>
      <c r="Z76" s="412">
        <v>74</v>
      </c>
      <c r="AA76" s="412" t="s">
        <v>785</v>
      </c>
      <c r="AB76" s="412">
        <v>4</v>
      </c>
      <c r="AC76" s="451">
        <v>0.16666666666666666</v>
      </c>
      <c r="AD76" s="412">
        <f t="shared" si="25"/>
        <v>0</v>
      </c>
      <c r="AE76" s="412">
        <f t="shared" si="26"/>
        <v>2</v>
      </c>
      <c r="AF76" s="451">
        <f t="shared" si="27"/>
        <v>8.3333333333333329E-2</v>
      </c>
      <c r="AG76" s="412">
        <f t="shared" si="28"/>
        <v>1</v>
      </c>
    </row>
    <row r="77" spans="1:33" x14ac:dyDescent="0.3">
      <c r="A77" s="457">
        <v>45478.875</v>
      </c>
      <c r="C77" s="453" cm="1">
        <f t="array" ref="C77">A77+INDEX($V$3:V$93,$C$3)*INDEX($W$3:$W$93,$C$3)</f>
        <v>45478.875</v>
      </c>
      <c r="E77" s="453"/>
      <c r="P77" s="412">
        <v>75</v>
      </c>
      <c r="Q77" s="412" t="s">
        <v>786</v>
      </c>
      <c r="R77" s="412">
        <f t="shared" si="19"/>
        <v>4.5</v>
      </c>
      <c r="S77" s="451">
        <f t="shared" si="20"/>
        <v>0.1875</v>
      </c>
      <c r="T77" s="412">
        <f t="shared" si="21"/>
        <v>0</v>
      </c>
      <c r="U77" s="412">
        <f t="shared" si="22"/>
        <v>2.5</v>
      </c>
      <c r="V77" s="451">
        <f t="shared" si="23"/>
        <v>0.10416666666666667</v>
      </c>
      <c r="W77" s="412">
        <f t="shared" si="24"/>
        <v>1</v>
      </c>
      <c r="Z77" s="412">
        <v>75</v>
      </c>
      <c r="AA77" s="412" t="s">
        <v>786</v>
      </c>
      <c r="AB77" s="412">
        <v>4.5</v>
      </c>
      <c r="AC77" s="451">
        <v>0.1875</v>
      </c>
      <c r="AD77" s="412">
        <f t="shared" si="25"/>
        <v>0</v>
      </c>
      <c r="AE77" s="412">
        <f t="shared" si="26"/>
        <v>2.5</v>
      </c>
      <c r="AF77" s="451">
        <f t="shared" si="27"/>
        <v>0.10416666666666667</v>
      </c>
      <c r="AG77" s="412">
        <f t="shared" si="28"/>
        <v>1</v>
      </c>
    </row>
    <row r="78" spans="1:33" x14ac:dyDescent="0.3">
      <c r="A78" s="452">
        <v>45479.75</v>
      </c>
      <c r="C78" s="453" cm="1">
        <f t="array" ref="C78">A78+INDEX($V$3:V$93,$C$3)*INDEX($W$3:$W$93,$C$3)</f>
        <v>45479.75</v>
      </c>
      <c r="E78" s="453"/>
      <c r="P78" s="412">
        <v>76</v>
      </c>
      <c r="Q78" s="412" t="s">
        <v>787</v>
      </c>
      <c r="R78" s="412">
        <f t="shared" si="19"/>
        <v>5</v>
      </c>
      <c r="S78" s="451">
        <f t="shared" si="20"/>
        <v>0.20833333333333334</v>
      </c>
      <c r="T78" s="412">
        <f t="shared" si="21"/>
        <v>0</v>
      </c>
      <c r="U78" s="412">
        <f t="shared" si="22"/>
        <v>3</v>
      </c>
      <c r="V78" s="451">
        <f t="shared" si="23"/>
        <v>0.125</v>
      </c>
      <c r="W78" s="412">
        <f t="shared" si="24"/>
        <v>1</v>
      </c>
      <c r="Z78" s="412">
        <v>76</v>
      </c>
      <c r="AA78" s="412" t="s">
        <v>787</v>
      </c>
      <c r="AB78" s="412">
        <v>5</v>
      </c>
      <c r="AC78" s="451">
        <v>0.20833333333333334</v>
      </c>
      <c r="AD78" s="412">
        <f t="shared" si="25"/>
        <v>0</v>
      </c>
      <c r="AE78" s="412">
        <f t="shared" si="26"/>
        <v>3</v>
      </c>
      <c r="AF78" s="451">
        <f t="shared" si="27"/>
        <v>0.125</v>
      </c>
      <c r="AG78" s="412">
        <f t="shared" si="28"/>
        <v>1</v>
      </c>
    </row>
    <row r="79" spans="1:33" x14ac:dyDescent="0.3">
      <c r="A79" s="452">
        <v>45479.875</v>
      </c>
      <c r="C79" s="453" cm="1">
        <f t="array" ref="C79">A79+INDEX($V$3:V$93,$C$3)*INDEX($W$3:$W$93,$C$3)</f>
        <v>45479.875</v>
      </c>
      <c r="E79" s="453"/>
      <c r="P79" s="412">
        <v>77</v>
      </c>
      <c r="Q79" s="412" t="s">
        <v>788</v>
      </c>
      <c r="R79" s="412">
        <f t="shared" si="19"/>
        <v>5.5</v>
      </c>
      <c r="S79" s="451">
        <f t="shared" si="20"/>
        <v>0.22916666666666666</v>
      </c>
      <c r="T79" s="412">
        <f t="shared" si="21"/>
        <v>0</v>
      </c>
      <c r="U79" s="412">
        <f t="shared" si="22"/>
        <v>3.5</v>
      </c>
      <c r="V79" s="451">
        <f t="shared" si="23"/>
        <v>0.14583333333333334</v>
      </c>
      <c r="W79" s="412">
        <f t="shared" si="24"/>
        <v>1</v>
      </c>
      <c r="Z79" s="412">
        <v>77</v>
      </c>
      <c r="AA79" s="412" t="s">
        <v>788</v>
      </c>
      <c r="AB79" s="412">
        <v>5.5</v>
      </c>
      <c r="AC79" s="451">
        <v>0.22916666666666666</v>
      </c>
      <c r="AD79" s="412">
        <f t="shared" si="25"/>
        <v>0</v>
      </c>
      <c r="AE79" s="412">
        <f t="shared" si="26"/>
        <v>3.5</v>
      </c>
      <c r="AF79" s="451">
        <f t="shared" si="27"/>
        <v>0.14583333333333334</v>
      </c>
      <c r="AG79" s="412">
        <f t="shared" si="28"/>
        <v>1</v>
      </c>
    </row>
    <row r="80" spans="1:33" x14ac:dyDescent="0.3">
      <c r="C80" s="453"/>
      <c r="E80" s="453"/>
      <c r="P80" s="412">
        <v>78</v>
      </c>
      <c r="Q80" s="412" t="s">
        <v>789</v>
      </c>
      <c r="R80" s="412">
        <f t="shared" si="19"/>
        <v>5.75</v>
      </c>
      <c r="S80" s="451">
        <f t="shared" si="20"/>
        <v>0.23958333333333334</v>
      </c>
      <c r="T80" s="412">
        <f t="shared" si="21"/>
        <v>0</v>
      </c>
      <c r="U80" s="412">
        <f t="shared" si="22"/>
        <v>3.75</v>
      </c>
      <c r="V80" s="451">
        <f t="shared" si="23"/>
        <v>0.15625</v>
      </c>
      <c r="W80" s="412">
        <f t="shared" si="24"/>
        <v>1</v>
      </c>
      <c r="Z80" s="412">
        <v>78</v>
      </c>
      <c r="AA80" s="412" t="s">
        <v>789</v>
      </c>
      <c r="AB80" s="412">
        <v>5.75</v>
      </c>
      <c r="AC80" s="451">
        <v>0.23958333333333334</v>
      </c>
      <c r="AD80" s="412">
        <f t="shared" si="25"/>
        <v>0</v>
      </c>
      <c r="AE80" s="412">
        <f t="shared" si="26"/>
        <v>3.75</v>
      </c>
      <c r="AF80" s="451">
        <f t="shared" si="27"/>
        <v>0.15625</v>
      </c>
      <c r="AG80" s="412">
        <f t="shared" si="28"/>
        <v>1</v>
      </c>
    </row>
    <row r="81" spans="1:33" x14ac:dyDescent="0.3">
      <c r="A81" s="458" t="s">
        <v>790</v>
      </c>
      <c r="C81" s="453"/>
      <c r="E81" s="453"/>
      <c r="P81" s="412">
        <v>79</v>
      </c>
      <c r="Q81" s="412" t="s">
        <v>791</v>
      </c>
      <c r="R81" s="412">
        <f t="shared" si="19"/>
        <v>6</v>
      </c>
      <c r="S81" s="451">
        <f t="shared" si="20"/>
        <v>0.25</v>
      </c>
      <c r="T81" s="412">
        <f t="shared" si="21"/>
        <v>0</v>
      </c>
      <c r="U81" s="412">
        <f t="shared" si="22"/>
        <v>4</v>
      </c>
      <c r="V81" s="451">
        <f t="shared" si="23"/>
        <v>0.16666666666666666</v>
      </c>
      <c r="W81" s="412">
        <f t="shared" si="24"/>
        <v>1</v>
      </c>
      <c r="Z81" s="412">
        <v>79</v>
      </c>
      <c r="AA81" s="412" t="s">
        <v>791</v>
      </c>
      <c r="AB81" s="412">
        <v>6</v>
      </c>
      <c r="AC81" s="451">
        <v>0.25</v>
      </c>
      <c r="AD81" s="412">
        <f t="shared" si="25"/>
        <v>0</v>
      </c>
      <c r="AE81" s="412">
        <f t="shared" si="26"/>
        <v>4</v>
      </c>
      <c r="AF81" s="451">
        <f t="shared" si="27"/>
        <v>0.16666666666666666</v>
      </c>
      <c r="AG81" s="412">
        <f t="shared" si="28"/>
        <v>1</v>
      </c>
    </row>
    <row r="82" spans="1:33" x14ac:dyDescent="0.3">
      <c r="A82" s="457">
        <v>45482.875</v>
      </c>
      <c r="C82" s="453" cm="1">
        <f t="array" ref="C82">A82+INDEX($V$3:V$93,$C$3)*INDEX($W$3:$W$93,$C$3)</f>
        <v>45482.875</v>
      </c>
      <c r="E82" s="453"/>
      <c r="P82" s="412">
        <v>80</v>
      </c>
      <c r="Q82" s="412" t="s">
        <v>792</v>
      </c>
      <c r="R82" s="412">
        <f t="shared" si="19"/>
        <v>6.5</v>
      </c>
      <c r="S82" s="451">
        <f t="shared" si="20"/>
        <v>0.27083333333333331</v>
      </c>
      <c r="T82" s="412">
        <f t="shared" si="21"/>
        <v>0</v>
      </c>
      <c r="U82" s="412">
        <f t="shared" si="22"/>
        <v>4.5</v>
      </c>
      <c r="V82" s="451">
        <f t="shared" si="23"/>
        <v>0.1875</v>
      </c>
      <c r="W82" s="412">
        <f t="shared" si="24"/>
        <v>1</v>
      </c>
      <c r="Z82" s="412">
        <v>80</v>
      </c>
      <c r="AA82" s="412" t="s">
        <v>792</v>
      </c>
      <c r="AB82" s="412">
        <v>6.5</v>
      </c>
      <c r="AC82" s="451">
        <v>0.27083333333333331</v>
      </c>
      <c r="AD82" s="412">
        <f t="shared" si="25"/>
        <v>0</v>
      </c>
      <c r="AE82" s="412">
        <f t="shared" si="26"/>
        <v>4.5</v>
      </c>
      <c r="AF82" s="451">
        <f t="shared" si="27"/>
        <v>0.1875</v>
      </c>
      <c r="AG82" s="412">
        <f t="shared" si="28"/>
        <v>1</v>
      </c>
    </row>
    <row r="83" spans="1:33" x14ac:dyDescent="0.3">
      <c r="A83" s="457">
        <v>45483.875</v>
      </c>
      <c r="C83" s="453" cm="1">
        <f t="array" ref="C83">A83+INDEX($V$3:V$93,$C$3)*INDEX($W$3:$W$93,$C$3)</f>
        <v>45483.875</v>
      </c>
      <c r="E83" s="453"/>
      <c r="P83" s="412">
        <v>81</v>
      </c>
      <c r="Q83" s="412" t="s">
        <v>793</v>
      </c>
      <c r="R83" s="412">
        <f t="shared" si="19"/>
        <v>7</v>
      </c>
      <c r="S83" s="451">
        <f t="shared" si="20"/>
        <v>0.29166666666666669</v>
      </c>
      <c r="T83" s="412">
        <f t="shared" si="21"/>
        <v>0</v>
      </c>
      <c r="U83" s="412">
        <f t="shared" si="22"/>
        <v>5</v>
      </c>
      <c r="V83" s="451">
        <f t="shared" si="23"/>
        <v>0.20833333333333334</v>
      </c>
      <c r="W83" s="412">
        <f t="shared" si="24"/>
        <v>1</v>
      </c>
      <c r="Z83" s="412">
        <v>81</v>
      </c>
      <c r="AA83" s="412" t="s">
        <v>793</v>
      </c>
      <c r="AB83" s="412">
        <v>7</v>
      </c>
      <c r="AC83" s="451">
        <v>0.29166666666666669</v>
      </c>
      <c r="AD83" s="412">
        <f t="shared" si="25"/>
        <v>0</v>
      </c>
      <c r="AE83" s="412">
        <f t="shared" si="26"/>
        <v>5</v>
      </c>
      <c r="AF83" s="451">
        <f t="shared" si="27"/>
        <v>0.20833333333333334</v>
      </c>
      <c r="AG83" s="412">
        <f t="shared" si="28"/>
        <v>1</v>
      </c>
    </row>
    <row r="84" spans="1:33" x14ac:dyDescent="0.3">
      <c r="C84" s="453"/>
      <c r="E84" s="453"/>
      <c r="P84" s="412">
        <v>82</v>
      </c>
      <c r="Q84" s="412" t="s">
        <v>794</v>
      </c>
      <c r="R84" s="412">
        <f t="shared" si="19"/>
        <v>8</v>
      </c>
      <c r="S84" s="451">
        <f t="shared" si="20"/>
        <v>0.33333333333333298</v>
      </c>
      <c r="T84" s="412">
        <f t="shared" si="21"/>
        <v>0</v>
      </c>
      <c r="U84" s="412">
        <f t="shared" si="22"/>
        <v>6</v>
      </c>
      <c r="V84" s="451">
        <f t="shared" si="23"/>
        <v>0.25</v>
      </c>
      <c r="W84" s="412">
        <f t="shared" si="24"/>
        <v>1</v>
      </c>
      <c r="Z84" s="412">
        <v>82</v>
      </c>
      <c r="AA84" s="412" t="s">
        <v>794</v>
      </c>
      <c r="AB84" s="412">
        <v>8</v>
      </c>
      <c r="AC84" s="451">
        <v>0.33333333333333298</v>
      </c>
      <c r="AD84" s="412">
        <f t="shared" si="25"/>
        <v>0</v>
      </c>
      <c r="AE84" s="412">
        <f t="shared" si="26"/>
        <v>6</v>
      </c>
      <c r="AF84" s="451">
        <f t="shared" si="27"/>
        <v>0.25</v>
      </c>
      <c r="AG84" s="412">
        <f t="shared" si="28"/>
        <v>1</v>
      </c>
    </row>
    <row r="85" spans="1:33" x14ac:dyDescent="0.3">
      <c r="A85" s="459" t="s">
        <v>71</v>
      </c>
      <c r="C85" s="453"/>
      <c r="E85" s="453"/>
      <c r="P85" s="412">
        <v>83</v>
      </c>
      <c r="Q85" s="412" t="s">
        <v>795</v>
      </c>
      <c r="R85" s="412">
        <f t="shared" si="19"/>
        <v>9</v>
      </c>
      <c r="S85" s="451">
        <f t="shared" si="20"/>
        <v>0.375</v>
      </c>
      <c r="T85" s="412">
        <f t="shared" si="21"/>
        <v>0</v>
      </c>
      <c r="U85" s="412">
        <f t="shared" si="22"/>
        <v>7</v>
      </c>
      <c r="V85" s="451">
        <f t="shared" si="23"/>
        <v>0.29166666666666669</v>
      </c>
      <c r="W85" s="412">
        <f t="shared" si="24"/>
        <v>1</v>
      </c>
      <c r="Z85" s="412">
        <v>83</v>
      </c>
      <c r="AA85" s="412" t="s">
        <v>795</v>
      </c>
      <c r="AB85" s="412">
        <v>9</v>
      </c>
      <c r="AC85" s="451">
        <v>0.375</v>
      </c>
      <c r="AD85" s="412">
        <f t="shared" si="25"/>
        <v>0</v>
      </c>
      <c r="AE85" s="412">
        <f t="shared" si="26"/>
        <v>7</v>
      </c>
      <c r="AF85" s="451">
        <f t="shared" si="27"/>
        <v>0.29166666666666669</v>
      </c>
      <c r="AG85" s="412">
        <f t="shared" si="28"/>
        <v>1</v>
      </c>
    </row>
    <row r="86" spans="1:33" x14ac:dyDescent="0.3">
      <c r="A86" s="457">
        <v>45487.875</v>
      </c>
      <c r="C86" s="453" cm="1">
        <f t="array" ref="C86">A86+INDEX($V$3:V$93,$C$3)*INDEX($W$3:$W$93,$C$3)</f>
        <v>45487.875</v>
      </c>
      <c r="E86" s="453"/>
      <c r="P86" s="412">
        <v>84</v>
      </c>
      <c r="Q86" s="412" t="s">
        <v>796</v>
      </c>
      <c r="R86" s="412">
        <f t="shared" si="19"/>
        <v>9.5</v>
      </c>
      <c r="S86" s="451">
        <f t="shared" si="20"/>
        <v>0.39583333333333331</v>
      </c>
      <c r="T86" s="412">
        <f t="shared" si="21"/>
        <v>0</v>
      </c>
      <c r="U86" s="412">
        <f t="shared" si="22"/>
        <v>7.5</v>
      </c>
      <c r="V86" s="451">
        <f t="shared" si="23"/>
        <v>0.3125</v>
      </c>
      <c r="W86" s="412">
        <f t="shared" si="24"/>
        <v>1</v>
      </c>
      <c r="Z86" s="412">
        <v>84</v>
      </c>
      <c r="AA86" s="412" t="s">
        <v>796</v>
      </c>
      <c r="AB86" s="412">
        <v>9.5</v>
      </c>
      <c r="AC86" s="451">
        <v>0.39583333333333331</v>
      </c>
      <c r="AD86" s="412">
        <f t="shared" si="25"/>
        <v>0</v>
      </c>
      <c r="AE86" s="412">
        <f t="shared" si="26"/>
        <v>7.5</v>
      </c>
      <c r="AF86" s="451">
        <f t="shared" si="27"/>
        <v>0.3125</v>
      </c>
      <c r="AG86" s="412">
        <f t="shared" si="28"/>
        <v>1</v>
      </c>
    </row>
    <row r="87" spans="1:33" x14ac:dyDescent="0.3">
      <c r="P87" s="412">
        <v>85</v>
      </c>
      <c r="Q87" s="412" t="s">
        <v>797</v>
      </c>
      <c r="R87" s="412">
        <f t="shared" si="19"/>
        <v>10</v>
      </c>
      <c r="S87" s="451">
        <f t="shared" si="20"/>
        <v>0.41666666666666669</v>
      </c>
      <c r="T87" s="412">
        <f t="shared" si="21"/>
        <v>0</v>
      </c>
      <c r="U87" s="412">
        <f t="shared" si="22"/>
        <v>8</v>
      </c>
      <c r="V87" s="451">
        <f t="shared" si="23"/>
        <v>0.33333333333333331</v>
      </c>
      <c r="W87" s="412">
        <f t="shared" si="24"/>
        <v>1</v>
      </c>
      <c r="Z87" s="412">
        <v>85</v>
      </c>
      <c r="AA87" s="412" t="s">
        <v>797</v>
      </c>
      <c r="AB87" s="412">
        <v>10</v>
      </c>
      <c r="AC87" s="451">
        <v>0.41666666666666669</v>
      </c>
      <c r="AD87" s="412">
        <f t="shared" si="25"/>
        <v>0</v>
      </c>
      <c r="AE87" s="412">
        <f t="shared" si="26"/>
        <v>8</v>
      </c>
      <c r="AF87" s="451">
        <f t="shared" si="27"/>
        <v>0.33333333333333331</v>
      </c>
      <c r="AG87" s="412">
        <f t="shared" si="28"/>
        <v>1</v>
      </c>
    </row>
    <row r="88" spans="1:33" x14ac:dyDescent="0.3">
      <c r="P88" s="412">
        <v>86</v>
      </c>
      <c r="Q88" s="412" t="s">
        <v>798</v>
      </c>
      <c r="R88" s="412">
        <f t="shared" si="19"/>
        <v>10.5</v>
      </c>
      <c r="S88" s="451">
        <f t="shared" si="20"/>
        <v>0.4375</v>
      </c>
      <c r="T88" s="412">
        <f t="shared" si="21"/>
        <v>0</v>
      </c>
      <c r="U88" s="412">
        <f t="shared" si="22"/>
        <v>8.5</v>
      </c>
      <c r="V88" s="451">
        <f t="shared" si="23"/>
        <v>0.35416666666666669</v>
      </c>
      <c r="W88" s="412">
        <f t="shared" si="24"/>
        <v>1</v>
      </c>
      <c r="Z88" s="412">
        <v>86</v>
      </c>
      <c r="AA88" s="412" t="s">
        <v>798</v>
      </c>
      <c r="AB88" s="412">
        <v>10.5</v>
      </c>
      <c r="AC88" s="451">
        <v>0.4375</v>
      </c>
      <c r="AD88" s="412">
        <f t="shared" si="25"/>
        <v>0</v>
      </c>
      <c r="AE88" s="412">
        <f t="shared" si="26"/>
        <v>8.5</v>
      </c>
      <c r="AF88" s="451">
        <f t="shared" si="27"/>
        <v>0.35416666666666669</v>
      </c>
      <c r="AG88" s="412">
        <f t="shared" si="28"/>
        <v>1</v>
      </c>
    </row>
    <row r="89" spans="1:33" x14ac:dyDescent="0.3">
      <c r="P89" s="412">
        <v>87</v>
      </c>
      <c r="Q89" s="412" t="s">
        <v>799</v>
      </c>
      <c r="R89" s="412">
        <f t="shared" si="19"/>
        <v>11</v>
      </c>
      <c r="S89" s="451">
        <f t="shared" si="20"/>
        <v>0.45833333333333331</v>
      </c>
      <c r="T89" s="412">
        <f t="shared" si="21"/>
        <v>0</v>
      </c>
      <c r="U89" s="412">
        <f t="shared" si="22"/>
        <v>9</v>
      </c>
      <c r="V89" s="451">
        <f t="shared" si="23"/>
        <v>0.375</v>
      </c>
      <c r="W89" s="412">
        <f t="shared" si="24"/>
        <v>1</v>
      </c>
      <c r="Z89" s="412">
        <v>87</v>
      </c>
      <c r="AA89" s="412" t="s">
        <v>799</v>
      </c>
      <c r="AB89" s="412">
        <v>11</v>
      </c>
      <c r="AC89" s="451">
        <v>0.45833333333333331</v>
      </c>
      <c r="AD89" s="412">
        <f t="shared" si="25"/>
        <v>0</v>
      </c>
      <c r="AE89" s="412">
        <f t="shared" si="26"/>
        <v>9</v>
      </c>
      <c r="AF89" s="451">
        <f t="shared" si="27"/>
        <v>0.375</v>
      </c>
      <c r="AG89" s="412">
        <f t="shared" si="28"/>
        <v>1</v>
      </c>
    </row>
    <row r="90" spans="1:33" x14ac:dyDescent="0.3">
      <c r="P90" s="412">
        <v>88</v>
      </c>
      <c r="Q90" s="412" t="s">
        <v>800</v>
      </c>
      <c r="R90" s="412">
        <f t="shared" si="19"/>
        <v>12</v>
      </c>
      <c r="S90" s="451">
        <f t="shared" si="20"/>
        <v>0.5</v>
      </c>
      <c r="T90" s="412">
        <f t="shared" si="21"/>
        <v>0</v>
      </c>
      <c r="U90" s="412">
        <f t="shared" si="22"/>
        <v>10</v>
      </c>
      <c r="V90" s="451">
        <f t="shared" si="23"/>
        <v>0.41666666666666669</v>
      </c>
      <c r="W90" s="412">
        <f t="shared" si="24"/>
        <v>1</v>
      </c>
      <c r="Z90" s="412">
        <v>88</v>
      </c>
      <c r="AA90" s="412" t="s">
        <v>800</v>
      </c>
      <c r="AB90" s="412">
        <v>12</v>
      </c>
      <c r="AC90" s="451">
        <v>0.5</v>
      </c>
      <c r="AD90" s="412">
        <f t="shared" si="25"/>
        <v>0</v>
      </c>
      <c r="AE90" s="412">
        <f t="shared" si="26"/>
        <v>10</v>
      </c>
      <c r="AF90" s="451">
        <f t="shared" si="27"/>
        <v>0.41666666666666669</v>
      </c>
      <c r="AG90" s="412">
        <f t="shared" si="28"/>
        <v>1</v>
      </c>
    </row>
    <row r="91" spans="1:33" x14ac:dyDescent="0.3">
      <c r="P91" s="412">
        <v>89</v>
      </c>
      <c r="Q91" s="412" t="s">
        <v>801</v>
      </c>
      <c r="R91" s="412">
        <f t="shared" si="19"/>
        <v>12.75</v>
      </c>
      <c r="S91" s="451">
        <f t="shared" si="20"/>
        <v>0.53125</v>
      </c>
      <c r="T91" s="412">
        <f t="shared" si="21"/>
        <v>0</v>
      </c>
      <c r="U91" s="412">
        <f t="shared" si="22"/>
        <v>10.75</v>
      </c>
      <c r="V91" s="451">
        <f t="shared" si="23"/>
        <v>0.44791666666666669</v>
      </c>
      <c r="W91" s="412">
        <f t="shared" si="24"/>
        <v>1</v>
      </c>
      <c r="Z91" s="412">
        <v>89</v>
      </c>
      <c r="AA91" s="412" t="s">
        <v>801</v>
      </c>
      <c r="AB91" s="412">
        <v>12.75</v>
      </c>
      <c r="AC91" s="451">
        <v>0.53125</v>
      </c>
      <c r="AD91" s="412">
        <f t="shared" si="25"/>
        <v>0</v>
      </c>
      <c r="AE91" s="412">
        <f t="shared" si="26"/>
        <v>10.75</v>
      </c>
      <c r="AF91" s="451">
        <f t="shared" si="27"/>
        <v>0.44791666666666669</v>
      </c>
      <c r="AG91" s="412">
        <f t="shared" si="28"/>
        <v>1</v>
      </c>
    </row>
    <row r="92" spans="1:33" x14ac:dyDescent="0.3">
      <c r="P92" s="412">
        <v>90</v>
      </c>
      <c r="Q92" s="412" t="s">
        <v>802</v>
      </c>
      <c r="R92" s="412">
        <f t="shared" si="19"/>
        <v>13</v>
      </c>
      <c r="S92" s="451">
        <f t="shared" si="20"/>
        <v>0.54166666666666663</v>
      </c>
      <c r="T92" s="412">
        <f t="shared" si="21"/>
        <v>0</v>
      </c>
      <c r="U92" s="412">
        <f t="shared" si="22"/>
        <v>11</v>
      </c>
      <c r="V92" s="451">
        <f t="shared" si="23"/>
        <v>0.45833333333333331</v>
      </c>
      <c r="W92" s="412">
        <f t="shared" si="24"/>
        <v>1</v>
      </c>
      <c r="Z92" s="412">
        <v>90</v>
      </c>
      <c r="AA92" s="412" t="s">
        <v>802</v>
      </c>
      <c r="AB92" s="412">
        <v>13</v>
      </c>
      <c r="AC92" s="451">
        <v>0.54166666666666663</v>
      </c>
      <c r="AD92" s="412">
        <f t="shared" si="25"/>
        <v>0</v>
      </c>
      <c r="AE92" s="412">
        <f t="shared" si="26"/>
        <v>11</v>
      </c>
      <c r="AF92" s="451">
        <f t="shared" si="27"/>
        <v>0.45833333333333331</v>
      </c>
      <c r="AG92" s="412">
        <f t="shared" si="28"/>
        <v>1</v>
      </c>
    </row>
    <row r="93" spans="1:33" x14ac:dyDescent="0.3">
      <c r="P93" s="412">
        <v>91</v>
      </c>
      <c r="Q93" s="412" t="s">
        <v>803</v>
      </c>
      <c r="R93" s="412">
        <f t="shared" si="19"/>
        <v>14</v>
      </c>
      <c r="S93" s="451">
        <f t="shared" si="20"/>
        <v>0.58333333333333337</v>
      </c>
      <c r="T93" s="412">
        <f t="shared" si="21"/>
        <v>0</v>
      </c>
      <c r="U93" s="412">
        <f t="shared" si="22"/>
        <v>12</v>
      </c>
      <c r="V93" s="451">
        <f t="shared" si="23"/>
        <v>0.5</v>
      </c>
      <c r="W93" s="412">
        <f t="shared" si="24"/>
        <v>1</v>
      </c>
      <c r="Z93" s="412">
        <v>91</v>
      </c>
      <c r="AA93" s="412" t="s">
        <v>803</v>
      </c>
      <c r="AB93" s="412">
        <v>14</v>
      </c>
      <c r="AC93" s="451">
        <v>0.58333333333333337</v>
      </c>
      <c r="AD93" s="412">
        <f t="shared" si="25"/>
        <v>0</v>
      </c>
      <c r="AE93" s="412">
        <f t="shared" si="26"/>
        <v>12</v>
      </c>
      <c r="AF93" s="451">
        <f t="shared" si="27"/>
        <v>0.5</v>
      </c>
      <c r="AG93" s="412">
        <f t="shared" si="28"/>
        <v>1</v>
      </c>
    </row>
  </sheetData>
  <conditionalFormatting sqref="F4:F27">
    <cfRule type="duplicateValues" dxfId="12"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B4BE2-7EDF-EB40-A1B0-E3C1B9B9F750}">
  <sheetPr codeName="Hoja8"/>
  <dimension ref="A2:P198"/>
  <sheetViews>
    <sheetView showGridLines="0" showRowColHeaders="0" topLeftCell="HX1514" workbookViewId="0">
      <selection activeCell="HY1515" sqref="HY1515"/>
    </sheetView>
  </sheetViews>
  <sheetFormatPr defaultColWidth="10.6640625" defaultRowHeight="14.4" x14ac:dyDescent="0.3"/>
  <cols>
    <col min="1" max="3" width="10.6640625" style="426"/>
    <col min="4" max="4" width="17.33203125" style="426" bestFit="1" customWidth="1"/>
    <col min="5" max="6" width="10.6640625" style="426"/>
    <col min="7" max="7" width="17.33203125" style="426" bestFit="1" customWidth="1"/>
    <col min="8" max="16384" width="10.6640625" style="426"/>
  </cols>
  <sheetData>
    <row r="2" spans="1:8" x14ac:dyDescent="0.3">
      <c r="A2" s="426" t="s">
        <v>0</v>
      </c>
      <c r="B2" s="426">
        <f>IF(Home!$G$7=Idiomas!A2,1,0)</f>
        <v>1</v>
      </c>
    </row>
    <row r="3" spans="1:8" ht="15" thickBot="1" x14ac:dyDescent="0.35">
      <c r="A3" s="426" t="s">
        <v>804</v>
      </c>
      <c r="B3" s="426">
        <f>IF(Home!$G$7=Idiomas!A3,1,0)</f>
        <v>0</v>
      </c>
      <c r="E3" s="747" t="s">
        <v>805</v>
      </c>
      <c r="F3" s="747" t="s">
        <v>806</v>
      </c>
      <c r="G3" s="747" t="s">
        <v>0</v>
      </c>
      <c r="H3" s="747" t="s">
        <v>807</v>
      </c>
    </row>
    <row r="4" spans="1:8" x14ac:dyDescent="0.3">
      <c r="D4" s="748" t="str">
        <f>IF($B$2,G4,H4)</f>
        <v>Introducir resultados</v>
      </c>
      <c r="E4" s="749" t="s">
        <v>41</v>
      </c>
      <c r="F4" s="749" t="s">
        <v>808</v>
      </c>
      <c r="G4" s="749" t="s">
        <v>809</v>
      </c>
      <c r="H4" s="750" t="s">
        <v>810</v>
      </c>
    </row>
    <row r="5" spans="1:8" x14ac:dyDescent="0.3">
      <c r="D5" s="751" t="str">
        <f t="shared" ref="D5:D10" si="0">IF($B$2,G5,H5)</f>
        <v>Si quieres organizar una porra (quiniela) con tu grupo puedes descargar el archivo para administrarla desde el enlace de abajo</v>
      </c>
      <c r="E5" s="426" t="s">
        <v>41</v>
      </c>
      <c r="F5" s="426" t="s">
        <v>811</v>
      </c>
      <c r="G5" s="426" t="s">
        <v>812</v>
      </c>
      <c r="H5" s="752" t="s">
        <v>813</v>
      </c>
    </row>
    <row r="6" spans="1:8" x14ac:dyDescent="0.3">
      <c r="D6" s="751" t="str">
        <f t="shared" si="0"/>
        <v>Selecciona idioma: -&gt;</v>
      </c>
      <c r="E6" s="426" t="s">
        <v>41</v>
      </c>
      <c r="F6" s="426" t="s">
        <v>814</v>
      </c>
      <c r="G6" s="426" t="s">
        <v>815</v>
      </c>
      <c r="H6" s="752" t="s">
        <v>816</v>
      </c>
    </row>
    <row r="7" spans="1:8" x14ac:dyDescent="0.3">
      <c r="D7" s="751" t="str">
        <f t="shared" si="0"/>
        <v>XVII Eurocopa Alemania 2024</v>
      </c>
      <c r="E7" s="426" t="s">
        <v>41</v>
      </c>
      <c r="F7" s="426" t="s">
        <v>817</v>
      </c>
      <c r="G7" s="426" t="s">
        <v>818</v>
      </c>
      <c r="H7" s="752" t="s">
        <v>819</v>
      </c>
    </row>
    <row r="8" spans="1:8" x14ac:dyDescent="0.3">
      <c r="D8" s="751" t="str">
        <f t="shared" si="0"/>
        <v>Video Instrucciones</v>
      </c>
      <c r="E8" s="426" t="s">
        <v>41</v>
      </c>
      <c r="G8" s="426" t="s">
        <v>820</v>
      </c>
      <c r="H8" s="752" t="s">
        <v>821</v>
      </c>
    </row>
    <row r="9" spans="1:8" x14ac:dyDescent="0.3">
      <c r="D9" s="751" t="str">
        <f t="shared" si="0"/>
        <v>Descargar Excel Administrador Porra</v>
      </c>
      <c r="E9" s="426" t="s">
        <v>41</v>
      </c>
      <c r="F9" s="426" t="s">
        <v>822</v>
      </c>
      <c r="G9" s="426" t="s">
        <v>823</v>
      </c>
      <c r="H9" s="752" t="s">
        <v>824</v>
      </c>
    </row>
    <row r="10" spans="1:8" ht="15" thickBot="1" x14ac:dyDescent="0.35">
      <c r="C10" s="753"/>
      <c r="D10" s="754" t="str">
        <f t="shared" si="0"/>
        <v>https://matejero.es/download/admin-excel-eurocopa-2024/?ref=esheet</v>
      </c>
      <c r="E10" s="755" t="s">
        <v>41</v>
      </c>
      <c r="F10" s="755" t="s">
        <v>825</v>
      </c>
      <c r="G10" s="412" t="s">
        <v>826</v>
      </c>
      <c r="H10" s="412" t="s">
        <v>827</v>
      </c>
    </row>
    <row r="11" spans="1:8" ht="15" thickBot="1" x14ac:dyDescent="0.35"/>
    <row r="12" spans="1:8" x14ac:dyDescent="0.3">
      <c r="D12" s="748" t="str">
        <f t="shared" ref="D12:D53" si="1">IF($B$2,G12,H12)</f>
        <v>Selecciona Horario:</v>
      </c>
      <c r="E12" s="749" t="s">
        <v>828</v>
      </c>
      <c r="F12" s="749" t="s">
        <v>829</v>
      </c>
      <c r="G12" s="749" t="s">
        <v>830</v>
      </c>
      <c r="H12" s="750" t="s">
        <v>831</v>
      </c>
    </row>
    <row r="13" spans="1:8" x14ac:dyDescent="0.3">
      <c r="D13" s="751" t="str">
        <f t="shared" si="1"/>
        <v>Rellenar los cuadros grises</v>
      </c>
      <c r="E13" s="426" t="s">
        <v>828</v>
      </c>
      <c r="F13" s="426" t="s">
        <v>832</v>
      </c>
      <c r="G13" s="426" t="s">
        <v>833</v>
      </c>
      <c r="H13" s="752" t="s">
        <v>834</v>
      </c>
    </row>
    <row r="14" spans="1:8" x14ac:dyDescent="0.3">
      <c r="D14" s="751" t="str">
        <f t="shared" si="1"/>
        <v>Fecha</v>
      </c>
      <c r="E14" s="426" t="s">
        <v>828</v>
      </c>
      <c r="F14" s="426" t="s">
        <v>835</v>
      </c>
      <c r="G14" s="426" t="s">
        <v>836</v>
      </c>
      <c r="H14" s="752" t="s">
        <v>837</v>
      </c>
    </row>
    <row r="15" spans="1:8" x14ac:dyDescent="0.3">
      <c r="D15" s="751" t="str">
        <f t="shared" si="1"/>
        <v>Hora</v>
      </c>
      <c r="E15" s="426" t="s">
        <v>828</v>
      </c>
      <c r="F15" s="426" t="s">
        <v>838</v>
      </c>
      <c r="G15" s="426" t="s">
        <v>839</v>
      </c>
      <c r="H15" s="752" t="s">
        <v>840</v>
      </c>
    </row>
    <row r="16" spans="1:8" x14ac:dyDescent="0.3">
      <c r="D16" s="751" t="str">
        <f t="shared" si="1"/>
        <v>Jor.</v>
      </c>
      <c r="E16" s="426" t="s">
        <v>828</v>
      </c>
      <c r="F16" s="426" t="s">
        <v>841</v>
      </c>
      <c r="G16" s="426" t="s">
        <v>842</v>
      </c>
      <c r="H16" s="752" t="s">
        <v>843</v>
      </c>
    </row>
    <row r="17" spans="4:8" x14ac:dyDescent="0.3">
      <c r="D17" s="751" t="str">
        <f t="shared" si="1"/>
        <v>Casa</v>
      </c>
      <c r="E17" s="426" t="s">
        <v>828</v>
      </c>
      <c r="F17" s="426" t="s">
        <v>844</v>
      </c>
      <c r="G17" s="426" t="s">
        <v>845</v>
      </c>
      <c r="H17" s="752" t="s">
        <v>846</v>
      </c>
    </row>
    <row r="18" spans="4:8" x14ac:dyDescent="0.3">
      <c r="D18" s="751" t="str">
        <f t="shared" si="1"/>
        <v>Gol</v>
      </c>
      <c r="E18" s="426" t="s">
        <v>828</v>
      </c>
      <c r="F18" s="426" t="s">
        <v>847</v>
      </c>
      <c r="G18" s="426" t="s">
        <v>848</v>
      </c>
      <c r="H18" s="752" t="s">
        <v>849</v>
      </c>
    </row>
    <row r="19" spans="4:8" x14ac:dyDescent="0.3">
      <c r="D19" s="751" t="str">
        <f t="shared" si="1"/>
        <v>Fuera</v>
      </c>
      <c r="E19" s="426" t="s">
        <v>828</v>
      </c>
      <c r="F19" s="426" t="s">
        <v>850</v>
      </c>
      <c r="G19" s="426" t="s">
        <v>851</v>
      </c>
      <c r="H19" s="752" t="s">
        <v>852</v>
      </c>
    </row>
    <row r="20" spans="4:8" x14ac:dyDescent="0.3">
      <c r="D20" s="751" t="str">
        <f t="shared" si="1"/>
        <v>Grupo</v>
      </c>
      <c r="E20" s="426" t="s">
        <v>828</v>
      </c>
      <c r="F20" s="426" t="s">
        <v>853</v>
      </c>
      <c r="G20" s="426" t="s">
        <v>854</v>
      </c>
      <c r="H20" s="752" t="s">
        <v>855</v>
      </c>
    </row>
    <row r="21" spans="4:8" x14ac:dyDescent="0.3">
      <c r="D21" s="751" t="str">
        <f t="shared" si="1"/>
        <v>¡EMPATE! Puedes seleccionar el orden de los empatados.</v>
      </c>
      <c r="E21" s="426" t="s">
        <v>828</v>
      </c>
      <c r="F21" s="426" t="s">
        <v>856</v>
      </c>
      <c r="G21" s="426" t="s">
        <v>857</v>
      </c>
      <c r="H21" s="752" t="s">
        <v>858</v>
      </c>
    </row>
    <row r="22" spans="4:8" x14ac:dyDescent="0.3">
      <c r="D22" s="751" t="str">
        <f t="shared" si="1"/>
        <v>¡EMPATE! Puedes seleccionar el orden de los empatados entre los terceros.</v>
      </c>
      <c r="E22" s="426" t="s">
        <v>828</v>
      </c>
      <c r="F22" s="426" t="s">
        <v>859</v>
      </c>
      <c r="G22" s="426" t="s">
        <v>860</v>
      </c>
      <c r="H22" s="752" t="s">
        <v>858</v>
      </c>
    </row>
    <row r="23" spans="4:8" x14ac:dyDescent="0.3">
      <c r="D23" s="751" t="str">
        <f t="shared" si="1"/>
        <v>Mejores terceros</v>
      </c>
      <c r="E23" s="426" t="s">
        <v>828</v>
      </c>
      <c r="F23" s="426" t="s">
        <v>861</v>
      </c>
      <c r="G23" s="426" t="s">
        <v>862</v>
      </c>
      <c r="H23" s="752" t="s">
        <v>863</v>
      </c>
    </row>
    <row r="24" spans="4:8" x14ac:dyDescent="0.3">
      <c r="D24" s="751" t="str">
        <f t="shared" si="1"/>
        <v>Octavos de final</v>
      </c>
      <c r="E24" s="426" t="s">
        <v>828</v>
      </c>
      <c r="F24" s="426" t="s">
        <v>864</v>
      </c>
      <c r="G24" s="426" t="s">
        <v>865</v>
      </c>
      <c r="H24" s="752" t="s">
        <v>866</v>
      </c>
    </row>
    <row r="25" spans="4:8" x14ac:dyDescent="0.3">
      <c r="D25" s="751" t="str">
        <f t="shared" si="1"/>
        <v>Cuartos de final</v>
      </c>
      <c r="E25" s="426" t="s">
        <v>828</v>
      </c>
      <c r="F25" s="426" t="s">
        <v>867</v>
      </c>
      <c r="G25" s="426" t="s">
        <v>868</v>
      </c>
      <c r="H25" s="752" t="s">
        <v>869</v>
      </c>
    </row>
    <row r="26" spans="4:8" x14ac:dyDescent="0.3">
      <c r="D26" s="751" t="str">
        <f t="shared" si="1"/>
        <v>Semifinales</v>
      </c>
      <c r="E26" s="426" t="s">
        <v>828</v>
      </c>
      <c r="F26" s="426" t="s">
        <v>870</v>
      </c>
      <c r="G26" s="426" t="s">
        <v>871</v>
      </c>
      <c r="H26" s="752" t="s">
        <v>872</v>
      </c>
    </row>
    <row r="27" spans="4:8" x14ac:dyDescent="0.3">
      <c r="D27" s="751" t="str">
        <f t="shared" si="1"/>
        <v>Final</v>
      </c>
      <c r="E27" s="426" t="s">
        <v>828</v>
      </c>
      <c r="F27" s="426" t="s">
        <v>873</v>
      </c>
      <c r="G27" s="426" t="s">
        <v>874</v>
      </c>
      <c r="H27" s="752" t="s">
        <v>874</v>
      </c>
    </row>
    <row r="28" spans="4:8" x14ac:dyDescent="0.3">
      <c r="D28" s="751" t="str">
        <f t="shared" si="1"/>
        <v>CUADRO DE HONOR</v>
      </c>
      <c r="E28" s="426" t="s">
        <v>828</v>
      </c>
      <c r="F28" s="426" t="s">
        <v>875</v>
      </c>
      <c r="G28" s="426" t="s">
        <v>876</v>
      </c>
      <c r="H28" s="752" t="s">
        <v>877</v>
      </c>
    </row>
    <row r="29" spans="4:8" x14ac:dyDescent="0.3">
      <c r="D29" s="751" t="str">
        <f t="shared" si="1"/>
        <v>Campeón</v>
      </c>
      <c r="E29" s="426" t="s">
        <v>828</v>
      </c>
      <c r="F29" s="426" t="s">
        <v>878</v>
      </c>
      <c r="G29" s="426" t="s">
        <v>879</v>
      </c>
      <c r="H29" s="752" t="s">
        <v>880</v>
      </c>
    </row>
    <row r="30" spans="4:8" x14ac:dyDescent="0.3">
      <c r="D30" s="751" t="str">
        <f t="shared" si="1"/>
        <v>Subcampeón</v>
      </c>
      <c r="E30" s="426" t="s">
        <v>828</v>
      </c>
      <c r="F30" s="426" t="s">
        <v>881</v>
      </c>
      <c r="G30" s="426" t="s">
        <v>882</v>
      </c>
      <c r="H30" s="752" t="s">
        <v>883</v>
      </c>
    </row>
    <row r="31" spans="4:8" x14ac:dyDescent="0.3">
      <c r="D31" s="751" t="str">
        <f t="shared" si="1"/>
        <v>Goleador del torneo</v>
      </c>
      <c r="E31" s="426" t="s">
        <v>828</v>
      </c>
      <c r="F31" s="426" t="s">
        <v>884</v>
      </c>
      <c r="G31" s="426" t="s">
        <v>885</v>
      </c>
      <c r="H31" s="752" t="s">
        <v>886</v>
      </c>
    </row>
    <row r="32" spans="4:8" x14ac:dyDescent="0.3">
      <c r="D32" s="751" t="str">
        <f t="shared" si="1"/>
        <v>Mejor jugador del torneo</v>
      </c>
      <c r="E32" s="426" t="s">
        <v>828</v>
      </c>
      <c r="F32" s="426" t="s">
        <v>887</v>
      </c>
      <c r="G32" s="426" t="s">
        <v>888</v>
      </c>
      <c r="H32" s="752" t="s">
        <v>889</v>
      </c>
    </row>
    <row r="33" spans="4:8" x14ac:dyDescent="0.3">
      <c r="D33" s="751" t="str">
        <f t="shared" si="1"/>
        <v>Escribe un jugador</v>
      </c>
      <c r="E33" s="426" t="s">
        <v>828</v>
      </c>
      <c r="F33" s="426" t="s">
        <v>890</v>
      </c>
      <c r="G33" s="426" t="s">
        <v>891</v>
      </c>
      <c r="H33" s="752" t="s">
        <v>892</v>
      </c>
    </row>
    <row r="34" spans="4:8" x14ac:dyDescent="0.3">
      <c r="D34" s="751" t="str">
        <f t="shared" si="1"/>
        <v>Escribe un jugador</v>
      </c>
      <c r="E34" s="426" t="s">
        <v>828</v>
      </c>
      <c r="F34" s="426" t="s">
        <v>893</v>
      </c>
      <c r="G34" s="426" t="s">
        <v>891</v>
      </c>
      <c r="H34" s="752" t="s">
        <v>892</v>
      </c>
    </row>
    <row r="35" spans="4:8" x14ac:dyDescent="0.3">
      <c r="D35" s="751" t="str">
        <f t="shared" si="1"/>
        <v>TU NOMBRE</v>
      </c>
      <c r="E35" s="426" t="s">
        <v>828</v>
      </c>
      <c r="F35" s="426" t="s">
        <v>894</v>
      </c>
      <c r="G35" s="426" t="s">
        <v>895</v>
      </c>
      <c r="H35" s="752" t="s">
        <v>896</v>
      </c>
    </row>
    <row r="36" spans="4:8" x14ac:dyDescent="0.3">
      <c r="D36" s="751" t="str">
        <f t="shared" si="1"/>
        <v>ESCRIBE TU NOMBRE</v>
      </c>
      <c r="E36" s="426" t="s">
        <v>828</v>
      </c>
      <c r="F36" s="426" t="s">
        <v>897</v>
      </c>
      <c r="G36" s="426" t="s">
        <v>898</v>
      </c>
      <c r="H36" s="752" t="s">
        <v>899</v>
      </c>
    </row>
    <row r="37" spans="4:8" x14ac:dyDescent="0.3">
      <c r="D37" s="751" t="str">
        <f t="shared" si="1"/>
        <v>PORRA INCOMPLETA:</v>
      </c>
      <c r="E37" s="426" t="s">
        <v>828</v>
      </c>
      <c r="F37" s="426" t="s">
        <v>900</v>
      </c>
      <c r="G37" s="426" t="s">
        <v>901</v>
      </c>
      <c r="H37" s="752" t="s">
        <v>902</v>
      </c>
    </row>
    <row r="38" spans="4:8" x14ac:dyDescent="0.3">
      <c r="D38" s="751" t="str">
        <f t="shared" si="1"/>
        <v>Aún falta alguna apuesta</v>
      </c>
      <c r="E38" s="426" t="s">
        <v>828</v>
      </c>
      <c r="F38" s="426" t="s">
        <v>903</v>
      </c>
      <c r="G38" s="426" t="s">
        <v>904</v>
      </c>
      <c r="H38" s="752" t="s">
        <v>905</v>
      </c>
    </row>
    <row r="39" spans="4:8" x14ac:dyDescent="0.3">
      <c r="D39" s="751" t="str">
        <f t="shared" si="1"/>
        <v>PORRA COMPLETA:</v>
      </c>
      <c r="E39" s="426" t="s">
        <v>828</v>
      </c>
      <c r="F39" s="426" t="s">
        <v>906</v>
      </c>
      <c r="G39" s="426" t="s">
        <v>907</v>
      </c>
      <c r="H39" s="752" t="s">
        <v>908</v>
      </c>
    </row>
    <row r="40" spans="4:8" x14ac:dyDescent="0.3">
      <c r="D40" s="751" t="str">
        <f t="shared" si="1"/>
        <v>Guarda el archivo y envíaselo al administrador de tu porra</v>
      </c>
      <c r="E40" s="426" t="s">
        <v>828</v>
      </c>
      <c r="F40" s="426" t="s">
        <v>909</v>
      </c>
      <c r="G40" s="426" t="s">
        <v>910</v>
      </c>
      <c r="H40" s="752" t="s">
        <v>911</v>
      </c>
    </row>
    <row r="41" spans="4:8" x14ac:dyDescent="0.3">
      <c r="D41" s="751" t="str">
        <f t="shared" si="1"/>
        <v>Pos</v>
      </c>
      <c r="E41" s="426" t="s">
        <v>828</v>
      </c>
      <c r="F41" s="426" t="s">
        <v>912</v>
      </c>
      <c r="G41" s="426" t="s">
        <v>89</v>
      </c>
      <c r="H41" s="752" t="s">
        <v>89</v>
      </c>
    </row>
    <row r="42" spans="4:8" x14ac:dyDescent="0.3">
      <c r="D42" s="751" t="str">
        <f t="shared" si="1"/>
        <v>Selección</v>
      </c>
      <c r="E42" s="426" t="s">
        <v>828</v>
      </c>
      <c r="F42" s="426" t="s">
        <v>913</v>
      </c>
      <c r="G42" s="426" t="s">
        <v>914</v>
      </c>
      <c r="H42" s="752" t="s">
        <v>915</v>
      </c>
    </row>
    <row r="43" spans="4:8" x14ac:dyDescent="0.3">
      <c r="D43" s="751" t="str">
        <f t="shared" si="1"/>
        <v>Pts</v>
      </c>
      <c r="E43" s="426" t="s">
        <v>828</v>
      </c>
      <c r="F43" s="426" t="s">
        <v>916</v>
      </c>
      <c r="G43" s="426" t="s">
        <v>917</v>
      </c>
      <c r="H43" s="752" t="s">
        <v>917</v>
      </c>
    </row>
    <row r="44" spans="4:8" x14ac:dyDescent="0.3">
      <c r="D44" s="751" t="str">
        <f t="shared" si="1"/>
        <v>J</v>
      </c>
      <c r="E44" s="426" t="s">
        <v>828</v>
      </c>
      <c r="F44" s="426" t="s">
        <v>918</v>
      </c>
      <c r="G44" s="426" t="s">
        <v>28</v>
      </c>
      <c r="H44" s="752" t="s">
        <v>31</v>
      </c>
    </row>
    <row r="45" spans="4:8" x14ac:dyDescent="0.3">
      <c r="D45" s="751" t="str">
        <f t="shared" si="1"/>
        <v>G</v>
      </c>
      <c r="E45" s="426" t="s">
        <v>828</v>
      </c>
      <c r="F45" s="426" t="s">
        <v>919</v>
      </c>
      <c r="G45" s="426" t="s">
        <v>29</v>
      </c>
      <c r="H45" s="752" t="s">
        <v>920</v>
      </c>
    </row>
    <row r="46" spans="4:8" x14ac:dyDescent="0.3">
      <c r="D46" s="751" t="str">
        <f t="shared" si="1"/>
        <v>E</v>
      </c>
      <c r="E46" s="426" t="s">
        <v>828</v>
      </c>
      <c r="F46" s="426" t="s">
        <v>921</v>
      </c>
      <c r="G46" s="426" t="s">
        <v>30</v>
      </c>
      <c r="H46" s="752" t="s">
        <v>68</v>
      </c>
    </row>
    <row r="47" spans="4:8" x14ac:dyDescent="0.3">
      <c r="D47" s="751" t="str">
        <f t="shared" si="1"/>
        <v>P</v>
      </c>
      <c r="E47" s="426" t="s">
        <v>828</v>
      </c>
      <c r="F47" s="426" t="s">
        <v>922</v>
      </c>
      <c r="G47" s="426" t="s">
        <v>31</v>
      </c>
      <c r="H47" s="752" t="s">
        <v>923</v>
      </c>
    </row>
    <row r="48" spans="4:8" x14ac:dyDescent="0.3">
      <c r="D48" s="751" t="str">
        <f t="shared" si="1"/>
        <v>GF</v>
      </c>
      <c r="E48" s="426" t="s">
        <v>828</v>
      </c>
      <c r="F48" s="426" t="s">
        <v>924</v>
      </c>
      <c r="G48" s="426" t="s">
        <v>32</v>
      </c>
      <c r="H48" s="752" t="s">
        <v>71</v>
      </c>
    </row>
    <row r="49" spans="4:8" x14ac:dyDescent="0.3">
      <c r="D49" s="751" t="str">
        <f t="shared" si="1"/>
        <v>GC</v>
      </c>
      <c r="E49" s="426" t="s">
        <v>828</v>
      </c>
      <c r="F49" s="426" t="s">
        <v>925</v>
      </c>
      <c r="G49" s="426" t="s">
        <v>33</v>
      </c>
      <c r="H49" s="752" t="s">
        <v>18</v>
      </c>
    </row>
    <row r="50" spans="4:8" x14ac:dyDescent="0.3">
      <c r="D50" s="751" t="str">
        <f t="shared" si="1"/>
        <v>DG</v>
      </c>
      <c r="E50" s="426" t="s">
        <v>828</v>
      </c>
      <c r="F50" s="426" t="s">
        <v>926</v>
      </c>
      <c r="G50" s="426" t="s">
        <v>927</v>
      </c>
      <c r="H50" s="752" t="s">
        <v>764</v>
      </c>
    </row>
    <row r="51" spans="4:8" x14ac:dyDescent="0.3">
      <c r="D51" s="751" t="str">
        <f t="shared" si="1"/>
        <v>J1</v>
      </c>
      <c r="E51" s="426" t="s">
        <v>828</v>
      </c>
      <c r="G51" s="426" t="s">
        <v>928</v>
      </c>
      <c r="H51" s="752" t="s">
        <v>929</v>
      </c>
    </row>
    <row r="52" spans="4:8" x14ac:dyDescent="0.3">
      <c r="D52" s="751" t="str">
        <f t="shared" si="1"/>
        <v>J2</v>
      </c>
      <c r="E52" s="426" t="s">
        <v>828</v>
      </c>
      <c r="G52" s="426" t="s">
        <v>930</v>
      </c>
      <c r="H52" s="752" t="s">
        <v>931</v>
      </c>
    </row>
    <row r="53" spans="4:8" ht="15" thickBot="1" x14ac:dyDescent="0.35">
      <c r="D53" s="754" t="str">
        <f t="shared" si="1"/>
        <v>J3</v>
      </c>
      <c r="E53" s="755" t="s">
        <v>828</v>
      </c>
      <c r="F53" s="755"/>
      <c r="G53" s="755" t="s">
        <v>932</v>
      </c>
      <c r="H53" s="756" t="s">
        <v>933</v>
      </c>
    </row>
    <row r="54" spans="4:8" ht="15" thickBot="1" x14ac:dyDescent="0.35"/>
    <row r="55" spans="4:8" ht="15" thickBot="1" x14ac:dyDescent="0.35">
      <c r="D55" s="748" t="str">
        <f>IF($B$2,G55,H55)</f>
        <v>OTROS ARCHIVOS (2024-2025)</v>
      </c>
      <c r="G55" s="426" t="s">
        <v>934</v>
      </c>
      <c r="H55" s="426" t="s">
        <v>935</v>
      </c>
    </row>
    <row r="56" spans="4:8" ht="15" thickBot="1" x14ac:dyDescent="0.35">
      <c r="D56" s="748" t="str">
        <f>IF($B$2,G56,H56)</f>
        <v>Estamos trabajando en ello pero todavía no conocemos las normas de la competición</v>
      </c>
      <c r="G56" s="426" t="s">
        <v>936</v>
      </c>
      <c r="H56" s="426" t="s">
        <v>937</v>
      </c>
    </row>
    <row r="57" spans="4:8" ht="15" thickBot="1" x14ac:dyDescent="0.35">
      <c r="D57" s="748" t="str">
        <f t="shared" ref="D57:D61" si="2">IF($B$2,G57,H57)</f>
        <v>Probablemente hagamos un archivo más adelante</v>
      </c>
      <c r="G57" s="426" t="s">
        <v>938</v>
      </c>
      <c r="H57" s="426" t="s">
        <v>939</v>
      </c>
    </row>
    <row r="58" spans="4:8" ht="15" customHeight="1" x14ac:dyDescent="0.3">
      <c r="D58" s="748" t="str">
        <f t="shared" si="2"/>
        <v>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v>
      </c>
      <c r="E58" s="749" t="s">
        <v>940</v>
      </c>
      <c r="F58" s="749" t="s">
        <v>941</v>
      </c>
      <c r="G58" s="749" t="s">
        <v>942</v>
      </c>
      <c r="H58" s="757" t="s">
        <v>943</v>
      </c>
    </row>
    <row r="59" spans="4:8" x14ac:dyDescent="0.3">
      <c r="D59" s="751" t="str">
        <f t="shared" si="2"/>
        <v>Autor:</v>
      </c>
      <c r="E59" s="426" t="s">
        <v>940</v>
      </c>
      <c r="F59" s="426" t="s">
        <v>944</v>
      </c>
      <c r="G59" s="426" t="s">
        <v>945</v>
      </c>
      <c r="H59" s="752" t="s">
        <v>946</v>
      </c>
    </row>
    <row r="60" spans="4:8" x14ac:dyDescent="0.3">
      <c r="D60" s="751" t="str">
        <f t="shared" si="2"/>
        <v>Útima versión</v>
      </c>
      <c r="E60" s="426" t="s">
        <v>940</v>
      </c>
      <c r="F60" s="426" t="s">
        <v>947</v>
      </c>
      <c r="G60" s="426" t="s">
        <v>948</v>
      </c>
      <c r="H60" s="752" t="s">
        <v>949</v>
      </c>
    </row>
    <row r="61" spans="4:8" ht="15" thickBot="1" x14ac:dyDescent="0.35">
      <c r="D61" s="754" t="str">
        <f t="shared" si="2"/>
        <v>Limitación de responsabilidad:</v>
      </c>
      <c r="E61" s="755" t="s">
        <v>940</v>
      </c>
      <c r="F61" s="755" t="s">
        <v>950</v>
      </c>
      <c r="G61" s="755" t="s">
        <v>951</v>
      </c>
      <c r="H61" s="756" t="s">
        <v>952</v>
      </c>
    </row>
    <row r="63" spans="4:8" ht="15" thickBot="1" x14ac:dyDescent="0.35"/>
    <row r="64" spans="4:8" x14ac:dyDescent="0.3">
      <c r="D64" s="748" t="str">
        <f t="shared" ref="D64:D123" si="3">IF($B$2,G64,H64)</f>
        <v>Para el administrador de la porra</v>
      </c>
      <c r="E64" s="749" t="s">
        <v>953</v>
      </c>
      <c r="F64" s="749" t="s">
        <v>954</v>
      </c>
      <c r="G64" s="749" t="s">
        <v>955</v>
      </c>
      <c r="H64" s="750" t="s">
        <v>956</v>
      </c>
    </row>
    <row r="65" spans="4:16" x14ac:dyDescent="0.3">
      <c r="D65" s="751" t="str">
        <f t="shared" si="3"/>
        <v>PARTICIPANTE</v>
      </c>
      <c r="E65" s="426" t="s">
        <v>953</v>
      </c>
      <c r="F65" s="426" t="s">
        <v>950</v>
      </c>
      <c r="G65" s="426" t="s">
        <v>957</v>
      </c>
      <c r="H65" s="752" t="s">
        <v>958</v>
      </c>
    </row>
    <row r="66" spans="4:16" x14ac:dyDescent="0.3">
      <c r="D66" s="751" t="str">
        <f t="shared" si="3"/>
        <v>Nombre</v>
      </c>
      <c r="E66" s="426" t="s">
        <v>953</v>
      </c>
      <c r="F66" s="426" t="s">
        <v>941</v>
      </c>
      <c r="G66" s="426" t="s">
        <v>959</v>
      </c>
      <c r="H66" s="752" t="s">
        <v>960</v>
      </c>
    </row>
    <row r="67" spans="4:16" x14ac:dyDescent="0.3">
      <c r="D67" s="751" t="str">
        <f t="shared" si="3"/>
        <v>¡No tocar nada, se rellena solo!</v>
      </c>
      <c r="E67" s="426" t="s">
        <v>953</v>
      </c>
      <c r="F67" s="426" t="s">
        <v>961</v>
      </c>
      <c r="G67" s="426" t="s">
        <v>962</v>
      </c>
      <c r="H67" s="752" t="s">
        <v>963</v>
      </c>
    </row>
    <row r="68" spans="4:16" ht="15" customHeight="1" x14ac:dyDescent="0.3">
      <c r="D68" s="751" t="str">
        <f t="shared" si="3"/>
        <v>EL ADMINISTRADOR DE LA PORRA SEGUIRÁ LAS INSTRUCCIONES DE AQUÍ ABAJO</v>
      </c>
      <c r="E68" s="426" t="s">
        <v>953</v>
      </c>
      <c r="F68" s="426" t="s">
        <v>829</v>
      </c>
      <c r="G68" s="426" t="s">
        <v>964</v>
      </c>
      <c r="H68" s="752" t="s">
        <v>965</v>
      </c>
      <c r="I68" s="758"/>
      <c r="J68" s="758"/>
      <c r="K68" s="758"/>
      <c r="L68" s="758"/>
      <c r="M68" s="758"/>
      <c r="N68" s="758"/>
      <c r="O68" s="758"/>
      <c r="P68" s="758"/>
    </row>
    <row r="69" spans="4:16" ht="15" customHeight="1" x14ac:dyDescent="0.3">
      <c r="D69" s="751" t="str">
        <f t="shared" si="3"/>
        <v>·Si haceis toda la Eurocopa de golpe copiar de la C6 a la 134 y pegar valores en la plantilla de Administrador.</v>
      </c>
      <c r="E69" s="426" t="s">
        <v>953</v>
      </c>
      <c r="F69" s="426" t="s">
        <v>966</v>
      </c>
      <c r="G69" s="426" t="s">
        <v>967</v>
      </c>
      <c r="H69" s="752" t="s">
        <v>968</v>
      </c>
      <c r="I69" s="758"/>
      <c r="J69" s="758"/>
      <c r="K69" s="758"/>
      <c r="L69" s="758"/>
      <c r="M69" s="758"/>
      <c r="N69" s="758"/>
      <c r="O69" s="758"/>
      <c r="P69" s="758"/>
    </row>
    <row r="70" spans="4:16" x14ac:dyDescent="0.3">
      <c r="D70" s="751" t="str">
        <f t="shared" si="3"/>
        <v>·Si haceis toda la fase de grupos de golpe y las eliminatorias aparte, copiar primero de la C6 a la C85 y pegar valores en la plantilla de Administrador. Y también copiar y pegar valores de la C133 a la C134. En octavos seguir las instrucciones de abajo.</v>
      </c>
      <c r="E70" s="426" t="s">
        <v>953</v>
      </c>
      <c r="F70" s="426" t="s">
        <v>969</v>
      </c>
      <c r="G70" s="426" t="s">
        <v>970</v>
      </c>
      <c r="H70" s="752" t="s">
        <v>971</v>
      </c>
    </row>
    <row r="71" spans="4:16" ht="15" customHeight="1" x14ac:dyDescent="0.3">
      <c r="D71" s="751" t="str">
        <f t="shared" si="3"/>
        <v>·Si haceis jornada a jornada seguir las instrucciones de cada jornada</v>
      </c>
      <c r="E71" s="426" t="s">
        <v>953</v>
      </c>
      <c r="F71" s="426" t="s">
        <v>972</v>
      </c>
      <c r="G71" s="426" t="s">
        <v>973</v>
      </c>
      <c r="H71" s="752" t="s">
        <v>974</v>
      </c>
      <c r="I71" s="759"/>
      <c r="J71" s="759"/>
      <c r="K71" s="759"/>
      <c r="L71" s="759"/>
    </row>
    <row r="72" spans="4:16" x14ac:dyDescent="0.3">
      <c r="D72" s="751" t="str">
        <f t="shared" si="3"/>
        <v>·Para la primera jornada selecciona de la C6 a la C17 y pega valores en la plantilla de administrador. ¡OJO! COPIAR TAMBIÉN de la C133 a la C135.</v>
      </c>
      <c r="E72" s="426" t="s">
        <v>953</v>
      </c>
      <c r="F72" s="426" t="s">
        <v>975</v>
      </c>
      <c r="G72" s="426" t="s">
        <v>976</v>
      </c>
      <c r="H72" s="752" t="s">
        <v>977</v>
      </c>
    </row>
    <row r="73" spans="4:16" x14ac:dyDescent="0.3">
      <c r="D73" s="751" t="str">
        <f t="shared" si="3"/>
        <v>·Para la segunda jornada selecciona de la C18 a la C29 y pega valores en la plantilla de administrador.</v>
      </c>
      <c r="E73" s="426" t="s">
        <v>953</v>
      </c>
      <c r="F73" s="426" t="s">
        <v>978</v>
      </c>
      <c r="G73" s="426" t="s">
        <v>979</v>
      </c>
      <c r="H73" s="752" t="s">
        <v>980</v>
      </c>
    </row>
    <row r="74" spans="4:16" x14ac:dyDescent="0.3">
      <c r="D74" s="751" t="str">
        <f t="shared" si="3"/>
        <v>·Para la tercera jornada selecciona de la C30 a la C85 y pega valores en la plantilla de administrador.</v>
      </c>
      <c r="E74" s="426" t="s">
        <v>953</v>
      </c>
      <c r="F74" s="426" t="s">
        <v>981</v>
      </c>
      <c r="G74" s="426" t="s">
        <v>982</v>
      </c>
      <c r="H74" s="752" t="s">
        <v>983</v>
      </c>
    </row>
    <row r="75" spans="4:16" x14ac:dyDescent="0.3">
      <c r="D75" s="751" t="str">
        <f t="shared" si="3"/>
        <v>·Si haceis todas las eliminatorias de golpe, copiar de la C88 a la C132 y pegar valores en la plantilla de Administrador.</v>
      </c>
      <c r="E75" s="426" t="s">
        <v>953</v>
      </c>
      <c r="F75" s="426" t="s">
        <v>984</v>
      </c>
      <c r="G75" s="426" t="s">
        <v>985</v>
      </c>
      <c r="H75" s="752" t="s">
        <v>986</v>
      </c>
    </row>
    <row r="76" spans="4:16" x14ac:dyDescent="0.3">
      <c r="D76" s="751" t="str">
        <f t="shared" si="3"/>
        <v>·Si haceis eliminatoria a eliminatoria seguir las instrucciones de cada eliminatoria.</v>
      </c>
      <c r="E76" s="426" t="s">
        <v>953</v>
      </c>
      <c r="F76" s="426" t="s">
        <v>987</v>
      </c>
      <c r="G76" s="426" t="s">
        <v>988</v>
      </c>
      <c r="H76" s="752" t="s">
        <v>989</v>
      </c>
    </row>
    <row r="77" spans="4:16" x14ac:dyDescent="0.3">
      <c r="D77" s="751" t="str">
        <f t="shared" si="3"/>
        <v>·Para los octavos selecciona de la C88 a la C105 y pega valores en la plantilla de administrador.</v>
      </c>
      <c r="E77" s="426" t="s">
        <v>953</v>
      </c>
      <c r="F77" s="426" t="s">
        <v>990</v>
      </c>
      <c r="G77" s="426" t="s">
        <v>991</v>
      </c>
      <c r="H77" s="752" t="s">
        <v>992</v>
      </c>
    </row>
    <row r="78" spans="4:16" x14ac:dyDescent="0.3">
      <c r="D78" s="751" t="str">
        <f t="shared" si="3"/>
        <v>·Para los cuartos selecciona de la C108 a la C117 y pega valores en la plantilla de administrador.</v>
      </c>
      <c r="E78" s="426" t="s">
        <v>953</v>
      </c>
      <c r="F78" s="426" t="s">
        <v>993</v>
      </c>
      <c r="G78" s="426" t="s">
        <v>994</v>
      </c>
      <c r="H78" s="752" t="s">
        <v>995</v>
      </c>
    </row>
    <row r="79" spans="4:16" x14ac:dyDescent="0.3">
      <c r="D79" s="751" t="str">
        <f t="shared" si="3"/>
        <v>·Para las semifinales selecciona de la C120 a la C125 y pega valores en la plantilla de administrador.</v>
      </c>
      <c r="E79" s="426" t="s">
        <v>953</v>
      </c>
      <c r="F79" s="426" t="s">
        <v>996</v>
      </c>
      <c r="G79" s="426" t="s">
        <v>997</v>
      </c>
      <c r="H79" s="752" t="s">
        <v>998</v>
      </c>
    </row>
    <row r="80" spans="4:16" x14ac:dyDescent="0.3">
      <c r="D80" s="751" t="str">
        <f t="shared" si="3"/>
        <v>·Para la final selecciona de la C128 a la C132 y pega valores en la plantilla de administrador.</v>
      </c>
      <c r="E80" s="426" t="s">
        <v>953</v>
      </c>
      <c r="F80" s="426" t="s">
        <v>999</v>
      </c>
      <c r="G80" s="426" t="s">
        <v>1000</v>
      </c>
      <c r="H80" s="752" t="s">
        <v>1001</v>
      </c>
    </row>
    <row r="81" spans="4:8" x14ac:dyDescent="0.3">
      <c r="D81" s="751" t="str">
        <f t="shared" si="3"/>
        <v>·Al inicio de la competición si se hace por fases copiar de la C132 a la C134 y pegarla al final del jugador en el archivo de administrador.</v>
      </c>
      <c r="E81" s="426" t="s">
        <v>953</v>
      </c>
      <c r="F81" s="426" t="s">
        <v>1002</v>
      </c>
      <c r="G81" s="426" t="s">
        <v>1003</v>
      </c>
      <c r="H81" s="752" t="s">
        <v>1004</v>
      </c>
    </row>
    <row r="82" spans="4:8" x14ac:dyDescent="0.3">
      <c r="D82" s="751" t="str">
        <f t="shared" si="3"/>
        <v>J1</v>
      </c>
      <c r="E82" s="426" t="s">
        <v>953</v>
      </c>
      <c r="F82" s="426" t="s">
        <v>1005</v>
      </c>
      <c r="G82" s="426" t="s">
        <v>928</v>
      </c>
      <c r="H82" s="752" t="s">
        <v>929</v>
      </c>
    </row>
    <row r="83" spans="4:8" x14ac:dyDescent="0.3">
      <c r="D83" s="751" t="str">
        <f t="shared" si="3"/>
        <v>J2</v>
      </c>
      <c r="E83" s="426" t="s">
        <v>953</v>
      </c>
      <c r="F83" s="426" t="s">
        <v>1006</v>
      </c>
      <c r="G83" s="426" t="s">
        <v>930</v>
      </c>
      <c r="H83" s="752" t="s">
        <v>931</v>
      </c>
    </row>
    <row r="84" spans="4:8" x14ac:dyDescent="0.3">
      <c r="D84" s="751" t="str">
        <f t="shared" si="3"/>
        <v>J3</v>
      </c>
      <c r="E84" s="426" t="s">
        <v>953</v>
      </c>
      <c r="F84" s="426" t="s">
        <v>1007</v>
      </c>
      <c r="G84" s="426" t="s">
        <v>932</v>
      </c>
      <c r="H84" s="752" t="s">
        <v>933</v>
      </c>
    </row>
    <row r="85" spans="4:8" x14ac:dyDescent="0.3">
      <c r="D85" s="751" t="str">
        <f t="shared" si="3"/>
        <v>FASE DE GRUPOS</v>
      </c>
      <c r="E85" s="426" t="s">
        <v>953</v>
      </c>
      <c r="F85" s="426" t="s">
        <v>1008</v>
      </c>
      <c r="G85" s="426" t="s">
        <v>1009</v>
      </c>
      <c r="H85" s="752" t="s">
        <v>1010</v>
      </c>
    </row>
    <row r="86" spans="4:8" x14ac:dyDescent="0.3">
      <c r="D86" s="751" t="str">
        <f t="shared" si="3"/>
        <v>POSICIÓN GRUPOS</v>
      </c>
      <c r="E86" s="426" t="s">
        <v>953</v>
      </c>
      <c r="F86" s="426" t="s">
        <v>1011</v>
      </c>
      <c r="G86" s="426" t="s">
        <v>1012</v>
      </c>
      <c r="H86" s="752" t="s">
        <v>1013</v>
      </c>
    </row>
    <row r="87" spans="4:8" x14ac:dyDescent="0.3">
      <c r="D87" s="751" t="str">
        <f t="shared" si="3"/>
        <v>CLASIFICADOS PARA OCTAVOS</v>
      </c>
      <c r="E87" s="426" t="s">
        <v>953</v>
      </c>
      <c r="F87" s="426" t="s">
        <v>1014</v>
      </c>
      <c r="G87" s="426" t="s">
        <v>1015</v>
      </c>
      <c r="H87" s="752" t="s">
        <v>1016</v>
      </c>
    </row>
    <row r="88" spans="4:8" x14ac:dyDescent="0.3">
      <c r="D88" s="751" t="str">
        <f t="shared" si="3"/>
        <v>ENFRENTAMIENTOS OCTAVOS</v>
      </c>
      <c r="E88" s="426" t="s">
        <v>953</v>
      </c>
      <c r="F88" s="426" t="s">
        <v>1017</v>
      </c>
      <c r="G88" s="426" t="s">
        <v>1018</v>
      </c>
      <c r="H88" s="752" t="s">
        <v>1019</v>
      </c>
    </row>
    <row r="89" spans="4:8" x14ac:dyDescent="0.3">
      <c r="D89" s="751" t="str">
        <f t="shared" si="3"/>
        <v>CLASIFICADOS PARA CUARTOS</v>
      </c>
      <c r="E89" s="426" t="s">
        <v>953</v>
      </c>
      <c r="F89" s="426" t="s">
        <v>1020</v>
      </c>
      <c r="G89" s="426" t="s">
        <v>1021</v>
      </c>
      <c r="H89" s="752" t="s">
        <v>1022</v>
      </c>
    </row>
    <row r="90" spans="4:8" x14ac:dyDescent="0.3">
      <c r="D90" s="751" t="str">
        <f t="shared" si="3"/>
        <v>ENFRENTAMIENTOS CUARTOS</v>
      </c>
      <c r="E90" s="426" t="s">
        <v>953</v>
      </c>
      <c r="F90" s="426" t="s">
        <v>1023</v>
      </c>
      <c r="G90" s="426" t="s">
        <v>1024</v>
      </c>
      <c r="H90" s="752" t="s">
        <v>1025</v>
      </c>
    </row>
    <row r="91" spans="4:8" x14ac:dyDescent="0.3">
      <c r="D91" s="751" t="str">
        <f t="shared" si="3"/>
        <v>CLASIFICADOS PARA SEMIFINALES</v>
      </c>
      <c r="E91" s="426" t="s">
        <v>953</v>
      </c>
      <c r="F91" s="426" t="s">
        <v>1026</v>
      </c>
      <c r="G91" s="426" t="s">
        <v>1027</v>
      </c>
      <c r="H91" s="752" t="s">
        <v>1028</v>
      </c>
    </row>
    <row r="92" spans="4:8" x14ac:dyDescent="0.3">
      <c r="D92" s="751" t="str">
        <f t="shared" si="3"/>
        <v>ENFRENTAMIENTOS SEMIFINALES</v>
      </c>
      <c r="E92" s="426" t="s">
        <v>953</v>
      </c>
      <c r="F92" s="426" t="s">
        <v>1029</v>
      </c>
      <c r="G92" s="426" t="s">
        <v>1030</v>
      </c>
      <c r="H92" s="752" t="s">
        <v>1031</v>
      </c>
    </row>
    <row r="93" spans="4:8" x14ac:dyDescent="0.3">
      <c r="D93" s="751" t="str">
        <f t="shared" si="3"/>
        <v>CLASIFICADOS PARA LA FINAL</v>
      </c>
      <c r="E93" s="426" t="s">
        <v>953</v>
      </c>
      <c r="F93" s="426" t="s">
        <v>1032</v>
      </c>
      <c r="G93" s="426" t="s">
        <v>1033</v>
      </c>
      <c r="H93" s="752" t="s">
        <v>1034</v>
      </c>
    </row>
    <row r="94" spans="4:8" x14ac:dyDescent="0.3">
      <c r="D94" s="751" t="str">
        <f t="shared" si="3"/>
        <v>ENFRENTAMIENTO FINAL</v>
      </c>
      <c r="E94" s="426" t="s">
        <v>953</v>
      </c>
      <c r="F94" s="426" t="s">
        <v>1035</v>
      </c>
      <c r="G94" s="426" t="s">
        <v>1036</v>
      </c>
      <c r="H94" s="752" t="s">
        <v>1037</v>
      </c>
    </row>
    <row r="95" spans="4:8" x14ac:dyDescent="0.3">
      <c r="D95" s="751" t="str">
        <f t="shared" si="3"/>
        <v>CUADRO DE HONOR</v>
      </c>
      <c r="E95" s="426" t="s">
        <v>953</v>
      </c>
      <c r="F95" s="426" t="s">
        <v>1038</v>
      </c>
      <c r="G95" s="426" t="s">
        <v>876</v>
      </c>
      <c r="H95" s="752" t="s">
        <v>877</v>
      </c>
    </row>
    <row r="96" spans="4:8" x14ac:dyDescent="0.3">
      <c r="D96" s="751" t="str">
        <f t="shared" si="3"/>
        <v>1º GRUPO A</v>
      </c>
      <c r="E96" s="426" t="s">
        <v>953</v>
      </c>
      <c r="F96" s="426" t="s">
        <v>1039</v>
      </c>
      <c r="G96" s="426" t="s">
        <v>1040</v>
      </c>
      <c r="H96" s="752" t="s">
        <v>1041</v>
      </c>
    </row>
    <row r="97" spans="4:8" x14ac:dyDescent="0.3">
      <c r="D97" s="751" t="str">
        <f t="shared" si="3"/>
        <v>2º GRUPO A</v>
      </c>
      <c r="E97" s="426" t="s">
        <v>953</v>
      </c>
      <c r="F97" s="426" t="s">
        <v>1042</v>
      </c>
      <c r="G97" s="426" t="s">
        <v>1043</v>
      </c>
      <c r="H97" s="752" t="s">
        <v>1044</v>
      </c>
    </row>
    <row r="98" spans="4:8" x14ac:dyDescent="0.3">
      <c r="D98" s="751" t="str">
        <f t="shared" si="3"/>
        <v>3º GRUPO A</v>
      </c>
      <c r="E98" s="426" t="s">
        <v>953</v>
      </c>
      <c r="F98" s="426" t="s">
        <v>1045</v>
      </c>
      <c r="G98" s="426" t="s">
        <v>1046</v>
      </c>
      <c r="H98" s="752" t="s">
        <v>1047</v>
      </c>
    </row>
    <row r="99" spans="4:8" x14ac:dyDescent="0.3">
      <c r="D99" s="751" t="str">
        <f t="shared" si="3"/>
        <v>4º GRUPO A</v>
      </c>
      <c r="E99" s="426" t="s">
        <v>953</v>
      </c>
      <c r="F99" s="426" t="s">
        <v>1048</v>
      </c>
      <c r="G99" s="426" t="s">
        <v>1049</v>
      </c>
      <c r="H99" s="752" t="s">
        <v>1050</v>
      </c>
    </row>
    <row r="100" spans="4:8" x14ac:dyDescent="0.3">
      <c r="D100" s="751" t="str">
        <f t="shared" si="3"/>
        <v>1º GRUPO B</v>
      </c>
      <c r="E100" s="426" t="s">
        <v>953</v>
      </c>
      <c r="F100" s="426" t="s">
        <v>1051</v>
      </c>
      <c r="G100" s="426" t="s">
        <v>1052</v>
      </c>
      <c r="H100" s="752" t="s">
        <v>1053</v>
      </c>
    </row>
    <row r="101" spans="4:8" x14ac:dyDescent="0.3">
      <c r="D101" s="751" t="str">
        <f t="shared" si="3"/>
        <v>2º GRUPO B</v>
      </c>
      <c r="E101" s="426" t="s">
        <v>953</v>
      </c>
      <c r="F101" s="426" t="s">
        <v>1054</v>
      </c>
      <c r="G101" s="426" t="s">
        <v>1055</v>
      </c>
      <c r="H101" s="752" t="s">
        <v>1056</v>
      </c>
    </row>
    <row r="102" spans="4:8" x14ac:dyDescent="0.3">
      <c r="D102" s="751" t="str">
        <f t="shared" si="3"/>
        <v>3º GRUPO B</v>
      </c>
      <c r="E102" s="426" t="s">
        <v>953</v>
      </c>
      <c r="F102" s="426" t="s">
        <v>1057</v>
      </c>
      <c r="G102" s="426" t="s">
        <v>1058</v>
      </c>
      <c r="H102" s="752" t="s">
        <v>1059</v>
      </c>
    </row>
    <row r="103" spans="4:8" x14ac:dyDescent="0.3">
      <c r="D103" s="751" t="str">
        <f t="shared" si="3"/>
        <v>4º GRUPO B</v>
      </c>
      <c r="E103" s="426" t="s">
        <v>953</v>
      </c>
      <c r="F103" s="426" t="s">
        <v>1060</v>
      </c>
      <c r="G103" s="426" t="s">
        <v>1061</v>
      </c>
      <c r="H103" s="752" t="s">
        <v>1062</v>
      </c>
    </row>
    <row r="104" spans="4:8" x14ac:dyDescent="0.3">
      <c r="D104" s="751" t="str">
        <f t="shared" si="3"/>
        <v>1º GRUPO C</v>
      </c>
      <c r="E104" s="426" t="s">
        <v>953</v>
      </c>
      <c r="F104" s="426" t="s">
        <v>1063</v>
      </c>
      <c r="G104" s="426" t="s">
        <v>1064</v>
      </c>
      <c r="H104" s="752" t="s">
        <v>1065</v>
      </c>
    </row>
    <row r="105" spans="4:8" x14ac:dyDescent="0.3">
      <c r="D105" s="751" t="str">
        <f t="shared" si="3"/>
        <v>2º GRUPO C</v>
      </c>
      <c r="E105" s="426" t="s">
        <v>953</v>
      </c>
      <c r="F105" s="426" t="s">
        <v>1066</v>
      </c>
      <c r="G105" s="426" t="s">
        <v>1067</v>
      </c>
      <c r="H105" s="752" t="s">
        <v>1068</v>
      </c>
    </row>
    <row r="106" spans="4:8" x14ac:dyDescent="0.3">
      <c r="D106" s="751" t="str">
        <f t="shared" si="3"/>
        <v>3º GRUPO C</v>
      </c>
      <c r="E106" s="426" t="s">
        <v>953</v>
      </c>
      <c r="F106" s="426" t="s">
        <v>1069</v>
      </c>
      <c r="G106" s="426" t="s">
        <v>1070</v>
      </c>
      <c r="H106" s="752" t="s">
        <v>1071</v>
      </c>
    </row>
    <row r="107" spans="4:8" x14ac:dyDescent="0.3">
      <c r="D107" s="751" t="str">
        <f t="shared" si="3"/>
        <v>4º GRUPO C</v>
      </c>
      <c r="E107" s="426" t="s">
        <v>953</v>
      </c>
      <c r="F107" s="426" t="s">
        <v>1072</v>
      </c>
      <c r="G107" s="426" t="s">
        <v>1073</v>
      </c>
      <c r="H107" s="752" t="s">
        <v>1074</v>
      </c>
    </row>
    <row r="108" spans="4:8" x14ac:dyDescent="0.3">
      <c r="D108" s="751" t="str">
        <f t="shared" si="3"/>
        <v>1º GRUPO D</v>
      </c>
      <c r="E108" s="426" t="s">
        <v>953</v>
      </c>
      <c r="F108" s="426" t="s">
        <v>1075</v>
      </c>
      <c r="G108" s="426" t="s">
        <v>1076</v>
      </c>
      <c r="H108" s="752" t="s">
        <v>1077</v>
      </c>
    </row>
    <row r="109" spans="4:8" x14ac:dyDescent="0.3">
      <c r="D109" s="751" t="str">
        <f t="shared" si="3"/>
        <v>2º GRUPO D</v>
      </c>
      <c r="E109" s="426" t="s">
        <v>953</v>
      </c>
      <c r="F109" s="426" t="s">
        <v>1078</v>
      </c>
      <c r="G109" s="426" t="s">
        <v>1079</v>
      </c>
      <c r="H109" s="752" t="s">
        <v>1080</v>
      </c>
    </row>
    <row r="110" spans="4:8" x14ac:dyDescent="0.3">
      <c r="D110" s="751" t="str">
        <f t="shared" si="3"/>
        <v>3º GRUPO D</v>
      </c>
      <c r="E110" s="426" t="s">
        <v>953</v>
      </c>
      <c r="F110" s="426" t="s">
        <v>1081</v>
      </c>
      <c r="G110" s="426" t="s">
        <v>1082</v>
      </c>
      <c r="H110" s="752" t="s">
        <v>1083</v>
      </c>
    </row>
    <row r="111" spans="4:8" x14ac:dyDescent="0.3">
      <c r="D111" s="751" t="str">
        <f t="shared" si="3"/>
        <v>4º GRUPO D</v>
      </c>
      <c r="E111" s="426" t="s">
        <v>953</v>
      </c>
      <c r="F111" s="426" t="s">
        <v>1084</v>
      </c>
      <c r="G111" s="426" t="s">
        <v>1085</v>
      </c>
      <c r="H111" s="752" t="s">
        <v>1086</v>
      </c>
    </row>
    <row r="112" spans="4:8" x14ac:dyDescent="0.3">
      <c r="D112" s="751" t="str">
        <f t="shared" si="3"/>
        <v>1º GRUPO E</v>
      </c>
      <c r="E112" s="426" t="s">
        <v>953</v>
      </c>
      <c r="F112" s="426" t="s">
        <v>1087</v>
      </c>
      <c r="G112" s="426" t="s">
        <v>1088</v>
      </c>
      <c r="H112" s="752" t="s">
        <v>1089</v>
      </c>
    </row>
    <row r="113" spans="4:8" x14ac:dyDescent="0.3">
      <c r="D113" s="751" t="str">
        <f t="shared" si="3"/>
        <v>2º GRUPO E</v>
      </c>
      <c r="E113" s="426" t="s">
        <v>953</v>
      </c>
      <c r="F113" s="426" t="s">
        <v>1090</v>
      </c>
      <c r="G113" s="426" t="s">
        <v>1091</v>
      </c>
      <c r="H113" s="752" t="s">
        <v>1092</v>
      </c>
    </row>
    <row r="114" spans="4:8" x14ac:dyDescent="0.3">
      <c r="D114" s="751" t="str">
        <f t="shared" si="3"/>
        <v>3º GRUPO E</v>
      </c>
      <c r="E114" s="426" t="s">
        <v>953</v>
      </c>
      <c r="F114" s="426" t="s">
        <v>1093</v>
      </c>
      <c r="G114" s="426" t="s">
        <v>1094</v>
      </c>
      <c r="H114" s="752" t="s">
        <v>1095</v>
      </c>
    </row>
    <row r="115" spans="4:8" x14ac:dyDescent="0.3">
      <c r="D115" s="751" t="str">
        <f t="shared" si="3"/>
        <v>4º GRUPO E</v>
      </c>
      <c r="E115" s="426" t="s">
        <v>953</v>
      </c>
      <c r="F115" s="426" t="s">
        <v>1096</v>
      </c>
      <c r="G115" s="426" t="s">
        <v>1097</v>
      </c>
      <c r="H115" s="752" t="s">
        <v>1098</v>
      </c>
    </row>
    <row r="116" spans="4:8" x14ac:dyDescent="0.3">
      <c r="D116" s="751" t="str">
        <f t="shared" si="3"/>
        <v>1º GRUPO F</v>
      </c>
      <c r="E116" s="426" t="s">
        <v>953</v>
      </c>
      <c r="F116" s="426" t="s">
        <v>1099</v>
      </c>
      <c r="G116" s="426" t="s">
        <v>1100</v>
      </c>
      <c r="H116" s="752" t="s">
        <v>1101</v>
      </c>
    </row>
    <row r="117" spans="4:8" x14ac:dyDescent="0.3">
      <c r="D117" s="751" t="str">
        <f t="shared" si="3"/>
        <v>2º GRUPO F</v>
      </c>
      <c r="E117" s="426" t="s">
        <v>953</v>
      </c>
      <c r="F117" s="426" t="s">
        <v>1102</v>
      </c>
      <c r="G117" s="426" t="s">
        <v>1103</v>
      </c>
      <c r="H117" s="752" t="s">
        <v>1104</v>
      </c>
    </row>
    <row r="118" spans="4:8" x14ac:dyDescent="0.3">
      <c r="D118" s="751" t="str">
        <f t="shared" si="3"/>
        <v>3º GRUPO F</v>
      </c>
      <c r="E118" s="426" t="s">
        <v>953</v>
      </c>
      <c r="F118" s="426" t="s">
        <v>1105</v>
      </c>
      <c r="G118" s="426" t="s">
        <v>1106</v>
      </c>
      <c r="H118" s="752" t="s">
        <v>1107</v>
      </c>
    </row>
    <row r="119" spans="4:8" x14ac:dyDescent="0.3">
      <c r="D119" s="751" t="str">
        <f t="shared" si="3"/>
        <v>4º GRUPO F</v>
      </c>
      <c r="E119" s="426" t="s">
        <v>953</v>
      </c>
      <c r="F119" s="426" t="s">
        <v>1108</v>
      </c>
      <c r="G119" s="426" t="s">
        <v>1109</v>
      </c>
      <c r="H119" s="752" t="s">
        <v>1110</v>
      </c>
    </row>
    <row r="120" spans="4:8" x14ac:dyDescent="0.3">
      <c r="D120" s="751" t="str">
        <f t="shared" si="3"/>
        <v>Octavofinalista</v>
      </c>
      <c r="E120" s="426" t="s">
        <v>953</v>
      </c>
      <c r="F120" s="426" t="s">
        <v>1111</v>
      </c>
      <c r="G120" s="426" t="s">
        <v>1112</v>
      </c>
      <c r="H120" s="752" t="s">
        <v>1113</v>
      </c>
    </row>
    <row r="121" spans="4:8" x14ac:dyDescent="0.3">
      <c r="D121" s="751" t="str">
        <f t="shared" si="3"/>
        <v>Cuartofinalista</v>
      </c>
      <c r="E121" s="426" t="s">
        <v>953</v>
      </c>
      <c r="F121" s="426" t="s">
        <v>1114</v>
      </c>
      <c r="G121" s="426" t="s">
        <v>1115</v>
      </c>
      <c r="H121" s="752" t="s">
        <v>1116</v>
      </c>
    </row>
    <row r="122" spans="4:8" x14ac:dyDescent="0.3">
      <c r="D122" s="751" t="str">
        <f t="shared" si="3"/>
        <v>Semifinalista</v>
      </c>
      <c r="E122" s="426" t="s">
        <v>953</v>
      </c>
      <c r="F122" s="426" t="s">
        <v>1117</v>
      </c>
      <c r="G122" s="426" t="s">
        <v>1118</v>
      </c>
      <c r="H122" s="752" t="s">
        <v>1119</v>
      </c>
    </row>
    <row r="123" spans="4:8" ht="15" thickBot="1" x14ac:dyDescent="0.35">
      <c r="D123" s="754" t="str">
        <f t="shared" si="3"/>
        <v>Finalista</v>
      </c>
      <c r="E123" s="755" t="s">
        <v>953</v>
      </c>
      <c r="F123" s="755" t="s">
        <v>1120</v>
      </c>
      <c r="G123" s="755" t="s">
        <v>1121</v>
      </c>
      <c r="H123" s="756" t="s">
        <v>1122</v>
      </c>
    </row>
    <row r="131" spans="2:8" ht="15" thickBot="1" x14ac:dyDescent="0.35">
      <c r="C131" s="753"/>
    </row>
    <row r="132" spans="2:8" x14ac:dyDescent="0.3">
      <c r="B132" s="426">
        <v>1</v>
      </c>
      <c r="C132" s="426">
        <v>8</v>
      </c>
      <c r="D132" s="748" t="str">
        <f t="shared" ref="D132:D189" si="4">IF($B$2,G132,H132)</f>
        <v>Albania</v>
      </c>
      <c r="E132" s="749" t="s">
        <v>1123</v>
      </c>
      <c r="F132" s="749" t="s">
        <v>1124</v>
      </c>
      <c r="G132" s="749" t="s">
        <v>1125</v>
      </c>
      <c r="H132" s="750" t="s">
        <v>1125</v>
      </c>
    </row>
    <row r="133" spans="2:8" x14ac:dyDescent="0.3">
      <c r="B133" s="426">
        <v>2</v>
      </c>
      <c r="C133" s="426">
        <v>1</v>
      </c>
      <c r="D133" s="751" t="str">
        <f t="shared" si="4"/>
        <v>Alemania</v>
      </c>
      <c r="E133" s="426" t="s">
        <v>1123</v>
      </c>
      <c r="F133" s="426" t="s">
        <v>847</v>
      </c>
      <c r="G133" s="426" t="s">
        <v>1126</v>
      </c>
      <c r="H133" s="752" t="s">
        <v>1127</v>
      </c>
    </row>
    <row r="134" spans="2:8" x14ac:dyDescent="0.3">
      <c r="B134" s="426">
        <v>3</v>
      </c>
      <c r="D134" s="751" t="str">
        <f t="shared" si="4"/>
        <v>Andorra</v>
      </c>
      <c r="E134" s="426" t="s">
        <v>1123</v>
      </c>
      <c r="F134" s="426" t="s">
        <v>1128</v>
      </c>
      <c r="G134" s="426" t="s">
        <v>1129</v>
      </c>
      <c r="H134" s="752" t="s">
        <v>1129</v>
      </c>
    </row>
    <row r="135" spans="2:8" x14ac:dyDescent="0.3">
      <c r="B135" s="426">
        <v>4</v>
      </c>
      <c r="D135" s="751" t="str">
        <f t="shared" si="4"/>
        <v>Armenia</v>
      </c>
      <c r="E135" s="426" t="s">
        <v>1123</v>
      </c>
      <c r="F135" s="426" t="s">
        <v>1130</v>
      </c>
      <c r="G135" s="426" t="s">
        <v>1131</v>
      </c>
      <c r="H135" s="752" t="s">
        <v>1131</v>
      </c>
    </row>
    <row r="136" spans="2:8" x14ac:dyDescent="0.3">
      <c r="B136" s="426">
        <v>5</v>
      </c>
      <c r="C136" s="426">
        <v>15</v>
      </c>
      <c r="D136" s="751" t="str">
        <f t="shared" si="4"/>
        <v>Austria</v>
      </c>
      <c r="E136" s="426" t="s">
        <v>1123</v>
      </c>
      <c r="F136" s="426" t="s">
        <v>1132</v>
      </c>
      <c r="G136" s="426" t="s">
        <v>1133</v>
      </c>
      <c r="H136" s="752" t="s">
        <v>1133</v>
      </c>
    </row>
    <row r="137" spans="2:8" x14ac:dyDescent="0.3">
      <c r="B137" s="426">
        <v>6</v>
      </c>
      <c r="D137" s="751" t="str">
        <f t="shared" si="4"/>
        <v>Azerbaiyán</v>
      </c>
      <c r="E137" s="426" t="s">
        <v>1123</v>
      </c>
      <c r="F137" s="426" t="s">
        <v>1134</v>
      </c>
      <c r="G137" s="426" t="s">
        <v>1135</v>
      </c>
      <c r="H137" s="752" t="s">
        <v>1136</v>
      </c>
    </row>
    <row r="138" spans="2:8" x14ac:dyDescent="0.3">
      <c r="B138" s="426">
        <v>7</v>
      </c>
      <c r="C138" s="426">
        <v>17</v>
      </c>
      <c r="D138" s="751" t="str">
        <f t="shared" si="4"/>
        <v>Bélgica</v>
      </c>
      <c r="E138" s="426" t="s">
        <v>1123</v>
      </c>
      <c r="F138" s="426" t="s">
        <v>1137</v>
      </c>
      <c r="G138" s="426" t="s">
        <v>1138</v>
      </c>
      <c r="H138" s="752" t="s">
        <v>1139</v>
      </c>
    </row>
    <row r="139" spans="2:8" x14ac:dyDescent="0.3">
      <c r="B139" s="426">
        <v>8</v>
      </c>
      <c r="D139" s="751" t="str">
        <f t="shared" si="4"/>
        <v>Bielorrusia</v>
      </c>
      <c r="E139" s="426" t="s">
        <v>1123</v>
      </c>
      <c r="F139" s="426" t="s">
        <v>1140</v>
      </c>
      <c r="G139" s="426" t="s">
        <v>1141</v>
      </c>
      <c r="H139" s="752" t="s">
        <v>1142</v>
      </c>
    </row>
    <row r="140" spans="2:8" x14ac:dyDescent="0.3">
      <c r="B140" s="426">
        <v>9</v>
      </c>
      <c r="D140" s="751" t="str">
        <f t="shared" si="4"/>
        <v>Bosnia y Herzegovina</v>
      </c>
      <c r="E140" s="426" t="s">
        <v>1123</v>
      </c>
      <c r="F140" s="426" t="s">
        <v>1143</v>
      </c>
      <c r="G140" s="426" t="s">
        <v>1144</v>
      </c>
      <c r="H140" s="752" t="s">
        <v>1145</v>
      </c>
    </row>
    <row r="141" spans="2:8" x14ac:dyDescent="0.3">
      <c r="B141" s="426">
        <v>10</v>
      </c>
      <c r="D141" s="751" t="str">
        <f t="shared" si="4"/>
        <v>Bulgaria</v>
      </c>
      <c r="E141" s="426" t="s">
        <v>1123</v>
      </c>
      <c r="F141" s="426" t="s">
        <v>1146</v>
      </c>
      <c r="G141" s="426" t="s">
        <v>1147</v>
      </c>
      <c r="H141" s="752" t="s">
        <v>1148</v>
      </c>
    </row>
    <row r="142" spans="2:8" x14ac:dyDescent="0.3">
      <c r="B142" s="426">
        <v>11</v>
      </c>
      <c r="D142" s="751" t="str">
        <f t="shared" si="4"/>
        <v>Chipre</v>
      </c>
      <c r="E142" s="426" t="s">
        <v>1123</v>
      </c>
      <c r="F142" s="426" t="s">
        <v>1149</v>
      </c>
      <c r="G142" s="426" t="s">
        <v>1150</v>
      </c>
      <c r="H142" s="752" t="s">
        <v>1151</v>
      </c>
    </row>
    <row r="143" spans="2:8" x14ac:dyDescent="0.3">
      <c r="B143" s="426">
        <v>12</v>
      </c>
      <c r="C143" s="426">
        <v>6</v>
      </c>
      <c r="D143" s="751" t="str">
        <f t="shared" si="4"/>
        <v>Croacia</v>
      </c>
      <c r="E143" s="426" t="s">
        <v>1123</v>
      </c>
      <c r="F143" s="426" t="s">
        <v>1152</v>
      </c>
      <c r="G143" s="426" t="s">
        <v>1153</v>
      </c>
      <c r="H143" s="752" t="s">
        <v>1154</v>
      </c>
    </row>
    <row r="144" spans="2:8" x14ac:dyDescent="0.3">
      <c r="B144" s="426">
        <v>13</v>
      </c>
      <c r="C144" s="426">
        <v>10</v>
      </c>
      <c r="D144" s="751" t="str">
        <f t="shared" si="4"/>
        <v>Dinamarca</v>
      </c>
      <c r="E144" s="426" t="s">
        <v>1123</v>
      </c>
      <c r="F144" s="426" t="s">
        <v>1155</v>
      </c>
      <c r="G144" s="426" t="s">
        <v>1156</v>
      </c>
      <c r="H144" s="752" t="s">
        <v>1157</v>
      </c>
    </row>
    <row r="145" spans="2:8" x14ac:dyDescent="0.3">
      <c r="B145" s="426">
        <v>14</v>
      </c>
      <c r="C145" s="426">
        <v>2</v>
      </c>
      <c r="D145" s="751" t="str">
        <f t="shared" si="4"/>
        <v>Escocia</v>
      </c>
      <c r="E145" s="426" t="s">
        <v>1123</v>
      </c>
      <c r="F145" s="426" t="s">
        <v>1158</v>
      </c>
      <c r="G145" s="426" t="s">
        <v>1159</v>
      </c>
      <c r="H145" s="752" t="s">
        <v>1160</v>
      </c>
    </row>
    <row r="146" spans="2:8" x14ac:dyDescent="0.3">
      <c r="B146" s="426">
        <v>15</v>
      </c>
      <c r="C146" s="426">
        <v>18</v>
      </c>
      <c r="D146" s="751" t="str">
        <f t="shared" si="4"/>
        <v>Eslovaquia</v>
      </c>
      <c r="E146" s="426" t="s">
        <v>1123</v>
      </c>
      <c r="F146" s="426" t="s">
        <v>1161</v>
      </c>
      <c r="G146" s="426" t="s">
        <v>1162</v>
      </c>
      <c r="H146" s="752" t="s">
        <v>1163</v>
      </c>
    </row>
    <row r="147" spans="2:8" x14ac:dyDescent="0.3">
      <c r="B147" s="426">
        <v>16</v>
      </c>
      <c r="C147" s="426">
        <v>9</v>
      </c>
      <c r="D147" s="751" t="str">
        <f t="shared" si="4"/>
        <v>Eslovenia</v>
      </c>
      <c r="E147" s="426" t="s">
        <v>1123</v>
      </c>
      <c r="F147" s="426" t="s">
        <v>1164</v>
      </c>
      <c r="G147" s="426" t="s">
        <v>1165</v>
      </c>
      <c r="H147" s="752" t="s">
        <v>1166</v>
      </c>
    </row>
    <row r="148" spans="2:8" x14ac:dyDescent="0.3">
      <c r="B148" s="426">
        <v>17</v>
      </c>
      <c r="C148" s="426">
        <v>5</v>
      </c>
      <c r="D148" s="751" t="str">
        <f t="shared" si="4"/>
        <v>España</v>
      </c>
      <c r="E148" s="426" t="s">
        <v>1123</v>
      </c>
      <c r="F148" s="426" t="s">
        <v>1167</v>
      </c>
      <c r="G148" s="426" t="s">
        <v>1</v>
      </c>
      <c r="H148" s="752" t="s">
        <v>1168</v>
      </c>
    </row>
    <row r="149" spans="2:8" x14ac:dyDescent="0.3">
      <c r="B149" s="426">
        <v>18</v>
      </c>
      <c r="D149" s="751" t="str">
        <f t="shared" si="4"/>
        <v>Estonia</v>
      </c>
      <c r="E149" s="426" t="s">
        <v>1123</v>
      </c>
      <c r="F149" s="426" t="s">
        <v>1169</v>
      </c>
      <c r="G149" s="426" t="s">
        <v>1170</v>
      </c>
      <c r="H149" s="752" t="s">
        <v>1170</v>
      </c>
    </row>
    <row r="150" spans="2:8" x14ac:dyDescent="0.3">
      <c r="B150" s="426">
        <v>19</v>
      </c>
      <c r="D150" s="751" t="str">
        <f t="shared" si="4"/>
        <v>Finlandia</v>
      </c>
      <c r="E150" s="426" t="s">
        <v>1123</v>
      </c>
      <c r="F150" s="426" t="s">
        <v>1171</v>
      </c>
      <c r="G150" s="426" t="s">
        <v>1172</v>
      </c>
      <c r="H150" s="752" t="s">
        <v>1173</v>
      </c>
    </row>
    <row r="151" spans="2:8" x14ac:dyDescent="0.3">
      <c r="B151" s="426">
        <v>20</v>
      </c>
      <c r="C151" s="426">
        <v>16</v>
      </c>
      <c r="D151" s="751" t="str">
        <f t="shared" si="4"/>
        <v>Francia</v>
      </c>
      <c r="E151" s="426" t="s">
        <v>1123</v>
      </c>
      <c r="F151" s="426" t="s">
        <v>1174</v>
      </c>
      <c r="G151" s="426" t="s">
        <v>1175</v>
      </c>
      <c r="H151" s="752" t="s">
        <v>1176</v>
      </c>
    </row>
    <row r="152" spans="2:8" x14ac:dyDescent="0.3">
      <c r="B152" s="426">
        <v>21</v>
      </c>
      <c r="D152" s="751" t="str">
        <f t="shared" si="4"/>
        <v>Gales</v>
      </c>
      <c r="E152" s="426" t="s">
        <v>1123</v>
      </c>
      <c r="F152" s="426" t="s">
        <v>1177</v>
      </c>
      <c r="G152" s="426" t="s">
        <v>1178</v>
      </c>
      <c r="H152" s="752" t="s">
        <v>1179</v>
      </c>
    </row>
    <row r="153" spans="2:8" x14ac:dyDescent="0.3">
      <c r="B153" s="426">
        <v>22</v>
      </c>
      <c r="C153" s="426">
        <v>22</v>
      </c>
      <c r="D153" s="751" t="str">
        <f t="shared" si="4"/>
        <v>Georgia</v>
      </c>
      <c r="E153" s="426" t="s">
        <v>1123</v>
      </c>
      <c r="F153" s="426" t="s">
        <v>1180</v>
      </c>
      <c r="G153" s="426" t="s">
        <v>1181</v>
      </c>
      <c r="H153" s="752" t="s">
        <v>1181</v>
      </c>
    </row>
    <row r="154" spans="2:8" x14ac:dyDescent="0.3">
      <c r="B154" s="426">
        <v>23</v>
      </c>
      <c r="D154" s="751" t="str">
        <f t="shared" si="4"/>
        <v>Gibraltar</v>
      </c>
      <c r="E154" s="426" t="s">
        <v>1123</v>
      </c>
      <c r="F154" s="426" t="s">
        <v>1182</v>
      </c>
      <c r="G154" s="426" t="s">
        <v>1183</v>
      </c>
      <c r="H154" s="752" t="s">
        <v>1183</v>
      </c>
    </row>
    <row r="155" spans="2:8" x14ac:dyDescent="0.3">
      <c r="B155" s="426">
        <v>24</v>
      </c>
      <c r="D155" s="751" t="str">
        <f t="shared" si="4"/>
        <v>Grecia</v>
      </c>
      <c r="E155" s="426" t="s">
        <v>1123</v>
      </c>
      <c r="F155" s="426" t="s">
        <v>1184</v>
      </c>
      <c r="G155" s="426" t="s">
        <v>1185</v>
      </c>
      <c r="H155" s="752" t="s">
        <v>1186</v>
      </c>
    </row>
    <row r="156" spans="2:8" x14ac:dyDescent="0.3">
      <c r="B156" s="426">
        <v>25</v>
      </c>
      <c r="C156" s="426">
        <v>3</v>
      </c>
      <c r="D156" s="751" t="str">
        <f t="shared" si="4"/>
        <v>Hungría</v>
      </c>
      <c r="E156" s="426" t="s">
        <v>1123</v>
      </c>
      <c r="F156" s="426" t="s">
        <v>1187</v>
      </c>
      <c r="G156" s="426" t="s">
        <v>1188</v>
      </c>
      <c r="H156" s="752" t="s">
        <v>1189</v>
      </c>
    </row>
    <row r="157" spans="2:8" x14ac:dyDescent="0.3">
      <c r="B157" s="426">
        <v>26</v>
      </c>
      <c r="C157" s="426">
        <v>12</v>
      </c>
      <c r="D157" s="751" t="str">
        <f t="shared" si="4"/>
        <v>Inglaterra</v>
      </c>
      <c r="E157" s="426" t="s">
        <v>1123</v>
      </c>
      <c r="F157" s="426" t="s">
        <v>1190</v>
      </c>
      <c r="G157" s="426" t="s">
        <v>1191</v>
      </c>
      <c r="H157" s="752" t="s">
        <v>1192</v>
      </c>
    </row>
    <row r="158" spans="2:8" x14ac:dyDescent="0.3">
      <c r="B158" s="426">
        <v>27</v>
      </c>
      <c r="D158" s="751" t="str">
        <f t="shared" si="4"/>
        <v>Irlanda</v>
      </c>
      <c r="E158" s="426" t="s">
        <v>1123</v>
      </c>
      <c r="F158" s="426" t="s">
        <v>1193</v>
      </c>
      <c r="G158" s="426" t="s">
        <v>1194</v>
      </c>
      <c r="H158" s="752" t="s">
        <v>1195</v>
      </c>
    </row>
    <row r="159" spans="2:8" x14ac:dyDescent="0.3">
      <c r="B159" s="426">
        <v>28</v>
      </c>
      <c r="D159" s="751" t="str">
        <f t="shared" si="4"/>
        <v>Irlanda del Norte</v>
      </c>
      <c r="E159" s="426" t="s">
        <v>1123</v>
      </c>
      <c r="F159" s="426" t="s">
        <v>1196</v>
      </c>
      <c r="G159" s="426" t="s">
        <v>1197</v>
      </c>
      <c r="H159" s="752" t="s">
        <v>1198</v>
      </c>
    </row>
    <row r="160" spans="2:8" x14ac:dyDescent="0.3">
      <c r="B160" s="426">
        <v>29</v>
      </c>
      <c r="D160" s="751" t="str">
        <f t="shared" si="4"/>
        <v>Islandia</v>
      </c>
      <c r="E160" s="426" t="s">
        <v>1123</v>
      </c>
      <c r="F160" s="426" t="s">
        <v>1199</v>
      </c>
      <c r="G160" s="426" t="s">
        <v>1200</v>
      </c>
      <c r="H160" s="752" t="s">
        <v>1201</v>
      </c>
    </row>
    <row r="161" spans="2:8" x14ac:dyDescent="0.3">
      <c r="B161" s="426">
        <v>30</v>
      </c>
      <c r="D161" s="751" t="str">
        <f t="shared" si="4"/>
        <v>Islas Feroe</v>
      </c>
      <c r="E161" s="426" t="s">
        <v>1123</v>
      </c>
      <c r="F161" s="426" t="s">
        <v>1202</v>
      </c>
      <c r="G161" s="426" t="s">
        <v>1203</v>
      </c>
      <c r="H161" s="752" t="s">
        <v>1204</v>
      </c>
    </row>
    <row r="162" spans="2:8" x14ac:dyDescent="0.3">
      <c r="B162" s="426">
        <v>31</v>
      </c>
      <c r="D162" s="751" t="str">
        <f t="shared" si="4"/>
        <v>Israel</v>
      </c>
      <c r="E162" s="426" t="s">
        <v>1123</v>
      </c>
      <c r="F162" s="426" t="s">
        <v>1205</v>
      </c>
      <c r="G162" s="426" t="s">
        <v>1206</v>
      </c>
      <c r="H162" s="752" t="s">
        <v>1206</v>
      </c>
    </row>
    <row r="163" spans="2:8" x14ac:dyDescent="0.3">
      <c r="B163" s="426">
        <v>32</v>
      </c>
      <c r="C163" s="426">
        <v>7</v>
      </c>
      <c r="D163" s="751" t="str">
        <f t="shared" si="4"/>
        <v>Italia</v>
      </c>
      <c r="E163" s="426" t="s">
        <v>1123</v>
      </c>
      <c r="F163" s="426" t="s">
        <v>1207</v>
      </c>
      <c r="G163" s="426" t="s">
        <v>1208</v>
      </c>
      <c r="H163" s="752" t="s">
        <v>1209</v>
      </c>
    </row>
    <row r="164" spans="2:8" x14ac:dyDescent="0.3">
      <c r="B164" s="426">
        <v>33</v>
      </c>
      <c r="D164" s="751" t="str">
        <f t="shared" si="4"/>
        <v>Kazajistán</v>
      </c>
      <c r="E164" s="426" t="s">
        <v>1123</v>
      </c>
      <c r="F164" s="426" t="s">
        <v>1210</v>
      </c>
      <c r="G164" s="426" t="s">
        <v>1211</v>
      </c>
      <c r="H164" s="752" t="s">
        <v>1212</v>
      </c>
    </row>
    <row r="165" spans="2:8" x14ac:dyDescent="0.3">
      <c r="B165" s="426">
        <v>34</v>
      </c>
      <c r="D165" s="751" t="str">
        <f t="shared" si="4"/>
        <v>Kosovo</v>
      </c>
      <c r="E165" s="426" t="s">
        <v>1123</v>
      </c>
      <c r="F165" s="426" t="s">
        <v>1213</v>
      </c>
      <c r="G165" s="426" t="s">
        <v>1214</v>
      </c>
      <c r="H165" s="752" t="s">
        <v>1214</v>
      </c>
    </row>
    <row r="166" spans="2:8" x14ac:dyDescent="0.3">
      <c r="B166" s="426">
        <v>35</v>
      </c>
      <c r="D166" s="751" t="str">
        <f t="shared" si="4"/>
        <v>Letonia</v>
      </c>
      <c r="E166" s="426" t="s">
        <v>1123</v>
      </c>
      <c r="F166" s="426" t="s">
        <v>1215</v>
      </c>
      <c r="G166" s="426" t="s">
        <v>1216</v>
      </c>
      <c r="H166" s="752" t="s">
        <v>1217</v>
      </c>
    </row>
    <row r="167" spans="2:8" x14ac:dyDescent="0.3">
      <c r="B167" s="426">
        <v>36</v>
      </c>
      <c r="D167" s="751" t="str">
        <f t="shared" si="4"/>
        <v>Liechtenstein</v>
      </c>
      <c r="E167" s="426" t="s">
        <v>1123</v>
      </c>
      <c r="F167" s="426" t="s">
        <v>1218</v>
      </c>
      <c r="G167" s="426" t="s">
        <v>1219</v>
      </c>
      <c r="H167" s="752" t="s">
        <v>1219</v>
      </c>
    </row>
    <row r="168" spans="2:8" x14ac:dyDescent="0.3">
      <c r="B168" s="426">
        <v>37</v>
      </c>
      <c r="D168" s="751" t="str">
        <f t="shared" si="4"/>
        <v>Lituania</v>
      </c>
      <c r="E168" s="426" t="s">
        <v>1123</v>
      </c>
      <c r="F168" s="426" t="s">
        <v>1220</v>
      </c>
      <c r="G168" s="426" t="s">
        <v>1221</v>
      </c>
      <c r="H168" s="752" t="s">
        <v>1222</v>
      </c>
    </row>
    <row r="169" spans="2:8" x14ac:dyDescent="0.3">
      <c r="B169" s="426">
        <v>38</v>
      </c>
      <c r="D169" s="751" t="str">
        <f t="shared" si="4"/>
        <v>Luxemburgo</v>
      </c>
      <c r="E169" s="426" t="s">
        <v>1123</v>
      </c>
      <c r="F169" s="426" t="s">
        <v>1223</v>
      </c>
      <c r="G169" s="426" t="s">
        <v>1224</v>
      </c>
      <c r="H169" s="752" t="s">
        <v>1225</v>
      </c>
    </row>
    <row r="170" spans="2:8" x14ac:dyDescent="0.3">
      <c r="B170" s="426">
        <v>39</v>
      </c>
      <c r="D170" s="751" t="str">
        <f t="shared" si="4"/>
        <v>Macedonia del Norte</v>
      </c>
      <c r="E170" s="426" t="s">
        <v>1123</v>
      </c>
      <c r="F170" s="426" t="s">
        <v>1226</v>
      </c>
      <c r="G170" s="426" t="s">
        <v>1227</v>
      </c>
      <c r="H170" s="752" t="s">
        <v>1228</v>
      </c>
    </row>
    <row r="171" spans="2:8" x14ac:dyDescent="0.3">
      <c r="B171" s="426">
        <v>40</v>
      </c>
      <c r="D171" s="751" t="str">
        <f t="shared" si="4"/>
        <v>Malta</v>
      </c>
      <c r="E171" s="426" t="s">
        <v>1123</v>
      </c>
      <c r="F171" s="426" t="s">
        <v>1229</v>
      </c>
      <c r="G171" s="426" t="s">
        <v>1230</v>
      </c>
      <c r="H171" s="752" t="s">
        <v>1230</v>
      </c>
    </row>
    <row r="172" spans="2:8" x14ac:dyDescent="0.3">
      <c r="B172" s="426">
        <v>41</v>
      </c>
      <c r="D172" s="751" t="str">
        <f t="shared" si="4"/>
        <v>Moldavia</v>
      </c>
      <c r="E172" s="426" t="s">
        <v>1123</v>
      </c>
      <c r="F172" s="426" t="s">
        <v>1231</v>
      </c>
      <c r="G172" s="426" t="s">
        <v>1232</v>
      </c>
      <c r="H172" s="752" t="s">
        <v>1233</v>
      </c>
    </row>
    <row r="173" spans="2:8" x14ac:dyDescent="0.3">
      <c r="B173" s="426">
        <v>42</v>
      </c>
      <c r="D173" s="751" t="str">
        <f t="shared" si="4"/>
        <v>Montenegro</v>
      </c>
      <c r="E173" s="426" t="s">
        <v>1123</v>
      </c>
      <c r="F173" s="426" t="s">
        <v>1234</v>
      </c>
      <c r="G173" s="426" t="s">
        <v>1235</v>
      </c>
      <c r="H173" s="752" t="s">
        <v>1235</v>
      </c>
    </row>
    <row r="174" spans="2:8" x14ac:dyDescent="0.3">
      <c r="B174" s="426">
        <v>43</v>
      </c>
      <c r="D174" s="751" t="str">
        <f t="shared" si="4"/>
        <v>Noruega</v>
      </c>
      <c r="E174" s="426" t="s">
        <v>1123</v>
      </c>
      <c r="F174" s="426" t="s">
        <v>1236</v>
      </c>
      <c r="G174" s="426" t="s">
        <v>1237</v>
      </c>
      <c r="H174" s="752" t="s">
        <v>1238</v>
      </c>
    </row>
    <row r="175" spans="2:8" x14ac:dyDescent="0.3">
      <c r="B175" s="426">
        <v>44</v>
      </c>
      <c r="C175" s="426">
        <v>14</v>
      </c>
      <c r="D175" s="751" t="str">
        <f t="shared" si="4"/>
        <v>Países Bajos</v>
      </c>
      <c r="E175" s="426" t="s">
        <v>1123</v>
      </c>
      <c r="F175" s="426" t="s">
        <v>1239</v>
      </c>
      <c r="G175" s="426" t="s">
        <v>1240</v>
      </c>
      <c r="H175" s="752" t="s">
        <v>1241</v>
      </c>
    </row>
    <row r="176" spans="2:8" x14ac:dyDescent="0.3">
      <c r="B176" s="426">
        <v>45</v>
      </c>
      <c r="C176" s="426">
        <v>13</v>
      </c>
      <c r="D176" s="751" t="str">
        <f t="shared" si="4"/>
        <v>Polonia</v>
      </c>
      <c r="E176" s="426" t="s">
        <v>1123</v>
      </c>
      <c r="F176" s="426" t="s">
        <v>1242</v>
      </c>
      <c r="G176" s="426" t="s">
        <v>1243</v>
      </c>
      <c r="H176" s="752" t="s">
        <v>1244</v>
      </c>
    </row>
    <row r="177" spans="2:8" x14ac:dyDescent="0.3">
      <c r="B177" s="426">
        <v>46</v>
      </c>
      <c r="C177" s="426">
        <v>23</v>
      </c>
      <c r="D177" s="751" t="str">
        <f t="shared" si="4"/>
        <v>Portugal</v>
      </c>
      <c r="E177" s="426" t="s">
        <v>1123</v>
      </c>
      <c r="F177" s="426" t="s">
        <v>1245</v>
      </c>
      <c r="G177" s="426" t="s">
        <v>1246</v>
      </c>
      <c r="H177" s="752" t="s">
        <v>1246</v>
      </c>
    </row>
    <row r="178" spans="2:8" x14ac:dyDescent="0.3">
      <c r="B178" s="426">
        <v>47</v>
      </c>
      <c r="C178" s="426">
        <v>24</v>
      </c>
      <c r="D178" s="751" t="str">
        <f t="shared" si="4"/>
        <v>República Checa</v>
      </c>
      <c r="E178" s="426" t="s">
        <v>1123</v>
      </c>
      <c r="F178" s="426" t="s">
        <v>1247</v>
      </c>
      <c r="G178" s="426" t="s">
        <v>1248</v>
      </c>
      <c r="H178" s="752" t="s">
        <v>1249</v>
      </c>
    </row>
    <row r="179" spans="2:8" x14ac:dyDescent="0.3">
      <c r="B179" s="426">
        <v>48</v>
      </c>
      <c r="C179" s="426">
        <v>19</v>
      </c>
      <c r="D179" s="751" t="str">
        <f t="shared" si="4"/>
        <v>Rumanía</v>
      </c>
      <c r="E179" s="426" t="s">
        <v>1123</v>
      </c>
      <c r="F179" s="426" t="s">
        <v>1250</v>
      </c>
      <c r="G179" s="426" t="s">
        <v>1251</v>
      </c>
      <c r="H179" s="752" t="s">
        <v>1252</v>
      </c>
    </row>
    <row r="180" spans="2:8" x14ac:dyDescent="0.3">
      <c r="B180" s="426">
        <v>49</v>
      </c>
      <c r="D180" s="751" t="str">
        <f t="shared" si="4"/>
        <v>Rusia</v>
      </c>
      <c r="E180" s="426" t="s">
        <v>1123</v>
      </c>
      <c r="F180" s="426" t="s">
        <v>1253</v>
      </c>
      <c r="G180" s="426" t="s">
        <v>1254</v>
      </c>
      <c r="H180" s="752" t="s">
        <v>1255</v>
      </c>
    </row>
    <row r="181" spans="2:8" x14ac:dyDescent="0.3">
      <c r="B181" s="426">
        <v>50</v>
      </c>
      <c r="D181" s="751" t="str">
        <f t="shared" si="4"/>
        <v>San Marino</v>
      </c>
      <c r="E181" s="426" t="s">
        <v>1123</v>
      </c>
      <c r="F181" s="426" t="s">
        <v>1256</v>
      </c>
      <c r="G181" s="426" t="s">
        <v>1257</v>
      </c>
      <c r="H181" s="752" t="s">
        <v>1257</v>
      </c>
    </row>
    <row r="182" spans="2:8" x14ac:dyDescent="0.3">
      <c r="B182" s="426">
        <v>51</v>
      </c>
      <c r="C182" s="426">
        <v>11</v>
      </c>
      <c r="D182" s="751" t="str">
        <f t="shared" si="4"/>
        <v>Serbia</v>
      </c>
      <c r="E182" s="426" t="s">
        <v>1123</v>
      </c>
      <c r="F182" s="426" t="s">
        <v>1258</v>
      </c>
      <c r="G182" s="426" t="s">
        <v>1259</v>
      </c>
      <c r="H182" s="752" t="s">
        <v>1259</v>
      </c>
    </row>
    <row r="183" spans="2:8" x14ac:dyDescent="0.3">
      <c r="B183" s="426">
        <v>52</v>
      </c>
      <c r="D183" s="751" t="str">
        <f t="shared" si="4"/>
        <v>Suecia</v>
      </c>
      <c r="E183" s="426" t="s">
        <v>1123</v>
      </c>
      <c r="F183" s="426" t="s">
        <v>1260</v>
      </c>
      <c r="G183" s="426" t="s">
        <v>1261</v>
      </c>
      <c r="H183" s="752" t="s">
        <v>1262</v>
      </c>
    </row>
    <row r="184" spans="2:8" x14ac:dyDescent="0.3">
      <c r="B184" s="426">
        <v>53</v>
      </c>
      <c r="C184" s="426">
        <v>4</v>
      </c>
      <c r="D184" s="751" t="str">
        <f t="shared" si="4"/>
        <v>Suiza</v>
      </c>
      <c r="E184" s="426" t="s">
        <v>1123</v>
      </c>
      <c r="F184" s="426" t="s">
        <v>1263</v>
      </c>
      <c r="G184" s="426" t="s">
        <v>1264</v>
      </c>
      <c r="H184" s="752" t="s">
        <v>1265</v>
      </c>
    </row>
    <row r="185" spans="2:8" x14ac:dyDescent="0.3">
      <c r="B185" s="426">
        <v>54</v>
      </c>
      <c r="C185" s="426">
        <v>21</v>
      </c>
      <c r="D185" s="751" t="str">
        <f t="shared" si="4"/>
        <v>Turquía</v>
      </c>
      <c r="E185" s="426" t="s">
        <v>1123</v>
      </c>
      <c r="F185" s="426" t="s">
        <v>1266</v>
      </c>
      <c r="G185" s="426" t="s">
        <v>1267</v>
      </c>
      <c r="H185" s="752" t="s">
        <v>1268</v>
      </c>
    </row>
    <row r="186" spans="2:8" x14ac:dyDescent="0.3">
      <c r="B186" s="426">
        <v>55</v>
      </c>
      <c r="D186" s="751" t="str">
        <f t="shared" si="4"/>
        <v>Playoff A</v>
      </c>
      <c r="E186" s="426" t="s">
        <v>1123</v>
      </c>
      <c r="G186" s="426" t="s">
        <v>1269</v>
      </c>
      <c r="H186" s="426" t="s">
        <v>1269</v>
      </c>
    </row>
    <row r="187" spans="2:8" x14ac:dyDescent="0.3">
      <c r="B187" s="426">
        <v>56</v>
      </c>
      <c r="D187" s="751" t="str">
        <f t="shared" si="4"/>
        <v>Playoff B</v>
      </c>
      <c r="E187" s="426" t="s">
        <v>1123</v>
      </c>
      <c r="G187" s="426" t="s">
        <v>1270</v>
      </c>
      <c r="H187" s="426" t="s">
        <v>1270</v>
      </c>
    </row>
    <row r="188" spans="2:8" x14ac:dyDescent="0.3">
      <c r="B188" s="426">
        <v>57</v>
      </c>
      <c r="D188" s="751" t="str">
        <f t="shared" si="4"/>
        <v>Playoff C</v>
      </c>
      <c r="E188" s="426" t="s">
        <v>1123</v>
      </c>
      <c r="G188" s="426" t="s">
        <v>1271</v>
      </c>
      <c r="H188" s="426" t="s">
        <v>1271</v>
      </c>
    </row>
    <row r="189" spans="2:8" ht="15" thickBot="1" x14ac:dyDescent="0.35">
      <c r="B189" s="426">
        <v>58</v>
      </c>
      <c r="C189" s="426">
        <v>20</v>
      </c>
      <c r="D189" s="754" t="str">
        <f t="shared" si="4"/>
        <v>Ucrania</v>
      </c>
      <c r="E189" s="755" t="s">
        <v>1123</v>
      </c>
      <c r="F189" s="755" t="s">
        <v>1272</v>
      </c>
      <c r="G189" s="755" t="s">
        <v>1273</v>
      </c>
      <c r="H189" s="756" t="s">
        <v>1274</v>
      </c>
    </row>
    <row r="191" spans="2:8" ht="15" thickBot="1" x14ac:dyDescent="0.35"/>
    <row r="192" spans="2:8" ht="15" thickBot="1" x14ac:dyDescent="0.35">
      <c r="D192" s="760" t="str">
        <f t="shared" ref="D192" si="5">IF($B$2,G192,H192)</f>
        <v>Alemania</v>
      </c>
      <c r="E192" s="761" t="s">
        <v>1275</v>
      </c>
      <c r="F192" s="761" t="s">
        <v>1276</v>
      </c>
      <c r="G192" s="761" t="s">
        <v>1126</v>
      </c>
      <c r="H192" s="762" t="s">
        <v>1127</v>
      </c>
    </row>
    <row r="195" spans="3:8" x14ac:dyDescent="0.3">
      <c r="C195" s="426" t="e" vm="1">
        <v>#VALUE!</v>
      </c>
      <c r="D195" s="751" t="str">
        <f t="shared" ref="D195:D198" si="6">IF($B$2,G195,H195)</f>
        <v xml:space="preserve">Te envío el Excel de la Eurocopa 2024 para descargarlo. </v>
      </c>
      <c r="E195" s="426" t="s">
        <v>1277</v>
      </c>
      <c r="G195" s="426" t="s">
        <v>1278</v>
      </c>
      <c r="H195" s="426" t="s">
        <v>1279</v>
      </c>
    </row>
    <row r="196" spans="3:8" x14ac:dyDescent="0.3">
      <c r="C196" s="426" t="e" vm="2">
        <v>#VALUE!</v>
      </c>
      <c r="D196" s="751" t="str">
        <f t="shared" si="6"/>
        <v>https://matejero.es/download/excel-euro-2024/?ref=share</v>
      </c>
      <c r="E196" s="426" t="s">
        <v>1277</v>
      </c>
      <c r="G196" s="412" t="s">
        <v>1280</v>
      </c>
      <c r="H196" s="412" t="s">
        <v>1281</v>
      </c>
    </row>
    <row r="197" spans="3:8" x14ac:dyDescent="0.3">
      <c r="C197" s="426" t="e" vm="3">
        <v>#VALUE!</v>
      </c>
      <c r="D197" s="751" t="str">
        <f t="shared" si="6"/>
        <v>Compartir:</v>
      </c>
      <c r="G197" s="426" t="s">
        <v>1282</v>
      </c>
      <c r="H197" s="426" t="s">
        <v>1283</v>
      </c>
    </row>
    <row r="198" spans="3:8" x14ac:dyDescent="0.3">
      <c r="C198" s="426" t="e" vm="4">
        <v>#VALUE!</v>
      </c>
      <c r="D198" s="751" t="str">
        <f t="shared" si="6"/>
        <v>Me acabo de descargar el Excel de la Eurocopa 2024</v>
      </c>
      <c r="G198" s="426" t="s">
        <v>1284</v>
      </c>
      <c r="H198" s="426" t="s">
        <v>1285</v>
      </c>
    </row>
  </sheetData>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I93" sqref="I93:N93"/>
    </sheetView>
  </sheetViews>
  <sheetFormatPr defaultColWidth="0" defaultRowHeight="14.4" x14ac:dyDescent="0.3"/>
  <cols>
    <col min="1" max="1" width="10.6640625" customWidth="1"/>
    <col min="2" max="2" width="29.44140625" customWidth="1"/>
    <col min="3" max="3" width="35" customWidth="1"/>
    <col min="4" max="4" width="12.6640625" customWidth="1"/>
    <col min="5" max="8" width="10.6640625" customWidth="1"/>
    <col min="9" max="9" width="3.109375" customWidth="1"/>
    <col min="10" max="12" width="10.6640625" customWidth="1"/>
    <col min="13" max="13" width="3.6640625" customWidth="1"/>
    <col min="14" max="14" width="4.6640625" customWidth="1"/>
    <col min="15" max="15" width="4" customWidth="1"/>
    <col min="16" max="16" width="4.6640625" customWidth="1"/>
    <col min="17" max="16384" width="10.6640625" style="1" hidden="1"/>
  </cols>
  <sheetData>
    <row r="1" spans="1:14" x14ac:dyDescent="0.3">
      <c r="B1" s="7"/>
      <c r="C1" s="10" t="str">
        <f>Idiomas!D64</f>
        <v>Para el administrador de la porra</v>
      </c>
      <c r="D1" s="7"/>
      <c r="E1" s="832" t="str">
        <f>Idiomas!D68</f>
        <v>EL ADMINISTRADOR DE LA PORRA SEGUIRÁ LAS INSTRUCCIONES DE AQUÍ ABAJO</v>
      </c>
      <c r="F1" s="832"/>
      <c r="G1" s="832"/>
      <c r="H1" s="832"/>
      <c r="I1" s="832"/>
      <c r="J1" s="832"/>
      <c r="K1" s="832"/>
      <c r="L1" s="832"/>
      <c r="M1" s="832"/>
      <c r="N1" s="832"/>
    </row>
    <row r="2" spans="1:14" ht="18.600000000000001" thickBot="1" x14ac:dyDescent="0.4">
      <c r="B2" s="11" t="str">
        <f>Idiomas!D65</f>
        <v>PARTICIPANTE</v>
      </c>
      <c r="C2" s="7"/>
      <c r="D2" s="7"/>
      <c r="E2" s="832"/>
      <c r="F2" s="832"/>
      <c r="G2" s="832"/>
      <c r="H2" s="832"/>
      <c r="I2" s="832"/>
      <c r="J2" s="832"/>
      <c r="K2" s="832"/>
      <c r="L2" s="832"/>
      <c r="M2" s="832"/>
      <c r="N2" s="832"/>
    </row>
    <row r="3" spans="1:14" ht="25.95" customHeight="1" thickBot="1" x14ac:dyDescent="0.35">
      <c r="B3" s="7" t="str">
        <f>Idiomas!D66</f>
        <v>Nombre</v>
      </c>
      <c r="C3" s="12" t="str">
        <f>EURO2024!I97</f>
        <v>Jose Antonio Blasco Saz</v>
      </c>
      <c r="D3" s="7"/>
      <c r="E3" s="839" t="str">
        <f>Idiomas!D69</f>
        <v>·Si haceis toda la Eurocopa de golpe copiar de la C6 a la 134 y pegar valores en la plantilla de Administrador.</v>
      </c>
      <c r="F3" s="839"/>
      <c r="G3" s="839"/>
      <c r="H3" s="839"/>
      <c r="I3" s="839"/>
      <c r="J3" s="839"/>
      <c r="K3" s="839"/>
      <c r="L3" s="839"/>
      <c r="M3" s="839"/>
      <c r="N3" s="840"/>
    </row>
    <row r="4" spans="1:14" ht="45" customHeight="1" x14ac:dyDescent="0.4">
      <c r="B4" s="410"/>
      <c r="C4" s="408" t="str">
        <f>Idiomas!D67</f>
        <v>¡No tocar nada, se rellena solo!</v>
      </c>
      <c r="D4" s="410"/>
      <c r="E4" s="838" t="str">
        <f>Idiomas!D70</f>
        <v>·Si haceis toda la fase de grupos de golpe y las eliminatorias aparte, copiar primero de la C6 a la C85 y pegar valores en la plantilla de Administrador. Y también copiar y pegar valores de la C133 a la C134. En octavos seguir las instrucciones de abajo.</v>
      </c>
      <c r="F4" s="838"/>
      <c r="G4" s="838"/>
      <c r="H4" s="838"/>
      <c r="I4" s="838"/>
      <c r="J4" s="838"/>
      <c r="K4" s="838"/>
      <c r="L4" s="838"/>
      <c r="M4" s="838"/>
      <c r="N4" s="399"/>
    </row>
    <row r="5" spans="1:14" ht="19.2" customHeight="1" x14ac:dyDescent="0.35">
      <c r="B5" s="11" t="str">
        <f>Idiomas!D85</f>
        <v>FASE DE GRUPOS</v>
      </c>
      <c r="E5" s="841" t="str">
        <f>Idiomas!D71</f>
        <v>·Si haceis jornada a jornada seguir las instrucciones de cada jornada</v>
      </c>
      <c r="F5" s="841"/>
      <c r="G5" s="841"/>
      <c r="H5" s="841"/>
      <c r="I5" s="841"/>
      <c r="J5" s="391"/>
      <c r="K5" s="391"/>
      <c r="L5" s="391"/>
      <c r="M5" s="398"/>
      <c r="N5" s="399"/>
    </row>
    <row r="6" spans="1:14" ht="15" customHeight="1" x14ac:dyDescent="0.3">
      <c r="A6" s="377" t="s">
        <v>1286</v>
      </c>
      <c r="B6" t="str">
        <f ca="1">CONCATENATE(EURO2024!I4,"-",EURO2024!N4)</f>
        <v>Alemania-Escocia</v>
      </c>
      <c r="C6" s="13" t="str">
        <f>CONCATENATE(IF(EURO2024!K4&gt;EURO2024!L4,1,IF(EURO2024!K4&lt;EURO2024!L4,2,IF(AND(EURO2024!K4=EURO2024!L4,EURO2024!K4&lt;&gt;"",EURO2024!L4&lt;&gt;""),"X",0))),"|",EURO2024!K4,"-",EURO2024!L4)</f>
        <v>1|3-0</v>
      </c>
      <c r="D6" s="848" t="str">
        <f>Idiomas!D82</f>
        <v>J1</v>
      </c>
      <c r="E6" s="834" t="str">
        <f>Idiomas!D72</f>
        <v>·Para la primera jornada selecciona de la C6 a la C17 y pega valores en la plantilla de administrador. ¡OJO! COPIAR TAMBIÉN de la C133 a la C135.</v>
      </c>
      <c r="F6" s="835"/>
      <c r="G6" s="835"/>
      <c r="H6" s="835"/>
      <c r="I6" s="392"/>
      <c r="J6" s="1"/>
      <c r="K6" s="1"/>
      <c r="L6" s="1"/>
      <c r="M6" s="398"/>
      <c r="N6" s="399"/>
    </row>
    <row r="7" spans="1:14" ht="15" customHeight="1" x14ac:dyDescent="0.3">
      <c r="A7" s="377" t="s">
        <v>1286</v>
      </c>
      <c r="B7" t="str">
        <f ca="1">CONCATENATE(EURO2024!I5,"-",EURO2024!N5)</f>
        <v>Hungría-Suiza</v>
      </c>
      <c r="C7" s="13" t="str">
        <f>CONCATENATE(IF(EURO2024!K5&gt;EURO2024!L5,1,IF(EURO2024!K5&lt;EURO2024!L5,2,IF(AND(EURO2024!K5=EURO2024!L5,EURO2024!K5&lt;&gt;"",EURO2024!L5&lt;&gt;""),"X",0))),"|",EURO2024!K5,"-",EURO2024!L5)</f>
        <v>2|0-1</v>
      </c>
      <c r="D7" s="848"/>
      <c r="E7" s="836"/>
      <c r="F7" s="837"/>
      <c r="G7" s="837"/>
      <c r="H7" s="837"/>
      <c r="I7" s="393"/>
      <c r="J7" s="1"/>
      <c r="K7" s="1"/>
      <c r="L7" s="1"/>
      <c r="M7" s="398"/>
      <c r="N7" s="399"/>
    </row>
    <row r="8" spans="1:14" ht="15" customHeight="1" x14ac:dyDescent="0.3">
      <c r="A8" s="378" t="s">
        <v>1287</v>
      </c>
      <c r="B8" t="str">
        <f ca="1">CONCATENATE(EURO2024!I12,"-",EURO2024!N12)</f>
        <v>España-Croacia</v>
      </c>
      <c r="C8" s="13" t="str">
        <f>CONCATENATE(IF(EURO2024!K12&gt;EURO2024!L12,1,IF(EURO2024!K12&lt;EURO2024!L12,2,IF(AND(EURO2024!K12=EURO2024!L12,EURO2024!K12&lt;&gt;"",EURO2024!L12&lt;&gt;""),"X",0))),"|",EURO2024!K12,"-",EURO2024!L12)</f>
        <v>2|0-1</v>
      </c>
      <c r="D8" s="848"/>
      <c r="E8" s="836"/>
      <c r="F8" s="837"/>
      <c r="G8" s="837"/>
      <c r="H8" s="837"/>
      <c r="I8" s="393"/>
      <c r="J8" s="1"/>
      <c r="K8" s="1"/>
      <c r="L8" s="1"/>
      <c r="M8" s="398"/>
      <c r="N8" s="399"/>
    </row>
    <row r="9" spans="1:14" ht="15" customHeight="1" x14ac:dyDescent="0.3">
      <c r="A9" s="378" t="s">
        <v>1287</v>
      </c>
      <c r="B9" t="str">
        <f ca="1">CONCATENATE(EURO2024!I13,"-",EURO2024!N13)</f>
        <v>Italia-Albania</v>
      </c>
      <c r="C9" s="13" t="str">
        <f>CONCATENATE(IF(EURO2024!K13&gt;EURO2024!L13,1,IF(EURO2024!K13&lt;EURO2024!L13,2,IF(AND(EURO2024!K13=EURO2024!L13,EURO2024!K13&lt;&gt;"",EURO2024!L13&lt;&gt;""),"X",0))),"|",EURO2024!K13,"-",EURO2024!L13)</f>
        <v>1|2-0</v>
      </c>
      <c r="D9" s="848"/>
      <c r="E9" s="836"/>
      <c r="F9" s="837"/>
      <c r="G9" s="837"/>
      <c r="H9" s="837"/>
      <c r="I9" s="393"/>
      <c r="J9" s="1"/>
      <c r="K9" s="1"/>
      <c r="L9" s="1"/>
      <c r="M9" s="398"/>
      <c r="N9" s="399"/>
    </row>
    <row r="10" spans="1:14" ht="15" customHeight="1" x14ac:dyDescent="0.3">
      <c r="A10" s="379" t="s">
        <v>954</v>
      </c>
      <c r="B10" t="str">
        <f ca="1">CONCATENATE(EURO2024!I20,"-",EURO2024!N20)</f>
        <v>Eslovenia-Dinamarca</v>
      </c>
      <c r="C10" s="13" t="str">
        <f>CONCATENATE(IF(EURO2024!K20&gt;EURO2024!L20,1,IF(EURO2024!K20&lt;EURO2024!L20,2,IF(AND(EURO2024!K20=EURO2024!L20,EURO2024!K20&lt;&gt;"",EURO2024!L20&lt;&gt;""),"X",0))),"|",EURO2024!K20,"-",EURO2024!L20)</f>
        <v>X|1-1</v>
      </c>
      <c r="D10" s="848"/>
      <c r="E10" s="1"/>
      <c r="F10" s="1"/>
      <c r="G10" s="1"/>
      <c r="H10" s="1"/>
      <c r="I10" s="393"/>
      <c r="J10" s="1"/>
      <c r="K10" s="1"/>
      <c r="L10" s="1"/>
      <c r="M10" s="398"/>
      <c r="N10" s="399"/>
    </row>
    <row r="11" spans="1:14" ht="16.2" customHeight="1" x14ac:dyDescent="0.3">
      <c r="A11" s="379" t="s">
        <v>954</v>
      </c>
      <c r="B11" t="str">
        <f ca="1">CONCATENATE(EURO2024!I21,"-",EURO2024!N21)</f>
        <v>Serbia-Inglaterra</v>
      </c>
      <c r="C11" s="13" t="str">
        <f>CONCATENATE(IF(EURO2024!K21&gt;EURO2024!L21,1,IF(EURO2024!K21&lt;EURO2024!L21,2,IF(AND(EURO2024!K21=EURO2024!L21,EURO2024!K21&lt;&gt;"",EURO2024!L21&lt;&gt;""),"X",0))),"|",EURO2024!K21,"-",EURO2024!L21)</f>
        <v>2|1-2</v>
      </c>
      <c r="D11" s="848"/>
      <c r="E11" s="1"/>
      <c r="F11" s="1"/>
      <c r="G11" s="1"/>
      <c r="H11" s="1"/>
      <c r="I11" s="393"/>
      <c r="J11" s="1"/>
      <c r="K11" s="1"/>
      <c r="L11" s="1"/>
      <c r="M11" s="398"/>
      <c r="N11" s="399"/>
    </row>
    <row r="12" spans="1:14" ht="15" customHeight="1" x14ac:dyDescent="0.3">
      <c r="A12" s="322" t="s">
        <v>1288</v>
      </c>
      <c r="B12" t="str">
        <f ca="1">CONCATENATE(EURO2024!I28,"-",EURO2024!N28)</f>
        <v>Polonia-Países Bajos</v>
      </c>
      <c r="C12" s="13" t="str">
        <f>CONCATENATE(IF(EURO2024!K28&gt;EURO2024!L28,1,IF(EURO2024!K28&lt;EURO2024!L28,2,IF(AND(EURO2024!K28=EURO2024!L28,EURO2024!K28&lt;&gt;"",EURO2024!L28&lt;&gt;""),"X",0))),"|",EURO2024!K28,"-",EURO2024!L28)</f>
        <v>2|1-2</v>
      </c>
      <c r="D12" s="848"/>
      <c r="E12" s="1"/>
      <c r="F12" s="1"/>
      <c r="G12" s="1"/>
      <c r="H12" s="1"/>
      <c r="I12" s="393"/>
      <c r="J12" s="1"/>
      <c r="K12" s="1"/>
      <c r="L12" s="1"/>
      <c r="M12" s="398"/>
      <c r="N12" s="399"/>
    </row>
    <row r="13" spans="1:14" ht="15" customHeight="1" x14ac:dyDescent="0.3">
      <c r="A13" s="322" t="s">
        <v>1288</v>
      </c>
      <c r="B13" t="str">
        <f ca="1">CONCATENATE(EURO2024!I29,"-",EURO2024!N29)</f>
        <v>Austria-Francia</v>
      </c>
      <c r="C13" s="13" t="str">
        <f>CONCATENATE(IF(EURO2024!K29&gt;EURO2024!L29,1,IF(EURO2024!K29&lt;EURO2024!L29,2,IF(AND(EURO2024!K29=EURO2024!L29,EURO2024!K29&lt;&gt;"",EURO2024!L29&lt;&gt;""),"X",0))),"|",EURO2024!K29,"-",EURO2024!L29)</f>
        <v>2|0-3</v>
      </c>
      <c r="D13" s="848"/>
      <c r="E13" s="1"/>
      <c r="F13" s="1"/>
      <c r="G13" s="1"/>
      <c r="H13" s="1"/>
      <c r="I13" s="393"/>
      <c r="J13" s="1"/>
      <c r="K13" s="1"/>
      <c r="L13" s="1"/>
      <c r="M13" s="398"/>
      <c r="N13" s="399"/>
    </row>
    <row r="14" spans="1:14" ht="15" customHeight="1" x14ac:dyDescent="0.3">
      <c r="A14" s="330" t="s">
        <v>829</v>
      </c>
      <c r="B14" t="str">
        <f ca="1">CONCATENATE(EURO2024!I36,"-",EURO2024!N36)</f>
        <v>Rumanía-Ucrania</v>
      </c>
      <c r="C14" s="13" t="str">
        <f>CONCATENATE(IF(EURO2024!K36&gt;EURO2024!L36,1,IF(EURO2024!K36&lt;EURO2024!L36,2,IF(AND(EURO2024!K36=EURO2024!L36,EURO2024!K36&lt;&gt;"",EURO2024!L36&lt;&gt;""),"X",0))),"|",EURO2024!K36,"-",EURO2024!L36)</f>
        <v>2|0-2</v>
      </c>
      <c r="D14" s="848"/>
      <c r="E14" s="1"/>
      <c r="F14" s="1"/>
      <c r="G14" s="1"/>
      <c r="H14" s="1"/>
      <c r="I14" s="393"/>
      <c r="J14" s="1"/>
      <c r="K14" s="1"/>
      <c r="L14" s="1"/>
      <c r="M14" s="398"/>
      <c r="N14" s="399"/>
    </row>
    <row r="15" spans="1:14" ht="15" customHeight="1" x14ac:dyDescent="0.3">
      <c r="A15" s="330" t="s">
        <v>829</v>
      </c>
      <c r="B15" t="str">
        <f ca="1">CONCATENATE(EURO2024!I37,"-",EURO2024!N37)</f>
        <v>Bélgica-Eslovaquia</v>
      </c>
      <c r="C15" s="13" t="str">
        <f>CONCATENATE(IF(EURO2024!K37&gt;EURO2024!L37,1,IF(EURO2024!K37&lt;EURO2024!L37,2,IF(AND(EURO2024!K37=EURO2024!L37,EURO2024!K37&lt;&gt;"",EURO2024!L37&lt;&gt;""),"X",0))),"|",EURO2024!K37,"-",EURO2024!L37)</f>
        <v>1|2-0</v>
      </c>
      <c r="D15" s="848"/>
      <c r="E15" s="1"/>
      <c r="F15" s="1"/>
      <c r="G15" s="1"/>
      <c r="H15" s="1"/>
      <c r="I15" s="393"/>
      <c r="J15" s="1"/>
      <c r="K15" s="1"/>
      <c r="L15" s="1"/>
      <c r="M15" s="398"/>
      <c r="N15" s="399"/>
    </row>
    <row r="16" spans="1:14" ht="15" customHeight="1" x14ac:dyDescent="0.3">
      <c r="A16" s="347" t="s">
        <v>1289</v>
      </c>
      <c r="B16" t="str">
        <f ca="1">CONCATENATE(EURO2024!I44,"-",EURO2024!N44)</f>
        <v>Turquía-Georgia</v>
      </c>
      <c r="C16" s="13" t="str">
        <f>CONCATENATE(IF(EURO2024!K44&gt;EURO2024!L44,1,IF(EURO2024!K44&lt;EURO2024!L44,2,IF(AND(EURO2024!K44=EURO2024!L44,EURO2024!K44&lt;&gt;"",EURO2024!L44&lt;&gt;""),"X",0))),"|",EURO2024!K44,"-",EURO2024!L44)</f>
        <v>1|3-1</v>
      </c>
      <c r="D16" s="848"/>
      <c r="E16" s="1"/>
      <c r="F16" s="1"/>
      <c r="G16" s="1"/>
      <c r="H16" s="1"/>
      <c r="I16" s="393"/>
      <c r="J16" s="1"/>
      <c r="K16" s="1"/>
      <c r="L16" s="1"/>
      <c r="M16" s="398"/>
      <c r="N16" s="399"/>
    </row>
    <row r="17" spans="1:14" ht="16.2" customHeight="1" x14ac:dyDescent="0.3">
      <c r="A17" s="347" t="s">
        <v>1289</v>
      </c>
      <c r="B17" t="str">
        <f ca="1">CONCATENATE(EURO2024!I45,"-",EURO2024!N45)</f>
        <v>Portugal-República Checa</v>
      </c>
      <c r="C17" s="13" t="str">
        <f>CONCATENATE(IF(EURO2024!K45&gt;EURO2024!L45,1,IF(EURO2024!K45&lt;EURO2024!L45,2,IF(AND(EURO2024!K45=EURO2024!L45,EURO2024!K45&lt;&gt;"",EURO2024!L45&lt;&gt;""),"X",0))),"|",EURO2024!K45,"-",EURO2024!L45)</f>
        <v>1|3-0</v>
      </c>
      <c r="D17" s="849"/>
      <c r="E17" s="1"/>
      <c r="F17" s="1"/>
      <c r="G17" s="1"/>
      <c r="H17" s="1"/>
      <c r="I17" s="393"/>
      <c r="J17" s="1"/>
      <c r="K17" s="1"/>
      <c r="L17" s="1"/>
      <c r="M17" s="398"/>
      <c r="N17" s="399"/>
    </row>
    <row r="18" spans="1:14" ht="15" customHeight="1" x14ac:dyDescent="0.3">
      <c r="A18" s="377" t="s">
        <v>1290</v>
      </c>
      <c r="B18" t="str">
        <f ca="1">CONCATENATE(EURO2024!I6,"-",EURO2024!N6)</f>
        <v>Alemania-Hungría</v>
      </c>
      <c r="C18" s="13" t="str">
        <f>CONCATENATE(IF(EURO2024!K6&gt;EURO2024!L6,1,IF(EURO2024!K6&lt;EURO2024!L6,2,IF(AND(EURO2024!K6=EURO2024!L6,EURO2024!K6&lt;&gt;"",EURO2024!L6&lt;&gt;""),"X",0))),"|",EURO2024!K6,"-",EURO2024!L6)</f>
        <v>1|2-0</v>
      </c>
      <c r="D18" s="820" t="str">
        <f>Idiomas!D83</f>
        <v>J2</v>
      </c>
      <c r="E18" s="836" t="str">
        <f>Idiomas!D73</f>
        <v>·Para la segunda jornada selecciona de la C18 a la C29 y pega valores en la plantilla de administrador.</v>
      </c>
      <c r="F18" s="837"/>
      <c r="G18" s="837"/>
      <c r="H18" s="837"/>
      <c r="I18" s="393"/>
      <c r="J18" s="1"/>
      <c r="K18" s="1"/>
      <c r="L18" s="1"/>
      <c r="M18" s="398"/>
      <c r="N18" s="399"/>
    </row>
    <row r="19" spans="1:14" ht="15" customHeight="1" x14ac:dyDescent="0.3">
      <c r="A19" s="377" t="s">
        <v>1290</v>
      </c>
      <c r="B19" t="str">
        <f ca="1">CONCATENATE(EURO2024!I7,"-",EURO2024!N7)</f>
        <v>Escocia-Suiza</v>
      </c>
      <c r="C19" s="13" t="str">
        <f>CONCATENATE(IF(EURO2024!K7&gt;EURO2024!L7,1,IF(EURO2024!K7&lt;EURO2024!L7,2,IF(AND(EURO2024!K7=EURO2024!L7,EURO2024!K7&lt;&gt;"",EURO2024!L7&lt;&gt;""),"X",0))),"|",EURO2024!K7,"-",EURO2024!L7)</f>
        <v>2|0-1</v>
      </c>
      <c r="D19" s="820"/>
      <c r="E19" s="836"/>
      <c r="F19" s="837"/>
      <c r="G19" s="837"/>
      <c r="H19" s="837"/>
      <c r="I19" s="393"/>
      <c r="J19" s="1"/>
      <c r="K19" s="1"/>
      <c r="L19" s="1"/>
      <c r="M19" s="398"/>
      <c r="N19" s="399"/>
    </row>
    <row r="20" spans="1:14" ht="15" customHeight="1" x14ac:dyDescent="0.3">
      <c r="A20" s="378" t="s">
        <v>950</v>
      </c>
      <c r="B20" t="str">
        <f ca="1">CONCATENATE(EURO2024!I14,"-",EURO2024!N14)</f>
        <v>Croacia-Albania</v>
      </c>
      <c r="C20" s="13" t="str">
        <f>CONCATENATE(IF(EURO2024!K14&gt;EURO2024!L14,1,IF(EURO2024!K14&lt;EURO2024!L14,2,IF(AND(EURO2024!K14=EURO2024!L14,EURO2024!K14&lt;&gt;"",EURO2024!L14&lt;&gt;""),"X",0))),"|",EURO2024!K14,"-",EURO2024!L14)</f>
        <v>1|2-1</v>
      </c>
      <c r="D20" s="820"/>
      <c r="E20" s="836"/>
      <c r="F20" s="837"/>
      <c r="G20" s="837"/>
      <c r="H20" s="837"/>
      <c r="I20" s="393"/>
      <c r="J20" s="1"/>
      <c r="K20" s="1"/>
      <c r="L20" s="1"/>
      <c r="M20" s="398"/>
      <c r="N20" s="399"/>
    </row>
    <row r="21" spans="1:14" ht="15" customHeight="1" x14ac:dyDescent="0.3">
      <c r="A21" s="378" t="s">
        <v>950</v>
      </c>
      <c r="B21" t="str">
        <f ca="1">CONCATENATE(EURO2024!I15,"-",EURO2024!N15)</f>
        <v>España-Italia</v>
      </c>
      <c r="C21" s="13" t="str">
        <f>CONCATENATE(IF(EURO2024!K15&gt;EURO2024!L15,1,IF(EURO2024!K15&lt;EURO2024!L15,2,IF(AND(EURO2024!K15=EURO2024!L15,EURO2024!K15&lt;&gt;"",EURO2024!L15&lt;&gt;""),"X",0))),"|",EURO2024!K15,"-",EURO2024!L15)</f>
        <v>X|1-1</v>
      </c>
      <c r="D21" s="820"/>
      <c r="E21" s="836"/>
      <c r="F21" s="837"/>
      <c r="G21" s="837"/>
      <c r="H21" s="837"/>
      <c r="I21" s="393"/>
      <c r="J21" s="1"/>
      <c r="K21" s="1"/>
      <c r="L21" s="1"/>
      <c r="M21" s="398"/>
      <c r="N21" s="399"/>
    </row>
    <row r="22" spans="1:14" ht="15" customHeight="1" x14ac:dyDescent="0.3">
      <c r="A22" s="379" t="s">
        <v>1291</v>
      </c>
      <c r="B22" t="str">
        <f ca="1">CONCATENATE(EURO2024!I22,"-",EURO2024!N22)</f>
        <v>Eslovenia-Serbia</v>
      </c>
      <c r="C22" s="13" t="str">
        <f>CONCATENATE(IF(EURO2024!K22&gt;EURO2024!L22,1,IF(EURO2024!K22&lt;EURO2024!L22,2,IF(AND(EURO2024!K22=EURO2024!L22,EURO2024!K22&lt;&gt;"",EURO2024!L22&lt;&gt;""),"X",0))),"|",EURO2024!K22,"-",EURO2024!L22)</f>
        <v>2|0-2</v>
      </c>
      <c r="D22" s="820"/>
      <c r="E22" s="1"/>
      <c r="F22" s="1"/>
      <c r="G22" s="1"/>
      <c r="H22" s="1"/>
      <c r="I22" s="393"/>
      <c r="J22" s="1"/>
      <c r="K22" s="1"/>
      <c r="L22" s="1"/>
      <c r="M22" s="398"/>
      <c r="N22" s="399"/>
    </row>
    <row r="23" spans="1:14" ht="16.2" customHeight="1" x14ac:dyDescent="0.3">
      <c r="A23" s="379" t="s">
        <v>1291</v>
      </c>
      <c r="B23" t="str">
        <f ca="1">CONCATENATE(EURO2024!I23,"-",EURO2024!N23)</f>
        <v>Dinamarca-Inglaterra</v>
      </c>
      <c r="C23" s="13" t="str">
        <f>CONCATENATE(IF(EURO2024!K23&gt;EURO2024!L23,1,IF(EURO2024!K23&lt;EURO2024!L23,2,IF(AND(EURO2024!K23=EURO2024!L23,EURO2024!K23&lt;&gt;"",EURO2024!L23&lt;&gt;""),"X",0))),"|",EURO2024!K23,"-",EURO2024!L23)</f>
        <v>2|0-2</v>
      </c>
      <c r="D23" s="820"/>
      <c r="E23" s="1"/>
      <c r="F23" s="1"/>
      <c r="G23" s="1"/>
      <c r="H23" s="1"/>
      <c r="I23" s="393"/>
      <c r="J23" s="1"/>
      <c r="K23" s="1"/>
      <c r="L23" s="1"/>
      <c r="M23" s="398"/>
      <c r="N23" s="399"/>
    </row>
    <row r="24" spans="1:14" ht="15" customHeight="1" x14ac:dyDescent="0.3">
      <c r="A24" s="322" t="s">
        <v>1292</v>
      </c>
      <c r="B24" t="str">
        <f ca="1">CONCATENATE(EURO2024!I30,"-",EURO2024!N30)</f>
        <v>Polonia-Austria</v>
      </c>
      <c r="C24" s="13" t="str">
        <f>CONCATENATE(IF(EURO2024!K30&gt;EURO2024!L30,1,IF(EURO2024!K30&lt;EURO2024!L30,2,IF(AND(EURO2024!K30=EURO2024!L30,EURO2024!K30&lt;&gt;"",EURO2024!L30&lt;&gt;""),"X",0))),"|",EURO2024!K30,"-",EURO2024!L30)</f>
        <v>X|1-1</v>
      </c>
      <c r="D24" s="820"/>
      <c r="E24" s="1"/>
      <c r="F24" s="1"/>
      <c r="G24" s="1"/>
      <c r="H24" s="1"/>
      <c r="I24" s="393"/>
      <c r="J24" s="1"/>
      <c r="K24" s="1"/>
      <c r="L24" s="1"/>
      <c r="M24" s="398"/>
      <c r="N24" s="399"/>
    </row>
    <row r="25" spans="1:14" ht="15" customHeight="1" x14ac:dyDescent="0.3">
      <c r="A25" s="322" t="s">
        <v>1292</v>
      </c>
      <c r="B25" t="str">
        <f ca="1">CONCATENATE(EURO2024!I31,"-",EURO2024!N31)</f>
        <v>Países Bajos-Francia</v>
      </c>
      <c r="C25" s="13" t="str">
        <f>CONCATENATE(IF(EURO2024!K31&gt;EURO2024!L31,1,IF(EURO2024!K31&lt;EURO2024!L31,2,IF(AND(EURO2024!K31=EURO2024!L31,EURO2024!K31&lt;&gt;"",EURO2024!L31&lt;&gt;""),"X",0))),"|",EURO2024!K31,"-",EURO2024!L31)</f>
        <v>2|0-3</v>
      </c>
      <c r="D25" s="820"/>
      <c r="E25" s="1"/>
      <c r="F25" s="1"/>
      <c r="G25" s="1"/>
      <c r="H25" s="1"/>
      <c r="I25" s="393"/>
      <c r="J25" s="1"/>
      <c r="K25" s="1"/>
      <c r="L25" s="1"/>
      <c r="M25" s="398"/>
      <c r="N25" s="399"/>
    </row>
    <row r="26" spans="1:14" ht="15" customHeight="1" x14ac:dyDescent="0.3">
      <c r="A26" s="330" t="s">
        <v>1293</v>
      </c>
      <c r="B26" t="str">
        <f ca="1">CONCATENATE(EURO2024!I38,"-",EURO2024!N38)</f>
        <v>Eslovaquia-Ucrania</v>
      </c>
      <c r="C26" s="13" t="str">
        <f>CONCATENATE(IF(EURO2024!K38&gt;EURO2024!L38,1,IF(EURO2024!K38&lt;EURO2024!L38,2,IF(AND(EURO2024!K38=EURO2024!L38,EURO2024!K38&lt;&gt;"",EURO2024!L38&lt;&gt;""),"X",0))),"|",EURO2024!K38,"-",EURO2024!L38)</f>
        <v>2|0-2</v>
      </c>
      <c r="D26" s="820"/>
      <c r="E26" s="1"/>
      <c r="F26" s="1"/>
      <c r="G26" s="1"/>
      <c r="H26" s="1"/>
      <c r="I26" s="393"/>
      <c r="J26" s="1"/>
      <c r="K26" s="1"/>
      <c r="L26" s="1"/>
      <c r="M26" s="398"/>
      <c r="N26" s="399"/>
    </row>
    <row r="27" spans="1:14" ht="15" customHeight="1" x14ac:dyDescent="0.3">
      <c r="A27" s="330" t="s">
        <v>1293</v>
      </c>
      <c r="B27" t="str">
        <f ca="1">CONCATENATE(EURO2024!I39,"-",EURO2024!N39)</f>
        <v>Bélgica-Rumanía</v>
      </c>
      <c r="C27" s="13" t="str">
        <f>CONCATENATE(IF(EURO2024!K39&gt;EURO2024!L39,1,IF(EURO2024!K39&lt;EURO2024!L39,2,IF(AND(EURO2024!K39=EURO2024!L39,EURO2024!K39&lt;&gt;"",EURO2024!L39&lt;&gt;""),"X",0))),"|",EURO2024!K39,"-",EURO2024!L39)</f>
        <v>1|2-0</v>
      </c>
      <c r="D27" s="820"/>
      <c r="E27" s="1"/>
      <c r="F27" s="1"/>
      <c r="G27" s="1"/>
      <c r="H27" s="1"/>
      <c r="I27" s="393"/>
      <c r="J27" s="1"/>
      <c r="K27" s="1"/>
      <c r="L27" s="1"/>
      <c r="M27" s="398"/>
      <c r="N27" s="399"/>
    </row>
    <row r="28" spans="1:14" ht="15" customHeight="1" x14ac:dyDescent="0.3">
      <c r="A28" s="347" t="s">
        <v>1294</v>
      </c>
      <c r="B28" t="str">
        <f ca="1">CONCATENATE(EURO2024!I46,"-",EURO2024!N46)</f>
        <v>Georgia-República Checa</v>
      </c>
      <c r="C28" s="13" t="str">
        <f>CONCATENATE(IF(EURO2024!K46&gt;EURO2024!L46,1,IF(EURO2024!K46&lt;EURO2024!L46,2,IF(AND(EURO2024!K46=EURO2024!L46,EURO2024!K46&lt;&gt;"",EURO2024!L46&lt;&gt;""),"X",0))),"|",EURO2024!K46,"-",EURO2024!L46)</f>
        <v>X|1-1</v>
      </c>
      <c r="D28" s="820"/>
      <c r="E28" s="1"/>
      <c r="F28" s="1"/>
      <c r="G28" s="1"/>
      <c r="H28" s="1"/>
      <c r="I28" s="393"/>
      <c r="J28" s="1"/>
      <c r="K28" s="1"/>
      <c r="L28" s="1"/>
      <c r="M28" s="398"/>
      <c r="N28" s="399"/>
    </row>
    <row r="29" spans="1:14" ht="16.2" customHeight="1" x14ac:dyDescent="0.3">
      <c r="A29" s="347" t="s">
        <v>1294</v>
      </c>
      <c r="B29" t="str">
        <f ca="1">CONCATENATE(EURO2024!I47,"-",EURO2024!N47)</f>
        <v>Turquía-Portugal</v>
      </c>
      <c r="C29" s="13" t="str">
        <f>CONCATENATE(IF(EURO2024!K47&gt;EURO2024!L47,1,IF(EURO2024!K47&lt;EURO2024!L47,2,IF(AND(EURO2024!K47=EURO2024!L47,EURO2024!K47&lt;&gt;"",EURO2024!L47&lt;&gt;""),"X",0))),"|",EURO2024!K47,"-",EURO2024!L47)</f>
        <v>2|1-2</v>
      </c>
      <c r="D29" s="821"/>
      <c r="E29" s="1"/>
      <c r="F29" s="1"/>
      <c r="G29" s="1"/>
      <c r="H29" s="1"/>
      <c r="I29" s="393"/>
      <c r="J29" s="1"/>
      <c r="K29" s="1"/>
      <c r="L29" s="1"/>
      <c r="M29" s="398"/>
      <c r="N29" s="399"/>
    </row>
    <row r="30" spans="1:14" ht="15" customHeight="1" x14ac:dyDescent="0.3">
      <c r="A30" s="377" t="s">
        <v>1295</v>
      </c>
      <c r="B30" t="str">
        <f ca="1">CONCATENATE(EURO2024!I8,"-",EURO2024!N8)</f>
        <v>Suiza-Alemania</v>
      </c>
      <c r="C30" s="13" t="str">
        <f>CONCATENATE(IF(EURO2024!K8&gt;EURO2024!L8,1,IF(EURO2024!K8&lt;EURO2024!L8,2,IF(AND(EURO2024!K8=EURO2024!L8,EURO2024!K8&lt;&gt;"",EURO2024!L8&lt;&gt;""),"X",0))),"|",EURO2024!K8,"-",EURO2024!L8)</f>
        <v>2|1-2</v>
      </c>
      <c r="D30" s="833" t="str">
        <f>Idiomas!D84</f>
        <v>J3</v>
      </c>
      <c r="E30" s="836" t="str">
        <f>Idiomas!D74</f>
        <v>·Para la tercera jornada selecciona de la C30 a la C85 y pega valores en la plantilla de administrador.</v>
      </c>
      <c r="F30" s="837"/>
      <c r="G30" s="837"/>
      <c r="H30" s="837"/>
      <c r="I30" s="393"/>
      <c r="J30" s="1"/>
      <c r="K30" s="1"/>
      <c r="L30" s="1"/>
      <c r="M30" s="398"/>
      <c r="N30" s="399"/>
    </row>
    <row r="31" spans="1:14" ht="15" customHeight="1" x14ac:dyDescent="0.3">
      <c r="A31" s="377" t="s">
        <v>1295</v>
      </c>
      <c r="B31" t="str">
        <f ca="1">CONCATENATE(EURO2024!I9,"-",EURO2024!N9)</f>
        <v>Escocia-Hungría</v>
      </c>
      <c r="C31" s="13" t="str">
        <f>CONCATENATE(IF(EURO2024!K9&gt;EURO2024!L9,1,IF(EURO2024!K9&lt;EURO2024!L9,2,IF(AND(EURO2024!K9=EURO2024!L9,EURO2024!K9&lt;&gt;"",EURO2024!L9&lt;&gt;""),"X",0))),"|",EURO2024!K9,"-",EURO2024!L9)</f>
        <v>X|0-0</v>
      </c>
      <c r="D31" s="833"/>
      <c r="E31" s="836"/>
      <c r="F31" s="837"/>
      <c r="G31" s="837"/>
      <c r="H31" s="837"/>
      <c r="I31" s="393"/>
      <c r="J31" s="1"/>
      <c r="K31" s="1"/>
      <c r="L31" s="1"/>
      <c r="M31" s="398"/>
      <c r="N31" s="399"/>
    </row>
    <row r="32" spans="1:14" ht="15" customHeight="1" x14ac:dyDescent="0.3">
      <c r="A32" s="378" t="s">
        <v>941</v>
      </c>
      <c r="B32" t="str">
        <f ca="1">CONCATENATE(EURO2024!I16,"-",EURO2024!N16)</f>
        <v>Albania-España</v>
      </c>
      <c r="C32" s="13" t="str">
        <f>CONCATENATE(IF(EURO2024!K16&gt;EURO2024!L16,1,IF(EURO2024!K16&lt;EURO2024!L16,2,IF(AND(EURO2024!K16=EURO2024!L16,EURO2024!K16&lt;&gt;"",EURO2024!L16&lt;&gt;""),"X",0))),"|",EURO2024!K16,"-",EURO2024!L16)</f>
        <v>X|1-1</v>
      </c>
      <c r="D32" s="833"/>
      <c r="E32" s="836"/>
      <c r="F32" s="837"/>
      <c r="G32" s="837"/>
      <c r="H32" s="837"/>
      <c r="I32" s="393"/>
      <c r="J32" s="1"/>
      <c r="K32" s="1"/>
      <c r="L32" s="1"/>
      <c r="M32" s="398"/>
      <c r="N32" s="399"/>
    </row>
    <row r="33" spans="1:14" ht="15" customHeight="1" x14ac:dyDescent="0.3">
      <c r="A33" s="378" t="s">
        <v>941</v>
      </c>
      <c r="B33" t="str">
        <f ca="1">CONCATENATE(EURO2024!I17,"-",EURO2024!N17)</f>
        <v>Croacia-Italia</v>
      </c>
      <c r="C33" s="13" t="str">
        <f>CONCATENATE(IF(EURO2024!K17&gt;EURO2024!L17,1,IF(EURO2024!K17&lt;EURO2024!L17,2,IF(AND(EURO2024!K17=EURO2024!L17,EURO2024!K17&lt;&gt;"",EURO2024!L17&lt;&gt;""),"X",0))),"|",EURO2024!K17,"-",EURO2024!L17)</f>
        <v>1|2-1</v>
      </c>
      <c r="D33" s="833"/>
      <c r="E33" s="836"/>
      <c r="F33" s="837"/>
      <c r="G33" s="837"/>
      <c r="H33" s="837"/>
      <c r="I33" s="393"/>
      <c r="J33" s="1"/>
      <c r="K33" s="1"/>
      <c r="L33" s="1"/>
      <c r="M33" s="398"/>
      <c r="N33" s="399"/>
    </row>
    <row r="34" spans="1:14" ht="15" customHeight="1" x14ac:dyDescent="0.3">
      <c r="A34" s="379" t="s">
        <v>1296</v>
      </c>
      <c r="B34" t="str">
        <f ca="1">CONCATENATE(EURO2024!I24,"-",EURO2024!N24)</f>
        <v>Inglaterra-Eslovenia</v>
      </c>
      <c r="C34" s="13" t="str">
        <f>CONCATENATE(IF(EURO2024!K24&gt;EURO2024!L24,1,IF(EURO2024!K24&lt;EURO2024!L24,2,IF(AND(EURO2024!K24=EURO2024!L24,EURO2024!K24&lt;&gt;"",EURO2024!L24&lt;&gt;""),"X",0))),"|",EURO2024!K24,"-",EURO2024!L24)</f>
        <v>1|3-0</v>
      </c>
      <c r="D34" s="833"/>
      <c r="E34" s="1"/>
      <c r="F34" s="1"/>
      <c r="G34" s="1"/>
      <c r="H34" s="1"/>
      <c r="I34" s="393"/>
      <c r="J34" s="1"/>
      <c r="K34" s="1"/>
      <c r="L34" s="1"/>
      <c r="M34" s="398"/>
      <c r="N34" s="399"/>
    </row>
    <row r="35" spans="1:14" ht="16.2" customHeight="1" x14ac:dyDescent="0.3">
      <c r="A35" s="379" t="s">
        <v>1296</v>
      </c>
      <c r="B35" t="str">
        <f ca="1">CONCATENATE(EURO2024!I25,"-",EURO2024!N25)</f>
        <v>Dinamarca-Serbia</v>
      </c>
      <c r="C35" s="13" t="str">
        <f>CONCATENATE(IF(EURO2024!K25&gt;EURO2024!L25,1,IF(EURO2024!K25&lt;EURO2024!L25,2,IF(AND(EURO2024!K25=EURO2024!L25,EURO2024!K25&lt;&gt;"",EURO2024!L25&lt;&gt;""),"X",0))),"|",EURO2024!K25,"-",EURO2024!L25)</f>
        <v>2|0-1</v>
      </c>
      <c r="D35" s="833"/>
      <c r="E35" s="1"/>
      <c r="F35" s="1"/>
      <c r="G35" s="1"/>
      <c r="H35" s="1"/>
      <c r="I35" s="393"/>
      <c r="J35" s="1"/>
      <c r="K35" s="1"/>
      <c r="L35" s="1"/>
      <c r="M35" s="398"/>
      <c r="N35" s="399"/>
    </row>
    <row r="36" spans="1:14" ht="15" customHeight="1" x14ac:dyDescent="0.3">
      <c r="A36" s="322" t="s">
        <v>1297</v>
      </c>
      <c r="B36" t="str">
        <f ca="1">CONCATENATE(EURO2024!I32,"-",EURO2024!N32)</f>
        <v>Países Bajos-Austria</v>
      </c>
      <c r="C36" s="13" t="str">
        <f>CONCATENATE(IF(EURO2024!K32&gt;EURO2024!L32,1,IF(EURO2024!K32&lt;EURO2024!L32,2,IF(AND(EURO2024!K32=EURO2024!L32,EURO2024!K32&lt;&gt;"",EURO2024!L32&lt;&gt;""),"X",0))),"|",EURO2024!K32,"-",EURO2024!L32)</f>
        <v>1|1-0</v>
      </c>
      <c r="D36" s="833"/>
      <c r="E36" s="1"/>
      <c r="F36" s="1"/>
      <c r="G36" s="1"/>
      <c r="H36" s="1"/>
      <c r="I36" s="393"/>
      <c r="J36" s="1"/>
      <c r="K36" s="1"/>
      <c r="L36" s="1"/>
      <c r="M36" s="398"/>
      <c r="N36" s="399"/>
    </row>
    <row r="37" spans="1:14" ht="15" customHeight="1" x14ac:dyDescent="0.3">
      <c r="A37" s="322" t="s">
        <v>1297</v>
      </c>
      <c r="B37" t="str">
        <f ca="1">CONCATENATE(EURO2024!I33,"-",EURO2024!N33)</f>
        <v>Francia-Polonia</v>
      </c>
      <c r="C37" s="13" t="str">
        <f>CONCATENATE(IF(EURO2024!K33&gt;EURO2024!L33,1,IF(EURO2024!K33&lt;EURO2024!L33,2,IF(AND(EURO2024!K33=EURO2024!L33,EURO2024!K33&lt;&gt;"",EURO2024!L33&lt;&gt;""),"X",0))),"|",EURO2024!K33,"-",EURO2024!L33)</f>
        <v>1|2-0</v>
      </c>
      <c r="D37" s="833"/>
      <c r="E37" s="1"/>
      <c r="F37" s="1"/>
      <c r="G37" s="1"/>
      <c r="H37" s="1"/>
      <c r="I37" s="393"/>
      <c r="J37" s="1"/>
      <c r="K37" s="1"/>
      <c r="L37" s="1"/>
      <c r="M37" s="398"/>
      <c r="N37" s="399"/>
    </row>
    <row r="38" spans="1:14" ht="15" customHeight="1" x14ac:dyDescent="0.3">
      <c r="A38" s="330" t="s">
        <v>966</v>
      </c>
      <c r="B38" t="str">
        <f ca="1">CONCATENATE(EURO2024!I40,"-",EURO2024!N40)</f>
        <v>Eslovaquia-Rumanía</v>
      </c>
      <c r="C38" s="13" t="str">
        <f>CONCATENATE(IF(EURO2024!K40&gt;EURO2024!L40,1,IF(EURO2024!K40&lt;EURO2024!L40,2,IF(AND(EURO2024!K40=EURO2024!L40,EURO2024!K40&lt;&gt;"",EURO2024!L40&lt;&gt;""),"X",0))),"|",EURO2024!K40,"-",EURO2024!L40)</f>
        <v>X|0-0</v>
      </c>
      <c r="D38" s="833"/>
      <c r="E38" s="1"/>
      <c r="F38" s="1"/>
      <c r="G38" s="1"/>
      <c r="H38" s="1"/>
      <c r="I38" s="393"/>
      <c r="J38" s="1"/>
      <c r="K38" s="1"/>
      <c r="L38" s="1"/>
      <c r="M38" s="398"/>
      <c r="N38" s="399"/>
    </row>
    <row r="39" spans="1:14" ht="15" customHeight="1" x14ac:dyDescent="0.3">
      <c r="A39" s="330" t="s">
        <v>966</v>
      </c>
      <c r="B39" t="str">
        <f ca="1">CONCATENATE(EURO2024!I41,"-",EURO2024!N41)</f>
        <v>Ucrania-Bélgica</v>
      </c>
      <c r="C39" s="13" t="str">
        <f>CONCATENATE(IF(EURO2024!K41&gt;EURO2024!L41,1,IF(EURO2024!K41&lt;EURO2024!L41,2,IF(AND(EURO2024!K41=EURO2024!L41,EURO2024!K41&lt;&gt;"",EURO2024!L41&lt;&gt;""),"X",0))),"|",EURO2024!K41,"-",EURO2024!L41)</f>
        <v>2|1-2</v>
      </c>
      <c r="D39" s="833"/>
      <c r="E39" s="1"/>
      <c r="F39" s="1"/>
      <c r="G39" s="1"/>
      <c r="H39" s="1"/>
      <c r="I39" s="393"/>
      <c r="J39" s="1"/>
      <c r="K39" s="1"/>
      <c r="L39" s="1"/>
      <c r="M39" s="398"/>
      <c r="N39" s="399"/>
    </row>
    <row r="40" spans="1:14" ht="15" customHeight="1" x14ac:dyDescent="0.3">
      <c r="A40" s="347" t="s">
        <v>835</v>
      </c>
      <c r="B40" t="str">
        <f ca="1">CONCATENATE(EURO2024!I48,"-",EURO2024!N48)</f>
        <v>Georgia-Portugal</v>
      </c>
      <c r="C40" s="13" t="str">
        <f>CONCATENATE(IF(EURO2024!K48&gt;EURO2024!L48,1,IF(EURO2024!K48&lt;EURO2024!L48,2,IF(AND(EURO2024!K48=EURO2024!L48,EURO2024!K48&lt;&gt;"",EURO2024!L48&lt;&gt;""),"X",0))),"|",EURO2024!K48,"-",EURO2024!L48)</f>
        <v>2|0-2</v>
      </c>
      <c r="D40" s="833"/>
      <c r="E40" s="1"/>
      <c r="F40" s="1"/>
      <c r="G40" s="1"/>
      <c r="H40" s="1"/>
      <c r="I40" s="393"/>
      <c r="J40" s="1"/>
      <c r="K40" s="1"/>
      <c r="L40" s="1"/>
      <c r="M40" s="398"/>
      <c r="N40" s="399"/>
    </row>
    <row r="41" spans="1:14" ht="16.2" customHeight="1" x14ac:dyDescent="0.3">
      <c r="A41" s="347" t="s">
        <v>835</v>
      </c>
      <c r="B41" t="str">
        <f ca="1">CONCATENATE(EURO2024!I49,"-",EURO2024!N49)</f>
        <v>República Checa-Turquía</v>
      </c>
      <c r="C41" s="13" t="str">
        <f>CONCATENATE(IF(EURO2024!K49&gt;EURO2024!L49,1,IF(EURO2024!K49&lt;EURO2024!L49,2,IF(AND(EURO2024!K49=EURO2024!L49,EURO2024!K49&lt;&gt;"",EURO2024!L49&lt;&gt;""),"X",0))),"|",EURO2024!K49,"-",EURO2024!L49)</f>
        <v>2|0-2</v>
      </c>
      <c r="D41" s="833"/>
      <c r="E41" s="1"/>
      <c r="F41" s="1"/>
      <c r="G41" s="1"/>
      <c r="H41" s="1"/>
      <c r="I41" s="393"/>
      <c r="J41" s="1"/>
      <c r="K41" s="1"/>
      <c r="L41" s="1"/>
      <c r="M41" s="398"/>
      <c r="N41" s="399"/>
    </row>
    <row r="42" spans="1:14" ht="15" customHeight="1" x14ac:dyDescent="0.3">
      <c r="C42" s="13"/>
      <c r="D42" s="833"/>
      <c r="E42" s="1"/>
      <c r="F42" s="1"/>
      <c r="G42" s="1"/>
      <c r="H42" s="1"/>
      <c r="I42" s="393"/>
      <c r="J42" s="1"/>
      <c r="K42" s="1"/>
      <c r="L42" s="1"/>
      <c r="M42" s="398"/>
      <c r="N42" s="399"/>
    </row>
    <row r="43" spans="1:14" ht="19.2" customHeight="1" x14ac:dyDescent="0.35">
      <c r="B43" s="11" t="str">
        <f>Idiomas!D86</f>
        <v>POSICIÓN GRUPOS</v>
      </c>
      <c r="C43" s="13"/>
      <c r="D43" s="833"/>
      <c r="E43" s="1"/>
      <c r="F43" s="1"/>
      <c r="G43" s="1"/>
      <c r="H43" s="1"/>
      <c r="I43" s="393"/>
      <c r="J43" s="1"/>
      <c r="K43" s="1"/>
      <c r="L43" s="1"/>
      <c r="M43" s="398"/>
      <c r="N43" s="399"/>
    </row>
    <row r="44" spans="1:14" ht="15" customHeight="1" x14ac:dyDescent="0.3">
      <c r="A44" s="827" t="s">
        <v>18</v>
      </c>
      <c r="B44" s="7" t="str">
        <f>Idiomas!D96</f>
        <v>1º GRUPO A</v>
      </c>
      <c r="C44" s="13" t="str">
        <f ca="1">IF(SUM(EURO2024!$T$6:$T$9)=12,EURO2024!R6,B44)</f>
        <v>Alemania</v>
      </c>
      <c r="D44" s="833"/>
      <c r="E44" s="1"/>
      <c r="F44" s="1"/>
      <c r="G44" s="1"/>
      <c r="H44" s="1"/>
      <c r="I44" s="393"/>
      <c r="J44" s="1"/>
      <c r="K44" s="1"/>
      <c r="L44" s="1"/>
      <c r="M44" s="398"/>
      <c r="N44" s="399"/>
    </row>
    <row r="45" spans="1:14" ht="15" customHeight="1" x14ac:dyDescent="0.3">
      <c r="A45" s="827"/>
      <c r="B45" s="7" t="str">
        <f>Idiomas!D97</f>
        <v>2º GRUPO A</v>
      </c>
      <c r="C45" s="13" t="str">
        <f ca="1">IF(SUM(EURO2024!$T$6:$T$9)=12,EURO2024!R7,B45)</f>
        <v>Suiza</v>
      </c>
      <c r="D45" s="833"/>
      <c r="E45" s="1"/>
      <c r="F45" s="1"/>
      <c r="G45" s="1"/>
      <c r="H45" s="1"/>
      <c r="I45" s="393"/>
      <c r="J45" s="1"/>
      <c r="K45" s="1"/>
      <c r="L45" s="1"/>
      <c r="M45" s="398"/>
      <c r="N45" s="399"/>
    </row>
    <row r="46" spans="1:14" ht="15" customHeight="1" x14ac:dyDescent="0.3">
      <c r="A46" s="827"/>
      <c r="B46" s="7" t="str">
        <f>Idiomas!D98</f>
        <v>3º GRUPO A</v>
      </c>
      <c r="C46" s="13" t="str">
        <f ca="1">IF(SUM(EURO2024!$T$6:$T$9)=12,EURO2024!R8,B46)</f>
        <v>Hungría</v>
      </c>
      <c r="D46" s="833"/>
      <c r="E46" s="1"/>
      <c r="F46" s="1"/>
      <c r="G46" s="1"/>
      <c r="H46" s="1"/>
      <c r="I46" s="393"/>
      <c r="J46" s="1"/>
      <c r="K46" s="1"/>
      <c r="L46" s="1"/>
      <c r="M46" s="398"/>
      <c r="N46" s="399"/>
    </row>
    <row r="47" spans="1:14" ht="15" customHeight="1" x14ac:dyDescent="0.3">
      <c r="A47" s="827"/>
      <c r="B47" s="7" t="str">
        <f>Idiomas!D99</f>
        <v>4º GRUPO A</v>
      </c>
      <c r="C47" s="13" t="str">
        <f ca="1">IF(SUM(EURO2024!$T$6:$T$9)=12,EURO2024!R9,B47)</f>
        <v>Escocia</v>
      </c>
      <c r="D47" s="833"/>
      <c r="E47" s="1"/>
      <c r="F47" s="1"/>
      <c r="G47" s="1"/>
      <c r="H47" s="1"/>
      <c r="I47" s="393"/>
      <c r="J47" s="1"/>
      <c r="K47" s="1"/>
      <c r="L47" s="1"/>
      <c r="M47" s="398"/>
      <c r="N47" s="399"/>
    </row>
    <row r="48" spans="1:14" ht="15" customHeight="1" x14ac:dyDescent="0.3">
      <c r="A48" s="828" t="s">
        <v>60</v>
      </c>
      <c r="B48" s="7" t="str">
        <f>Idiomas!D100</f>
        <v>1º GRUPO B</v>
      </c>
      <c r="C48" s="13" t="str">
        <f ca="1">IF(SUM(EURO2024!$T$14:$T$17)=12,EURO2024!R14,B48)</f>
        <v>Croacia</v>
      </c>
      <c r="D48" s="833"/>
      <c r="E48" s="1"/>
      <c r="F48" s="1"/>
      <c r="G48" s="1"/>
      <c r="H48" s="1"/>
      <c r="I48" s="393"/>
      <c r="J48" s="1"/>
      <c r="K48" s="1"/>
      <c r="L48" s="1"/>
      <c r="M48" s="398"/>
      <c r="N48" s="399"/>
    </row>
    <row r="49" spans="1:14" ht="15" customHeight="1" x14ac:dyDescent="0.3">
      <c r="A49" s="828"/>
      <c r="B49" s="7" t="str">
        <f>Idiomas!D101</f>
        <v>2º GRUPO B</v>
      </c>
      <c r="C49" s="13" t="str">
        <f ca="1">IF(SUM(EURO2024!$T$14:$T$17)=12,EURO2024!R15,B49)</f>
        <v>Italia</v>
      </c>
      <c r="D49" s="833"/>
      <c r="E49" s="1"/>
      <c r="F49" s="1"/>
      <c r="G49" s="1"/>
      <c r="H49" s="1"/>
      <c r="I49" s="393"/>
      <c r="J49" s="1"/>
      <c r="K49" s="1"/>
      <c r="L49" s="1"/>
      <c r="M49" s="398"/>
      <c r="N49" s="399"/>
    </row>
    <row r="50" spans="1:14" x14ac:dyDescent="0.3">
      <c r="A50" s="828"/>
      <c r="B50" s="7" t="str">
        <f>Idiomas!D102</f>
        <v>3º GRUPO B</v>
      </c>
      <c r="C50" s="13" t="str">
        <f ca="1">IF(SUM(EURO2024!$T$14:$T$17)=12,EURO2024!R16,B50)</f>
        <v>España</v>
      </c>
      <c r="D50" s="833"/>
      <c r="E50" s="1"/>
      <c r="F50" s="1"/>
      <c r="G50" s="1"/>
      <c r="H50" s="1"/>
      <c r="I50" s="393"/>
      <c r="J50" s="1"/>
      <c r="K50" s="1"/>
      <c r="L50" s="1"/>
      <c r="M50" s="398"/>
      <c r="N50" s="399"/>
    </row>
    <row r="51" spans="1:14" x14ac:dyDescent="0.3">
      <c r="A51" s="828"/>
      <c r="B51" s="7" t="str">
        <f>Idiomas!D103</f>
        <v>4º GRUPO B</v>
      </c>
      <c r="C51" s="13" t="str">
        <f ca="1">IF(SUM(EURO2024!$T$14:$T$17)=12,EURO2024!R17,B51)</f>
        <v>Albania</v>
      </c>
      <c r="D51" s="833"/>
      <c r="E51" s="1"/>
      <c r="F51" s="1"/>
      <c r="G51" s="1"/>
      <c r="H51" s="1"/>
      <c r="I51" s="393"/>
      <c r="J51" s="1"/>
      <c r="K51" s="1"/>
      <c r="L51" s="1"/>
      <c r="M51" s="398"/>
      <c r="N51" s="399"/>
    </row>
    <row r="52" spans="1:14" x14ac:dyDescent="0.3">
      <c r="A52" s="829" t="s">
        <v>66</v>
      </c>
      <c r="B52" s="7" t="str">
        <f>Idiomas!D104</f>
        <v>1º GRUPO C</v>
      </c>
      <c r="C52" s="13" t="str">
        <f ca="1">IF(SUM(EURO2024!$T$22:$T$25)=12,EURO2024!R22,B52)</f>
        <v>Inglaterra</v>
      </c>
      <c r="D52" s="833"/>
      <c r="E52" s="1"/>
      <c r="F52" s="1"/>
      <c r="G52" s="1"/>
      <c r="H52" s="1"/>
      <c r="I52" s="393"/>
      <c r="J52" s="1"/>
      <c r="K52" s="1"/>
      <c r="L52" s="1"/>
      <c r="M52" s="398"/>
      <c r="N52" s="399"/>
    </row>
    <row r="53" spans="1:14" x14ac:dyDescent="0.3">
      <c r="A53" s="829"/>
      <c r="B53" s="7" t="str">
        <f>Idiomas!D105</f>
        <v>2º GRUPO C</v>
      </c>
      <c r="C53" s="13" t="str">
        <f ca="1">IF(SUM(EURO2024!$T$22:$T$25)=12,EURO2024!R23,B53)</f>
        <v>Serbia</v>
      </c>
      <c r="D53" s="833"/>
      <c r="E53" s="1"/>
      <c r="F53" s="1"/>
      <c r="G53" s="1"/>
      <c r="H53" s="1"/>
      <c r="I53" s="393"/>
      <c r="J53" s="1"/>
      <c r="K53" s="1"/>
      <c r="L53" s="1"/>
      <c r="M53" s="398"/>
      <c r="N53" s="399"/>
    </row>
    <row r="54" spans="1:14" x14ac:dyDescent="0.3">
      <c r="A54" s="829"/>
      <c r="B54" s="7" t="str">
        <f>Idiomas!D106</f>
        <v>3º GRUPO C</v>
      </c>
      <c r="C54" s="13" t="str">
        <f ca="1">IF(SUM(EURO2024!$T$22:$T$25)=12,EURO2024!R24,B54)</f>
        <v>Dinamarca</v>
      </c>
      <c r="D54" s="833"/>
      <c r="E54" s="1"/>
      <c r="F54" s="1"/>
      <c r="G54" s="1"/>
      <c r="H54" s="1"/>
      <c r="I54" s="393"/>
      <c r="J54" s="1"/>
      <c r="K54" s="1"/>
      <c r="L54" s="1"/>
      <c r="M54" s="398"/>
      <c r="N54" s="399"/>
    </row>
    <row r="55" spans="1:14" x14ac:dyDescent="0.3">
      <c r="A55" s="829"/>
      <c r="B55" s="7" t="str">
        <f>Idiomas!D107</f>
        <v>4º GRUPO C</v>
      </c>
      <c r="C55" s="13" t="str">
        <f ca="1">IF(SUM(EURO2024!$T$22:$T$25)=12,EURO2024!R25,B55)</f>
        <v>Eslovenia</v>
      </c>
      <c r="D55" s="833"/>
      <c r="E55" s="1"/>
      <c r="F55" s="1"/>
      <c r="G55" s="1"/>
      <c r="H55" s="1"/>
      <c r="I55" s="393"/>
      <c r="J55" s="1"/>
      <c r="K55" s="1"/>
      <c r="L55" s="1"/>
      <c r="M55" s="398"/>
      <c r="N55" s="399"/>
    </row>
    <row r="56" spans="1:14" x14ac:dyDescent="0.3">
      <c r="A56" s="823" t="s">
        <v>68</v>
      </c>
      <c r="B56" s="7" t="str">
        <f>Idiomas!D108</f>
        <v>1º GRUPO D</v>
      </c>
      <c r="C56" s="13" t="str">
        <f ca="1">IF(SUM(EURO2024!$T$30:$T$33)=12,EURO2024!R30,B56)</f>
        <v>Francia</v>
      </c>
      <c r="D56" s="833"/>
      <c r="E56" s="1"/>
      <c r="F56" s="1"/>
      <c r="G56" s="1"/>
      <c r="H56" s="1"/>
      <c r="I56" s="393"/>
      <c r="J56" s="1"/>
      <c r="K56" s="1"/>
      <c r="L56" s="1"/>
      <c r="M56" s="398"/>
      <c r="N56" s="399"/>
    </row>
    <row r="57" spans="1:14" x14ac:dyDescent="0.3">
      <c r="A57" s="823"/>
      <c r="B57" s="7" t="str">
        <f>Idiomas!D109</f>
        <v>2º GRUPO D</v>
      </c>
      <c r="C57" s="13" t="str">
        <f ca="1">IF(SUM(EURO2024!$T$30:$T$33)=12,EURO2024!R31,B57)</f>
        <v>Países Bajos</v>
      </c>
      <c r="D57" s="833"/>
      <c r="E57" s="1"/>
      <c r="F57" s="1"/>
      <c r="G57" s="1"/>
      <c r="H57" s="1"/>
      <c r="I57" s="393"/>
      <c r="J57" s="1"/>
      <c r="K57" s="1"/>
      <c r="L57" s="1"/>
      <c r="M57" s="398"/>
      <c r="N57" s="399"/>
    </row>
    <row r="58" spans="1:14" x14ac:dyDescent="0.3">
      <c r="A58" s="823"/>
      <c r="B58" s="7" t="str">
        <f>Idiomas!D110</f>
        <v>3º GRUPO D</v>
      </c>
      <c r="C58" s="13" t="str">
        <f ca="1">IF(SUM(EURO2024!$T$30:$T$33)=12,EURO2024!R32,B58)</f>
        <v>Polonia</v>
      </c>
      <c r="D58" s="833"/>
      <c r="E58" s="1"/>
      <c r="F58" s="1"/>
      <c r="G58" s="1"/>
      <c r="H58" s="1"/>
      <c r="I58" s="393"/>
      <c r="J58" s="1"/>
      <c r="K58" s="1"/>
      <c r="L58" s="1"/>
      <c r="M58" s="398"/>
      <c r="N58" s="399"/>
    </row>
    <row r="59" spans="1:14" x14ac:dyDescent="0.3">
      <c r="A59" s="823"/>
      <c r="B59" s="7" t="str">
        <f>Idiomas!D111</f>
        <v>4º GRUPO D</v>
      </c>
      <c r="C59" s="13" t="str">
        <f ca="1">IF(SUM(EURO2024!$T$30:$T$33)=12,EURO2024!R33,B59)</f>
        <v>Austria</v>
      </c>
      <c r="D59" s="833"/>
      <c r="E59" s="1"/>
      <c r="F59" s="1"/>
      <c r="G59" s="1"/>
      <c r="H59" s="1"/>
      <c r="I59" s="393"/>
      <c r="J59" s="1"/>
      <c r="K59" s="1"/>
      <c r="L59" s="1"/>
      <c r="M59" s="398"/>
      <c r="N59" s="399"/>
    </row>
    <row r="60" spans="1:14" x14ac:dyDescent="0.3">
      <c r="A60" s="825" t="s">
        <v>30</v>
      </c>
      <c r="B60" s="7" t="str">
        <f>Idiomas!D112</f>
        <v>1º GRUPO E</v>
      </c>
      <c r="C60" s="13" t="str">
        <f ca="1">IF(SUM(EURO2024!$T$38:$T$41)=12,EURO2024!R38,B60)</f>
        <v>Bélgica</v>
      </c>
      <c r="D60" s="833"/>
      <c r="E60" s="1"/>
      <c r="F60" s="1"/>
      <c r="G60" s="1"/>
      <c r="H60" s="1"/>
      <c r="I60" s="393"/>
      <c r="J60" s="1"/>
      <c r="K60" s="1"/>
      <c r="L60" s="1"/>
      <c r="M60" s="398"/>
      <c r="N60" s="399"/>
    </row>
    <row r="61" spans="1:14" x14ac:dyDescent="0.3">
      <c r="A61" s="825"/>
      <c r="B61" s="7" t="str">
        <f>Idiomas!D113</f>
        <v>2º GRUPO E</v>
      </c>
      <c r="C61" s="13" t="str">
        <f ca="1">IF(SUM(EURO2024!$T$38:$T$41)=12,EURO2024!R39,B61)</f>
        <v>Ucrania</v>
      </c>
      <c r="D61" s="833"/>
      <c r="E61" s="1"/>
      <c r="F61" s="1"/>
      <c r="G61" s="1"/>
      <c r="H61" s="1"/>
      <c r="I61" s="393"/>
      <c r="J61" s="1"/>
      <c r="K61" s="1"/>
      <c r="L61" s="1"/>
      <c r="M61" s="398"/>
      <c r="N61" s="399"/>
    </row>
    <row r="62" spans="1:14" x14ac:dyDescent="0.3">
      <c r="A62" s="825"/>
      <c r="B62" s="7" t="str">
        <f>Idiomas!D114</f>
        <v>3º GRUPO E</v>
      </c>
      <c r="C62" s="13" t="str">
        <f ca="1">IF(SUM(EURO2024!$T$38:$T$41)=12,EURO2024!R40,B62)</f>
        <v>Rumanía</v>
      </c>
      <c r="D62" s="833"/>
      <c r="E62" s="1"/>
      <c r="F62" s="1"/>
      <c r="G62" s="1"/>
      <c r="H62" s="1"/>
      <c r="I62" s="393"/>
      <c r="J62" s="1"/>
      <c r="K62" s="1"/>
      <c r="L62" s="1"/>
      <c r="M62" s="398"/>
      <c r="N62" s="399"/>
    </row>
    <row r="63" spans="1:14" x14ac:dyDescent="0.3">
      <c r="A63" s="825"/>
      <c r="B63" s="7" t="str">
        <f>Idiomas!D115</f>
        <v>4º GRUPO E</v>
      </c>
      <c r="C63" s="13" t="str">
        <f ca="1">IF(SUM(EURO2024!$T$38:$T$41)=12,EURO2024!R41,B63)</f>
        <v>Eslovaquia</v>
      </c>
      <c r="D63" s="833"/>
      <c r="E63" s="1"/>
      <c r="F63" s="1"/>
      <c r="G63" s="1"/>
      <c r="H63" s="1"/>
      <c r="I63" s="393"/>
      <c r="J63" s="1"/>
      <c r="K63" s="1"/>
      <c r="L63" s="1"/>
      <c r="M63" s="398"/>
      <c r="N63" s="399"/>
    </row>
    <row r="64" spans="1:14" x14ac:dyDescent="0.3">
      <c r="A64" s="824" t="s">
        <v>71</v>
      </c>
      <c r="B64" s="7" t="str">
        <f>Idiomas!D116</f>
        <v>1º GRUPO F</v>
      </c>
      <c r="C64" s="13" t="str">
        <f ca="1">IF(SUM(EURO2024!$T$46:$T$49)=12,EURO2024!R46,B64)</f>
        <v>Portugal</v>
      </c>
      <c r="D64" s="833"/>
      <c r="E64" s="1"/>
      <c r="F64" s="1"/>
      <c r="G64" s="1"/>
      <c r="H64" s="1"/>
      <c r="I64" s="393"/>
      <c r="J64" s="1"/>
      <c r="K64" s="1"/>
      <c r="L64" s="1"/>
      <c r="M64" s="398"/>
      <c r="N64" s="399"/>
    </row>
    <row r="65" spans="1:14" x14ac:dyDescent="0.3">
      <c r="A65" s="824"/>
      <c r="B65" s="7" t="str">
        <f>Idiomas!D117</f>
        <v>2º GRUPO F</v>
      </c>
      <c r="C65" s="13" t="str">
        <f ca="1">IF(SUM(EURO2024!$T$46:$T$49)=12,EURO2024!R47,B65)</f>
        <v>Turquía</v>
      </c>
      <c r="D65" s="833"/>
      <c r="E65" s="1"/>
      <c r="F65" s="1"/>
      <c r="G65" s="1"/>
      <c r="H65" s="1"/>
      <c r="I65" s="393"/>
      <c r="J65" s="1"/>
      <c r="K65" s="1"/>
      <c r="L65" s="1"/>
      <c r="M65" s="398"/>
      <c r="N65" s="399"/>
    </row>
    <row r="66" spans="1:14" x14ac:dyDescent="0.3">
      <c r="A66" s="824"/>
      <c r="B66" s="7" t="str">
        <f>Idiomas!D118</f>
        <v>3º GRUPO F</v>
      </c>
      <c r="C66" s="13" t="str">
        <f ca="1">IF(SUM(EURO2024!$T$46:$T$49)=12,EURO2024!R48,B66)</f>
        <v>Georgia</v>
      </c>
      <c r="D66" s="833"/>
      <c r="E66" s="1"/>
      <c r="F66" s="1"/>
      <c r="G66" s="1"/>
      <c r="H66" s="1"/>
      <c r="I66" s="393"/>
      <c r="J66" s="1"/>
      <c r="K66" s="1"/>
      <c r="L66" s="1"/>
      <c r="M66" s="398"/>
      <c r="N66" s="399"/>
    </row>
    <row r="67" spans="1:14" x14ac:dyDescent="0.3">
      <c r="A67" s="824"/>
      <c r="B67" s="7" t="str">
        <f>Idiomas!D119</f>
        <v>4º GRUPO F</v>
      </c>
      <c r="C67" s="13" t="str">
        <f ca="1">IF(SUM(EURO2024!$T$46:$T$49)=12,EURO2024!R49,B67)</f>
        <v>República Checa</v>
      </c>
      <c r="D67" s="833"/>
      <c r="E67" s="1"/>
      <c r="F67" s="1"/>
      <c r="G67" s="1"/>
      <c r="H67" s="1"/>
      <c r="I67" s="393"/>
      <c r="J67" s="1"/>
      <c r="K67" s="1"/>
      <c r="L67" s="1"/>
      <c r="M67" s="398"/>
      <c r="N67" s="399"/>
    </row>
    <row r="68" spans="1:14" x14ac:dyDescent="0.3">
      <c r="C68" s="13"/>
      <c r="D68" s="833"/>
      <c r="E68" s="1"/>
      <c r="F68" s="1"/>
      <c r="G68" s="1"/>
      <c r="H68" s="1"/>
      <c r="I68" s="393"/>
      <c r="J68" s="1"/>
      <c r="K68" s="1"/>
      <c r="L68" s="1"/>
      <c r="M68" s="398"/>
      <c r="N68" s="399"/>
    </row>
    <row r="69" spans="1:14" ht="18" x14ac:dyDescent="0.35">
      <c r="B69" s="11" t="str">
        <f>Idiomas!D87</f>
        <v>CLASIFICADOS PARA OCTAVOS</v>
      </c>
      <c r="C69" s="13"/>
      <c r="D69" s="833"/>
      <c r="E69" s="1"/>
      <c r="F69" s="1"/>
      <c r="G69" s="1"/>
      <c r="H69" s="1"/>
      <c r="I69" s="393"/>
      <c r="J69" s="1"/>
      <c r="K69" s="1"/>
      <c r="L69" s="1"/>
      <c r="M69" s="398"/>
      <c r="N69" s="399"/>
    </row>
    <row r="70" spans="1:14" ht="15" customHeight="1" x14ac:dyDescent="0.3">
      <c r="A70" s="826" t="s">
        <v>88</v>
      </c>
      <c r="B70" s="7" t="str">
        <f>Idiomas!$D$120</f>
        <v>Octavofinalista</v>
      </c>
      <c r="C70" s="13" t="str">
        <f ca="1">EURO2024!I65</f>
        <v>Suiza</v>
      </c>
      <c r="D70" s="833"/>
      <c r="E70" s="1"/>
      <c r="F70" s="1"/>
      <c r="G70" s="1"/>
      <c r="H70" s="1"/>
      <c r="I70" s="393"/>
      <c r="J70" s="1"/>
      <c r="K70" s="1"/>
      <c r="L70" s="1"/>
      <c r="M70" s="398"/>
      <c r="N70" s="399"/>
    </row>
    <row r="71" spans="1:14" ht="15" customHeight="1" x14ac:dyDescent="0.3">
      <c r="A71" s="826"/>
      <c r="B71" s="7" t="str">
        <f>B70</f>
        <v>Octavofinalista</v>
      </c>
      <c r="C71" s="13" t="str">
        <f ca="1">EURO2024!I66</f>
        <v>Alemania</v>
      </c>
      <c r="D71" s="833"/>
      <c r="E71" s="1"/>
      <c r="F71" s="1"/>
      <c r="G71" s="1"/>
      <c r="H71" s="1"/>
      <c r="I71" s="393"/>
      <c r="J71" s="1"/>
      <c r="K71" s="1"/>
      <c r="L71" s="1"/>
      <c r="M71" s="398"/>
      <c r="N71" s="399"/>
    </row>
    <row r="72" spans="1:14" ht="15" customHeight="1" x14ac:dyDescent="0.3">
      <c r="A72" s="826"/>
      <c r="B72" s="7" t="str">
        <f t="shared" ref="B72:B85" si="0">B71</f>
        <v>Octavofinalista</v>
      </c>
      <c r="C72" s="13" t="str">
        <f ca="1">EURO2024!I67</f>
        <v>Inglaterra</v>
      </c>
      <c r="D72" s="833"/>
      <c r="E72" s="1"/>
      <c r="F72" s="1"/>
      <c r="G72" s="1"/>
      <c r="H72" s="1"/>
      <c r="I72" s="393"/>
      <c r="J72" s="1"/>
      <c r="K72" s="1"/>
      <c r="L72" s="1"/>
      <c r="M72" s="398"/>
      <c r="N72" s="399"/>
    </row>
    <row r="73" spans="1:14" ht="15" customHeight="1" x14ac:dyDescent="0.3">
      <c r="A73" s="826"/>
      <c r="B73" s="7" t="str">
        <f t="shared" si="0"/>
        <v>Octavofinalista</v>
      </c>
      <c r="C73" s="13" t="str">
        <f ca="1">EURO2024!I68</f>
        <v>Croacia</v>
      </c>
      <c r="D73" s="833"/>
      <c r="E73" s="1"/>
      <c r="F73" s="1"/>
      <c r="G73" s="1"/>
      <c r="H73" s="1"/>
      <c r="I73" s="393"/>
      <c r="J73" s="1"/>
      <c r="K73" s="1"/>
      <c r="L73" s="1"/>
      <c r="M73" s="398"/>
      <c r="N73" s="399"/>
    </row>
    <row r="74" spans="1:14" ht="15" customHeight="1" x14ac:dyDescent="0.3">
      <c r="A74" s="826"/>
      <c r="B74" s="7" t="str">
        <f t="shared" si="0"/>
        <v>Octavofinalista</v>
      </c>
      <c r="C74" s="13" t="str">
        <f ca="1">EURO2024!I69</f>
        <v>Países Bajos</v>
      </c>
      <c r="D74" s="833"/>
      <c r="E74" s="1"/>
      <c r="F74" s="1"/>
      <c r="G74" s="1"/>
      <c r="H74" s="1"/>
      <c r="I74" s="393"/>
      <c r="J74" s="1"/>
      <c r="K74" s="1"/>
      <c r="L74" s="1"/>
      <c r="M74" s="398"/>
      <c r="N74" s="399"/>
    </row>
    <row r="75" spans="1:14" ht="15" customHeight="1" x14ac:dyDescent="0.3">
      <c r="A75" s="826"/>
      <c r="B75" s="7" t="str">
        <f t="shared" si="0"/>
        <v>Octavofinalista</v>
      </c>
      <c r="C75" s="13" t="str">
        <f ca="1">EURO2024!I70</f>
        <v>Portugal</v>
      </c>
      <c r="D75" s="833"/>
      <c r="E75" s="1"/>
      <c r="F75" s="1"/>
      <c r="G75" s="1"/>
      <c r="H75" s="1"/>
      <c r="I75" s="393"/>
      <c r="J75" s="1"/>
      <c r="K75" s="1"/>
      <c r="L75" s="1"/>
      <c r="M75" s="398"/>
      <c r="N75" s="399"/>
    </row>
    <row r="76" spans="1:14" ht="15" customHeight="1" x14ac:dyDescent="0.3">
      <c r="A76" s="826"/>
      <c r="B76" s="7" t="str">
        <f t="shared" si="0"/>
        <v>Octavofinalista</v>
      </c>
      <c r="C76" s="13" t="str">
        <f ca="1">EURO2024!I71</f>
        <v>Bélgica</v>
      </c>
      <c r="D76" s="833"/>
      <c r="E76" s="1"/>
      <c r="F76" s="1"/>
      <c r="G76" s="1"/>
      <c r="H76" s="1"/>
      <c r="I76" s="393"/>
      <c r="J76" s="1"/>
      <c r="K76" s="1"/>
      <c r="L76" s="1"/>
      <c r="M76" s="398"/>
      <c r="N76" s="399"/>
    </row>
    <row r="77" spans="1:14" ht="15" customHeight="1" x14ac:dyDescent="0.3">
      <c r="A77" s="826"/>
      <c r="B77" s="7" t="str">
        <f t="shared" si="0"/>
        <v>Octavofinalista</v>
      </c>
      <c r="C77" s="13" t="str">
        <f ca="1">EURO2024!I72</f>
        <v>Francia</v>
      </c>
      <c r="D77" s="833"/>
      <c r="E77" s="1"/>
      <c r="F77" s="1"/>
      <c r="G77" s="1"/>
      <c r="H77" s="1"/>
      <c r="I77" s="393"/>
      <c r="J77" s="1"/>
      <c r="K77" s="1"/>
      <c r="L77" s="1"/>
      <c r="M77" s="398"/>
      <c r="N77" s="399"/>
    </row>
    <row r="78" spans="1:14" ht="15" customHeight="1" x14ac:dyDescent="0.3">
      <c r="A78" s="826"/>
      <c r="B78" s="7" t="str">
        <f t="shared" si="0"/>
        <v>Octavofinalista</v>
      </c>
      <c r="C78" s="13" t="str">
        <f ca="1">EURO2024!N65</f>
        <v>Italia</v>
      </c>
      <c r="D78" s="833"/>
      <c r="E78" s="1"/>
      <c r="F78" s="1"/>
      <c r="G78" s="1"/>
      <c r="H78" s="1"/>
      <c r="I78" s="393"/>
      <c r="J78" s="1"/>
      <c r="K78" s="1"/>
      <c r="L78" s="1"/>
      <c r="M78" s="398"/>
      <c r="N78" s="399"/>
    </row>
    <row r="79" spans="1:14" ht="15" customHeight="1" x14ac:dyDescent="0.3">
      <c r="A79" s="826"/>
      <c r="B79" s="7" t="str">
        <f t="shared" si="0"/>
        <v>Octavofinalista</v>
      </c>
      <c r="C79" s="13" t="str">
        <f ca="1">EURO2024!N66</f>
        <v>Serbia</v>
      </c>
      <c r="D79" s="833"/>
      <c r="E79" s="1"/>
      <c r="F79" s="1"/>
      <c r="G79" s="1"/>
      <c r="H79" s="1"/>
      <c r="I79" s="393"/>
      <c r="J79" s="1"/>
      <c r="K79" s="1"/>
      <c r="L79" s="1"/>
      <c r="M79" s="398"/>
      <c r="N79" s="399"/>
    </row>
    <row r="80" spans="1:14" ht="15" customHeight="1" x14ac:dyDescent="0.3">
      <c r="A80" s="826"/>
      <c r="B80" s="7" t="str">
        <f t="shared" si="0"/>
        <v>Octavofinalista</v>
      </c>
      <c r="C80" s="13" t="str">
        <f ca="1">EURO2024!N67</f>
        <v>Polonia</v>
      </c>
      <c r="D80" s="833"/>
      <c r="E80" s="1"/>
      <c r="F80" s="1"/>
      <c r="G80" s="1"/>
      <c r="H80" s="1"/>
      <c r="I80" s="393"/>
      <c r="J80" s="1"/>
      <c r="K80" s="1"/>
      <c r="L80" s="1"/>
      <c r="M80" s="398"/>
      <c r="N80" s="399"/>
    </row>
    <row r="81" spans="1:14" ht="15" customHeight="1" x14ac:dyDescent="0.3">
      <c r="A81" s="826"/>
      <c r="B81" s="7" t="str">
        <f t="shared" si="0"/>
        <v>Octavofinalista</v>
      </c>
      <c r="C81" s="13" t="str">
        <f ca="1">EURO2024!N68</f>
        <v>Hungría</v>
      </c>
      <c r="D81" s="833"/>
      <c r="E81" s="1"/>
      <c r="F81" s="1"/>
      <c r="G81" s="1"/>
      <c r="H81" s="1"/>
      <c r="I81" s="393"/>
      <c r="J81" s="1"/>
      <c r="K81" s="1"/>
      <c r="L81" s="1"/>
      <c r="M81" s="398"/>
      <c r="N81" s="399"/>
    </row>
    <row r="82" spans="1:14" ht="15" customHeight="1" x14ac:dyDescent="0.3">
      <c r="A82" s="826"/>
      <c r="B82" s="7" t="str">
        <f t="shared" si="0"/>
        <v>Octavofinalista</v>
      </c>
      <c r="C82" s="13" t="str">
        <f ca="1">EURO2024!N69</f>
        <v>Ucrania</v>
      </c>
      <c r="D82" s="833"/>
      <c r="E82" s="1"/>
      <c r="F82" s="1"/>
      <c r="G82" s="1"/>
      <c r="H82" s="1"/>
      <c r="I82" s="393"/>
      <c r="J82" s="1"/>
      <c r="K82" s="1"/>
      <c r="L82" s="1"/>
      <c r="M82" s="398"/>
      <c r="N82" s="399"/>
    </row>
    <row r="83" spans="1:14" ht="15" customHeight="1" x14ac:dyDescent="0.3">
      <c r="A83" s="826"/>
      <c r="B83" s="7" t="str">
        <f t="shared" si="0"/>
        <v>Octavofinalista</v>
      </c>
      <c r="C83" s="13" t="str">
        <f ca="1">EURO2024!N70</f>
        <v>Dinamarca</v>
      </c>
      <c r="D83" s="833"/>
      <c r="E83" s="1"/>
      <c r="F83" s="1"/>
      <c r="G83" s="1"/>
      <c r="H83" s="1"/>
      <c r="I83" s="393"/>
      <c r="J83" s="1"/>
      <c r="K83" s="1"/>
      <c r="L83" s="1"/>
      <c r="M83" s="398"/>
      <c r="N83" s="399"/>
    </row>
    <row r="84" spans="1:14" ht="15" customHeight="1" x14ac:dyDescent="0.3">
      <c r="A84" s="826"/>
      <c r="B84" s="7" t="str">
        <f t="shared" si="0"/>
        <v>Octavofinalista</v>
      </c>
      <c r="C84" s="13" t="str">
        <f ca="1">EURO2024!N71</f>
        <v>España</v>
      </c>
      <c r="D84" s="833"/>
      <c r="E84" s="1"/>
      <c r="F84" s="1"/>
      <c r="G84" s="1"/>
      <c r="H84" s="1"/>
      <c r="I84" s="393"/>
      <c r="J84" s="1"/>
      <c r="K84" s="1"/>
      <c r="L84" s="1"/>
      <c r="M84" s="398"/>
      <c r="N84" s="399"/>
    </row>
    <row r="85" spans="1:14" ht="15" customHeight="1" x14ac:dyDescent="0.3">
      <c r="A85" s="826"/>
      <c r="B85" s="7" t="str">
        <f t="shared" si="0"/>
        <v>Octavofinalista</v>
      </c>
      <c r="C85" s="13" t="str">
        <f ca="1">EURO2024!N72</f>
        <v>Turquía</v>
      </c>
      <c r="D85" s="833"/>
      <c r="E85" s="1"/>
      <c r="F85" s="1"/>
      <c r="G85" s="1"/>
      <c r="H85" s="1"/>
      <c r="I85" s="400"/>
      <c r="J85" s="1"/>
      <c r="K85" s="1"/>
      <c r="L85" s="1"/>
      <c r="M85" s="398"/>
      <c r="N85" s="399"/>
    </row>
    <row r="86" spans="1:14" ht="19.95" customHeight="1" x14ac:dyDescent="0.3">
      <c r="C86" s="13"/>
      <c r="D86" s="1"/>
      <c r="E86" s="842" t="str">
        <f>Idiomas!D75</f>
        <v>·Si haceis todas las eliminatorias de golpe, copiar de la C88 a la C132 y pegar valores en la plantilla de Administrador.</v>
      </c>
      <c r="F86" s="843"/>
      <c r="G86" s="843"/>
      <c r="H86" s="843"/>
      <c r="I86" s="843"/>
      <c r="J86" s="843"/>
      <c r="K86" s="843"/>
      <c r="L86" s="844"/>
      <c r="M86" s="384"/>
      <c r="N86" s="399"/>
    </row>
    <row r="87" spans="1:14" ht="22.95" customHeight="1" x14ac:dyDescent="0.35">
      <c r="B87" s="11" t="str">
        <f>Idiomas!D88</f>
        <v>ENFRENTAMIENTOS OCTAVOS</v>
      </c>
      <c r="C87" s="13"/>
      <c r="D87" s="1"/>
      <c r="E87" s="845" t="str">
        <f>Idiomas!D76</f>
        <v>·Si haceis eliminatoria a eliminatoria seguir las instrucciones de cada eliminatoria.</v>
      </c>
      <c r="F87" s="841"/>
      <c r="G87" s="841"/>
      <c r="H87" s="841"/>
      <c r="I87" s="841"/>
      <c r="J87" s="841"/>
      <c r="K87" s="841"/>
      <c r="L87" s="846"/>
      <c r="M87" s="382"/>
      <c r="N87" s="399"/>
    </row>
    <row r="88" spans="1:14" ht="15" customHeight="1" x14ac:dyDescent="0.3">
      <c r="A88" s="826" t="s">
        <v>88</v>
      </c>
      <c r="B88" t="str">
        <f ca="1">CONCATENATE(EURO2024!I65,"-",EURO2024!N65)</f>
        <v>Suiza-Italia</v>
      </c>
      <c r="C88" s="13" t="str">
        <f ca="1">CONCATENATE(EURO2024!I65,"-",EURO2024!N65,"·",IF(EURO2024!K65&gt;EURO2024!L65,1,IF(EURO2024!K65&lt;EURO2024!L65,2,IF(AND(EURO2024!K65=EURO2024!L65,EURO2024!K65&lt;&gt;"",EURO2024!L65&lt;&gt;""),"X",0))),"|",EURO2024!K65,"-",EURO2024!L65)</f>
        <v>Suiza-Italia·2|0-1</v>
      </c>
      <c r="D88" s="822" t="s">
        <v>88</v>
      </c>
      <c r="E88" s="834" t="str">
        <f>Idiomas!D77</f>
        <v>·Para los octavos selecciona de la C88 a la C105 y pega valores en la plantilla de administrador.</v>
      </c>
      <c r="F88" s="835"/>
      <c r="G88" s="835"/>
      <c r="H88" s="835"/>
      <c r="I88" s="383"/>
      <c r="J88" s="1"/>
      <c r="K88" s="1"/>
      <c r="L88" s="1"/>
      <c r="M88" s="382"/>
      <c r="N88" s="399"/>
    </row>
    <row r="89" spans="1:14" ht="15" customHeight="1" x14ac:dyDescent="0.3">
      <c r="A89" s="826"/>
      <c r="B89" t="str">
        <f ca="1">CONCATENATE(EURO2024!I66,"-",EURO2024!N66)</f>
        <v>Alemania-Serbia</v>
      </c>
      <c r="C89" s="13" t="str">
        <f ca="1">CONCATENATE(EURO2024!I66,"-",EURO2024!N66,"·",IF(EURO2024!K66&gt;EURO2024!L66,1,IF(EURO2024!K66&lt;EURO2024!L66,2,IF(AND(EURO2024!K66=EURO2024!L66,EURO2024!K66&lt;&gt;"",EURO2024!L66&lt;&gt;""),"X",0))),"|",EURO2024!K66,"-",EURO2024!L66)</f>
        <v>Alemania-Serbia·1|2-1</v>
      </c>
      <c r="D89" s="822"/>
      <c r="E89" s="836"/>
      <c r="F89" s="837"/>
      <c r="G89" s="837"/>
      <c r="H89" s="837"/>
      <c r="I89" s="383"/>
      <c r="J89" s="1"/>
      <c r="K89" s="1"/>
      <c r="L89" s="1"/>
      <c r="M89" s="382"/>
      <c r="N89" s="399"/>
    </row>
    <row r="90" spans="1:14" ht="15" customHeight="1" x14ac:dyDescent="0.3">
      <c r="A90" s="826"/>
      <c r="B90" t="str">
        <f ca="1">CONCATENATE(EURO2024!I67,"-",EURO2024!N67)</f>
        <v>Inglaterra-Polonia</v>
      </c>
      <c r="C90" s="13" t="str">
        <f ca="1">CONCATENATE(EURO2024!I67,"-",EURO2024!N67,"·",IF(EURO2024!K67&gt;EURO2024!L67,1,IF(EURO2024!K67&lt;EURO2024!L67,2,IF(AND(EURO2024!K67=EURO2024!L67,EURO2024!K67&lt;&gt;"",EURO2024!L67&lt;&gt;""),"X",0))),"|",EURO2024!K67,"-",EURO2024!L67)</f>
        <v>Inglaterra-Polonia·1|3-1</v>
      </c>
      <c r="D90" s="822"/>
      <c r="E90" s="836"/>
      <c r="F90" s="837"/>
      <c r="G90" s="837"/>
      <c r="H90" s="837"/>
      <c r="I90" s="383"/>
      <c r="J90" s="1"/>
      <c r="K90" s="1"/>
      <c r="L90" s="1"/>
      <c r="M90" s="382"/>
      <c r="N90" s="399"/>
    </row>
    <row r="91" spans="1:14" ht="15" customHeight="1" x14ac:dyDescent="0.3">
      <c r="A91" s="826"/>
      <c r="B91" t="str">
        <f ca="1">CONCATENATE(EURO2024!I68,"-",EURO2024!N68)</f>
        <v>Croacia-Hungría</v>
      </c>
      <c r="C91" s="13" t="str">
        <f ca="1">CONCATENATE(EURO2024!I68,"-",EURO2024!N68,"·",IF(EURO2024!K68&gt;EURO2024!L68,1,IF(EURO2024!K68&lt;EURO2024!L68,2,IF(AND(EURO2024!K68=EURO2024!L68,EURO2024!K68&lt;&gt;"",EURO2024!L68&lt;&gt;""),"X",0))),"|",EURO2024!K68,"-",EURO2024!L68)</f>
        <v>Croacia-Hungría·1|2-0</v>
      </c>
      <c r="D91" s="822"/>
      <c r="E91" s="836"/>
      <c r="F91" s="837"/>
      <c r="G91" s="837"/>
      <c r="H91" s="837"/>
      <c r="I91" s="383"/>
      <c r="J91" s="1"/>
      <c r="K91" s="1"/>
      <c r="L91" s="1"/>
      <c r="M91" s="382"/>
      <c r="N91" s="399"/>
    </row>
    <row r="92" spans="1:14" ht="15" customHeight="1" x14ac:dyDescent="0.3">
      <c r="A92" s="826"/>
      <c r="B92" t="str">
        <f ca="1">CONCATENATE(EURO2024!I69,"-",EURO2024!N69)</f>
        <v>Países Bajos-Ucrania</v>
      </c>
      <c r="C92" s="13" t="str">
        <f ca="1">CONCATENATE(EURO2024!I69,"-",EURO2024!N69,"·",IF(EURO2024!K69&gt;EURO2024!L69,1,IF(EURO2024!K69&lt;EURO2024!L69,2,IF(AND(EURO2024!K69=EURO2024!L69,EURO2024!K69&lt;&gt;"",EURO2024!L69&lt;&gt;""),"X",0))),"|",EURO2024!K69,"-",EURO2024!L69)</f>
        <v>Países Bajos-Ucrania·X|1-1</v>
      </c>
      <c r="D92" s="822"/>
      <c r="E92" s="1"/>
      <c r="F92" s="1"/>
      <c r="G92" s="1"/>
      <c r="H92" s="1"/>
      <c r="I92" s="383"/>
      <c r="J92" s="1"/>
      <c r="K92" s="1"/>
      <c r="L92" s="1"/>
      <c r="M92" s="382"/>
      <c r="N92" s="399"/>
    </row>
    <row r="93" spans="1:14" ht="15" customHeight="1" x14ac:dyDescent="0.3">
      <c r="A93" s="826"/>
      <c r="B93" t="str">
        <f ca="1">CONCATENATE(EURO2024!I70,"-",EURO2024!N70)</f>
        <v>Portugal-Dinamarca</v>
      </c>
      <c r="C93" s="13" t="str">
        <f ca="1">CONCATENATE(EURO2024!I70,"-",EURO2024!N70,"·",IF(EURO2024!K70&gt;EURO2024!L70,1,IF(EURO2024!K70&lt;EURO2024!L70,2,IF(AND(EURO2024!K70=EURO2024!L70,EURO2024!K70&lt;&gt;"",EURO2024!L70&lt;&gt;""),"X",0))),"|",EURO2024!K70,"-",EURO2024!L70)</f>
        <v>Portugal-Dinamarca·1|2-0</v>
      </c>
      <c r="D93" s="822"/>
      <c r="E93" s="1"/>
      <c r="F93" s="1"/>
      <c r="G93" s="1"/>
      <c r="H93" s="1"/>
      <c r="I93" s="383"/>
      <c r="J93" s="1"/>
      <c r="K93" s="1"/>
      <c r="L93" s="1"/>
      <c r="M93" s="382"/>
      <c r="N93" s="399"/>
    </row>
    <row r="94" spans="1:14" ht="15" customHeight="1" x14ac:dyDescent="0.3">
      <c r="A94" s="826"/>
      <c r="B94" t="str">
        <f ca="1">CONCATENATE(EURO2024!I71,"-",EURO2024!N71)</f>
        <v>Bélgica-España</v>
      </c>
      <c r="C94" s="13" t="str">
        <f ca="1">CONCATENATE(EURO2024!I71,"-",EURO2024!N71,"·",IF(EURO2024!K71&gt;EURO2024!L71,1,IF(EURO2024!K71&lt;EURO2024!L71,2,IF(AND(EURO2024!K71=EURO2024!L71,EURO2024!K71&lt;&gt;"",EURO2024!L71&lt;&gt;""),"X",0))),"|",EURO2024!K71,"-",EURO2024!L71)</f>
        <v>Bélgica-España·1|2-1</v>
      </c>
      <c r="D94" s="822"/>
      <c r="E94" s="1"/>
      <c r="F94" s="1"/>
      <c r="G94" s="1"/>
      <c r="H94" s="1"/>
      <c r="I94" s="383"/>
      <c r="J94" s="1"/>
      <c r="K94" s="1"/>
      <c r="L94" s="1"/>
      <c r="M94" s="382"/>
      <c r="N94" s="399"/>
    </row>
    <row r="95" spans="1:14" ht="15" customHeight="1" x14ac:dyDescent="0.3">
      <c r="A95" s="826"/>
      <c r="B95" t="str">
        <f ca="1">CONCATENATE(EURO2024!I72,"-",EURO2024!N72)</f>
        <v>Francia-Turquía</v>
      </c>
      <c r="C95" s="13" t="str">
        <f ca="1">CONCATENATE(EURO2024!I72,"-",EURO2024!N72,"·",IF(EURO2024!K72&gt;EURO2024!L72,1,IF(EURO2024!K72&lt;EURO2024!L72,2,IF(AND(EURO2024!K72=EURO2024!L72,EURO2024!K72&lt;&gt;"",EURO2024!L72&lt;&gt;""),"X",0))),"|",EURO2024!K72,"-",EURO2024!L72)</f>
        <v>Francia-Turquía·1|3-1</v>
      </c>
      <c r="D95" s="822"/>
      <c r="E95" s="1"/>
      <c r="F95" s="1"/>
      <c r="G95" s="1"/>
      <c r="H95" s="1"/>
      <c r="I95" s="383"/>
      <c r="J95" s="1"/>
      <c r="K95" s="1"/>
      <c r="L95" s="1"/>
      <c r="M95" s="382"/>
      <c r="N95" s="399"/>
    </row>
    <row r="96" spans="1:14" ht="15" customHeight="1" x14ac:dyDescent="0.3">
      <c r="C96" s="13"/>
      <c r="D96" s="822"/>
      <c r="E96" s="1"/>
      <c r="F96" s="1"/>
      <c r="G96" s="1"/>
      <c r="H96" s="1"/>
      <c r="I96" s="383"/>
      <c r="J96" s="1"/>
      <c r="K96" s="1"/>
      <c r="L96" s="1"/>
      <c r="M96" s="382"/>
      <c r="N96" s="399"/>
    </row>
    <row r="97" spans="1:14" ht="19.2" customHeight="1" x14ac:dyDescent="0.35">
      <c r="B97" s="11" t="str">
        <f>Idiomas!D89</f>
        <v>CLASIFICADOS PARA CUARTOS</v>
      </c>
      <c r="C97" s="13"/>
      <c r="D97" s="822"/>
      <c r="E97" s="1"/>
      <c r="F97" s="1"/>
      <c r="G97" s="1"/>
      <c r="H97" s="1"/>
      <c r="I97" s="383"/>
      <c r="J97" s="1"/>
      <c r="K97" s="1"/>
      <c r="L97" s="1"/>
      <c r="M97" s="382"/>
      <c r="N97" s="399"/>
    </row>
    <row r="98" spans="1:14" ht="15" customHeight="1" x14ac:dyDescent="0.3">
      <c r="A98" s="826" t="s">
        <v>115</v>
      </c>
      <c r="B98" s="7" t="str">
        <f>Idiomas!$D$121</f>
        <v>Cuartofinalista</v>
      </c>
      <c r="C98" s="13" t="str">
        <f ca="1">EURO2024!I76</f>
        <v>Croacia</v>
      </c>
      <c r="D98" s="822"/>
      <c r="E98" s="1"/>
      <c r="F98" s="1"/>
      <c r="G98" s="1"/>
      <c r="H98" s="1"/>
      <c r="I98" s="383"/>
      <c r="J98" s="1"/>
      <c r="K98" s="1"/>
      <c r="L98" s="1"/>
      <c r="M98" s="382"/>
      <c r="N98" s="399"/>
    </row>
    <row r="99" spans="1:14" ht="15" customHeight="1" x14ac:dyDescent="0.3">
      <c r="A99" s="826"/>
      <c r="B99" s="7" t="str">
        <f>B98</f>
        <v>Cuartofinalista</v>
      </c>
      <c r="C99" s="13" t="str">
        <f ca="1">EURO2024!I77</f>
        <v>Portugal</v>
      </c>
      <c r="D99" s="822"/>
      <c r="E99" s="1"/>
      <c r="F99" s="1"/>
      <c r="G99" s="1"/>
      <c r="H99" s="1"/>
      <c r="I99" s="383"/>
      <c r="J99" s="1"/>
      <c r="K99" s="1"/>
      <c r="L99" s="1"/>
      <c r="M99" s="382"/>
      <c r="N99" s="399"/>
    </row>
    <row r="100" spans="1:14" ht="15" customHeight="1" x14ac:dyDescent="0.3">
      <c r="A100" s="826"/>
      <c r="B100" s="7" t="str">
        <f t="shared" ref="B100:B105" si="1">B99</f>
        <v>Cuartofinalista</v>
      </c>
      <c r="C100" s="13" t="str">
        <f ca="1">EURO2024!I78</f>
        <v>Inglaterra</v>
      </c>
      <c r="D100" s="822"/>
      <c r="E100" s="1"/>
      <c r="F100" s="1"/>
      <c r="G100" s="1"/>
      <c r="H100" s="1"/>
      <c r="I100" s="383"/>
      <c r="J100" s="1"/>
      <c r="K100" s="1"/>
      <c r="L100" s="1"/>
      <c r="M100" s="382"/>
      <c r="N100" s="399"/>
    </row>
    <row r="101" spans="1:14" ht="15" customHeight="1" x14ac:dyDescent="0.3">
      <c r="A101" s="826"/>
      <c r="B101" s="7" t="str">
        <f t="shared" si="1"/>
        <v>Cuartofinalista</v>
      </c>
      <c r="C101" s="13" t="str">
        <f ca="1">EURO2024!I79</f>
        <v>Bélgica</v>
      </c>
      <c r="D101" s="822"/>
      <c r="E101" s="1"/>
      <c r="F101" s="1"/>
      <c r="G101" s="1"/>
      <c r="H101" s="1"/>
      <c r="I101" s="383"/>
      <c r="J101" s="1"/>
      <c r="K101" s="1"/>
      <c r="L101" s="1"/>
      <c r="M101" s="382"/>
      <c r="N101" s="399"/>
    </row>
    <row r="102" spans="1:14" ht="15" customHeight="1" x14ac:dyDescent="0.3">
      <c r="A102" s="826"/>
      <c r="B102" s="7" t="str">
        <f t="shared" si="1"/>
        <v>Cuartofinalista</v>
      </c>
      <c r="C102" s="13" t="str">
        <f ca="1">EURO2024!N76</f>
        <v>Alemania</v>
      </c>
      <c r="D102" s="822"/>
      <c r="E102" s="1"/>
      <c r="F102" s="1"/>
      <c r="G102" s="1"/>
      <c r="H102" s="1"/>
      <c r="I102" s="383"/>
      <c r="J102" s="1"/>
      <c r="K102" s="1"/>
      <c r="L102" s="1"/>
      <c r="M102" s="382"/>
      <c r="N102" s="399"/>
    </row>
    <row r="103" spans="1:14" ht="15" customHeight="1" x14ac:dyDescent="0.3">
      <c r="A103" s="826"/>
      <c r="B103" s="7" t="str">
        <f t="shared" si="1"/>
        <v>Cuartofinalista</v>
      </c>
      <c r="C103" s="13" t="str">
        <f ca="1">EURO2024!N77</f>
        <v>Ucrania</v>
      </c>
      <c r="D103" s="822"/>
      <c r="E103" s="1"/>
      <c r="F103" s="1"/>
      <c r="G103" s="1"/>
      <c r="H103" s="1"/>
      <c r="I103" s="383"/>
      <c r="J103" s="1"/>
      <c r="K103" s="1"/>
      <c r="L103" s="1"/>
      <c r="M103" s="382"/>
      <c r="N103" s="399"/>
    </row>
    <row r="104" spans="1:14" ht="15" customHeight="1" x14ac:dyDescent="0.3">
      <c r="A104" s="826"/>
      <c r="B104" s="7" t="str">
        <f t="shared" si="1"/>
        <v>Cuartofinalista</v>
      </c>
      <c r="C104" s="13" t="str">
        <f ca="1">EURO2024!N78</f>
        <v>Italia</v>
      </c>
      <c r="D104" s="822"/>
      <c r="E104" s="1"/>
      <c r="F104" s="1"/>
      <c r="G104" s="1"/>
      <c r="H104" s="1"/>
      <c r="I104" s="383"/>
      <c r="J104" s="1"/>
      <c r="K104" s="1"/>
      <c r="L104" s="1"/>
      <c r="M104" s="382"/>
      <c r="N104" s="399"/>
    </row>
    <row r="105" spans="1:14" ht="15" customHeight="1" x14ac:dyDescent="0.3">
      <c r="A105" s="826"/>
      <c r="B105" s="7" t="str">
        <f t="shared" si="1"/>
        <v>Cuartofinalista</v>
      </c>
      <c r="C105" s="13" t="str">
        <f ca="1">EURO2024!N79</f>
        <v>Francia</v>
      </c>
      <c r="D105" s="822"/>
      <c r="E105" s="386"/>
      <c r="F105" s="386"/>
      <c r="G105" s="386"/>
      <c r="H105" s="386"/>
      <c r="I105" s="383"/>
      <c r="J105" s="1"/>
      <c r="K105" s="1"/>
      <c r="L105" s="1"/>
      <c r="M105" s="382"/>
      <c r="N105" s="399"/>
    </row>
    <row r="106" spans="1:14" x14ac:dyDescent="0.3">
      <c r="C106" s="13"/>
      <c r="D106" s="1"/>
      <c r="E106" s="1"/>
      <c r="F106" s="1"/>
      <c r="G106" s="1"/>
      <c r="H106" s="1"/>
      <c r="I106" s="387"/>
      <c r="J106" s="1"/>
      <c r="K106" s="1"/>
      <c r="L106" s="1"/>
      <c r="M106" s="382"/>
      <c r="N106" s="399"/>
    </row>
    <row r="107" spans="1:14" ht="19.2" customHeight="1" x14ac:dyDescent="0.35">
      <c r="B107" s="11" t="str">
        <f>Idiomas!D90</f>
        <v>ENFRENTAMIENTOS CUARTOS</v>
      </c>
      <c r="C107" s="13"/>
      <c r="D107" s="1"/>
      <c r="E107" s="1"/>
      <c r="F107" s="1"/>
      <c r="G107" s="1"/>
      <c r="H107" s="1"/>
      <c r="I107" s="385"/>
      <c r="J107" s="1"/>
      <c r="K107" s="1"/>
      <c r="L107" s="1"/>
      <c r="M107" s="382"/>
      <c r="N107" s="399"/>
    </row>
    <row r="108" spans="1:14" ht="15" customHeight="1" x14ac:dyDescent="0.3">
      <c r="A108" s="826" t="s">
        <v>115</v>
      </c>
      <c r="B108" t="str">
        <f ca="1">CONCATENATE(EURO2024!I76,"-",EURO2024!N76)</f>
        <v>Croacia-Alemania</v>
      </c>
      <c r="C108" s="14" t="str">
        <f ca="1">CONCATENATE(EURO2024!I76,"-",EURO2024!N76,"·",IF(EURO2024!K76&gt;EURO2024!L76,1,IF(EURO2024!K76&lt;EURO2024!L76,2,IF(AND(EURO2024!K76=EURO2024!L76,EURO2024!K76&lt;&gt;"",EURO2024!L76&lt;&gt;""),"X",0))),"|",EURO2024!K76,"-",EURO2024!L76)</f>
        <v>Croacia-Alemania·2|1-2</v>
      </c>
      <c r="D108" s="822" t="s">
        <v>115</v>
      </c>
      <c r="E108" s="836" t="str">
        <f>Idiomas!D78</f>
        <v>·Para los cuartos selecciona de la C108 a la C117 y pega valores en la plantilla de administrador.</v>
      </c>
      <c r="F108" s="837"/>
      <c r="G108" s="837"/>
      <c r="H108" s="837"/>
      <c r="I108" s="383"/>
      <c r="J108" s="1"/>
      <c r="K108" s="1"/>
      <c r="L108" s="1"/>
      <c r="M108" s="382"/>
      <c r="N108" s="399"/>
    </row>
    <row r="109" spans="1:14" ht="15" customHeight="1" x14ac:dyDescent="0.3">
      <c r="A109" s="830"/>
      <c r="B109" t="str">
        <f ca="1">CONCATENATE(EURO2024!I77,"-",EURO2024!N77)</f>
        <v>Portugal-Ucrania</v>
      </c>
      <c r="C109" s="14" t="str">
        <f ca="1">CONCATENATE(EURO2024!I77,"-",EURO2024!N77,"·",IF(EURO2024!K77&gt;EURO2024!L77,1,IF(EURO2024!K77&lt;EURO2024!L77,2,IF(AND(EURO2024!K77=EURO2024!L77,EURO2024!K77&lt;&gt;"",EURO2024!L77&lt;&gt;""),"X",0))),"|",EURO2024!K77,"-",EURO2024!L77)</f>
        <v>Portugal-Ucrania·1|2-0</v>
      </c>
      <c r="D109" s="822"/>
      <c r="E109" s="836"/>
      <c r="F109" s="837"/>
      <c r="G109" s="837"/>
      <c r="H109" s="837"/>
      <c r="I109" s="383"/>
      <c r="J109" s="1"/>
      <c r="K109" s="1"/>
      <c r="L109" s="1"/>
      <c r="M109" s="382"/>
      <c r="N109" s="399"/>
    </row>
    <row r="110" spans="1:14" ht="15" customHeight="1" x14ac:dyDescent="0.3">
      <c r="A110" s="830"/>
      <c r="B110" t="str">
        <f ca="1">CONCATENATE(EURO2024!I78,"-",EURO2024!N78)</f>
        <v>Inglaterra-Italia</v>
      </c>
      <c r="C110" s="14" t="str">
        <f ca="1">CONCATENATE(EURO2024!I78,"-",EURO2024!N78,"·",IF(EURO2024!K78&gt;EURO2024!L78,1,IF(EURO2024!K78&lt;EURO2024!L78,2,IF(AND(EURO2024!K78=EURO2024!L78,EURO2024!K78&lt;&gt;"",EURO2024!L78&lt;&gt;""),"X",0))),"|",EURO2024!K78,"-",EURO2024!L78)</f>
        <v>Inglaterra-Italia·1|2-0</v>
      </c>
      <c r="D110" s="822"/>
      <c r="E110" s="836"/>
      <c r="F110" s="837"/>
      <c r="G110" s="837"/>
      <c r="H110" s="837"/>
      <c r="I110" s="383"/>
      <c r="J110" s="1"/>
      <c r="K110" s="1"/>
      <c r="L110" s="1"/>
      <c r="M110" s="382"/>
      <c r="N110" s="399"/>
    </row>
    <row r="111" spans="1:14" ht="15" customHeight="1" x14ac:dyDescent="0.3">
      <c r="A111" s="830"/>
      <c r="B111" t="str">
        <f ca="1">CONCATENATE(EURO2024!I79,"-",EURO2024!N79)</f>
        <v>Bélgica-Francia</v>
      </c>
      <c r="C111" s="14" t="str">
        <f ca="1">CONCATENATE(EURO2024!I79,"-",EURO2024!N79,"·",IF(EURO2024!K79&gt;EURO2024!L79,1,IF(EURO2024!K79&lt;EURO2024!L79,2,IF(AND(EURO2024!K79=EURO2024!L79,EURO2024!K79&lt;&gt;"",EURO2024!L79&lt;&gt;""),"X",0))),"|",EURO2024!K79,"-",EURO2024!L79)</f>
        <v>Bélgica-Francia·2|1-4</v>
      </c>
      <c r="D111" s="822"/>
      <c r="E111" s="836"/>
      <c r="F111" s="837"/>
      <c r="G111" s="837"/>
      <c r="H111" s="837"/>
      <c r="I111" s="383"/>
      <c r="J111" s="1"/>
      <c r="K111" s="1"/>
      <c r="L111" s="1"/>
      <c r="M111" s="382"/>
      <c r="N111" s="399"/>
    </row>
    <row r="112" spans="1:14" x14ac:dyDescent="0.3">
      <c r="C112" s="13"/>
      <c r="D112" s="822"/>
      <c r="E112" s="1"/>
      <c r="F112" s="1"/>
      <c r="G112" s="1"/>
      <c r="H112" s="1"/>
      <c r="I112" s="383"/>
      <c r="J112" s="1"/>
      <c r="K112" s="1"/>
      <c r="L112" s="1"/>
      <c r="M112" s="382"/>
      <c r="N112" s="399"/>
    </row>
    <row r="113" spans="1:14" ht="18" x14ac:dyDescent="0.35">
      <c r="B113" s="11" t="str">
        <f>Idiomas!D91</f>
        <v>CLASIFICADOS PARA SEMIFINALES</v>
      </c>
      <c r="C113" s="13"/>
      <c r="D113" s="822"/>
      <c r="E113" s="1"/>
      <c r="F113" s="1"/>
      <c r="G113" s="1"/>
      <c r="H113" s="1"/>
      <c r="I113" s="383"/>
      <c r="J113" s="1"/>
      <c r="K113" s="1"/>
      <c r="L113" s="1"/>
      <c r="M113" s="382"/>
      <c r="N113" s="399"/>
    </row>
    <row r="114" spans="1:14" x14ac:dyDescent="0.3">
      <c r="A114" s="826" t="s">
        <v>124</v>
      </c>
      <c r="B114" s="7" t="str">
        <f>Idiomas!$D$122</f>
        <v>Semifinalista</v>
      </c>
      <c r="C114" s="13" t="str">
        <f ca="1">EURO2024!I82</f>
        <v>Alemania</v>
      </c>
      <c r="D114" s="822"/>
      <c r="E114" s="1"/>
      <c r="F114" s="1"/>
      <c r="G114" s="1"/>
      <c r="H114" s="1"/>
      <c r="I114" s="383"/>
      <c r="J114" s="1"/>
      <c r="K114" s="1"/>
      <c r="L114" s="1"/>
      <c r="M114" s="382"/>
      <c r="N114" s="399"/>
    </row>
    <row r="115" spans="1:14" x14ac:dyDescent="0.3">
      <c r="A115" s="830"/>
      <c r="B115" s="7" t="str">
        <f>B114</f>
        <v>Semifinalista</v>
      </c>
      <c r="C115" s="13" t="str">
        <f ca="1">EURO2024!I83</f>
        <v>Francia</v>
      </c>
      <c r="D115" s="822"/>
      <c r="E115" s="1"/>
      <c r="F115" s="1"/>
      <c r="G115" s="1"/>
      <c r="H115" s="1"/>
      <c r="I115" s="383"/>
      <c r="J115" s="1"/>
      <c r="K115" s="1"/>
      <c r="L115" s="1"/>
      <c r="M115" s="382"/>
      <c r="N115" s="399"/>
    </row>
    <row r="116" spans="1:14" x14ac:dyDescent="0.3">
      <c r="A116" s="830"/>
      <c r="B116" s="7" t="str">
        <f t="shared" ref="B116:B117" si="2">B115</f>
        <v>Semifinalista</v>
      </c>
      <c r="C116" s="13" t="str">
        <f ca="1">EURO2024!N82</f>
        <v>Portugal</v>
      </c>
      <c r="D116" s="822"/>
      <c r="E116" s="1"/>
      <c r="F116" s="1"/>
      <c r="G116" s="1"/>
      <c r="H116" s="1"/>
      <c r="I116" s="383"/>
      <c r="J116" s="1"/>
      <c r="K116" s="1"/>
      <c r="L116" s="1"/>
      <c r="M116" s="382"/>
      <c r="N116" s="399"/>
    </row>
    <row r="117" spans="1:14" x14ac:dyDescent="0.3">
      <c r="A117" s="830"/>
      <c r="B117" s="7" t="str">
        <f t="shared" si="2"/>
        <v>Semifinalista</v>
      </c>
      <c r="C117" s="13" t="str">
        <f ca="1">EURO2024!N83</f>
        <v>Inglaterra</v>
      </c>
      <c r="D117" s="822"/>
      <c r="E117" s="386"/>
      <c r="F117" s="386"/>
      <c r="G117" s="386"/>
      <c r="H117" s="386"/>
      <c r="I117" s="383"/>
      <c r="J117" s="1"/>
      <c r="K117" s="1"/>
      <c r="L117" s="1"/>
      <c r="M117" s="382"/>
      <c r="N117" s="399"/>
    </row>
    <row r="118" spans="1:14" x14ac:dyDescent="0.3">
      <c r="C118" s="13"/>
      <c r="D118" s="1"/>
      <c r="E118" s="1"/>
      <c r="F118" s="1"/>
      <c r="G118" s="1"/>
      <c r="H118" s="1"/>
      <c r="I118" s="387"/>
      <c r="J118" s="1"/>
      <c r="K118" s="1"/>
      <c r="L118" s="1"/>
      <c r="M118" s="382"/>
      <c r="N118" s="399"/>
    </row>
    <row r="119" spans="1:14" ht="19.2" customHeight="1" x14ac:dyDescent="0.35">
      <c r="B119" s="11" t="str">
        <f>Idiomas!D92</f>
        <v>ENFRENTAMIENTOS SEMIFINALES</v>
      </c>
      <c r="C119" s="13"/>
      <c r="D119" s="1"/>
      <c r="E119" s="1"/>
      <c r="F119" s="1"/>
      <c r="G119" s="1"/>
      <c r="H119" s="1"/>
      <c r="I119" s="385"/>
      <c r="J119" s="1"/>
      <c r="K119" s="1"/>
      <c r="L119" s="1"/>
      <c r="M119" s="382"/>
      <c r="N119" s="399"/>
    </row>
    <row r="120" spans="1:14" ht="15" customHeight="1" x14ac:dyDescent="0.3">
      <c r="A120" s="831" t="s">
        <v>124</v>
      </c>
      <c r="B120" t="str">
        <f ca="1">CONCATENATE(EURO2024!I82,"-",EURO2024!N82)</f>
        <v>Alemania-Portugal</v>
      </c>
      <c r="C120" s="14" t="str">
        <f ca="1">CONCATENATE(EURO2024!I82,"-",EURO2024!N82,"·",IF(EURO2024!K82&gt;EURO2024!L82,1,IF(EURO2024!K82&lt;EURO2024!L82,2,IF(AND(EURO2024!K82=EURO2024!L82,EURO2024!K82&lt;&gt;"",EURO2024!L82&lt;&gt;""),"X",0))),"|",EURO2024!K82,"-",EURO2024!L82)</f>
        <v>Alemania-Portugal·X|1-1</v>
      </c>
      <c r="D120" s="822" t="s">
        <v>124</v>
      </c>
      <c r="E120" s="836" t="str">
        <f>Idiomas!D79</f>
        <v>·Para las semifinales selecciona de la C120 a la C125 y pega valores en la plantilla de administrador.</v>
      </c>
      <c r="F120" s="837"/>
      <c r="G120" s="837"/>
      <c r="H120" s="837"/>
      <c r="I120" s="383"/>
      <c r="J120" s="1"/>
      <c r="K120" s="1"/>
      <c r="L120" s="1"/>
      <c r="M120" s="382"/>
      <c r="N120" s="399"/>
    </row>
    <row r="121" spans="1:14" ht="15" customHeight="1" x14ac:dyDescent="0.3">
      <c r="A121" s="831"/>
      <c r="B121" t="str">
        <f ca="1">CONCATENATE(EURO2024!I83,"-",EURO2024!N83)</f>
        <v>Francia-Inglaterra</v>
      </c>
      <c r="C121" s="14" t="str">
        <f ca="1">CONCATENATE(EURO2024!I83,"-",EURO2024!N83,"·",IF(EURO2024!K83&gt;EURO2024!L83,1,IF(EURO2024!K83&lt;EURO2024!L83,2,IF(AND(EURO2024!K83=EURO2024!L83,EURO2024!K83&lt;&gt;"",EURO2024!L83&lt;&gt;""),"X",0))),"|",EURO2024!K83,"-",EURO2024!L83)</f>
        <v>Francia-Inglaterra·X|2-2</v>
      </c>
      <c r="D121" s="822"/>
      <c r="E121" s="836"/>
      <c r="F121" s="837"/>
      <c r="G121" s="837"/>
      <c r="H121" s="837"/>
      <c r="I121" s="383"/>
      <c r="J121" s="1"/>
      <c r="K121" s="1"/>
      <c r="L121" s="1"/>
      <c r="M121" s="382"/>
      <c r="N121" s="399"/>
    </row>
    <row r="122" spans="1:14" ht="15" customHeight="1" x14ac:dyDescent="0.3">
      <c r="C122" s="13"/>
      <c r="D122" s="822"/>
      <c r="E122" s="836"/>
      <c r="F122" s="837"/>
      <c r="G122" s="837"/>
      <c r="H122" s="837"/>
      <c r="I122" s="383"/>
      <c r="J122" s="1"/>
      <c r="K122" s="1"/>
      <c r="L122" s="1"/>
      <c r="M122" s="382"/>
      <c r="N122" s="399"/>
    </row>
    <row r="123" spans="1:14" ht="19.2" customHeight="1" x14ac:dyDescent="0.35">
      <c r="B123" s="11" t="str">
        <f>Idiomas!D93</f>
        <v>CLASIFICADOS PARA LA FINAL</v>
      </c>
      <c r="C123" s="13"/>
      <c r="D123" s="822"/>
      <c r="E123" s="836"/>
      <c r="F123" s="837"/>
      <c r="G123" s="837"/>
      <c r="H123" s="837"/>
      <c r="I123" s="383"/>
      <c r="J123" s="1"/>
      <c r="K123" s="1"/>
      <c r="L123" s="1"/>
      <c r="M123" s="382"/>
      <c r="N123" s="399"/>
    </row>
    <row r="124" spans="1:14" ht="22.2" customHeight="1" x14ac:dyDescent="0.3">
      <c r="A124" s="819" t="s">
        <v>71</v>
      </c>
      <c r="B124" s="7" t="str">
        <f>Idiomas!D123</f>
        <v>Finalista</v>
      </c>
      <c r="C124" s="13" t="str">
        <f ca="1">EURO2024!I86</f>
        <v>Alemania</v>
      </c>
      <c r="D124" s="822"/>
      <c r="E124" s="1"/>
      <c r="F124" s="1"/>
      <c r="G124" s="1"/>
      <c r="H124" s="1"/>
      <c r="I124" s="383"/>
      <c r="J124" s="1"/>
      <c r="K124" s="1"/>
      <c r="L124" s="1"/>
      <c r="M124" s="382"/>
      <c r="N124" s="399"/>
    </row>
    <row r="125" spans="1:14" ht="15" customHeight="1" x14ac:dyDescent="0.3">
      <c r="A125" s="819"/>
      <c r="B125" s="7" t="str">
        <f>B124</f>
        <v>Finalista</v>
      </c>
      <c r="C125" s="13" t="str">
        <f ca="1">EURO2024!N86</f>
        <v>Inglaterra</v>
      </c>
      <c r="D125" s="822"/>
      <c r="E125" s="386"/>
      <c r="F125" s="386"/>
      <c r="G125" s="386"/>
      <c r="H125" s="389"/>
      <c r="I125" s="388"/>
      <c r="J125" s="1"/>
      <c r="K125" s="1"/>
      <c r="L125" s="1"/>
      <c r="M125" s="382"/>
      <c r="N125" s="399"/>
    </row>
    <row r="126" spans="1:14" x14ac:dyDescent="0.3">
      <c r="C126" s="13"/>
      <c r="D126" s="1"/>
      <c r="E126" s="1"/>
      <c r="F126" s="1"/>
      <c r="G126" s="1"/>
      <c r="H126" s="1"/>
      <c r="I126" s="387"/>
      <c r="J126" s="1"/>
      <c r="K126" s="1"/>
      <c r="L126" s="1"/>
      <c r="M126" s="382"/>
      <c r="N126" s="399"/>
    </row>
    <row r="127" spans="1:14" ht="21" customHeight="1" x14ac:dyDescent="0.35">
      <c r="B127" s="11" t="str">
        <f>Idiomas!D94</f>
        <v>ENFRENTAMIENTO FINAL</v>
      </c>
      <c r="C127" s="13"/>
      <c r="D127" s="1"/>
      <c r="E127" s="1"/>
      <c r="F127" s="1"/>
      <c r="G127" s="1"/>
      <c r="H127" s="1"/>
      <c r="I127" s="385"/>
      <c r="J127" s="1"/>
      <c r="K127" s="1"/>
      <c r="L127" s="1"/>
      <c r="M127" s="382"/>
      <c r="N127" s="399"/>
    </row>
    <row r="128" spans="1:14" ht="21" customHeight="1" x14ac:dyDescent="0.3">
      <c r="A128" s="380" t="s">
        <v>71</v>
      </c>
      <c r="B128" t="str">
        <f ca="1">CONCATENATE(EURO2024!I86,"-",EURO2024!N86)</f>
        <v>Alemania-Inglaterra</v>
      </c>
      <c r="C128" s="14" t="str">
        <f ca="1">CONCATENATE(EURO2024!I86,"-",EURO2024!N86,"·",IF(EURO2024!K86&gt;EURO2024!L86,1,IF(EURO2024!K86&lt;EURO2024!L86,2,IF(AND(EURO2024!K86=EURO2024!L86,EURO2024!K86&lt;&gt;"",EURO2024!L86&lt;&gt;""),"X",0))),"|",EURO2024!K86,"-",EURO2024!L86)</f>
        <v>Alemania-Inglaterra·1|2-1</v>
      </c>
      <c r="D128" s="850" t="s">
        <v>71</v>
      </c>
      <c r="E128" s="836" t="str">
        <f>Idiomas!D80</f>
        <v>·Para la final selecciona de la C128 a la C132 y pega valores en la plantilla de administrador.</v>
      </c>
      <c r="F128" s="837"/>
      <c r="G128" s="837"/>
      <c r="H128" s="837"/>
      <c r="I128" s="393"/>
      <c r="J128" s="1"/>
      <c r="K128" s="1"/>
      <c r="L128" s="1"/>
      <c r="M128" s="382"/>
      <c r="N128" s="399"/>
    </row>
    <row r="129" spans="1:14" ht="15" customHeight="1" x14ac:dyDescent="0.3">
      <c r="B129" s="7"/>
      <c r="C129" s="13"/>
      <c r="D129" s="851"/>
      <c r="E129" s="836"/>
      <c r="F129" s="837"/>
      <c r="G129" s="837"/>
      <c r="H129" s="837"/>
      <c r="I129" s="393"/>
      <c r="J129" s="1"/>
      <c r="K129" s="1"/>
      <c r="L129" s="1"/>
      <c r="M129" s="382"/>
      <c r="N129" s="399"/>
    </row>
    <row r="130" spans="1:14" ht="19.2" customHeight="1" x14ac:dyDescent="0.35">
      <c r="B130" s="11" t="str">
        <f>Idiomas!D95</f>
        <v>CUADRO DE HONOR</v>
      </c>
      <c r="C130" s="13"/>
      <c r="D130" s="851"/>
      <c r="E130" s="836"/>
      <c r="F130" s="837"/>
      <c r="G130" s="837"/>
      <c r="H130" s="837"/>
      <c r="I130" s="393"/>
      <c r="J130" s="1"/>
      <c r="K130" s="1"/>
      <c r="L130" s="1"/>
      <c r="M130" s="382"/>
      <c r="N130" s="399"/>
    </row>
    <row r="131" spans="1:14" ht="19.2" customHeight="1" x14ac:dyDescent="0.3">
      <c r="A131" s="381"/>
      <c r="B131" s="7" t="str">
        <f>EURO2024!E89</f>
        <v>Campeón</v>
      </c>
      <c r="C131" s="13" t="str">
        <f ca="1">EURO2024!I89</f>
        <v>Alemania</v>
      </c>
      <c r="D131" s="851"/>
      <c r="E131" s="836"/>
      <c r="F131" s="837"/>
      <c r="G131" s="837"/>
      <c r="H131" s="837"/>
      <c r="I131" s="393"/>
      <c r="J131" s="1"/>
      <c r="K131" s="1"/>
      <c r="L131" s="1"/>
      <c r="M131" s="382"/>
      <c r="N131" s="399"/>
    </row>
    <row r="132" spans="1:14" ht="16.2" customHeight="1" x14ac:dyDescent="0.3">
      <c r="A132" s="197"/>
      <c r="B132" s="7" t="str">
        <f>EURO2024!E90</f>
        <v>Subcampeón</v>
      </c>
      <c r="C132" s="13" t="str">
        <f ca="1">EURO2024!I90</f>
        <v>Inglaterra</v>
      </c>
      <c r="D132" s="852"/>
      <c r="E132" s="386"/>
      <c r="F132" s="386"/>
      <c r="G132" s="386"/>
      <c r="H132" s="389"/>
      <c r="I132" s="388"/>
      <c r="J132" s="395"/>
      <c r="K132" s="394"/>
      <c r="L132" s="394"/>
      <c r="M132" s="397"/>
      <c r="N132" s="399"/>
    </row>
    <row r="133" spans="1:14" ht="22.2" customHeight="1" x14ac:dyDescent="0.3">
      <c r="A133" s="381"/>
      <c r="B133" s="7" t="str">
        <f>EURO2024!E93</f>
        <v>Goleador del torneo</v>
      </c>
      <c r="C133" s="13" t="str">
        <f>EURO2024!I93</f>
        <v>Francia | Kylian Mbappe (Delantero)</v>
      </c>
      <c r="D133" s="381"/>
      <c r="E133" s="847" t="str">
        <f>Idiomas!D81</f>
        <v>·Al inicio de la competición si se hace por fases copiar de la C132 a la C134 y pegarla al final del jugador en el archivo de administrador.</v>
      </c>
      <c r="F133" s="847"/>
      <c r="G133" s="847"/>
      <c r="H133" s="847"/>
      <c r="I133" s="847"/>
      <c r="J133" s="390"/>
      <c r="K133" s="390"/>
      <c r="L133" s="390"/>
      <c r="M133" s="396"/>
      <c r="N133" s="399"/>
    </row>
    <row r="134" spans="1:14" ht="22.2" customHeight="1" x14ac:dyDescent="0.3">
      <c r="A134" s="197"/>
      <c r="B134" s="7" t="str">
        <f>EURO2024!E94</f>
        <v>Mejor jugador del torneo</v>
      </c>
      <c r="C134" s="13" t="str">
        <f>EURO2024!I94</f>
        <v>Alemania | Jamal Musiala (Centrocampista)</v>
      </c>
      <c r="D134" s="381"/>
      <c r="E134" s="847"/>
      <c r="F134" s="847"/>
      <c r="G134" s="847"/>
      <c r="H134" s="847"/>
      <c r="I134" s="847"/>
      <c r="J134" s="390"/>
      <c r="K134" s="390"/>
      <c r="L134" s="390"/>
      <c r="M134" s="396"/>
      <c r="N134" s="399"/>
    </row>
    <row r="137" spans="1:14" x14ac:dyDescent="0.3">
      <c r="B137" s="7"/>
    </row>
    <row r="138" spans="1:14" x14ac:dyDescent="0.3">
      <c r="B138" s="7"/>
    </row>
    <row r="139" spans="1:14" x14ac:dyDescent="0.3">
      <c r="B139" s="7"/>
    </row>
  </sheetData>
  <sheetProtection algorithmName="SHA-512" hashValue="tuPHCymgb2JoU4VUANeizxISOzI3ce0RxHb4vc/59oi/AlAFOjlRA5jwN/4B37nA5pDYHhDj0cwWgdamoz5F6w==" saltValue="AXjGL++rfh9eIe+p2iNAEg==" spinCount="100000" sheet="1" objects="1" scenarios="1" selectLockedCells="1" selectUnlockedCells="1"/>
  <mergeCells count="34">
    <mergeCell ref="E108:H111"/>
    <mergeCell ref="E133:I134"/>
    <mergeCell ref="D6:D17"/>
    <mergeCell ref="D120:D125"/>
    <mergeCell ref="D128:D132"/>
    <mergeCell ref="E128:H131"/>
    <mergeCell ref="E120:H123"/>
    <mergeCell ref="E1:N2"/>
    <mergeCell ref="D30:D85"/>
    <mergeCell ref="D88:D105"/>
    <mergeCell ref="E6:H9"/>
    <mergeCell ref="E18:H21"/>
    <mergeCell ref="E30:H33"/>
    <mergeCell ref="E4:M4"/>
    <mergeCell ref="E3:N3"/>
    <mergeCell ref="E5:I5"/>
    <mergeCell ref="E86:L86"/>
    <mergeCell ref="E87:L87"/>
    <mergeCell ref="E88:H91"/>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43641-7FE0-6247-937B-A62F539D3AAA}">
  <sheetPr codeName="Hoja7">
    <pageSetUpPr fitToPage="1"/>
  </sheetPr>
  <dimension ref="A1:BA62"/>
  <sheetViews>
    <sheetView showGridLines="0" showRowColHeaders="0" workbookViewId="0">
      <selection activeCell="I93" sqref="I93:N93"/>
    </sheetView>
  </sheetViews>
  <sheetFormatPr defaultColWidth="10.6640625" defaultRowHeight="14.4" x14ac:dyDescent="0.3"/>
  <cols>
    <col min="1" max="1" width="2.33203125" style="7" customWidth="1"/>
    <col min="2" max="2" width="3.33203125" style="7" customWidth="1"/>
    <col min="3" max="6" width="3.6640625" style="7" customWidth="1"/>
    <col min="7" max="7" width="3.33203125" style="7" customWidth="1"/>
    <col min="8" max="12" width="3.6640625" style="7" customWidth="1"/>
    <col min="13" max="13" width="3.33203125" style="7" customWidth="1"/>
    <col min="14" max="14" width="8.33203125" style="7" customWidth="1"/>
    <col min="15" max="16" width="3.6640625" style="7" customWidth="1"/>
    <col min="17" max="17" width="3.33203125" style="7" customWidth="1"/>
    <col min="18" max="18" width="4.33203125" style="7" customWidth="1"/>
    <col min="19" max="20" width="3.6640625" style="7" customWidth="1"/>
    <col min="21" max="21" width="3.33203125" style="7" customWidth="1"/>
    <col min="22" max="22" width="4.33203125" style="7" customWidth="1"/>
    <col min="23" max="25" width="3.6640625" style="7" customWidth="1"/>
    <col min="26" max="26" width="4.33203125" style="7" customWidth="1"/>
    <col min="27" max="28" width="3.6640625" style="7" customWidth="1"/>
    <col min="29" max="29" width="3.33203125" style="7" customWidth="1"/>
    <col min="30" max="32" width="3.6640625" style="7" customWidth="1"/>
    <col min="33" max="33" width="3.33203125" style="7" customWidth="1"/>
    <col min="34" max="34" width="4.33203125" style="7" customWidth="1"/>
    <col min="35" max="36" width="3.6640625" style="7" customWidth="1"/>
    <col min="37" max="37" width="3.33203125" style="7" customWidth="1"/>
    <col min="38" max="38" width="4.33203125" style="7" customWidth="1"/>
    <col min="39" max="39" width="3.6640625" style="7" customWidth="1"/>
    <col min="40" max="40" width="8.6640625" style="7" customWidth="1"/>
    <col min="41" max="42" width="3.33203125" style="7" customWidth="1"/>
    <col min="43" max="46" width="3.6640625" style="7" customWidth="1"/>
    <col min="47" max="47" width="3.33203125" style="7" customWidth="1"/>
    <col min="48" max="67" width="3.6640625" style="7" customWidth="1"/>
    <col min="68" max="16384" width="10.6640625" style="7"/>
  </cols>
  <sheetData>
    <row r="1" spans="1:53" ht="7.95" customHeight="1" x14ac:dyDescent="0.3">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ht="15" thickBot="1" x14ac:dyDescent="0.35">
      <c r="A2" s="2"/>
      <c r="B2" s="462"/>
      <c r="C2" s="463"/>
      <c r="D2" s="463"/>
      <c r="E2" s="463"/>
      <c r="F2" s="463"/>
      <c r="G2" s="463"/>
      <c r="H2" s="463"/>
      <c r="I2" s="463"/>
      <c r="J2" s="463"/>
      <c r="K2" s="463"/>
      <c r="L2" s="463"/>
      <c r="M2" s="463"/>
      <c r="N2" s="463"/>
      <c r="O2" s="464" t="s">
        <v>88</v>
      </c>
      <c r="P2" s="463"/>
      <c r="Q2" s="2"/>
      <c r="R2" s="2"/>
      <c r="S2" s="465" t="s">
        <v>115</v>
      </c>
      <c r="T2" s="2"/>
      <c r="U2" s="463"/>
      <c r="V2" s="463"/>
      <c r="W2" s="463" t="s">
        <v>790</v>
      </c>
      <c r="X2" s="463"/>
      <c r="Y2" s="463"/>
      <c r="Z2" s="463"/>
      <c r="AA2" s="463" t="s">
        <v>71</v>
      </c>
      <c r="AB2" s="463"/>
      <c r="AC2" s="463"/>
      <c r="AD2" s="463"/>
      <c r="AE2" s="463" t="s">
        <v>790</v>
      </c>
      <c r="AF2" s="463"/>
      <c r="AG2" s="463"/>
      <c r="AH2" s="463"/>
      <c r="AI2" s="465" t="s">
        <v>115</v>
      </c>
      <c r="AJ2" s="463"/>
      <c r="AK2" s="2"/>
      <c r="AL2" s="2"/>
      <c r="AM2" s="464" t="s">
        <v>88</v>
      </c>
      <c r="AN2" s="2"/>
      <c r="AO2" s="463"/>
      <c r="AP2" s="2"/>
      <c r="AQ2" s="2"/>
      <c r="AR2" s="2"/>
      <c r="AS2" s="2"/>
      <c r="AT2" s="2"/>
      <c r="AU2" s="2"/>
      <c r="AV2" s="2"/>
      <c r="AW2" s="2"/>
      <c r="AX2" s="2"/>
      <c r="AY2" s="2"/>
      <c r="AZ2" s="2"/>
      <c r="BA2" s="2"/>
    </row>
    <row r="3" spans="1:53" x14ac:dyDescent="0.3">
      <c r="A3" s="2"/>
      <c r="B3" s="466" t="s">
        <v>18</v>
      </c>
      <c r="C3" s="467" t="str">
        <f ca="1">MID(EURO2024!I4,1,3)</f>
        <v>Ale</v>
      </c>
      <c r="D3" s="468">
        <f>EURO2024!K4</f>
        <v>3</v>
      </c>
      <c r="E3" s="468">
        <f>EURO2024!L4</f>
        <v>0</v>
      </c>
      <c r="F3" s="469" t="str">
        <f ca="1">MID(EURO2024!N4,1,3)</f>
        <v>Esc</v>
      </c>
      <c r="G3" s="470"/>
      <c r="H3" s="471" t="str">
        <f>MID(EURO2024!R5,1,3)</f>
        <v>Sel</v>
      </c>
      <c r="I3" s="472" t="s">
        <v>917</v>
      </c>
      <c r="J3" s="472" t="str">
        <f>EURO2024!T5</f>
        <v>J</v>
      </c>
      <c r="K3" s="472" t="str">
        <f>EURO2024!Z5</f>
        <v>DG</v>
      </c>
      <c r="L3" s="473" t="str">
        <f>EURO2024!X5</f>
        <v>GF</v>
      </c>
      <c r="M3" s="2"/>
      <c r="N3" s="474" t="str">
        <f ca="1">MID(EURO2024!I68,1,3)</f>
        <v>Cro</v>
      </c>
      <c r="O3" s="475">
        <f>IF(ISBLANK(EURO2024!K68),"",(EURO2024!K68))</f>
        <v>2</v>
      </c>
      <c r="P3" s="476" t="str">
        <f>IF(ISBLANK(EURO2024!J68),"","("&amp;(EURO2024!J68)&amp;")")</f>
        <v/>
      </c>
      <c r="Q3" s="477"/>
      <c r="R3" s="478"/>
      <c r="S3" s="478"/>
      <c r="T3" s="478"/>
      <c r="U3" s="477"/>
      <c r="V3" s="479"/>
      <c r="W3" s="479"/>
      <c r="X3" s="479"/>
      <c r="Y3" s="477"/>
      <c r="Z3" s="480"/>
      <c r="AA3" s="480"/>
      <c r="AB3" s="480"/>
      <c r="AC3" s="477"/>
      <c r="AD3" s="479"/>
      <c r="AE3" s="479"/>
      <c r="AF3" s="479"/>
      <c r="AG3" s="477"/>
      <c r="AH3" s="478"/>
      <c r="AI3" s="478"/>
      <c r="AJ3" s="478"/>
      <c r="AK3" s="477"/>
      <c r="AL3" s="481" t="str">
        <f>IF(ISBLANK(EURO2024!J71),"","("&amp;(EURO2024!J71)&amp;")")</f>
        <v/>
      </c>
      <c r="AM3" s="475">
        <f>IF(ISBLANK(EURO2024!K71),"",(EURO2024!K71))</f>
        <v>2</v>
      </c>
      <c r="AN3" s="474" t="str">
        <f ca="1">MID(EURO2024!I71,1,3)</f>
        <v>Bél</v>
      </c>
      <c r="AO3" s="2"/>
      <c r="AP3" s="482" t="s">
        <v>68</v>
      </c>
      <c r="AQ3" s="483" t="str">
        <f ca="1">MID(EURO2024!I28,1,3)</f>
        <v>Pol</v>
      </c>
      <c r="AR3" s="484">
        <f>EURO2024!K28</f>
        <v>1</v>
      </c>
      <c r="AS3" s="484">
        <f>EURO2024!L28</f>
        <v>2</v>
      </c>
      <c r="AT3" s="485" t="str">
        <f ca="1">MID(EURO2024!N28,1,3)</f>
        <v>Paí</v>
      </c>
      <c r="AU3" s="486"/>
      <c r="AV3" s="487" t="str">
        <f>H3</f>
        <v>Sel</v>
      </c>
      <c r="AW3" s="487" t="str">
        <f t="shared" ref="AW3:AZ3" si="0">I3</f>
        <v>Pts</v>
      </c>
      <c r="AX3" s="487" t="str">
        <f t="shared" si="0"/>
        <v>J</v>
      </c>
      <c r="AY3" s="487" t="str">
        <f t="shared" si="0"/>
        <v>DG</v>
      </c>
      <c r="AZ3" s="487" t="str">
        <f t="shared" si="0"/>
        <v>GF</v>
      </c>
      <c r="BA3" s="2"/>
    </row>
    <row r="4" spans="1:53" x14ac:dyDescent="0.3">
      <c r="A4" s="2"/>
      <c r="B4" s="466"/>
      <c r="C4" s="488" t="str">
        <f ca="1">MID(EURO2024!I5,1,3)</f>
        <v>Hun</v>
      </c>
      <c r="D4" s="489">
        <f>EURO2024!K5</f>
        <v>0</v>
      </c>
      <c r="E4" s="489">
        <f>EURO2024!L5</f>
        <v>1</v>
      </c>
      <c r="F4" s="490" t="str">
        <f ca="1">MID(EURO2024!N5,1,3)</f>
        <v>Sui</v>
      </c>
      <c r="G4" s="2">
        <v>1</v>
      </c>
      <c r="H4" s="491" t="str">
        <f ca="1">MID(EURO2024!R6,1,3)</f>
        <v>Ale</v>
      </c>
      <c r="I4" s="492">
        <f ca="1">EURO2024!S6</f>
        <v>9</v>
      </c>
      <c r="J4" s="493">
        <f ca="1">EURO2024!T6</f>
        <v>3</v>
      </c>
      <c r="K4" s="493">
        <f ca="1">EURO2024!Z6</f>
        <v>6</v>
      </c>
      <c r="L4" s="494">
        <f ca="1">EURO2024!X6</f>
        <v>7</v>
      </c>
      <c r="M4" s="2"/>
      <c r="N4" s="474" t="str">
        <f ca="1">IF(EURO2024!N68="3A/D/E/F",MID(EURO2024!N68,1,9),MID(EURO2024!N68,1,3))</f>
        <v>Hun</v>
      </c>
      <c r="O4" s="475">
        <f>IF(ISBLANK(EURO2024!L68),"",(EURO2024!L68))</f>
        <v>0</v>
      </c>
      <c r="P4" s="495" t="str">
        <f>IF(ISBLANK(EURO2024!M68),"","("&amp;(EURO2024!M68)&amp;")")</f>
        <v/>
      </c>
      <c r="Q4" s="477"/>
      <c r="R4" s="478"/>
      <c r="S4" s="478"/>
      <c r="T4" s="478"/>
      <c r="U4" s="477"/>
      <c r="V4" s="479"/>
      <c r="W4" s="479"/>
      <c r="X4" s="479"/>
      <c r="Y4" s="477"/>
      <c r="Z4" s="480"/>
      <c r="AA4" s="480"/>
      <c r="AB4" s="480"/>
      <c r="AC4" s="477"/>
      <c r="AD4" s="479"/>
      <c r="AE4" s="479"/>
      <c r="AF4" s="479"/>
      <c r="AG4" s="477"/>
      <c r="AH4" s="478"/>
      <c r="AI4" s="478"/>
      <c r="AJ4" s="478"/>
      <c r="AK4" s="496"/>
      <c r="AL4" s="497" t="str">
        <f>IF(ISBLANK(EURO2024!M71),"","("&amp;(EURO2024!M71)&amp;")")</f>
        <v/>
      </c>
      <c r="AM4" s="475">
        <f>IF(ISBLANK(EURO2024!L71),"",(EURO2024!L71))</f>
        <v>1</v>
      </c>
      <c r="AN4" s="474" t="str">
        <f ca="1">IF(EURO2024!N71="3A/B/C/D",MID(EURO2024!N71,1,9),MID(EURO2024!N71,1,3))</f>
        <v>Esp</v>
      </c>
      <c r="AO4" s="2"/>
      <c r="AP4" s="498"/>
      <c r="AQ4" s="499" t="str">
        <f ca="1">MID(EURO2024!I37,1,3)</f>
        <v>Bél</v>
      </c>
      <c r="AR4" s="500">
        <f>EURO2024!K37</f>
        <v>2</v>
      </c>
      <c r="AS4" s="500">
        <f>EURO2024!L37</f>
        <v>0</v>
      </c>
      <c r="AT4" s="501" t="str">
        <f ca="1">MID(EURO2024!N37,1,3)</f>
        <v>Esl</v>
      </c>
      <c r="AU4" s="2">
        <v>1</v>
      </c>
      <c r="AV4" s="502" t="str">
        <f ca="1">MID(EURO2024!R30,1,3)</f>
        <v>Fra</v>
      </c>
      <c r="AW4" s="503">
        <f ca="1">EURO2024!S30</f>
        <v>9</v>
      </c>
      <c r="AX4" s="504">
        <f ca="1">EURO2024!T30</f>
        <v>3</v>
      </c>
      <c r="AY4" s="504">
        <f ca="1">EURO2024!Z30</f>
        <v>8</v>
      </c>
      <c r="AZ4" s="505">
        <f ca="1">EURO2024!X30</f>
        <v>8</v>
      </c>
      <c r="BA4" s="2"/>
    </row>
    <row r="5" spans="1:53" x14ac:dyDescent="0.3">
      <c r="A5" s="2"/>
      <c r="B5" s="466"/>
      <c r="C5" s="488" t="str">
        <f ca="1">MID(EURO2024!I6,1,3)</f>
        <v>Ale</v>
      </c>
      <c r="D5" s="489">
        <f>EURO2024!K6</f>
        <v>2</v>
      </c>
      <c r="E5" s="489">
        <f>EURO2024!L6</f>
        <v>0</v>
      </c>
      <c r="F5" s="490" t="str">
        <f ca="1">MID(EURO2024!N6,1,3)</f>
        <v>Hun</v>
      </c>
      <c r="G5" s="2">
        <v>2</v>
      </c>
      <c r="H5" s="491" t="str">
        <f ca="1">MID(EURO2024!R7,1,3)</f>
        <v>Sui</v>
      </c>
      <c r="I5" s="492">
        <f ca="1">EURO2024!S7</f>
        <v>6</v>
      </c>
      <c r="J5" s="493">
        <f ca="1">EURO2024!T7</f>
        <v>3</v>
      </c>
      <c r="K5" s="493">
        <f ca="1">EURO2024!Z7</f>
        <v>1</v>
      </c>
      <c r="L5" s="494">
        <f ca="1">EURO2024!X7</f>
        <v>3</v>
      </c>
      <c r="M5" s="2"/>
      <c r="N5" s="506"/>
      <c r="O5" s="506"/>
      <c r="P5" s="507"/>
      <c r="Q5" s="477"/>
      <c r="R5" s="478"/>
      <c r="S5" s="478"/>
      <c r="T5" s="478"/>
      <c r="U5" s="477"/>
      <c r="V5" s="479"/>
      <c r="W5" s="479"/>
      <c r="X5" s="479"/>
      <c r="Y5" s="477"/>
      <c r="Z5" s="480"/>
      <c r="AA5" s="480"/>
      <c r="AB5" s="480"/>
      <c r="AC5" s="477"/>
      <c r="AD5" s="479"/>
      <c r="AE5" s="479"/>
      <c r="AF5" s="479"/>
      <c r="AG5" s="477"/>
      <c r="AH5" s="478"/>
      <c r="AI5" s="478"/>
      <c r="AJ5" s="508"/>
      <c r="AK5" s="496"/>
      <c r="AL5" s="506"/>
      <c r="AM5" s="506"/>
      <c r="AN5" s="506"/>
      <c r="AO5" s="2"/>
      <c r="AP5" s="498"/>
      <c r="AQ5" s="499" t="str">
        <f ca="1">MID(EURO2024!I38,1,3)</f>
        <v>Esl</v>
      </c>
      <c r="AR5" s="500">
        <f>EURO2024!K38</f>
        <v>0</v>
      </c>
      <c r="AS5" s="500">
        <f>EURO2024!L38</f>
        <v>2</v>
      </c>
      <c r="AT5" s="501" t="str">
        <f ca="1">MID(EURO2024!N38,1,3)</f>
        <v>Ucr</v>
      </c>
      <c r="AU5" s="2">
        <v>2</v>
      </c>
      <c r="AV5" s="502" t="str">
        <f ca="1">MID(EURO2024!R31,1,3)</f>
        <v>Paí</v>
      </c>
      <c r="AW5" s="503">
        <f ca="1">EURO2024!S31</f>
        <v>6</v>
      </c>
      <c r="AX5" s="504">
        <f ca="1">EURO2024!T31</f>
        <v>3</v>
      </c>
      <c r="AY5" s="504">
        <f ca="1">EURO2024!Z31</f>
        <v>-1</v>
      </c>
      <c r="AZ5" s="505">
        <f ca="1">EURO2024!X31</f>
        <v>3</v>
      </c>
      <c r="BA5" s="2"/>
    </row>
    <row r="6" spans="1:53" x14ac:dyDescent="0.3">
      <c r="A6" s="2"/>
      <c r="B6" s="466"/>
      <c r="C6" s="488" t="str">
        <f ca="1">MID(EURO2024!I7,1,3)</f>
        <v>Esc</v>
      </c>
      <c r="D6" s="489">
        <f>EURO2024!K7</f>
        <v>0</v>
      </c>
      <c r="E6" s="489">
        <f>EURO2024!L7</f>
        <v>1</v>
      </c>
      <c r="F6" s="490" t="str">
        <f ca="1">MID(EURO2024!N7,1,3)</f>
        <v>Sui</v>
      </c>
      <c r="G6" s="2">
        <v>3</v>
      </c>
      <c r="H6" s="491" t="str">
        <f ca="1">MID(EURO2024!R8,1,3)</f>
        <v>Hun</v>
      </c>
      <c r="I6" s="492">
        <f ca="1">EURO2024!S8</f>
        <v>1</v>
      </c>
      <c r="J6" s="493">
        <f ca="1">EURO2024!T8</f>
        <v>3</v>
      </c>
      <c r="K6" s="493">
        <f ca="1">EURO2024!Z8</f>
        <v>-3</v>
      </c>
      <c r="L6" s="494">
        <f ca="1">EURO2024!X8</f>
        <v>0</v>
      </c>
      <c r="M6" s="2"/>
      <c r="N6" s="506"/>
      <c r="O6" s="506"/>
      <c r="P6" s="507"/>
      <c r="Q6" s="509"/>
      <c r="R6" s="510" t="str">
        <f ca="1">MID(EURO2024!I76,1,3)</f>
        <v>Cro</v>
      </c>
      <c r="S6" s="511">
        <f>IF(ISBLANK(EURO2024!K76),"",(EURO2024!K76))</f>
        <v>1</v>
      </c>
      <c r="T6" s="512" t="str">
        <f>IF(ISBLANK(EURO2024!J76),"","("&amp;(EURO2024!J76)&amp;")")</f>
        <v/>
      </c>
      <c r="U6" s="477"/>
      <c r="V6" s="479"/>
      <c r="W6" s="479"/>
      <c r="X6" s="479"/>
      <c r="Y6" s="477"/>
      <c r="Z6" s="480"/>
      <c r="AA6" s="480"/>
      <c r="AB6" s="480"/>
      <c r="AC6" s="477"/>
      <c r="AD6" s="479"/>
      <c r="AE6" s="479"/>
      <c r="AF6" s="479"/>
      <c r="AG6" s="477"/>
      <c r="AH6" s="513" t="str">
        <f>IF(ISBLANK(EURO2024!J79),"","("&amp;(EURO2024!J79)&amp;")")</f>
        <v/>
      </c>
      <c r="AI6" s="511">
        <f>IF(ISBLANK(EURO2024!K79),"",(EURO2024!K79))</f>
        <v>1</v>
      </c>
      <c r="AJ6" s="510" t="str">
        <f ca="1">MID(EURO2024!I79,1,3)</f>
        <v>Bél</v>
      </c>
      <c r="AK6" s="514"/>
      <c r="AL6" s="506"/>
      <c r="AM6" s="506"/>
      <c r="AN6" s="506"/>
      <c r="AO6" s="2"/>
      <c r="AP6" s="515"/>
      <c r="AQ6" s="499" t="str">
        <f ca="1">MID(EURO2024!I39,1,3)</f>
        <v>Bél</v>
      </c>
      <c r="AR6" s="500">
        <f>EURO2024!K39</f>
        <v>2</v>
      </c>
      <c r="AS6" s="500">
        <f>EURO2024!L39</f>
        <v>0</v>
      </c>
      <c r="AT6" s="501" t="str">
        <f ca="1">MID(EURO2024!N39,1,3)</f>
        <v>Rum</v>
      </c>
      <c r="AU6" s="2">
        <v>3</v>
      </c>
      <c r="AV6" s="502" t="str">
        <f ca="1">MID(EURO2024!R32,1,3)</f>
        <v>Pol</v>
      </c>
      <c r="AW6" s="503">
        <f ca="1">EURO2024!S32</f>
        <v>1</v>
      </c>
      <c r="AX6" s="504">
        <f ca="1">EURO2024!T32</f>
        <v>3</v>
      </c>
      <c r="AY6" s="504">
        <f ca="1">EURO2024!Z32</f>
        <v>-3</v>
      </c>
      <c r="AZ6" s="505">
        <f ca="1">EURO2024!X32</f>
        <v>2</v>
      </c>
      <c r="BA6" s="2"/>
    </row>
    <row r="7" spans="1:53" x14ac:dyDescent="0.3">
      <c r="A7" s="2"/>
      <c r="B7" s="466"/>
      <c r="C7" s="488" t="str">
        <f ca="1">MID(EURO2024!I8,1,3)</f>
        <v>Sui</v>
      </c>
      <c r="D7" s="489">
        <f>EURO2024!K8</f>
        <v>1</v>
      </c>
      <c r="E7" s="489">
        <f>EURO2024!L8</f>
        <v>2</v>
      </c>
      <c r="F7" s="490" t="str">
        <f ca="1">MID(EURO2024!N8,1,3)</f>
        <v>Ale</v>
      </c>
      <c r="G7" s="2">
        <v>4</v>
      </c>
      <c r="H7" s="491" t="str">
        <f ca="1">MID(EURO2024!R9,1,3)</f>
        <v>Esc</v>
      </c>
      <c r="I7" s="492">
        <f ca="1">EURO2024!S9</f>
        <v>1</v>
      </c>
      <c r="J7" s="493">
        <f ca="1">EURO2024!T9</f>
        <v>3</v>
      </c>
      <c r="K7" s="493">
        <f ca="1">EURO2024!Z9</f>
        <v>-4</v>
      </c>
      <c r="L7" s="494">
        <f ca="1">EURO2024!X9</f>
        <v>0</v>
      </c>
      <c r="N7" s="506"/>
      <c r="O7" s="506"/>
      <c r="P7" s="507"/>
      <c r="Q7" s="477"/>
      <c r="R7" s="510" t="str">
        <f ca="1">MID(EURO2024!N76,1,3)</f>
        <v>Ale</v>
      </c>
      <c r="S7" s="511">
        <f>IF(ISBLANK(EURO2024!L76),"",(EURO2024!L76))</f>
        <v>2</v>
      </c>
      <c r="T7" s="516" t="str">
        <f>IF(ISBLANK(EURO2024!M76),"","("&amp;(EURO2024!M76)&amp;")")</f>
        <v/>
      </c>
      <c r="U7" s="477"/>
      <c r="V7" s="479"/>
      <c r="W7" s="479"/>
      <c r="X7" s="479"/>
      <c r="Y7" s="477"/>
      <c r="Z7" s="480"/>
      <c r="AA7" s="480"/>
      <c r="AB7" s="480"/>
      <c r="AC7" s="477"/>
      <c r="AD7" s="479"/>
      <c r="AE7" s="479"/>
      <c r="AF7" s="479"/>
      <c r="AG7" s="496"/>
      <c r="AH7" s="517" t="str">
        <f>IF(ISBLANK(EURO2024!M79),"","("&amp;(EURO2024!M79)&amp;")")</f>
        <v/>
      </c>
      <c r="AI7" s="511">
        <f>IF(ISBLANK(EURO2024!L79),"",(EURO2024!L79))</f>
        <v>4</v>
      </c>
      <c r="AJ7" s="510" t="str">
        <f ca="1">MID(EURO2024!N79,1,3)</f>
        <v>Fra</v>
      </c>
      <c r="AK7" s="496"/>
      <c r="AL7" s="506"/>
      <c r="AM7" s="506"/>
      <c r="AN7" s="506"/>
      <c r="AO7" s="2"/>
      <c r="AP7" s="515"/>
      <c r="AQ7" s="499" t="str">
        <f ca="1">MID(EURO2024!I40,1,3)</f>
        <v>Esl</v>
      </c>
      <c r="AR7" s="500">
        <f>EURO2024!K40</f>
        <v>0</v>
      </c>
      <c r="AS7" s="500">
        <f>EURO2024!L40</f>
        <v>0</v>
      </c>
      <c r="AT7" s="501" t="str">
        <f ca="1">MID(EURO2024!N40,1,3)</f>
        <v>Rum</v>
      </c>
      <c r="AU7" s="2">
        <v>4</v>
      </c>
      <c r="AV7" s="502" t="str">
        <f ca="1">MID(EURO2024!R33,1,3)</f>
        <v>Aus</v>
      </c>
      <c r="AW7" s="503">
        <f ca="1">EURO2024!S33</f>
        <v>1</v>
      </c>
      <c r="AX7" s="504">
        <f ca="1">EURO2024!T33</f>
        <v>3</v>
      </c>
      <c r="AY7" s="504">
        <f ca="1">EURO2024!Z33</f>
        <v>-4</v>
      </c>
      <c r="AZ7" s="505">
        <f ca="1">EURO2024!X33</f>
        <v>1</v>
      </c>
      <c r="BA7" s="2"/>
    </row>
    <row r="8" spans="1:53" ht="15" thickBot="1" x14ac:dyDescent="0.35">
      <c r="A8" s="2"/>
      <c r="B8" s="518"/>
      <c r="C8" s="519" t="str">
        <f ca="1">MID(EURO2024!I9,1,3)</f>
        <v>Esc</v>
      </c>
      <c r="D8" s="520">
        <f>EURO2024!K9</f>
        <v>0</v>
      </c>
      <c r="E8" s="520">
        <f>EURO2024!L9</f>
        <v>0</v>
      </c>
      <c r="F8" s="521" t="str">
        <f ca="1">MID(EURO2024!N9,1,3)</f>
        <v>Hun</v>
      </c>
      <c r="G8" s="462"/>
      <c r="H8" s="522"/>
      <c r="I8" s="523"/>
      <c r="J8" s="523"/>
      <c r="K8" s="523"/>
      <c r="L8" s="524"/>
      <c r="M8" s="2"/>
      <c r="N8" s="506"/>
      <c r="O8" s="506"/>
      <c r="P8" s="507"/>
      <c r="Q8" s="477"/>
      <c r="R8" s="478"/>
      <c r="S8" s="478"/>
      <c r="T8" s="525"/>
      <c r="U8" s="477"/>
      <c r="V8" s="479"/>
      <c r="W8" s="479"/>
      <c r="X8" s="479"/>
      <c r="Y8" s="477"/>
      <c r="Z8" s="480"/>
      <c r="AA8" s="480"/>
      <c r="AB8" s="480"/>
      <c r="AC8" s="477"/>
      <c r="AD8" s="479"/>
      <c r="AE8" s="479"/>
      <c r="AF8" s="479"/>
      <c r="AG8" s="496"/>
      <c r="AH8" s="478"/>
      <c r="AI8" s="478"/>
      <c r="AJ8" s="526"/>
      <c r="AK8" s="496"/>
      <c r="AL8" s="506"/>
      <c r="AM8" s="506"/>
      <c r="AN8" s="506"/>
      <c r="AO8" s="2"/>
      <c r="AP8" s="527"/>
      <c r="AQ8" s="528" t="str">
        <f ca="1">MID(EURO2024!I41,1,3)</f>
        <v>Ucr</v>
      </c>
      <c r="AR8" s="529">
        <f>EURO2024!K41</f>
        <v>1</v>
      </c>
      <c r="AS8" s="529">
        <f>EURO2024!L41</f>
        <v>2</v>
      </c>
      <c r="AT8" s="530" t="str">
        <f ca="1">MID(EURO2024!N41,1,3)</f>
        <v>Bél</v>
      </c>
      <c r="AU8" s="531"/>
      <c r="AV8" s="532"/>
      <c r="AW8" s="532"/>
      <c r="AX8" s="532"/>
      <c r="AY8" s="532"/>
      <c r="AZ8" s="533"/>
      <c r="BA8" s="2"/>
    </row>
    <row r="9" spans="1:53" x14ac:dyDescent="0.3">
      <c r="A9" s="2"/>
      <c r="B9" s="534"/>
      <c r="C9" s="535"/>
      <c r="D9" s="536"/>
      <c r="E9" s="6"/>
      <c r="F9" s="2"/>
      <c r="G9" s="2"/>
      <c r="H9" s="537"/>
      <c r="I9" s="2"/>
      <c r="J9" s="2"/>
      <c r="K9" s="2"/>
      <c r="L9" s="2"/>
      <c r="M9" s="2"/>
      <c r="N9" s="474" t="str">
        <f ca="1">MID(EURO2024!I66,1,3)</f>
        <v>Ale</v>
      </c>
      <c r="O9" s="475">
        <f>IF(ISBLANK(EURO2024!K66),"",(EURO2024!K66))</f>
        <v>2</v>
      </c>
      <c r="P9" s="538" t="str">
        <f>IF(ISBLANK(EURO2024!J66),"","("&amp;(EURO2024!J66)&amp;")")</f>
        <v/>
      </c>
      <c r="Q9" s="477"/>
      <c r="R9" s="478"/>
      <c r="S9" s="478"/>
      <c r="T9" s="525"/>
      <c r="U9" s="477"/>
      <c r="V9" s="479"/>
      <c r="W9" s="479"/>
      <c r="X9" s="479"/>
      <c r="Y9" s="477"/>
      <c r="Z9" s="480"/>
      <c r="AA9" s="480"/>
      <c r="AB9" s="480"/>
      <c r="AC9" s="477"/>
      <c r="AD9" s="479"/>
      <c r="AE9" s="479"/>
      <c r="AF9" s="479"/>
      <c r="AG9" s="496"/>
      <c r="AH9" s="478"/>
      <c r="AI9" s="478"/>
      <c r="AJ9" s="478"/>
      <c r="AK9" s="496"/>
      <c r="AL9" s="481" t="str">
        <f>IF(ISBLANK(EURO2024!J72),"","("&amp;(EURO2024!J72)&amp;")")</f>
        <v/>
      </c>
      <c r="AM9" s="475">
        <f>IF(ISBLANK(EURO2024!K72),"",(EURO2024!K72))</f>
        <v>3</v>
      </c>
      <c r="AN9" s="474" t="str">
        <f ca="1">MID(EURO2024!I72,1,3)</f>
        <v>Fra</v>
      </c>
      <c r="AO9" s="463"/>
      <c r="AP9" s="2"/>
      <c r="AQ9" s="2"/>
      <c r="AR9" s="2"/>
      <c r="AS9" s="2"/>
      <c r="AT9" s="2"/>
      <c r="AU9" s="2"/>
      <c r="AV9" s="2"/>
      <c r="AW9" s="2"/>
      <c r="AX9" s="2"/>
      <c r="AY9" s="2"/>
      <c r="AZ9" s="2"/>
      <c r="BA9" s="2"/>
    </row>
    <row r="10" spans="1:53" ht="15" thickBot="1" x14ac:dyDescent="0.35">
      <c r="A10" s="2"/>
      <c r="B10" s="539"/>
      <c r="C10" s="537"/>
      <c r="D10" s="6"/>
      <c r="E10" s="6"/>
      <c r="F10" s="2"/>
      <c r="G10" s="2"/>
      <c r="H10" s="537"/>
      <c r="I10" s="2"/>
      <c r="J10" s="2"/>
      <c r="K10" s="2"/>
      <c r="L10" s="2"/>
      <c r="M10" s="2"/>
      <c r="N10" s="474" t="str">
        <f ca="1">MID(EURO2024!N66,1,3)</f>
        <v>Ser</v>
      </c>
      <c r="O10" s="475">
        <f>IF(ISBLANK(EURO2024!L66),"",(EURO2024!L66))</f>
        <v>1</v>
      </c>
      <c r="P10" s="540" t="str">
        <f>IF(ISBLANK(EURO2024!M66),"","("&amp;(EURO2024!M66)&amp;")")</f>
        <v/>
      </c>
      <c r="Q10" s="477"/>
      <c r="R10" s="478"/>
      <c r="S10" s="478"/>
      <c r="T10" s="525"/>
      <c r="U10" s="477"/>
      <c r="V10" s="479"/>
      <c r="W10" s="479"/>
      <c r="X10" s="479"/>
      <c r="Y10" s="477"/>
      <c r="Z10" s="480"/>
      <c r="AA10" s="480"/>
      <c r="AB10" s="480"/>
      <c r="AC10" s="477"/>
      <c r="AD10" s="479"/>
      <c r="AE10" s="479"/>
      <c r="AF10" s="479"/>
      <c r="AG10" s="496"/>
      <c r="AH10" s="478"/>
      <c r="AI10" s="478"/>
      <c r="AJ10" s="478"/>
      <c r="AK10" s="477"/>
      <c r="AL10" s="497" t="str">
        <f>IF(ISBLANK(EURO2024!M72),"","("&amp;(EURO2024!M72)&amp;")")</f>
        <v/>
      </c>
      <c r="AM10" s="475">
        <f>IF(ISBLANK(EURO2024!L72),"",(EURO2024!L72))</f>
        <v>1</v>
      </c>
      <c r="AN10" s="474" t="str">
        <f ca="1">IF(EURO2024!N72="3A/B/C/D",MID(EURO2024!N72,1,9),MID(EURO2024!N72,1,3))</f>
        <v>Tur</v>
      </c>
      <c r="AO10" s="2"/>
      <c r="AP10" s="2"/>
      <c r="AQ10" s="477"/>
      <c r="AR10" s="477"/>
      <c r="AS10" s="2"/>
      <c r="AT10" s="2"/>
      <c r="AU10" s="537"/>
      <c r="AV10" s="2"/>
      <c r="AW10" s="2"/>
      <c r="AX10" s="2"/>
      <c r="AY10" s="2"/>
      <c r="AZ10" s="541"/>
      <c r="BA10" s="2"/>
    </row>
    <row r="11" spans="1:53" x14ac:dyDescent="0.3">
      <c r="A11" s="2"/>
      <c r="B11" s="542" t="s">
        <v>60</v>
      </c>
      <c r="C11" s="543" t="str">
        <f ca="1">MID(EURO2024!I12,1,3)</f>
        <v>Esp</v>
      </c>
      <c r="D11" s="544">
        <f>EURO2024!K12</f>
        <v>0</v>
      </c>
      <c r="E11" s="545">
        <f>EURO2024!L12</f>
        <v>1</v>
      </c>
      <c r="F11" s="546" t="str">
        <f ca="1">MID(EURO2024!N12,1,3)</f>
        <v>Cro</v>
      </c>
      <c r="G11" s="547"/>
      <c r="H11" s="548" t="str">
        <f>H3</f>
        <v>Sel</v>
      </c>
      <c r="I11" s="549" t="str">
        <f>I3</f>
        <v>Pts</v>
      </c>
      <c r="J11" s="549" t="str">
        <f t="shared" ref="J11:K11" si="1">J3</f>
        <v>J</v>
      </c>
      <c r="K11" s="549" t="str">
        <f t="shared" si="1"/>
        <v>DG</v>
      </c>
      <c r="L11" s="550" t="str">
        <f>L3</f>
        <v>GF</v>
      </c>
      <c r="M11" s="2"/>
      <c r="N11" s="506"/>
      <c r="O11" s="506"/>
      <c r="P11" s="506"/>
      <c r="Q11" s="477"/>
      <c r="R11" s="478"/>
      <c r="S11" s="478"/>
      <c r="T11" s="525"/>
      <c r="U11" s="477"/>
      <c r="V11" s="479"/>
      <c r="W11" s="479"/>
      <c r="X11" s="479"/>
      <c r="Y11" s="477"/>
      <c r="Z11" s="480"/>
      <c r="AA11" s="480"/>
      <c r="AB11" s="480"/>
      <c r="AC11" s="477"/>
      <c r="AD11" s="479"/>
      <c r="AE11" s="479"/>
      <c r="AF11" s="479"/>
      <c r="AG11" s="496"/>
      <c r="AH11" s="478"/>
      <c r="AI11" s="478"/>
      <c r="AJ11" s="478"/>
      <c r="AK11" s="477"/>
      <c r="AL11" s="506"/>
      <c r="AM11" s="506"/>
      <c r="AN11" s="506"/>
      <c r="AO11" s="2"/>
      <c r="AP11" s="551" t="s">
        <v>30</v>
      </c>
      <c r="AQ11" s="552" t="str">
        <f ca="1">MID(EURO2024!I36,1,3)</f>
        <v>Rum</v>
      </c>
      <c r="AR11" s="553">
        <f>EURO2024!K36</f>
        <v>0</v>
      </c>
      <c r="AS11" s="553">
        <f>EURO2024!L36</f>
        <v>2</v>
      </c>
      <c r="AT11" s="554" t="str">
        <f ca="1">MID(EURO2024!N36,1,3)</f>
        <v>Ucr</v>
      </c>
      <c r="AU11" s="555"/>
      <c r="AV11" s="556" t="str">
        <f>H3</f>
        <v>Sel</v>
      </c>
      <c r="AW11" s="556" t="str">
        <f t="shared" ref="AW11:AZ11" si="2">I3</f>
        <v>Pts</v>
      </c>
      <c r="AX11" s="556" t="str">
        <f t="shared" si="2"/>
        <v>J</v>
      </c>
      <c r="AY11" s="556" t="str">
        <f t="shared" si="2"/>
        <v>DG</v>
      </c>
      <c r="AZ11" s="556" t="str">
        <f t="shared" si="2"/>
        <v>GF</v>
      </c>
      <c r="BA11" s="2"/>
    </row>
    <row r="12" spans="1:53" x14ac:dyDescent="0.3">
      <c r="A12" s="2"/>
      <c r="B12" s="542"/>
      <c r="C12" s="557" t="str">
        <f ca="1">MID(EURO2024!I13,1,3)</f>
        <v>Ita</v>
      </c>
      <c r="D12" s="558">
        <f>EURO2024!K13</f>
        <v>2</v>
      </c>
      <c r="E12" s="559">
        <f>EURO2024!L13</f>
        <v>0</v>
      </c>
      <c r="F12" s="560" t="str">
        <f ca="1">MID(EURO2024!N13,1,3)</f>
        <v>Alb</v>
      </c>
      <c r="G12" s="2">
        <v>1</v>
      </c>
      <c r="H12" s="561" t="str">
        <f ca="1">MID(EURO2024!R14,1,3)</f>
        <v>Cro</v>
      </c>
      <c r="I12" s="562">
        <f ca="1">EURO2024!S14</f>
        <v>9</v>
      </c>
      <c r="J12" s="563">
        <f ca="1">EURO2024!T14</f>
        <v>3</v>
      </c>
      <c r="K12" s="563">
        <f ca="1">EURO2024!Z14</f>
        <v>3</v>
      </c>
      <c r="L12" s="564">
        <f ca="1">EURO2024!X14</f>
        <v>5</v>
      </c>
      <c r="M12" s="2"/>
      <c r="N12" s="506"/>
      <c r="O12" s="506"/>
      <c r="P12" s="506"/>
      <c r="Q12" s="477"/>
      <c r="R12" s="478"/>
      <c r="S12" s="478"/>
      <c r="T12" s="525"/>
      <c r="U12" s="477"/>
      <c r="V12" s="479"/>
      <c r="W12" s="479"/>
      <c r="X12" s="479"/>
      <c r="Y12" s="477"/>
      <c r="Z12" s="565"/>
      <c r="AA12" s="566"/>
      <c r="AB12" s="480"/>
      <c r="AC12" s="477"/>
      <c r="AD12" s="479"/>
      <c r="AE12" s="479"/>
      <c r="AF12" s="479"/>
      <c r="AG12" s="496"/>
      <c r="AH12" s="478"/>
      <c r="AI12" s="478"/>
      <c r="AJ12" s="478"/>
      <c r="AK12" s="477"/>
      <c r="AL12" s="506"/>
      <c r="AM12" s="506"/>
      <c r="AN12" s="506"/>
      <c r="AO12" s="2"/>
      <c r="AP12" s="567"/>
      <c r="AQ12" s="568" t="str">
        <f ca="1">MID(EURO2024!I37,1,3)</f>
        <v>Bél</v>
      </c>
      <c r="AR12" s="569">
        <f>EURO2024!K37</f>
        <v>2</v>
      </c>
      <c r="AS12" s="569">
        <f>EURO2024!L37</f>
        <v>0</v>
      </c>
      <c r="AT12" s="570" t="str">
        <f ca="1">MID(EURO2024!N37,1,3)</f>
        <v>Esl</v>
      </c>
      <c r="AU12" s="571">
        <v>1</v>
      </c>
      <c r="AV12" s="572" t="str">
        <f ca="1">MID(EURO2024!R38,1,3)</f>
        <v>Bél</v>
      </c>
      <c r="AW12" s="573">
        <f ca="1">EURO2024!S38</f>
        <v>9</v>
      </c>
      <c r="AX12" s="574">
        <f ca="1">EURO2024!T38</f>
        <v>3</v>
      </c>
      <c r="AY12" s="574">
        <f ca="1">EURO2024!Z38</f>
        <v>5</v>
      </c>
      <c r="AZ12" s="575">
        <f ca="1">EURO2024!X38</f>
        <v>6</v>
      </c>
      <c r="BA12" s="2"/>
    </row>
    <row r="13" spans="1:53" x14ac:dyDescent="0.3">
      <c r="A13" s="2"/>
      <c r="B13" s="542"/>
      <c r="C13" s="557" t="str">
        <f ca="1">MID(EURO2024!I14,1,3)</f>
        <v>Cro</v>
      </c>
      <c r="D13" s="558">
        <f>EURO2024!K14</f>
        <v>2</v>
      </c>
      <c r="E13" s="559">
        <f>EURO2024!L14</f>
        <v>1</v>
      </c>
      <c r="F13" s="560" t="str">
        <f ca="1">MID(EURO2024!N14,1,3)</f>
        <v>Alb</v>
      </c>
      <c r="G13" s="2">
        <v>2</v>
      </c>
      <c r="H13" s="561" t="str">
        <f ca="1">MID(EURO2024!R15,1,3)</f>
        <v>Ita</v>
      </c>
      <c r="I13" s="562">
        <f ca="1">EURO2024!S15</f>
        <v>4</v>
      </c>
      <c r="J13" s="563">
        <f ca="1">EURO2024!T15</f>
        <v>3</v>
      </c>
      <c r="K13" s="563">
        <f ca="1">EURO2024!Z15</f>
        <v>1</v>
      </c>
      <c r="L13" s="564">
        <f ca="1">EURO2024!X15</f>
        <v>4</v>
      </c>
      <c r="M13" s="2"/>
      <c r="N13" s="506"/>
      <c r="O13" s="506"/>
      <c r="P13" s="506"/>
      <c r="Q13" s="477"/>
      <c r="R13" s="478"/>
      <c r="S13" s="478"/>
      <c r="T13" s="525"/>
      <c r="U13" s="576"/>
      <c r="V13" s="577" t="str">
        <f ca="1">MID(EURO2024!I82,1,3)</f>
        <v>Ale</v>
      </c>
      <c r="W13" s="578">
        <f>IF(ISBLANK(EURO2024!K82),"",(EURO2024!K82))</f>
        <v>1</v>
      </c>
      <c r="X13" s="579" t="str">
        <f>IF(ISBLANK(EURO2024!J82),"","("&amp;(EURO2024!J82)&amp;")")</f>
        <v>(5)</v>
      </c>
      <c r="Y13" s="580"/>
      <c r="Z13" s="581" t="str">
        <f ca="1">MID(EURO2024!I86,1,3)</f>
        <v>Ale</v>
      </c>
      <c r="AA13" s="582">
        <f>IF(ISBLANK(EURO2024!K86),"",(EURO2024!K86))</f>
        <v>2</v>
      </c>
      <c r="AB13" s="583" t="str">
        <f>IF(ISBLANK(EURO2024!J86),"","("&amp;(EURO2024!J86)&amp;")")</f>
        <v/>
      </c>
      <c r="AC13" s="584"/>
      <c r="AD13" s="585" t="str">
        <f>IF(ISBLANK(EURO2024!J83),"","("&amp;(EURO2024!J83)&amp;")")</f>
        <v>(3)</v>
      </c>
      <c r="AE13" s="578">
        <f>IF(ISBLANK(EURO2024!K83),"",(EURO2024!K83))</f>
        <v>2</v>
      </c>
      <c r="AF13" s="586" t="str">
        <f ca="1">MID(EURO2024!I83,1,3)</f>
        <v>Fra</v>
      </c>
      <c r="AG13" s="514"/>
      <c r="AH13" s="478"/>
      <c r="AI13" s="478"/>
      <c r="AJ13" s="478"/>
      <c r="AK13" s="477"/>
      <c r="AL13" s="506"/>
      <c r="AM13" s="506"/>
      <c r="AN13" s="506"/>
      <c r="AO13" s="2"/>
      <c r="AP13" s="567"/>
      <c r="AQ13" s="587" t="str">
        <f ca="1">MID(EURO2024!I38,1,3)</f>
        <v>Esl</v>
      </c>
      <c r="AR13" s="588">
        <f>EURO2024!K38</f>
        <v>0</v>
      </c>
      <c r="AS13" s="588">
        <f>EURO2024!L38</f>
        <v>2</v>
      </c>
      <c r="AT13" s="589" t="str">
        <f ca="1">MID(EURO2024!N38,1,3)</f>
        <v>Ucr</v>
      </c>
      <c r="AU13" s="571">
        <v>2</v>
      </c>
      <c r="AV13" s="590" t="str">
        <f ca="1">MID(EURO2024!R39,1,3)</f>
        <v>Ucr</v>
      </c>
      <c r="AW13" s="591">
        <f ca="1">EURO2024!S39</f>
        <v>6</v>
      </c>
      <c r="AX13" s="574">
        <f ca="1">EURO2024!T39</f>
        <v>3</v>
      </c>
      <c r="AY13" s="592">
        <f ca="1">EURO2024!Z39</f>
        <v>3</v>
      </c>
      <c r="AZ13" s="593">
        <f ca="1">EURO2024!X39</f>
        <v>5</v>
      </c>
      <c r="BA13" s="2"/>
    </row>
    <row r="14" spans="1:53" x14ac:dyDescent="0.3">
      <c r="A14" s="2"/>
      <c r="B14" s="542"/>
      <c r="C14" s="594" t="str">
        <f ca="1">MID(EURO2024!I15,1,3)</f>
        <v>Esp</v>
      </c>
      <c r="D14" s="595">
        <f>EURO2024!K15</f>
        <v>1</v>
      </c>
      <c r="E14" s="596">
        <f>EURO2024!L15</f>
        <v>1</v>
      </c>
      <c r="F14" s="597" t="str">
        <f ca="1">MID(EURO2024!N15,1,3)</f>
        <v>Ita</v>
      </c>
      <c r="G14" s="2">
        <v>3</v>
      </c>
      <c r="H14" s="561" t="str">
        <f ca="1">MID(EURO2024!R16,1,3)</f>
        <v>Esp</v>
      </c>
      <c r="I14" s="562">
        <f ca="1">EURO2024!S16</f>
        <v>2</v>
      </c>
      <c r="J14" s="563">
        <f ca="1">EURO2024!T16</f>
        <v>3</v>
      </c>
      <c r="K14" s="563">
        <f ca="1">EURO2024!Z16</f>
        <v>-1</v>
      </c>
      <c r="L14" s="564">
        <f ca="1">EURO2024!X16</f>
        <v>2</v>
      </c>
      <c r="M14" s="2"/>
      <c r="N14" s="506"/>
      <c r="O14" s="506"/>
      <c r="P14" s="506"/>
      <c r="Q14" s="477"/>
      <c r="R14" s="478"/>
      <c r="S14" s="478"/>
      <c r="T14" s="525"/>
      <c r="U14" s="598"/>
      <c r="V14" s="577" t="str">
        <f ca="1">MID(EURO2024!N82,1,3)</f>
        <v>Por</v>
      </c>
      <c r="W14" s="578">
        <f>IF(ISBLANK(EURO2024!L82),"",(EURO2024!L82))</f>
        <v>1</v>
      </c>
      <c r="X14" s="599" t="str">
        <f>IF(ISBLANK(EURO2024!M82),"","("&amp;(EURO2024!M82)&amp;")")</f>
        <v>(4)</v>
      </c>
      <c r="Y14" s="477"/>
      <c r="Z14" s="600" t="str">
        <f ca="1">MID(EURO2024!N86,1,3)</f>
        <v>Ing</v>
      </c>
      <c r="AA14" s="582">
        <f>IF(ISBLANK(EURO2024!L86),"",(EURO2024!L86))</f>
        <v>1</v>
      </c>
      <c r="AB14" s="601" t="str">
        <f>IF(ISBLANK(EURO2024!M86),"","("&amp;(EURO2024!M86)&amp;")")</f>
        <v/>
      </c>
      <c r="AC14" s="602"/>
      <c r="AD14" s="603" t="str">
        <f>IF(ISBLANK(EURO2024!M83),"","("&amp;(EURO2024!M83)&amp;")")</f>
        <v>(4)</v>
      </c>
      <c r="AE14" s="578">
        <f>IF(ISBLANK(EURO2024!L83),"",(EURO2024!L83))</f>
        <v>2</v>
      </c>
      <c r="AF14" s="586" t="str">
        <f ca="1">MID(EURO2024!N83,1,3)</f>
        <v>Ing</v>
      </c>
      <c r="AG14" s="496"/>
      <c r="AH14" s="478"/>
      <c r="AI14" s="478"/>
      <c r="AJ14" s="478"/>
      <c r="AK14" s="477"/>
      <c r="AL14" s="506"/>
      <c r="AM14" s="506"/>
      <c r="AN14" s="506"/>
      <c r="AO14" s="2"/>
      <c r="AP14" s="567"/>
      <c r="AQ14" s="604" t="str">
        <f ca="1">MID(EURO2024!I39,1,3)</f>
        <v>Bél</v>
      </c>
      <c r="AR14" s="569">
        <f>EURO2024!K39</f>
        <v>2</v>
      </c>
      <c r="AS14" s="569">
        <f>EURO2024!L39</f>
        <v>0</v>
      </c>
      <c r="AT14" s="570" t="str">
        <f ca="1">MID(EURO2024!N39,1,3)</f>
        <v>Rum</v>
      </c>
      <c r="AU14" s="571">
        <v>3</v>
      </c>
      <c r="AV14" s="572" t="str">
        <f ca="1">MID(EURO2024!R40,1,3)</f>
        <v>Rum</v>
      </c>
      <c r="AW14" s="573">
        <f ca="1">EURO2024!S40</f>
        <v>1</v>
      </c>
      <c r="AX14" s="574">
        <f ca="1">EURO2024!T40</f>
        <v>3</v>
      </c>
      <c r="AY14" s="574">
        <f ca="1">EURO2024!Z40</f>
        <v>-4</v>
      </c>
      <c r="AZ14" s="575">
        <f ca="1">EURO2024!X40</f>
        <v>0</v>
      </c>
      <c r="BA14" s="2"/>
    </row>
    <row r="15" spans="1:53" x14ac:dyDescent="0.3">
      <c r="A15" s="2"/>
      <c r="B15" s="542"/>
      <c r="C15" s="594" t="str">
        <f ca="1">MID(EURO2024!I16,1,3)</f>
        <v>Alb</v>
      </c>
      <c r="D15" s="595">
        <f>EURO2024!K16</f>
        <v>1</v>
      </c>
      <c r="E15" s="596">
        <f>EURO2024!L16</f>
        <v>1</v>
      </c>
      <c r="F15" s="597" t="str">
        <f ca="1">MID(EURO2024!N16,1,3)</f>
        <v>Esp</v>
      </c>
      <c r="G15" s="2">
        <v>4</v>
      </c>
      <c r="H15" s="605" t="str">
        <f ca="1">MID(EURO2024!R17,1,3)</f>
        <v>Alb</v>
      </c>
      <c r="I15" s="606">
        <f ca="1">EURO2024!S17</f>
        <v>1</v>
      </c>
      <c r="J15" s="563">
        <f ca="1">EURO2024!T17</f>
        <v>3</v>
      </c>
      <c r="K15" s="607">
        <f ca="1">EURO2024!Z17</f>
        <v>-3</v>
      </c>
      <c r="L15" s="608">
        <f ca="1">EURO2024!X17</f>
        <v>2</v>
      </c>
      <c r="M15" s="2"/>
      <c r="N15" s="506"/>
      <c r="O15" s="506"/>
      <c r="P15" s="506"/>
      <c r="Q15" s="477"/>
      <c r="R15" s="478"/>
      <c r="S15" s="478"/>
      <c r="T15" s="525"/>
      <c r="U15" s="609"/>
      <c r="V15" s="479"/>
      <c r="W15" s="479"/>
      <c r="X15" s="479"/>
      <c r="Y15" s="477"/>
      <c r="Z15" s="480"/>
      <c r="AA15" s="480"/>
      <c r="AB15" s="480"/>
      <c r="AC15" s="477"/>
      <c r="AD15" s="479"/>
      <c r="AE15" s="479"/>
      <c r="AF15" s="610"/>
      <c r="AG15" s="496"/>
      <c r="AH15" s="478"/>
      <c r="AI15" s="478"/>
      <c r="AJ15" s="478"/>
      <c r="AK15" s="477"/>
      <c r="AL15" s="506"/>
      <c r="AM15" s="506"/>
      <c r="AN15" s="506"/>
      <c r="AO15" s="2"/>
      <c r="AP15" s="567"/>
      <c r="AQ15" s="604" t="str">
        <f ca="1">MID(EURO2024!I40,1,3)</f>
        <v>Esl</v>
      </c>
      <c r="AR15" s="569">
        <f>EURO2024!K40</f>
        <v>0</v>
      </c>
      <c r="AS15" s="569">
        <f>EURO2024!L40</f>
        <v>0</v>
      </c>
      <c r="AT15" s="570" t="str">
        <f ca="1">MID(EURO2024!N40,1,3)</f>
        <v>Rum</v>
      </c>
      <c r="AU15" s="571">
        <v>4</v>
      </c>
      <c r="AV15" s="572" t="str">
        <f ca="1">MID(EURO2024!R41,1,3)</f>
        <v>Esl</v>
      </c>
      <c r="AW15" s="611">
        <f ca="1">EURO2024!S41</f>
        <v>1</v>
      </c>
      <c r="AX15" s="574">
        <f ca="1">EURO2024!T41</f>
        <v>3</v>
      </c>
      <c r="AY15" s="612">
        <f ca="1">EURO2024!Z41</f>
        <v>-4</v>
      </c>
      <c r="AZ15" s="613">
        <f ca="1">EURO2024!X41</f>
        <v>0</v>
      </c>
      <c r="BA15" s="2"/>
    </row>
    <row r="16" spans="1:53" ht="15" thickBot="1" x14ac:dyDescent="0.35">
      <c r="A16" s="2"/>
      <c r="B16" s="614"/>
      <c r="C16" s="615" t="str">
        <f ca="1">MID(EURO2024!I17,1,3)</f>
        <v>Cro</v>
      </c>
      <c r="D16" s="616">
        <f>EURO2024!K17</f>
        <v>2</v>
      </c>
      <c r="E16" s="617">
        <f>EURO2024!L17</f>
        <v>1</v>
      </c>
      <c r="F16" s="618" t="str">
        <f ca="1">MID(EURO2024!N17,1,3)</f>
        <v>Ita</v>
      </c>
      <c r="G16" s="619"/>
      <c r="H16" s="620"/>
      <c r="I16" s="621"/>
      <c r="J16" s="621"/>
      <c r="K16" s="621"/>
      <c r="L16" s="622"/>
      <c r="M16" s="2"/>
      <c r="N16" s="506"/>
      <c r="O16" s="506"/>
      <c r="P16" s="506"/>
      <c r="Q16" s="477"/>
      <c r="R16" s="478"/>
      <c r="S16" s="478"/>
      <c r="T16" s="525"/>
      <c r="U16" s="609"/>
      <c r="V16" s="479"/>
      <c r="W16" s="479"/>
      <c r="X16" s="479"/>
      <c r="Y16" s="477"/>
      <c r="Z16" s="480"/>
      <c r="AA16" s="480"/>
      <c r="AB16" s="480"/>
      <c r="AC16" s="477"/>
      <c r="AD16" s="479"/>
      <c r="AE16" s="479"/>
      <c r="AF16" s="479"/>
      <c r="AG16" s="496"/>
      <c r="AH16" s="478"/>
      <c r="AI16" s="478"/>
      <c r="AJ16" s="478"/>
      <c r="AK16" s="477"/>
      <c r="AL16" s="506"/>
      <c r="AM16" s="506"/>
      <c r="AN16" s="506"/>
      <c r="AO16" s="2"/>
      <c r="AP16" s="623"/>
      <c r="AQ16" s="624" t="str">
        <f ca="1">MID(EURO2024!I41,1,3)</f>
        <v>Ucr</v>
      </c>
      <c r="AR16" s="625">
        <f>EURO2024!K41</f>
        <v>1</v>
      </c>
      <c r="AS16" s="625">
        <f>EURO2024!L41</f>
        <v>2</v>
      </c>
      <c r="AT16" s="626" t="str">
        <f ca="1">MID(EURO2024!N41,1,3)</f>
        <v>Bél</v>
      </c>
      <c r="AU16" s="627"/>
      <c r="AV16" s="628"/>
      <c r="AW16" s="629"/>
      <c r="AX16" s="629"/>
      <c r="AY16" s="629"/>
      <c r="AZ16" s="630"/>
      <c r="BA16" s="2"/>
    </row>
    <row r="17" spans="1:53" x14ac:dyDescent="0.3">
      <c r="A17" s="2"/>
      <c r="B17" s="463"/>
      <c r="C17" s="537"/>
      <c r="D17" s="541"/>
      <c r="E17" s="541"/>
      <c r="F17" s="463"/>
      <c r="G17" s="2"/>
      <c r="H17" s="537"/>
      <c r="I17" s="2"/>
      <c r="J17" s="2"/>
      <c r="K17" s="2"/>
      <c r="L17" s="2"/>
      <c r="M17" s="2"/>
      <c r="N17" s="474" t="str">
        <f ca="1">MID(EURO2024!I70,1,3)</f>
        <v>Por</v>
      </c>
      <c r="O17" s="475">
        <f>IF(ISBLANK(EURO2024!K70),"",(EURO2024!K70))</f>
        <v>2</v>
      </c>
      <c r="P17" s="476" t="str">
        <f>IF(ISBLANK(EURO2024!J70),"","("&amp;(EURO2024!J70)&amp;")")</f>
        <v/>
      </c>
      <c r="Q17" s="477"/>
      <c r="R17" s="478"/>
      <c r="S17" s="478"/>
      <c r="T17" s="525"/>
      <c r="U17" s="609"/>
      <c r="V17" s="479"/>
      <c r="W17" s="479"/>
      <c r="X17" s="479"/>
      <c r="Y17" s="477"/>
      <c r="Z17" s="480"/>
      <c r="AA17" s="480"/>
      <c r="AB17" s="480"/>
      <c r="AC17" s="477"/>
      <c r="AD17" s="479"/>
      <c r="AE17" s="479"/>
      <c r="AF17" s="479"/>
      <c r="AG17" s="496"/>
      <c r="AH17" s="478"/>
      <c r="AI17" s="478"/>
      <c r="AJ17" s="478"/>
      <c r="AK17" s="477"/>
      <c r="AL17" s="481" t="str">
        <f>IF(ISBLANK(EURO2024!J67),"","("&amp;(EURO2024!J67)&amp;")")</f>
        <v/>
      </c>
      <c r="AM17" s="475">
        <f>IF(ISBLANK(EURO2024!K67),"",(EURO2024!K67))</f>
        <v>3</v>
      </c>
      <c r="AN17" s="474" t="str">
        <f ca="1">MID(EURO2024!I67,1,3)</f>
        <v>Ing</v>
      </c>
      <c r="AO17" s="2"/>
      <c r="AP17" s="2"/>
      <c r="AQ17" s="2"/>
      <c r="AR17" s="2"/>
      <c r="AS17" s="2"/>
      <c r="AT17" s="2"/>
      <c r="AU17" s="2"/>
      <c r="AV17" s="2"/>
      <c r="AW17" s="2"/>
      <c r="AX17" s="2"/>
      <c r="AY17" s="2"/>
      <c r="AZ17" s="2"/>
      <c r="BA17" s="2"/>
    </row>
    <row r="18" spans="1:53" ht="15" thickBot="1" x14ac:dyDescent="0.35">
      <c r="A18" s="2"/>
      <c r="B18" s="463"/>
      <c r="C18" s="537"/>
      <c r="D18" s="541"/>
      <c r="E18" s="541"/>
      <c r="F18" s="463"/>
      <c r="G18" s="2"/>
      <c r="H18" s="537"/>
      <c r="I18" s="2"/>
      <c r="J18" s="2"/>
      <c r="K18" s="2"/>
      <c r="L18" s="2"/>
      <c r="M18" s="2"/>
      <c r="N18" s="474" t="str">
        <f ca="1">IF(EURO2024!N70="3A/B/C",MID(EURO2024!N70,1,9),MID(EURO2024!N70,1,3))</f>
        <v>Din</v>
      </c>
      <c r="O18" s="475">
        <f>IF(ISBLANK(EURO2024!L70),"",(EURO2024!L70))</f>
        <v>0</v>
      </c>
      <c r="P18" s="495" t="str">
        <f>IF(ISBLANK(EURO2024!M70),"","("&amp;(EURO2024!M70)&amp;")")</f>
        <v/>
      </c>
      <c r="Q18" s="477"/>
      <c r="R18" s="478"/>
      <c r="S18" s="478"/>
      <c r="T18" s="525"/>
      <c r="U18" s="609"/>
      <c r="V18" s="479"/>
      <c r="W18" s="479"/>
      <c r="X18" s="479"/>
      <c r="Y18" s="477"/>
      <c r="Z18" s="480"/>
      <c r="AA18" s="480"/>
      <c r="AB18" s="480"/>
      <c r="AC18" s="477"/>
      <c r="AD18" s="479"/>
      <c r="AE18" s="479"/>
      <c r="AF18" s="479"/>
      <c r="AG18" s="496"/>
      <c r="AH18" s="478"/>
      <c r="AI18" s="478"/>
      <c r="AJ18" s="478"/>
      <c r="AK18" s="496"/>
      <c r="AL18" s="497" t="str">
        <f>IF(ISBLANK(EURO2024!M67),"","("&amp;(EURO2024!M67)&amp;")")</f>
        <v/>
      </c>
      <c r="AM18" s="475">
        <f>IF(ISBLANK(EURO2024!L67),"",(EURO2024!L67))</f>
        <v>1</v>
      </c>
      <c r="AN18" s="474" t="str">
        <f ca="1">IF(EURO2024!N67="3D/E/F",MID(EURO2024!N67,1,9),MID(EURO2024!N67,1,3))</f>
        <v>Pol</v>
      </c>
      <c r="AO18" s="2"/>
      <c r="AP18" s="2"/>
      <c r="AQ18" s="2"/>
      <c r="AR18" s="2"/>
      <c r="AS18" s="2"/>
      <c r="AT18" s="2"/>
      <c r="AU18" s="2"/>
      <c r="AV18" s="2"/>
      <c r="AW18" s="2"/>
      <c r="AX18" s="2"/>
      <c r="AY18" s="2"/>
      <c r="AZ18" s="2"/>
      <c r="BA18" s="2"/>
    </row>
    <row r="19" spans="1:53" x14ac:dyDescent="0.3">
      <c r="A19" s="2"/>
      <c r="B19" s="631" t="s">
        <v>66</v>
      </c>
      <c r="C19" s="632" t="str">
        <f ca="1">MID(EURO2024!I20,1,3)</f>
        <v>Esl</v>
      </c>
      <c r="D19" s="633">
        <f>EURO2024!K20</f>
        <v>1</v>
      </c>
      <c r="E19" s="634">
        <f>EURO2024!L20</f>
        <v>1</v>
      </c>
      <c r="F19" s="635" t="str">
        <f ca="1">MID(EURO2024!N20,1,3)</f>
        <v>Din</v>
      </c>
      <c r="G19" s="636"/>
      <c r="H19" s="637" t="str">
        <f>H3</f>
        <v>Sel</v>
      </c>
      <c r="I19" s="638" t="str">
        <f>I3</f>
        <v>Pts</v>
      </c>
      <c r="J19" s="638" t="str">
        <f t="shared" ref="J19:L19" si="3">J3</f>
        <v>J</v>
      </c>
      <c r="K19" s="638" t="str">
        <f t="shared" si="3"/>
        <v>DG</v>
      </c>
      <c r="L19" s="638" t="str">
        <f t="shared" si="3"/>
        <v>GF</v>
      </c>
      <c r="M19" s="2"/>
      <c r="N19" s="506"/>
      <c r="O19" s="506"/>
      <c r="P19" s="507"/>
      <c r="Q19" s="477"/>
      <c r="R19" s="478"/>
      <c r="S19" s="478"/>
      <c r="T19" s="525"/>
      <c r="U19" s="609"/>
      <c r="V19" s="479"/>
      <c r="W19" s="479"/>
      <c r="X19" s="479"/>
      <c r="Y19" s="477"/>
      <c r="Z19" s="480"/>
      <c r="AA19" s="480"/>
      <c r="AB19" s="480"/>
      <c r="AC19" s="477"/>
      <c r="AD19" s="479"/>
      <c r="AE19" s="479"/>
      <c r="AF19" s="479"/>
      <c r="AG19" s="496"/>
      <c r="AH19" s="478"/>
      <c r="AI19" s="478"/>
      <c r="AJ19" s="508"/>
      <c r="AK19" s="496"/>
      <c r="AL19" s="506"/>
      <c r="AM19" s="506"/>
      <c r="AN19" s="506"/>
      <c r="AO19" s="2"/>
      <c r="AP19" s="639" t="s">
        <v>71</v>
      </c>
      <c r="AQ19" s="640" t="str">
        <f ca="1">MID(EURO2024!I44,1,3)</f>
        <v>Tur</v>
      </c>
      <c r="AR19" s="641">
        <f>EURO2024!K44</f>
        <v>3</v>
      </c>
      <c r="AS19" s="641">
        <f>EURO2024!L44</f>
        <v>1</v>
      </c>
      <c r="AT19" s="642" t="str">
        <f ca="1">MID(EURO2024!N44,1,3)</f>
        <v>Geo</v>
      </c>
      <c r="AU19" s="643"/>
      <c r="AV19" s="644" t="str">
        <f>H3</f>
        <v>Sel</v>
      </c>
      <c r="AW19" s="645" t="str">
        <f>I3</f>
        <v>Pts</v>
      </c>
      <c r="AX19" s="645" t="str">
        <f t="shared" ref="AX19:AZ19" si="4">J3</f>
        <v>J</v>
      </c>
      <c r="AY19" s="645" t="str">
        <f t="shared" si="4"/>
        <v>DG</v>
      </c>
      <c r="AZ19" s="646" t="str">
        <f t="shared" si="4"/>
        <v>GF</v>
      </c>
      <c r="BA19" s="2"/>
    </row>
    <row r="20" spans="1:53" x14ac:dyDescent="0.3">
      <c r="A20" s="2"/>
      <c r="B20" s="647"/>
      <c r="C20" s="648" t="str">
        <f ca="1">MID(EURO2024!I21,1,3)</f>
        <v>Ser</v>
      </c>
      <c r="D20" s="649">
        <f>EURO2024!K21</f>
        <v>1</v>
      </c>
      <c r="E20" s="650">
        <f>EURO2024!L21</f>
        <v>2</v>
      </c>
      <c r="F20" s="651" t="str">
        <f ca="1">MID(EURO2024!N21,1,3)</f>
        <v>Ing</v>
      </c>
      <c r="G20" s="652">
        <v>1</v>
      </c>
      <c r="H20" s="653" t="str">
        <f ca="1">MID(EURO2024!R22,1,3)</f>
        <v>Ing</v>
      </c>
      <c r="I20" s="654">
        <f ca="1">EURO2024!S22</f>
        <v>9</v>
      </c>
      <c r="J20" s="655">
        <f ca="1">EURO2024!T22</f>
        <v>3</v>
      </c>
      <c r="K20" s="655">
        <f ca="1">EURO2024!Z22</f>
        <v>6</v>
      </c>
      <c r="L20" s="656">
        <f ca="1">EURO2024!X22</f>
        <v>7</v>
      </c>
      <c r="M20" s="2"/>
      <c r="N20" s="506"/>
      <c r="O20" s="506"/>
      <c r="P20" s="507"/>
      <c r="Q20" s="509"/>
      <c r="R20" s="657" t="str">
        <f ca="1">MID(EURO2024!I77,1,3)</f>
        <v>Por</v>
      </c>
      <c r="S20" s="511">
        <f>IF(ISBLANK(EURO2024!K77),"",(EURO2024!K77))</f>
        <v>2</v>
      </c>
      <c r="T20" s="658" t="str">
        <f>IF(ISBLANK(EURO2024!J77),"","("&amp;(EURO2024!J77)&amp;")")</f>
        <v/>
      </c>
      <c r="U20" s="609"/>
      <c r="V20" s="479"/>
      <c r="W20" s="479"/>
      <c r="X20" s="479"/>
      <c r="Y20" s="477"/>
      <c r="Z20" s="480"/>
      <c r="AA20" s="480"/>
      <c r="AB20" s="480"/>
      <c r="AC20" s="477"/>
      <c r="AD20" s="479"/>
      <c r="AE20" s="479"/>
      <c r="AF20" s="479"/>
      <c r="AG20" s="496"/>
      <c r="AH20" s="513" t="str">
        <f>IF(ISBLANK(EURO2024!J78),"","("&amp;(EURO2024!J78)&amp;")")</f>
        <v/>
      </c>
      <c r="AI20" s="511">
        <f>IF(ISBLANK(EURO2024!K78),"",(EURO2024!K78))</f>
        <v>2</v>
      </c>
      <c r="AJ20" s="510" t="str">
        <f ca="1">MID(EURO2024!I78,1,3)</f>
        <v>Ing</v>
      </c>
      <c r="AK20" s="514"/>
      <c r="AL20" s="506"/>
      <c r="AM20" s="506"/>
      <c r="AN20" s="506"/>
      <c r="AO20" s="2"/>
      <c r="AP20" s="659"/>
      <c r="AQ20" s="660" t="str">
        <f ca="1">MID(EURO2024!I45,1,3)</f>
        <v>Por</v>
      </c>
      <c r="AR20" s="661">
        <f>EURO2024!K45</f>
        <v>3</v>
      </c>
      <c r="AS20" s="661">
        <f>EURO2024!L45</f>
        <v>0</v>
      </c>
      <c r="AT20" s="662" t="str">
        <f ca="1">MID(EURO2024!N45,1,3)</f>
        <v>Rep</v>
      </c>
      <c r="AU20" s="2">
        <v>1</v>
      </c>
      <c r="AV20" s="663" t="str">
        <f ca="1">MID(EURO2024!R46,1,3)</f>
        <v>Por</v>
      </c>
      <c r="AW20" s="664">
        <f ca="1">EURO2024!S46</f>
        <v>9</v>
      </c>
      <c r="AX20" s="665">
        <f ca="1">EURO2024!T46</f>
        <v>3</v>
      </c>
      <c r="AY20" s="665">
        <f ca="1">EURO2024!Z46</f>
        <v>6</v>
      </c>
      <c r="AZ20" s="666">
        <f ca="1">EURO2024!X46</f>
        <v>7</v>
      </c>
      <c r="BA20" s="2"/>
    </row>
    <row r="21" spans="1:53" x14ac:dyDescent="0.3">
      <c r="A21" s="2"/>
      <c r="B21" s="647"/>
      <c r="C21" s="667" t="str">
        <f ca="1">MID(EURO2024!I22,1,3)</f>
        <v>Esl</v>
      </c>
      <c r="D21" s="668">
        <f>EURO2024!K22</f>
        <v>0</v>
      </c>
      <c r="E21" s="669">
        <f>EURO2024!L22</f>
        <v>2</v>
      </c>
      <c r="F21" s="670" t="str">
        <f ca="1">MID(EURO2024!N22,1,3)</f>
        <v>Ser</v>
      </c>
      <c r="G21" s="652">
        <v>2</v>
      </c>
      <c r="H21" s="671" t="str">
        <f ca="1">MID(EURO2024!R23,1,3)</f>
        <v>Ser</v>
      </c>
      <c r="I21" s="672">
        <f ca="1">EURO2024!S23</f>
        <v>6</v>
      </c>
      <c r="J21" s="655">
        <f ca="1">EURO2024!T23</f>
        <v>3</v>
      </c>
      <c r="K21" s="673">
        <f ca="1">EURO2024!Z23</f>
        <v>2</v>
      </c>
      <c r="L21" s="656">
        <f ca="1">EURO2024!X23</f>
        <v>4</v>
      </c>
      <c r="M21" s="2"/>
      <c r="N21" s="506"/>
      <c r="O21" s="506"/>
      <c r="P21" s="507"/>
      <c r="Q21" s="674"/>
      <c r="R21" s="657" t="str">
        <f ca="1">MID(EURO2024!N77,1,3)</f>
        <v>Ucr</v>
      </c>
      <c r="S21" s="511">
        <f>IF(ISBLANK(EURO2024!L77),"",(EURO2024!L77))</f>
        <v>0</v>
      </c>
      <c r="T21" s="675" t="str">
        <f>IF(ISBLANK(EURO2024!M77),"","("&amp;(EURO2024!M77)&amp;")")</f>
        <v/>
      </c>
      <c r="U21" s="477"/>
      <c r="V21" s="479"/>
      <c r="W21" s="479"/>
      <c r="X21" s="479"/>
      <c r="Y21" s="477"/>
      <c r="Z21" s="676" t="str">
        <f ca="1">MID(EURO2024!I89,1,3)</f>
        <v>Ale</v>
      </c>
      <c r="AA21" s="480"/>
      <c r="AB21" s="676"/>
      <c r="AC21" s="477"/>
      <c r="AD21" s="479"/>
      <c r="AE21" s="479"/>
      <c r="AF21" s="479"/>
      <c r="AG21" s="477"/>
      <c r="AH21" s="517" t="str">
        <f>IF(ISBLANK(EURO2024!M78),"","("&amp;(EURO2024!M78)&amp;")")</f>
        <v/>
      </c>
      <c r="AI21" s="511">
        <f>IF(ISBLANK(EURO2024!L78),"",(EURO2024!L78))</f>
        <v>0</v>
      </c>
      <c r="AJ21" s="510" t="str">
        <f ca="1">MID(EURO2024!N78,1,3)</f>
        <v>Ita</v>
      </c>
      <c r="AK21" s="496"/>
      <c r="AL21" s="506"/>
      <c r="AM21" s="506"/>
      <c r="AN21" s="506"/>
      <c r="AO21" s="2"/>
      <c r="AP21" s="677"/>
      <c r="AQ21" s="678" t="str">
        <f ca="1">MID(EURO2024!I46,1,3)</f>
        <v>Geo</v>
      </c>
      <c r="AR21" s="679">
        <f>EURO2024!K46</f>
        <v>1</v>
      </c>
      <c r="AS21" s="679">
        <f>EURO2024!L46</f>
        <v>1</v>
      </c>
      <c r="AT21" s="680" t="str">
        <f ca="1">MID(EURO2024!N46,1,3)</f>
        <v>Rep</v>
      </c>
      <c r="AU21" s="2">
        <v>2</v>
      </c>
      <c r="AV21" s="663" t="str">
        <f ca="1">MID(EURO2024!R47,1,3)</f>
        <v>Tur</v>
      </c>
      <c r="AW21" s="664">
        <f ca="1">EURO2024!S47</f>
        <v>6</v>
      </c>
      <c r="AX21" s="665">
        <f ca="1">EURO2024!T47</f>
        <v>3</v>
      </c>
      <c r="AY21" s="665">
        <f ca="1">EURO2024!Z47</f>
        <v>3</v>
      </c>
      <c r="AZ21" s="681">
        <f ca="1">EURO2024!X47</f>
        <v>6</v>
      </c>
      <c r="BA21" s="2"/>
    </row>
    <row r="22" spans="1:53" x14ac:dyDescent="0.3">
      <c r="A22" s="2"/>
      <c r="B22" s="647"/>
      <c r="C22" s="667" t="str">
        <f ca="1">MID(EURO2024!I23,1,3)</f>
        <v>Din</v>
      </c>
      <c r="D22" s="668">
        <f>EURO2024!K23</f>
        <v>0</v>
      </c>
      <c r="E22" s="669">
        <f>EURO2024!L23</f>
        <v>2</v>
      </c>
      <c r="F22" s="670" t="str">
        <f ca="1">MID(EURO2024!N23,1,3)</f>
        <v>Ing</v>
      </c>
      <c r="G22" s="652">
        <v>3</v>
      </c>
      <c r="H22" s="671" t="str">
        <f ca="1">MID(EURO2024!R24,1,3)</f>
        <v>Din</v>
      </c>
      <c r="I22" s="672">
        <f ca="1">EURO2024!S24</f>
        <v>1</v>
      </c>
      <c r="J22" s="655">
        <f ca="1">EURO2024!T24</f>
        <v>3</v>
      </c>
      <c r="K22" s="673">
        <f ca="1">EURO2024!Z24</f>
        <v>-3</v>
      </c>
      <c r="L22" s="656">
        <f ca="1">EURO2024!X24</f>
        <v>1</v>
      </c>
      <c r="M22" s="2"/>
      <c r="N22" s="506"/>
      <c r="O22" s="506"/>
      <c r="P22" s="507"/>
      <c r="Q22" s="477"/>
      <c r="R22" s="478"/>
      <c r="S22" s="478"/>
      <c r="T22" s="478"/>
      <c r="U22" s="477"/>
      <c r="V22" s="479"/>
      <c r="W22" s="479"/>
      <c r="X22" s="479"/>
      <c r="Y22" s="477"/>
      <c r="Z22" s="682"/>
      <c r="AA22" s="480"/>
      <c r="AB22" s="676" t="str">
        <f ca="1">MID(EURO2024!I90,1,3)</f>
        <v>Ing</v>
      </c>
      <c r="AC22" s="477"/>
      <c r="AD22" s="479"/>
      <c r="AE22" s="479"/>
      <c r="AF22" s="479"/>
      <c r="AG22" s="477"/>
      <c r="AH22" s="478"/>
      <c r="AI22" s="478"/>
      <c r="AJ22" s="526"/>
      <c r="AK22" s="496"/>
      <c r="AL22" s="506"/>
      <c r="AM22" s="506"/>
      <c r="AN22" s="506"/>
      <c r="AO22" s="2"/>
      <c r="AP22" s="677"/>
      <c r="AQ22" s="683" t="str">
        <f ca="1">MID(EURO2024!I47,1,3)</f>
        <v>Tur</v>
      </c>
      <c r="AR22" s="684">
        <f>EURO2024!K47</f>
        <v>1</v>
      </c>
      <c r="AS22" s="684">
        <f>EURO2024!L47</f>
        <v>2</v>
      </c>
      <c r="AT22" s="685" t="str">
        <f ca="1">MID(EURO2024!N47,1,3)</f>
        <v>Por</v>
      </c>
      <c r="AU22" s="2">
        <v>3</v>
      </c>
      <c r="AV22" s="663" t="str">
        <f ca="1">MID(EURO2024!R48,1,3)</f>
        <v>Geo</v>
      </c>
      <c r="AW22" s="664">
        <f ca="1">EURO2024!S48</f>
        <v>1</v>
      </c>
      <c r="AX22" s="665">
        <f ca="1">EURO2024!T48</f>
        <v>3</v>
      </c>
      <c r="AY22" s="665">
        <f ca="1">EURO2024!Z48</f>
        <v>-4</v>
      </c>
      <c r="AZ22" s="681">
        <f ca="1">EURO2024!X48</f>
        <v>2</v>
      </c>
      <c r="BA22" s="2"/>
    </row>
    <row r="23" spans="1:53" x14ac:dyDescent="0.3">
      <c r="A23" s="2"/>
      <c r="B23" s="647"/>
      <c r="C23" s="667" t="str">
        <f ca="1">MID(EURO2024!I24,1,3)</f>
        <v>Ing</v>
      </c>
      <c r="D23" s="668">
        <f>EURO2024!K24</f>
        <v>3</v>
      </c>
      <c r="E23" s="669">
        <f>EURO2024!L24</f>
        <v>0</v>
      </c>
      <c r="F23" s="670" t="str">
        <f ca="1">MID(EURO2024!N24,1,3)</f>
        <v>Esl</v>
      </c>
      <c r="G23" s="652">
        <v>4</v>
      </c>
      <c r="H23" s="671" t="str">
        <f ca="1">MID(EURO2024!R25,1,3)</f>
        <v>Esl</v>
      </c>
      <c r="I23" s="672">
        <f ca="1">EURO2024!S25</f>
        <v>1</v>
      </c>
      <c r="J23" s="655">
        <f ca="1">EURO2024!T25</f>
        <v>3</v>
      </c>
      <c r="K23" s="673">
        <f ca="1">EURO2024!Z25</f>
        <v>-5</v>
      </c>
      <c r="L23" s="656">
        <f ca="1">EURO2024!X25</f>
        <v>1</v>
      </c>
      <c r="M23" s="2"/>
      <c r="N23" s="474" t="str">
        <f ca="1">MID(EURO2024!I69,1,3)</f>
        <v>Paí</v>
      </c>
      <c r="O23" s="475">
        <f>IF(ISBLANK(EURO2024!K69),"",(EURO2024!K69))</f>
        <v>1</v>
      </c>
      <c r="P23" s="538" t="str">
        <f>IF(ISBLANK(EURO2024!J69),"","("&amp;(EURO2024!J69)&amp;")")</f>
        <v>(2)</v>
      </c>
      <c r="Q23" s="477"/>
      <c r="R23" s="478"/>
      <c r="S23" s="478"/>
      <c r="T23" s="478"/>
      <c r="U23" s="477"/>
      <c r="V23" s="479"/>
      <c r="W23" s="686"/>
      <c r="X23" s="479"/>
      <c r="Y23" s="477"/>
      <c r="Z23" s="682"/>
      <c r="AA23" s="480"/>
      <c r="AB23" s="687"/>
      <c r="AC23" s="477"/>
      <c r="AD23" s="479"/>
      <c r="AE23" s="479"/>
      <c r="AF23" s="479"/>
      <c r="AG23" s="477"/>
      <c r="AH23" s="478"/>
      <c r="AI23" s="478"/>
      <c r="AJ23" s="478"/>
      <c r="AK23" s="496"/>
      <c r="AL23" s="481" t="str">
        <f>IF(ISBLANK(EURO2024!J65),"","("&amp;(EURO2024!J65)&amp;")")</f>
        <v/>
      </c>
      <c r="AM23" s="475">
        <f>IF(ISBLANK(EURO2024!K65),"",(EURO2024!K65))</f>
        <v>0</v>
      </c>
      <c r="AN23" s="474" t="str">
        <f ca="1">MID(EURO2024!I65,1,3)</f>
        <v>Sui</v>
      </c>
      <c r="AO23" s="2"/>
      <c r="AP23" s="677"/>
      <c r="AQ23" s="688" t="str">
        <f ca="1">MID(EURO2024!I48,1,3)</f>
        <v>Geo</v>
      </c>
      <c r="AR23" s="689">
        <f>EURO2024!K48</f>
        <v>0</v>
      </c>
      <c r="AS23" s="689">
        <f>EURO2024!L48</f>
        <v>2</v>
      </c>
      <c r="AT23" s="690" t="str">
        <f ca="1">MID(EURO2024!N48,1,3)</f>
        <v>Por</v>
      </c>
      <c r="AU23" s="2">
        <v>4</v>
      </c>
      <c r="AV23" s="691" t="str">
        <f ca="1">MID(EURO2024!R49,1,3)</f>
        <v>Rep</v>
      </c>
      <c r="AW23" s="692">
        <f ca="1">EURO2024!S49</f>
        <v>1</v>
      </c>
      <c r="AX23" s="693">
        <f ca="1">EURO2024!T49</f>
        <v>3</v>
      </c>
      <c r="AY23" s="693">
        <f ca="1">EURO2024!Z49</f>
        <v>-5</v>
      </c>
      <c r="AZ23" s="694">
        <f ca="1">EURO2024!X49</f>
        <v>1</v>
      </c>
      <c r="BA23" s="2"/>
    </row>
    <row r="24" spans="1:53" ht="15" thickBot="1" x14ac:dyDescent="0.35">
      <c r="A24" s="2"/>
      <c r="B24" s="695"/>
      <c r="C24" s="696" t="str">
        <f ca="1">MID(EURO2024!I25,1,3)</f>
        <v>Din</v>
      </c>
      <c r="D24" s="697">
        <f>EURO2024!K25</f>
        <v>0</v>
      </c>
      <c r="E24" s="698">
        <f>EURO2024!L25</f>
        <v>1</v>
      </c>
      <c r="F24" s="699" t="str">
        <f ca="1">MID(EURO2024!N25,1,3)</f>
        <v>Ser</v>
      </c>
      <c r="G24" s="700"/>
      <c r="H24" s="701"/>
      <c r="I24" s="702"/>
      <c r="J24" s="702"/>
      <c r="K24" s="702"/>
      <c r="L24" s="703"/>
      <c r="M24" s="2"/>
      <c r="N24" s="474" t="str">
        <f ca="1">MID(EURO2024!N69,1,3)</f>
        <v>Ucr</v>
      </c>
      <c r="O24" s="475">
        <f>IF(ISBLANK(EURO2024!L69),"",(EURO2024!L69))</f>
        <v>1</v>
      </c>
      <c r="P24" s="540" t="str">
        <f>IF(ISBLANK(EURO2024!M69),"","("&amp;(EURO2024!M69)&amp;")")</f>
        <v>(4)</v>
      </c>
      <c r="Q24" s="477"/>
      <c r="R24" s="478"/>
      <c r="S24" s="478"/>
      <c r="T24" s="478"/>
      <c r="U24" s="477"/>
      <c r="V24" s="479"/>
      <c r="W24" s="479"/>
      <c r="X24" s="479"/>
      <c r="Y24" s="477"/>
      <c r="Z24" s="704" t="s">
        <v>1298</v>
      </c>
      <c r="AA24" s="480"/>
      <c r="AB24" s="705" t="s">
        <v>1299</v>
      </c>
      <c r="AC24" s="477"/>
      <c r="AD24" s="479"/>
      <c r="AE24" s="479"/>
      <c r="AF24" s="479"/>
      <c r="AG24" s="477"/>
      <c r="AH24" s="478"/>
      <c r="AI24" s="478"/>
      <c r="AJ24" s="478"/>
      <c r="AK24" s="477"/>
      <c r="AL24" s="497" t="str">
        <f>IF(ISBLANK(EURO2024!M65),"","("&amp;(EURO2024!M65)&amp;")")</f>
        <v/>
      </c>
      <c r="AM24" s="475">
        <f>IF(ISBLANK(EURO2024!L65),"",(EURO2024!L65))</f>
        <v>1</v>
      </c>
      <c r="AN24" s="474" t="str">
        <f ca="1">MID(EURO2024!N65,1,3)</f>
        <v>Ita</v>
      </c>
      <c r="AO24" s="2"/>
      <c r="AP24" s="706"/>
      <c r="AQ24" s="707" t="str">
        <f ca="1">MID(EURO2024!I49,1,3)</f>
        <v>Rep</v>
      </c>
      <c r="AR24" s="708">
        <f>EURO2024!K49</f>
        <v>0</v>
      </c>
      <c r="AS24" s="708">
        <f>EURO2024!L49</f>
        <v>2</v>
      </c>
      <c r="AT24" s="709" t="str">
        <f ca="1">MID(EURO2024!N49,1,3)</f>
        <v>Tur</v>
      </c>
      <c r="AU24" s="710"/>
      <c r="AV24" s="711"/>
      <c r="AW24" s="712"/>
      <c r="AX24" s="712"/>
      <c r="AY24" s="712"/>
      <c r="AZ24" s="713"/>
      <c r="BA24" s="2"/>
    </row>
    <row r="25" spans="1:53"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row>
    <row r="26" spans="1:53" x14ac:dyDescent="0.3">
      <c r="A26" s="2"/>
      <c r="B26" s="2"/>
      <c r="C26" s="2"/>
      <c r="D26" s="2"/>
      <c r="E26" s="2"/>
      <c r="F26" s="2"/>
      <c r="G26" s="2"/>
      <c r="H26" s="2"/>
      <c r="I26" s="2"/>
      <c r="J26" s="2"/>
      <c r="K26" s="2"/>
      <c r="L26" s="2"/>
      <c r="M26" s="2"/>
      <c r="N26" s="2"/>
      <c r="O26" s="2"/>
      <c r="P26" s="2"/>
      <c r="Q26" s="2"/>
      <c r="R26" s="2"/>
      <c r="S26" s="2"/>
      <c r="T26" s="2"/>
      <c r="U26" s="2"/>
      <c r="V26" s="2"/>
      <c r="W26" s="2"/>
      <c r="X26" s="2"/>
      <c r="Z26" s="2" t="e" vm="5">
        <v>#VALUE!</v>
      </c>
      <c r="AA26" s="2" t="str">
        <f>IF(EURO2024!$O$93=1,EURO2024!$I$93,"")</f>
        <v>Francia | Kylian Mbappe (Delantero)</v>
      </c>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1:53" x14ac:dyDescent="0.3">
      <c r="A27" s="2"/>
      <c r="B27" s="2"/>
      <c r="C27" s="2"/>
      <c r="D27" s="2"/>
      <c r="E27" s="2"/>
      <c r="F27" s="2"/>
      <c r="G27" s="2"/>
      <c r="H27" s="2"/>
      <c r="I27" s="2"/>
      <c r="J27" s="2"/>
      <c r="K27" s="2"/>
      <c r="L27" s="2"/>
      <c r="M27" s="2"/>
      <c r="N27" s="2"/>
      <c r="O27" s="2"/>
      <c r="P27" s="2"/>
      <c r="Q27" s="2"/>
      <c r="R27" s="2"/>
      <c r="S27" s="2"/>
      <c r="T27" s="2"/>
      <c r="U27" s="2"/>
      <c r="V27" s="2"/>
      <c r="W27" s="2"/>
      <c r="X27" s="2"/>
      <c r="Y27" s="2"/>
      <c r="Z27" s="2" t="e" vm="6">
        <v>#VALUE!</v>
      </c>
      <c r="AA27" s="2" t="str">
        <f>IF(EURO2024!$O$94=1,EURO2024!$I$94,"")</f>
        <v>Alemania | Jamal Musiala (Centrocampista)</v>
      </c>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row>
    <row r="28" spans="1:53" x14ac:dyDescent="0.3">
      <c r="A28" s="2"/>
      <c r="B28" s="2"/>
      <c r="C28" s="537"/>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row>
    <row r="29" spans="1:53" x14ac:dyDescent="0.3">
      <c r="A29" s="2"/>
      <c r="N29" s="714"/>
      <c r="O29" s="715"/>
      <c r="P29" s="715"/>
      <c r="Q29" s="716" t="str">
        <f>PROPER(Idiomas!D85)</f>
        <v>Fase De Grupos</v>
      </c>
      <c r="R29" s="716"/>
      <c r="S29" s="716"/>
      <c r="T29" s="716"/>
      <c r="U29" s="717" t="str">
        <f>Idiomas!D24</f>
        <v>Octavos de final</v>
      </c>
      <c r="V29" s="717"/>
      <c r="W29" s="717"/>
      <c r="X29" s="717"/>
      <c r="Y29" s="718" t="str">
        <f>Idiomas!D25</f>
        <v>Cuartos de final</v>
      </c>
      <c r="Z29" s="718"/>
      <c r="AA29" s="718"/>
      <c r="AB29" s="718"/>
      <c r="AC29" s="719" t="str">
        <f>Idiomas!D26</f>
        <v>Semifinales</v>
      </c>
      <c r="AD29" s="719"/>
      <c r="AE29" s="719"/>
      <c r="AF29" s="719"/>
      <c r="AG29" s="720" t="str">
        <f>Idiomas!D30</f>
        <v>Subcampeón</v>
      </c>
      <c r="AH29" s="720"/>
      <c r="AI29" s="720"/>
      <c r="AJ29" s="720"/>
      <c r="AK29" s="721" t="str">
        <f>Idiomas!D29</f>
        <v>Campeón</v>
      </c>
      <c r="AL29" s="721"/>
      <c r="AM29" s="722"/>
      <c r="AN29" s="2"/>
      <c r="AO29" s="2"/>
      <c r="AP29" s="2"/>
      <c r="AQ29" s="2"/>
      <c r="AR29" s="2"/>
      <c r="AS29" s="2"/>
      <c r="AT29" s="2"/>
      <c r="AU29" s="2"/>
      <c r="AV29" s="2"/>
      <c r="AW29" s="2"/>
      <c r="AX29" s="2"/>
      <c r="AY29" s="2"/>
      <c r="AZ29" s="2"/>
      <c r="BA29" s="2"/>
    </row>
    <row r="30" spans="1:53" x14ac:dyDescent="0.3">
      <c r="A30" s="2"/>
      <c r="N30" s="723"/>
      <c r="O30" s="2"/>
      <c r="P30" s="724" t="str">
        <f>Equipos!B2</f>
        <v>Alemania</v>
      </c>
      <c r="Q30" s="725">
        <f ca="1">1-SUM(U30:AK30)</f>
        <v>0</v>
      </c>
      <c r="R30" s="725"/>
      <c r="S30" s="725"/>
      <c r="T30" s="725"/>
      <c r="U30" s="725">
        <f ca="1">COUNTIF(Pool!$C$70:$C$85,Fixture!P30)-Y30-AC30-AG30-AK30</f>
        <v>0</v>
      </c>
      <c r="V30" s="726"/>
      <c r="W30" s="726"/>
      <c r="X30" s="726"/>
      <c r="Y30" s="726">
        <f ca="1">COUNTIF(Pool!$C$98:$C$105,Fixture!P30)-AC30-AG30-AK30</f>
        <v>0</v>
      </c>
      <c r="Z30" s="726"/>
      <c r="AA30" s="726"/>
      <c r="AB30" s="726"/>
      <c r="AC30" s="726">
        <f ca="1">COUNTIF(Pool!$C$114:$C$117,Fixture!P30)-AG30-AK30</f>
        <v>0</v>
      </c>
      <c r="AD30" s="726"/>
      <c r="AE30" s="726"/>
      <c r="AF30" s="726"/>
      <c r="AG30" s="726">
        <f ca="1">COUNTIF(Pool!$C$132,Fixture!P30)</f>
        <v>0</v>
      </c>
      <c r="AH30" s="726"/>
      <c r="AI30" s="726"/>
      <c r="AJ30" s="726"/>
      <c r="AK30" s="726">
        <f ca="1">COUNTIF(Pool!$C$131,Fixture!P30)</f>
        <v>1</v>
      </c>
      <c r="AL30" s="726"/>
      <c r="AM30" s="727"/>
      <c r="AN30" s="2"/>
      <c r="AO30" s="2"/>
      <c r="AP30" s="2"/>
      <c r="AQ30" s="2"/>
      <c r="AR30" s="2"/>
      <c r="AS30" s="2"/>
      <c r="AT30" s="2"/>
      <c r="AU30" s="2"/>
      <c r="AV30" s="2"/>
      <c r="AW30" s="2"/>
      <c r="AX30" s="2"/>
      <c r="AY30" s="2"/>
      <c r="AZ30" s="2"/>
      <c r="BA30" s="2"/>
    </row>
    <row r="31" spans="1:53" x14ac:dyDescent="0.3">
      <c r="A31" s="2"/>
      <c r="N31" s="723"/>
      <c r="O31" s="2"/>
      <c r="P31" s="724" t="str">
        <f>Equipos!B3</f>
        <v>Escocia</v>
      </c>
      <c r="Q31" s="725">
        <f t="shared" ref="Q31:Q53" ca="1" si="5">1-SUM(U31:AK31)</f>
        <v>1</v>
      </c>
      <c r="R31" s="725"/>
      <c r="S31" s="725"/>
      <c r="T31" s="725"/>
      <c r="U31" s="725">
        <f ca="1">COUNTIF(Pool!$C$70:$C$85,Fixture!P31)-Y31-AC31-AG31-AK31</f>
        <v>0</v>
      </c>
      <c r="V31" s="726"/>
      <c r="W31" s="726"/>
      <c r="X31" s="726"/>
      <c r="Y31" s="726">
        <f ca="1">COUNTIF(Pool!$C$98:$C$105,Fixture!P31)-AC31-AG31-AK31</f>
        <v>0</v>
      </c>
      <c r="Z31" s="726"/>
      <c r="AA31" s="726"/>
      <c r="AB31" s="726"/>
      <c r="AC31" s="726">
        <f ca="1">COUNTIF(Pool!$C$114:$C$117,Fixture!P31)-AG31-AK31</f>
        <v>0</v>
      </c>
      <c r="AD31" s="726"/>
      <c r="AE31" s="726"/>
      <c r="AF31" s="726"/>
      <c r="AG31" s="726">
        <f ca="1">COUNTIF(Pool!$C$132,Fixture!P31)</f>
        <v>0</v>
      </c>
      <c r="AH31" s="726"/>
      <c r="AI31" s="726"/>
      <c r="AJ31" s="726"/>
      <c r="AK31" s="726">
        <f ca="1">COUNTIF(Pool!$C$131,Fixture!P31)</f>
        <v>0</v>
      </c>
      <c r="AL31" s="726"/>
      <c r="AM31" s="727"/>
      <c r="AN31" s="2"/>
      <c r="AO31" s="2"/>
      <c r="AP31" s="2"/>
      <c r="AQ31" s="2"/>
      <c r="AR31" s="2"/>
      <c r="AS31" s="2"/>
      <c r="AT31" s="2"/>
      <c r="AU31" s="2"/>
      <c r="AV31" s="2"/>
      <c r="AW31" s="2"/>
      <c r="AX31" s="2"/>
      <c r="AY31" s="2"/>
      <c r="AZ31" s="2"/>
      <c r="BA31" s="2"/>
    </row>
    <row r="32" spans="1:53" x14ac:dyDescent="0.3">
      <c r="A32" s="2"/>
      <c r="N32" s="723"/>
      <c r="O32" s="2"/>
      <c r="P32" s="724" t="str">
        <f>Equipos!B4</f>
        <v>Hungría</v>
      </c>
      <c r="Q32" s="728">
        <f t="shared" ca="1" si="5"/>
        <v>0</v>
      </c>
      <c r="R32" s="728"/>
      <c r="S32" s="728"/>
      <c r="T32" s="728"/>
      <c r="U32" s="728">
        <f ca="1">COUNTIF(Pool!$C$70:$C$85,Fixture!P32)-Y32-AC32-AG32-AK32</f>
        <v>1</v>
      </c>
      <c r="V32" s="729"/>
      <c r="W32" s="729"/>
      <c r="X32" s="729"/>
      <c r="Y32" s="729">
        <f ca="1">COUNTIF(Pool!$C$98:$C$105,Fixture!P32)-AC32-AG32-AK32</f>
        <v>0</v>
      </c>
      <c r="Z32" s="729"/>
      <c r="AA32" s="729"/>
      <c r="AB32" s="729"/>
      <c r="AC32" s="729">
        <f ca="1">COUNTIF(Pool!$C$114:$C$117,Fixture!P32)-AG32-AK32</f>
        <v>0</v>
      </c>
      <c r="AD32" s="729"/>
      <c r="AE32" s="729"/>
      <c r="AF32" s="729"/>
      <c r="AG32" s="729">
        <f ca="1">COUNTIF(Pool!$C$132,Fixture!P32)</f>
        <v>0</v>
      </c>
      <c r="AH32" s="729"/>
      <c r="AI32" s="729"/>
      <c r="AJ32" s="729"/>
      <c r="AK32" s="729">
        <f ca="1">COUNTIF(Pool!$C$131,Fixture!P32)</f>
        <v>0</v>
      </c>
      <c r="AL32" s="729"/>
      <c r="AM32" s="730"/>
      <c r="AN32" s="2"/>
      <c r="AO32" s="2"/>
      <c r="AP32" s="2"/>
      <c r="AQ32" s="2"/>
      <c r="AR32" s="2"/>
      <c r="AS32" s="2"/>
      <c r="AT32" s="2"/>
      <c r="AU32" s="2"/>
      <c r="AV32" s="2"/>
      <c r="AW32" s="2"/>
      <c r="AX32" s="2"/>
      <c r="AY32" s="2"/>
      <c r="AZ32" s="2"/>
      <c r="BA32" s="2"/>
    </row>
    <row r="33" spans="1:53" x14ac:dyDescent="0.3">
      <c r="A33" s="2"/>
      <c r="N33" s="723"/>
      <c r="O33" s="2"/>
      <c r="P33" s="724" t="str">
        <f>Equipos!B5</f>
        <v>Suiza</v>
      </c>
      <c r="Q33" s="728">
        <f t="shared" ca="1" si="5"/>
        <v>0</v>
      </c>
      <c r="R33" s="728"/>
      <c r="S33" s="728"/>
      <c r="T33" s="728"/>
      <c r="U33" s="728">
        <f ca="1">COUNTIF(Pool!$C$70:$C$85,Fixture!P33)-Y33-AC33-AG33-AK33</f>
        <v>1</v>
      </c>
      <c r="V33" s="729"/>
      <c r="W33" s="729"/>
      <c r="X33" s="729"/>
      <c r="Y33" s="729">
        <f ca="1">COUNTIF(Pool!$C$98:$C$105,Fixture!P33)-AC33-AG33-AK33</f>
        <v>0</v>
      </c>
      <c r="Z33" s="729"/>
      <c r="AA33" s="729"/>
      <c r="AB33" s="729"/>
      <c r="AC33" s="729">
        <f ca="1">COUNTIF(Pool!$C$114:$C$117,Fixture!P33)-AG33-AK33</f>
        <v>0</v>
      </c>
      <c r="AD33" s="729"/>
      <c r="AE33" s="729"/>
      <c r="AF33" s="729"/>
      <c r="AG33" s="729">
        <f ca="1">COUNTIF(Pool!$C$132,Fixture!P33)</f>
        <v>0</v>
      </c>
      <c r="AH33" s="729"/>
      <c r="AI33" s="729"/>
      <c r="AJ33" s="729"/>
      <c r="AK33" s="729">
        <f ca="1">COUNTIF(Pool!$C$131,Fixture!P33)</f>
        <v>0</v>
      </c>
      <c r="AL33" s="729"/>
      <c r="AM33" s="730"/>
      <c r="AN33" s="2"/>
      <c r="AO33" s="2"/>
      <c r="AP33" s="2"/>
      <c r="AQ33" s="2"/>
      <c r="AR33" s="2"/>
      <c r="AS33" s="2"/>
      <c r="AT33" s="2"/>
      <c r="AU33" s="2"/>
      <c r="AV33" s="2"/>
      <c r="AW33" s="2"/>
      <c r="AX33" s="2"/>
      <c r="AY33" s="2"/>
      <c r="AZ33" s="2"/>
      <c r="BA33" s="2"/>
    </row>
    <row r="34" spans="1:53" x14ac:dyDescent="0.3">
      <c r="A34" s="2"/>
      <c r="N34" s="723"/>
      <c r="O34" s="2"/>
      <c r="P34" s="724" t="str">
        <f>Equipos!B6</f>
        <v>España</v>
      </c>
      <c r="Q34" s="728">
        <f t="shared" ca="1" si="5"/>
        <v>0</v>
      </c>
      <c r="R34" s="728"/>
      <c r="S34" s="728"/>
      <c r="T34" s="728"/>
      <c r="U34" s="728">
        <f ca="1">COUNTIF(Pool!$C$70:$C$85,Fixture!P34)-Y34-AC34-AG34-AK34</f>
        <v>1</v>
      </c>
      <c r="V34" s="729"/>
      <c r="W34" s="729"/>
      <c r="X34" s="729"/>
      <c r="Y34" s="729">
        <f ca="1">COUNTIF(Pool!$C$98:$C$105,Fixture!P34)-AC34-AG34-AK34</f>
        <v>0</v>
      </c>
      <c r="Z34" s="729"/>
      <c r="AA34" s="729"/>
      <c r="AB34" s="729"/>
      <c r="AC34" s="729">
        <f ca="1">COUNTIF(Pool!$C$114:$C$117,Fixture!P34)-AG34-AK34</f>
        <v>0</v>
      </c>
      <c r="AD34" s="729"/>
      <c r="AE34" s="729"/>
      <c r="AF34" s="729"/>
      <c r="AG34" s="729">
        <f ca="1">COUNTIF(Pool!$C$132,Fixture!P34)</f>
        <v>0</v>
      </c>
      <c r="AH34" s="729"/>
      <c r="AI34" s="729"/>
      <c r="AJ34" s="729"/>
      <c r="AK34" s="729">
        <f ca="1">COUNTIF(Pool!$C$131,Fixture!P34)</f>
        <v>0</v>
      </c>
      <c r="AL34" s="729"/>
      <c r="AM34" s="730"/>
      <c r="AN34" s="2"/>
      <c r="AO34" s="2"/>
      <c r="AP34" s="2"/>
      <c r="AQ34" s="2"/>
      <c r="AR34" s="2"/>
      <c r="AS34" s="2"/>
      <c r="AT34" s="2"/>
      <c r="AU34" s="2"/>
      <c r="AV34" s="2"/>
      <c r="AW34" s="2"/>
      <c r="AX34" s="2"/>
      <c r="AY34" s="2"/>
      <c r="AZ34" s="2"/>
      <c r="BA34" s="2"/>
    </row>
    <row r="35" spans="1:53" x14ac:dyDescent="0.3">
      <c r="A35" s="2"/>
      <c r="N35" s="723"/>
      <c r="O35" s="2"/>
      <c r="P35" s="724" t="str">
        <f>Equipos!B7</f>
        <v>Croacia</v>
      </c>
      <c r="Q35" s="728">
        <f t="shared" ca="1" si="5"/>
        <v>0</v>
      </c>
      <c r="R35" s="728"/>
      <c r="S35" s="728"/>
      <c r="T35" s="728"/>
      <c r="U35" s="728">
        <f ca="1">COUNTIF(Pool!$C$70:$C$85,Fixture!P35)-Y35-AC35-AG35-AK35</f>
        <v>0</v>
      </c>
      <c r="V35" s="729"/>
      <c r="W35" s="729"/>
      <c r="X35" s="729"/>
      <c r="Y35" s="729">
        <f ca="1">COUNTIF(Pool!$C$98:$C$105,Fixture!P35)-AC35-AG35-AK35</f>
        <v>1</v>
      </c>
      <c r="Z35" s="729"/>
      <c r="AA35" s="729"/>
      <c r="AB35" s="729"/>
      <c r="AC35" s="729">
        <f ca="1">COUNTIF(Pool!$C$114:$C$117,Fixture!P35)-AG35-AK35</f>
        <v>0</v>
      </c>
      <c r="AD35" s="729"/>
      <c r="AE35" s="729"/>
      <c r="AF35" s="729"/>
      <c r="AG35" s="729">
        <f ca="1">COUNTIF(Pool!$C$132,Fixture!P35)</f>
        <v>0</v>
      </c>
      <c r="AH35" s="729"/>
      <c r="AI35" s="729"/>
      <c r="AJ35" s="729"/>
      <c r="AK35" s="729">
        <f ca="1">COUNTIF(Pool!$C$131,Fixture!P35)</f>
        <v>0</v>
      </c>
      <c r="AL35" s="729"/>
      <c r="AM35" s="730"/>
      <c r="AN35" s="2"/>
      <c r="AO35" s="2"/>
      <c r="AP35" s="2"/>
      <c r="AQ35" s="2"/>
      <c r="AR35" s="2"/>
      <c r="AS35" s="2"/>
      <c r="AT35" s="2"/>
      <c r="AU35" s="2"/>
      <c r="AV35" s="2"/>
      <c r="AW35" s="2"/>
      <c r="AX35" s="2"/>
      <c r="AY35" s="2"/>
      <c r="AZ35" s="2"/>
      <c r="BA35" s="2"/>
    </row>
    <row r="36" spans="1:53" x14ac:dyDescent="0.3">
      <c r="A36" s="2"/>
      <c r="N36" s="723"/>
      <c r="O36" s="2"/>
      <c r="P36" s="724" t="str">
        <f>Equipos!B8</f>
        <v>Italia</v>
      </c>
      <c r="Q36" s="728">
        <f t="shared" ca="1" si="5"/>
        <v>0</v>
      </c>
      <c r="R36" s="728"/>
      <c r="S36" s="728"/>
      <c r="T36" s="728"/>
      <c r="U36" s="728">
        <f ca="1">COUNTIF(Pool!$C$70:$C$85,Fixture!P36)-Y36-AC36-AG36-AK36</f>
        <v>0</v>
      </c>
      <c r="V36" s="729"/>
      <c r="W36" s="729"/>
      <c r="X36" s="729"/>
      <c r="Y36" s="729">
        <f ca="1">COUNTIF(Pool!$C$98:$C$105,Fixture!P36)-AC36-AG36-AK36</f>
        <v>1</v>
      </c>
      <c r="Z36" s="729"/>
      <c r="AA36" s="729"/>
      <c r="AB36" s="729"/>
      <c r="AC36" s="729">
        <f ca="1">COUNTIF(Pool!$C$114:$C$117,Fixture!P36)-AG36-AK36</f>
        <v>0</v>
      </c>
      <c r="AD36" s="729"/>
      <c r="AE36" s="729"/>
      <c r="AF36" s="729"/>
      <c r="AG36" s="729">
        <f ca="1">COUNTIF(Pool!$C$132,Fixture!P36)</f>
        <v>0</v>
      </c>
      <c r="AH36" s="729"/>
      <c r="AI36" s="729"/>
      <c r="AJ36" s="729"/>
      <c r="AK36" s="729">
        <f ca="1">COUNTIF(Pool!$C$131,Fixture!P36)</f>
        <v>0</v>
      </c>
      <c r="AL36" s="729"/>
      <c r="AM36" s="730"/>
      <c r="AN36" s="2"/>
      <c r="AO36" s="2"/>
      <c r="AP36" s="2"/>
      <c r="AQ36" s="2"/>
      <c r="AR36" s="2"/>
      <c r="AS36" s="2"/>
      <c r="AT36" s="2"/>
      <c r="AU36" s="2"/>
      <c r="AV36" s="2"/>
      <c r="AW36" s="2"/>
      <c r="AX36" s="2"/>
      <c r="AY36" s="2"/>
      <c r="AZ36" s="2"/>
      <c r="BA36" s="2"/>
    </row>
    <row r="37" spans="1:53" x14ac:dyDescent="0.3">
      <c r="N37" s="731"/>
      <c r="P37" s="724" t="str">
        <f>Equipos!B9</f>
        <v>Albania</v>
      </c>
      <c r="Q37" s="728">
        <f t="shared" ca="1" si="5"/>
        <v>1</v>
      </c>
      <c r="R37" s="728"/>
      <c r="S37" s="728"/>
      <c r="T37" s="728"/>
      <c r="U37" s="728">
        <f ca="1">COUNTIF(Pool!$C$70:$C$85,Fixture!P37)-Y37-AC37-AG37-AK37</f>
        <v>0</v>
      </c>
      <c r="V37" s="728"/>
      <c r="W37" s="728"/>
      <c r="X37" s="728"/>
      <c r="Y37" s="729">
        <f ca="1">COUNTIF(Pool!$C$98:$C$105,Fixture!P37)-AC37-AG37-AK37</f>
        <v>0</v>
      </c>
      <c r="Z37" s="728"/>
      <c r="AA37" s="728"/>
      <c r="AB37" s="728"/>
      <c r="AC37" s="729">
        <f ca="1">COUNTIF(Pool!$C$114:$C$117,Fixture!P37)-AG37-AK37</f>
        <v>0</v>
      </c>
      <c r="AD37" s="728"/>
      <c r="AE37" s="728"/>
      <c r="AF37" s="728"/>
      <c r="AG37" s="729">
        <f ca="1">COUNTIF(Pool!$C$132,Fixture!P37)</f>
        <v>0</v>
      </c>
      <c r="AH37" s="729"/>
      <c r="AI37" s="729"/>
      <c r="AJ37" s="729"/>
      <c r="AK37" s="729">
        <f ca="1">COUNTIF(Pool!$C$131,Fixture!P37)</f>
        <v>0</v>
      </c>
      <c r="AL37" s="729"/>
      <c r="AM37" s="730"/>
      <c r="AN37" s="2"/>
    </row>
    <row r="38" spans="1:53" x14ac:dyDescent="0.3">
      <c r="N38" s="731"/>
      <c r="P38" s="724" t="str">
        <f>Equipos!B10</f>
        <v>Eslovenia</v>
      </c>
      <c r="Q38" s="728">
        <f t="shared" ca="1" si="5"/>
        <v>1</v>
      </c>
      <c r="R38" s="728"/>
      <c r="S38" s="728"/>
      <c r="T38" s="728"/>
      <c r="U38" s="728">
        <f ca="1">COUNTIF(Pool!$C$70:$C$85,Fixture!P38)-Y38-AC38-AG38-AK38</f>
        <v>0</v>
      </c>
      <c r="V38" s="728"/>
      <c r="W38" s="728"/>
      <c r="X38" s="728"/>
      <c r="Y38" s="729">
        <f ca="1">COUNTIF(Pool!$C$98:$C$105,Fixture!P38)-AC38-AG38-AK38</f>
        <v>0</v>
      </c>
      <c r="Z38" s="728"/>
      <c r="AA38" s="728"/>
      <c r="AB38" s="728"/>
      <c r="AC38" s="729">
        <f ca="1">COUNTIF(Pool!$C$114:$C$117,Fixture!P38)-AG38-AK38</f>
        <v>0</v>
      </c>
      <c r="AD38" s="728"/>
      <c r="AE38" s="728"/>
      <c r="AF38" s="728"/>
      <c r="AG38" s="729">
        <f ca="1">COUNTIF(Pool!$C$132,Fixture!P38)</f>
        <v>0</v>
      </c>
      <c r="AH38" s="729"/>
      <c r="AI38" s="729"/>
      <c r="AJ38" s="729"/>
      <c r="AK38" s="729">
        <f ca="1">COUNTIF(Pool!$C$131,Fixture!P38)</f>
        <v>0</v>
      </c>
      <c r="AL38" s="729"/>
      <c r="AM38" s="730"/>
      <c r="AN38" s="2"/>
    </row>
    <row r="39" spans="1:53" x14ac:dyDescent="0.3">
      <c r="N39" s="731"/>
      <c r="P39" s="724" t="str">
        <f>Equipos!B11</f>
        <v>Dinamarca</v>
      </c>
      <c r="Q39" s="728">
        <f t="shared" ca="1" si="5"/>
        <v>0</v>
      </c>
      <c r="R39" s="728"/>
      <c r="S39" s="728"/>
      <c r="T39" s="728"/>
      <c r="U39" s="728">
        <f ca="1">COUNTIF(Pool!$C$70:$C$85,Fixture!P39)-Y39-AC39-AG39-AK39</f>
        <v>1</v>
      </c>
      <c r="V39" s="728"/>
      <c r="W39" s="728"/>
      <c r="X39" s="728"/>
      <c r="Y39" s="729">
        <f ca="1">COUNTIF(Pool!$C$98:$C$105,Fixture!P39)-AC39-AG39-AK39</f>
        <v>0</v>
      </c>
      <c r="Z39" s="728"/>
      <c r="AA39" s="728"/>
      <c r="AB39" s="728"/>
      <c r="AC39" s="729">
        <f ca="1">COUNTIF(Pool!$C$114:$C$117,Fixture!P39)-AG39-AK39</f>
        <v>0</v>
      </c>
      <c r="AD39" s="728"/>
      <c r="AE39" s="728"/>
      <c r="AF39" s="728"/>
      <c r="AG39" s="729">
        <f ca="1">COUNTIF(Pool!$C$132,Fixture!P39)</f>
        <v>0</v>
      </c>
      <c r="AH39" s="729"/>
      <c r="AI39" s="729"/>
      <c r="AJ39" s="729"/>
      <c r="AK39" s="729">
        <f ca="1">COUNTIF(Pool!$C$131,Fixture!P39)</f>
        <v>0</v>
      </c>
      <c r="AL39" s="729"/>
      <c r="AM39" s="730"/>
      <c r="AN39" s="2"/>
    </row>
    <row r="40" spans="1:53" x14ac:dyDescent="0.3">
      <c r="N40" s="731"/>
      <c r="P40" s="724" t="str">
        <f>Equipos!B12</f>
        <v>Serbia</v>
      </c>
      <c r="Q40" s="725">
        <f t="shared" ca="1" si="5"/>
        <v>0</v>
      </c>
      <c r="R40" s="725"/>
      <c r="S40" s="725"/>
      <c r="T40" s="725"/>
      <c r="U40" s="725">
        <f ca="1">COUNTIF(Pool!$C$70:$C$85,Fixture!P40)-Y40-AC40-AG40-AK40</f>
        <v>1</v>
      </c>
      <c r="V40" s="725"/>
      <c r="W40" s="725"/>
      <c r="X40" s="725"/>
      <c r="Y40" s="726">
        <f ca="1">COUNTIF(Pool!$C$98:$C$105,Fixture!P40)-AC40-AG40-AK40</f>
        <v>0</v>
      </c>
      <c r="Z40" s="725"/>
      <c r="AA40" s="725"/>
      <c r="AB40" s="725"/>
      <c r="AC40" s="726">
        <f ca="1">COUNTIF(Pool!$C$114:$C$117,Fixture!P40)-AG40-AK40</f>
        <v>0</v>
      </c>
      <c r="AD40" s="725"/>
      <c r="AE40" s="725"/>
      <c r="AF40" s="725"/>
      <c r="AG40" s="726">
        <f ca="1">COUNTIF(Pool!$C$132,Fixture!P40)</f>
        <v>0</v>
      </c>
      <c r="AH40" s="726"/>
      <c r="AI40" s="726"/>
      <c r="AJ40" s="726"/>
      <c r="AK40" s="726">
        <f ca="1">COUNTIF(Pool!$C$131,Fixture!P40)</f>
        <v>0</v>
      </c>
      <c r="AL40" s="726"/>
      <c r="AM40" s="727"/>
      <c r="AN40" s="2"/>
    </row>
    <row r="41" spans="1:53" x14ac:dyDescent="0.3">
      <c r="N41" s="731"/>
      <c r="P41" s="724" t="str">
        <f>Equipos!B13</f>
        <v>Inglaterra</v>
      </c>
      <c r="Q41" s="728">
        <f t="shared" ca="1" si="5"/>
        <v>0</v>
      </c>
      <c r="R41" s="728"/>
      <c r="S41" s="728"/>
      <c r="T41" s="728"/>
      <c r="U41" s="728">
        <f ca="1">COUNTIF(Pool!$C$70:$C$85,Fixture!P41)-Y41-AC41-AG41-AK41</f>
        <v>0</v>
      </c>
      <c r="V41" s="728"/>
      <c r="W41" s="728"/>
      <c r="X41" s="728"/>
      <c r="Y41" s="729">
        <f ca="1">COUNTIF(Pool!$C$98:$C$105,Fixture!P41)-AC41-AG41-AK41</f>
        <v>0</v>
      </c>
      <c r="Z41" s="728"/>
      <c r="AA41" s="728"/>
      <c r="AB41" s="728"/>
      <c r="AC41" s="729">
        <f ca="1">COUNTIF(Pool!$C$114:$C$117,Fixture!P41)-AG41-AK41</f>
        <v>0</v>
      </c>
      <c r="AD41" s="728"/>
      <c r="AE41" s="728"/>
      <c r="AF41" s="728"/>
      <c r="AG41" s="729">
        <f ca="1">COUNTIF(Pool!$C$132,Fixture!P41)</f>
        <v>1</v>
      </c>
      <c r="AH41" s="729"/>
      <c r="AI41" s="729"/>
      <c r="AJ41" s="729"/>
      <c r="AK41" s="729">
        <f ca="1">COUNTIF(Pool!$C$131,Fixture!P41)</f>
        <v>0</v>
      </c>
      <c r="AL41" s="729"/>
      <c r="AM41" s="730"/>
      <c r="AN41" s="2"/>
    </row>
    <row r="42" spans="1:53" x14ac:dyDescent="0.3">
      <c r="N42" s="731"/>
      <c r="P42" s="724" t="str">
        <f>Equipos!B14</f>
        <v>Polonia</v>
      </c>
      <c r="Q42" s="728">
        <f t="shared" ca="1" si="5"/>
        <v>0</v>
      </c>
      <c r="R42" s="728"/>
      <c r="S42" s="728"/>
      <c r="T42" s="728"/>
      <c r="U42" s="728">
        <f ca="1">COUNTIF(Pool!$C$70:$C$85,Fixture!P42)-Y42-AC42-AG42-AK42</f>
        <v>1</v>
      </c>
      <c r="V42" s="728"/>
      <c r="W42" s="728"/>
      <c r="X42" s="728"/>
      <c r="Y42" s="729">
        <f ca="1">COUNTIF(Pool!$C$98:$C$105,Fixture!P42)-AC42-AG42-AK42</f>
        <v>0</v>
      </c>
      <c r="Z42" s="728"/>
      <c r="AA42" s="728"/>
      <c r="AB42" s="728"/>
      <c r="AC42" s="729">
        <f ca="1">COUNTIF(Pool!$C$114:$C$117,Fixture!P42)-AG42-AK42</f>
        <v>0</v>
      </c>
      <c r="AD42" s="728"/>
      <c r="AE42" s="728"/>
      <c r="AF42" s="728"/>
      <c r="AG42" s="729">
        <f ca="1">COUNTIF(Pool!$C$132,Fixture!P42)</f>
        <v>0</v>
      </c>
      <c r="AH42" s="729"/>
      <c r="AI42" s="729"/>
      <c r="AJ42" s="729"/>
      <c r="AK42" s="729">
        <f ca="1">COUNTIF(Pool!$C$131,Fixture!P42)</f>
        <v>0</v>
      </c>
      <c r="AL42" s="729"/>
      <c r="AM42" s="730"/>
      <c r="AN42" s="2"/>
    </row>
    <row r="43" spans="1:53" x14ac:dyDescent="0.3">
      <c r="N43" s="731"/>
      <c r="P43" s="724" t="str">
        <f>Equipos!B15</f>
        <v>Países Bajos</v>
      </c>
      <c r="Q43" s="728">
        <f t="shared" ca="1" si="5"/>
        <v>0</v>
      </c>
      <c r="R43" s="728"/>
      <c r="S43" s="728"/>
      <c r="T43" s="728"/>
      <c r="U43" s="728">
        <f ca="1">COUNTIF(Pool!$C$70:$C$85,Fixture!P43)-Y43-AC43-AG43-AK43</f>
        <v>1</v>
      </c>
      <c r="V43" s="728"/>
      <c r="W43" s="728"/>
      <c r="X43" s="728"/>
      <c r="Y43" s="729">
        <f ca="1">COUNTIF(Pool!$C$98:$C$105,Fixture!P43)-AC43-AG43-AK43</f>
        <v>0</v>
      </c>
      <c r="Z43" s="728"/>
      <c r="AA43" s="728"/>
      <c r="AB43" s="728"/>
      <c r="AC43" s="729">
        <f ca="1">COUNTIF(Pool!$C$114:$C$117,Fixture!P43)-AG43-AK43</f>
        <v>0</v>
      </c>
      <c r="AD43" s="728"/>
      <c r="AE43" s="728"/>
      <c r="AF43" s="728"/>
      <c r="AG43" s="729">
        <f ca="1">COUNTIF(Pool!$C$132,Fixture!P43)</f>
        <v>0</v>
      </c>
      <c r="AH43" s="729"/>
      <c r="AI43" s="729"/>
      <c r="AJ43" s="729"/>
      <c r="AK43" s="729">
        <f ca="1">COUNTIF(Pool!$C$131,Fixture!P43)</f>
        <v>0</v>
      </c>
      <c r="AL43" s="729"/>
      <c r="AM43" s="730"/>
      <c r="AN43" s="2"/>
    </row>
    <row r="44" spans="1:53" x14ac:dyDescent="0.3">
      <c r="N44" s="731"/>
      <c r="P44" s="724" t="str">
        <f>Equipos!B16</f>
        <v>Austria</v>
      </c>
      <c r="Q44" s="728">
        <f t="shared" ca="1" si="5"/>
        <v>1</v>
      </c>
      <c r="R44" s="728"/>
      <c r="S44" s="728"/>
      <c r="T44" s="728"/>
      <c r="U44" s="728">
        <f ca="1">COUNTIF(Pool!$C$70:$C$85,Fixture!P44)-Y44-AC44-AG44-AK44</f>
        <v>0</v>
      </c>
      <c r="V44" s="728"/>
      <c r="W44" s="728"/>
      <c r="X44" s="728"/>
      <c r="Y44" s="729">
        <f ca="1">COUNTIF(Pool!$C$98:$C$105,Fixture!P44)-AC44-AG44-AK44</f>
        <v>0</v>
      </c>
      <c r="Z44" s="728"/>
      <c r="AA44" s="728"/>
      <c r="AB44" s="728"/>
      <c r="AC44" s="729">
        <f ca="1">COUNTIF(Pool!$C$114:$C$117,Fixture!P44)-AG44-AK44</f>
        <v>0</v>
      </c>
      <c r="AD44" s="728"/>
      <c r="AE44" s="728"/>
      <c r="AF44" s="728"/>
      <c r="AG44" s="729">
        <f ca="1">COUNTIF(Pool!$C$132,Fixture!P44)</f>
        <v>0</v>
      </c>
      <c r="AH44" s="729"/>
      <c r="AI44" s="729"/>
      <c r="AJ44" s="729"/>
      <c r="AK44" s="729">
        <f ca="1">COUNTIF(Pool!$C$131,Fixture!P44)</f>
        <v>0</v>
      </c>
      <c r="AL44" s="729"/>
      <c r="AM44" s="730"/>
      <c r="AN44" s="2"/>
    </row>
    <row r="45" spans="1:53" x14ac:dyDescent="0.3">
      <c r="N45" s="731"/>
      <c r="P45" s="724" t="str">
        <f>Equipos!B17</f>
        <v>Francia</v>
      </c>
      <c r="Q45" s="728">
        <f t="shared" ca="1" si="5"/>
        <v>0</v>
      </c>
      <c r="R45" s="728"/>
      <c r="S45" s="728"/>
      <c r="T45" s="728"/>
      <c r="U45" s="728">
        <f ca="1">COUNTIF(Pool!$C$70:$C$85,Fixture!P45)-Y45-AC45-AG45-AK45</f>
        <v>0</v>
      </c>
      <c r="V45" s="728"/>
      <c r="W45" s="728"/>
      <c r="X45" s="728"/>
      <c r="Y45" s="729">
        <f ca="1">COUNTIF(Pool!$C$98:$C$105,Fixture!P45)-AC45-AG45-AK45</f>
        <v>0</v>
      </c>
      <c r="Z45" s="728"/>
      <c r="AA45" s="728"/>
      <c r="AB45" s="728"/>
      <c r="AC45" s="729">
        <f ca="1">COUNTIF(Pool!$C$114:$C$117,Fixture!P45)-AG45-AK45</f>
        <v>1</v>
      </c>
      <c r="AD45" s="728"/>
      <c r="AE45" s="728"/>
      <c r="AF45" s="728"/>
      <c r="AG45" s="729">
        <f ca="1">COUNTIF(Pool!$C$132,Fixture!P45)</f>
        <v>0</v>
      </c>
      <c r="AH45" s="729"/>
      <c r="AI45" s="729"/>
      <c r="AJ45" s="729"/>
      <c r="AK45" s="729">
        <f ca="1">COUNTIF(Pool!$C$131,Fixture!P45)</f>
        <v>0</v>
      </c>
      <c r="AL45" s="729"/>
      <c r="AM45" s="730"/>
      <c r="AN45" s="2"/>
    </row>
    <row r="46" spans="1:53" x14ac:dyDescent="0.3">
      <c r="N46" s="731"/>
      <c r="P46" s="724" t="str">
        <f>Equipos!B18</f>
        <v>Bélgica</v>
      </c>
      <c r="Q46" s="728">
        <f t="shared" ca="1" si="5"/>
        <v>0</v>
      </c>
      <c r="R46" s="728"/>
      <c r="S46" s="728"/>
      <c r="T46" s="728"/>
      <c r="U46" s="728">
        <f ca="1">COUNTIF(Pool!$C$70:$C$85,Fixture!P46)-Y46-AC46-AG46-AK46</f>
        <v>0</v>
      </c>
      <c r="V46" s="728"/>
      <c r="W46" s="728"/>
      <c r="X46" s="728"/>
      <c r="Y46" s="729">
        <f ca="1">COUNTIF(Pool!$C$98:$C$105,Fixture!P46)-AC46-AG46-AK46</f>
        <v>1</v>
      </c>
      <c r="Z46" s="728"/>
      <c r="AA46" s="728"/>
      <c r="AB46" s="728"/>
      <c r="AC46" s="729">
        <f ca="1">COUNTIF(Pool!$C$114:$C$117,Fixture!P46)-AG46-AK46</f>
        <v>0</v>
      </c>
      <c r="AD46" s="728"/>
      <c r="AE46" s="728"/>
      <c r="AF46" s="728"/>
      <c r="AG46" s="729">
        <f ca="1">COUNTIF(Pool!$C$132,Fixture!P46)</f>
        <v>0</v>
      </c>
      <c r="AH46" s="729"/>
      <c r="AI46" s="729"/>
      <c r="AJ46" s="729"/>
      <c r="AK46" s="729">
        <f ca="1">COUNTIF(Pool!$C$131,Fixture!P46)</f>
        <v>0</v>
      </c>
      <c r="AL46" s="729"/>
      <c r="AM46" s="730"/>
      <c r="AN46" s="2"/>
    </row>
    <row r="47" spans="1:53" x14ac:dyDescent="0.3">
      <c r="N47" s="731"/>
      <c r="P47" s="724" t="str">
        <f>Equipos!B19</f>
        <v>Eslovaquia</v>
      </c>
      <c r="Q47" s="728">
        <f t="shared" ca="1" si="5"/>
        <v>1</v>
      </c>
      <c r="R47" s="728"/>
      <c r="S47" s="728"/>
      <c r="T47" s="728"/>
      <c r="U47" s="728">
        <f ca="1">COUNTIF(Pool!$C$70:$C$85,Fixture!P47)-Y47-AC47-AG47-AK47</f>
        <v>0</v>
      </c>
      <c r="V47" s="728"/>
      <c r="W47" s="728"/>
      <c r="X47" s="728"/>
      <c r="Y47" s="729">
        <f ca="1">COUNTIF(Pool!$C$98:$C$105,Fixture!P47)-AC47-AG47-AK47</f>
        <v>0</v>
      </c>
      <c r="Z47" s="728"/>
      <c r="AA47" s="728"/>
      <c r="AB47" s="728"/>
      <c r="AC47" s="729">
        <f ca="1">COUNTIF(Pool!$C$114:$C$117,Fixture!P47)-AG47-AK47</f>
        <v>0</v>
      </c>
      <c r="AD47" s="728"/>
      <c r="AE47" s="728"/>
      <c r="AF47" s="728"/>
      <c r="AG47" s="729">
        <f ca="1">COUNTIF(Pool!$C$132,Fixture!P47)</f>
        <v>0</v>
      </c>
      <c r="AH47" s="729"/>
      <c r="AI47" s="729"/>
      <c r="AJ47" s="729"/>
      <c r="AK47" s="729">
        <f ca="1">COUNTIF(Pool!$C$131,Fixture!P47)</f>
        <v>0</v>
      </c>
      <c r="AL47" s="729"/>
      <c r="AM47" s="730"/>
      <c r="AN47" s="2"/>
    </row>
    <row r="48" spans="1:53" x14ac:dyDescent="0.3">
      <c r="N48" s="731"/>
      <c r="P48" s="732" t="str">
        <f>Equipos!B20</f>
        <v>Rumanía</v>
      </c>
      <c r="Q48" s="725">
        <f t="shared" ca="1" si="5"/>
        <v>1</v>
      </c>
      <c r="R48" s="725"/>
      <c r="S48" s="725"/>
      <c r="T48" s="725"/>
      <c r="U48" s="725">
        <f ca="1">COUNTIF(Pool!$C$70:$C$85,Fixture!P48)-Y48-AC48-AG48-AK48</f>
        <v>0</v>
      </c>
      <c r="V48" s="725"/>
      <c r="W48" s="725"/>
      <c r="X48" s="725"/>
      <c r="Y48" s="726">
        <f ca="1">COUNTIF(Pool!$C$98:$C$105,Fixture!P48)-AC48-AG48-AK48</f>
        <v>0</v>
      </c>
      <c r="Z48" s="725"/>
      <c r="AA48" s="725"/>
      <c r="AB48" s="725"/>
      <c r="AC48" s="726">
        <f ca="1">COUNTIF(Pool!$C$114:$C$117,Fixture!P48)-AG48-AK48</f>
        <v>0</v>
      </c>
      <c r="AD48" s="725"/>
      <c r="AE48" s="725"/>
      <c r="AF48" s="725"/>
      <c r="AG48" s="726">
        <f ca="1">COUNTIF(Pool!$C$132,Fixture!P48)</f>
        <v>0</v>
      </c>
      <c r="AH48" s="726"/>
      <c r="AI48" s="726"/>
      <c r="AJ48" s="726"/>
      <c r="AK48" s="726">
        <f ca="1">COUNTIF(Pool!$C$131,Fixture!P48)</f>
        <v>0</v>
      </c>
      <c r="AL48" s="726"/>
      <c r="AM48" s="727"/>
      <c r="AN48" s="2"/>
    </row>
    <row r="49" spans="14:40" x14ac:dyDescent="0.3">
      <c r="N49" s="731"/>
      <c r="P49" s="724" t="str">
        <f>Equipos!B21</f>
        <v>Ucrania</v>
      </c>
      <c r="Q49" s="728">
        <f t="shared" ca="1" si="5"/>
        <v>0</v>
      </c>
      <c r="R49" s="728"/>
      <c r="S49" s="728"/>
      <c r="T49" s="728"/>
      <c r="U49" s="728">
        <f ca="1">COUNTIF(Pool!$C$70:$C$85,Fixture!P49)-Y49-AC49-AG49-AK49</f>
        <v>0</v>
      </c>
      <c r="V49" s="728"/>
      <c r="W49" s="728"/>
      <c r="X49" s="728"/>
      <c r="Y49" s="729">
        <f ca="1">COUNTIF(Pool!$C$98:$C$105,Fixture!P49)-AC49-AG49-AK49</f>
        <v>1</v>
      </c>
      <c r="Z49" s="728"/>
      <c r="AA49" s="728"/>
      <c r="AB49" s="728"/>
      <c r="AC49" s="729">
        <f ca="1">COUNTIF(Pool!$C$114:$C$117,Fixture!P49)-AG49-AK49</f>
        <v>0</v>
      </c>
      <c r="AD49" s="728"/>
      <c r="AE49" s="728"/>
      <c r="AF49" s="728"/>
      <c r="AG49" s="729">
        <f ca="1">COUNTIF(Pool!$C$132,Fixture!P49)</f>
        <v>0</v>
      </c>
      <c r="AH49" s="729"/>
      <c r="AI49" s="729"/>
      <c r="AJ49" s="729"/>
      <c r="AK49" s="729">
        <f ca="1">COUNTIF(Pool!$C$131,Fixture!P49)</f>
        <v>0</v>
      </c>
      <c r="AL49" s="729"/>
      <c r="AM49" s="730"/>
      <c r="AN49" s="2"/>
    </row>
    <row r="50" spans="14:40" x14ac:dyDescent="0.3">
      <c r="N50" s="731"/>
      <c r="P50" s="724" t="str">
        <f>Equipos!B22</f>
        <v>Turquía</v>
      </c>
      <c r="Q50" s="728">
        <f t="shared" ca="1" si="5"/>
        <v>0</v>
      </c>
      <c r="R50" s="728"/>
      <c r="S50" s="728"/>
      <c r="T50" s="728"/>
      <c r="U50" s="728">
        <f ca="1">COUNTIF(Pool!$C$70:$C$85,Fixture!P50)-Y50-AC50-AG50-AK50</f>
        <v>1</v>
      </c>
      <c r="V50" s="728"/>
      <c r="W50" s="728"/>
      <c r="X50" s="728"/>
      <c r="Y50" s="729">
        <f ca="1">COUNTIF(Pool!$C$98:$C$105,Fixture!P50)-AC50-AG50-AK50</f>
        <v>0</v>
      </c>
      <c r="Z50" s="728"/>
      <c r="AA50" s="728"/>
      <c r="AB50" s="728"/>
      <c r="AC50" s="729">
        <f ca="1">COUNTIF(Pool!$C$114:$C$117,Fixture!P50)-AG50-AK50</f>
        <v>0</v>
      </c>
      <c r="AD50" s="728"/>
      <c r="AE50" s="728"/>
      <c r="AF50" s="728"/>
      <c r="AG50" s="729">
        <f ca="1">COUNTIF(Pool!$C$132,Fixture!P50)</f>
        <v>0</v>
      </c>
      <c r="AH50" s="729"/>
      <c r="AI50" s="729"/>
      <c r="AJ50" s="729"/>
      <c r="AK50" s="729">
        <f ca="1">COUNTIF(Pool!$C$131,Fixture!P50)</f>
        <v>0</v>
      </c>
      <c r="AL50" s="729"/>
      <c r="AM50" s="730"/>
      <c r="AN50" s="2"/>
    </row>
    <row r="51" spans="14:40" x14ac:dyDescent="0.3">
      <c r="N51" s="731"/>
      <c r="P51" s="724" t="str">
        <f>Equipos!B23</f>
        <v>Georgia</v>
      </c>
      <c r="Q51" s="728">
        <f t="shared" ca="1" si="5"/>
        <v>1</v>
      </c>
      <c r="R51" s="728"/>
      <c r="S51" s="728"/>
      <c r="T51" s="728"/>
      <c r="U51" s="728">
        <f ca="1">COUNTIF(Pool!$C$70:$C$85,Fixture!P51)-Y51-AC51-AG51-AK51</f>
        <v>0</v>
      </c>
      <c r="V51" s="728"/>
      <c r="W51" s="728"/>
      <c r="X51" s="728"/>
      <c r="Y51" s="729">
        <f ca="1">COUNTIF(Pool!$C$98:$C$105,Fixture!P51)-AC51-AG51-AK51</f>
        <v>0</v>
      </c>
      <c r="Z51" s="728"/>
      <c r="AA51" s="728"/>
      <c r="AB51" s="728"/>
      <c r="AC51" s="729">
        <f ca="1">COUNTIF(Pool!$C$114:$C$117,Fixture!P51)-AG51-AK51</f>
        <v>0</v>
      </c>
      <c r="AD51" s="728"/>
      <c r="AE51" s="728"/>
      <c r="AF51" s="728"/>
      <c r="AG51" s="729">
        <f ca="1">COUNTIF(Pool!$C$132,Fixture!P51)</f>
        <v>0</v>
      </c>
      <c r="AH51" s="729"/>
      <c r="AI51" s="729"/>
      <c r="AJ51" s="729"/>
      <c r="AK51" s="729">
        <f ca="1">COUNTIF(Pool!$C$131,Fixture!P51)</f>
        <v>0</v>
      </c>
      <c r="AL51" s="729"/>
      <c r="AM51" s="730"/>
      <c r="AN51" s="2"/>
    </row>
    <row r="52" spans="14:40" x14ac:dyDescent="0.3">
      <c r="N52" s="731"/>
      <c r="P52" s="724" t="str">
        <f>Equipos!B24</f>
        <v>Portugal</v>
      </c>
      <c r="Q52" s="728">
        <f t="shared" ca="1" si="5"/>
        <v>0</v>
      </c>
      <c r="R52" s="728"/>
      <c r="S52" s="728"/>
      <c r="T52" s="728"/>
      <c r="U52" s="728">
        <f ca="1">COUNTIF(Pool!$C$70:$C$85,Fixture!P52)-Y52-AC52-AG52-AK52</f>
        <v>0</v>
      </c>
      <c r="V52" s="728"/>
      <c r="W52" s="728"/>
      <c r="X52" s="728"/>
      <c r="Y52" s="729">
        <f ca="1">COUNTIF(Pool!$C$98:$C$105,Fixture!P52)-AC52-AG52-AK52</f>
        <v>0</v>
      </c>
      <c r="Z52" s="728"/>
      <c r="AA52" s="728"/>
      <c r="AB52" s="728"/>
      <c r="AC52" s="729">
        <f ca="1">COUNTIF(Pool!$C$114:$C$117,Fixture!P52)-AG52-AK52</f>
        <v>1</v>
      </c>
      <c r="AD52" s="728"/>
      <c r="AE52" s="728"/>
      <c r="AF52" s="728"/>
      <c r="AG52" s="729">
        <f ca="1">COUNTIF(Pool!$C$132,Fixture!P52)</f>
        <v>0</v>
      </c>
      <c r="AH52" s="729"/>
      <c r="AI52" s="729"/>
      <c r="AJ52" s="729"/>
      <c r="AK52" s="729">
        <f ca="1">COUNTIF(Pool!$C$131,Fixture!P52)</f>
        <v>0</v>
      </c>
      <c r="AL52" s="729"/>
      <c r="AM52" s="730"/>
      <c r="AN52" s="2"/>
    </row>
    <row r="53" spans="14:40" x14ac:dyDescent="0.3">
      <c r="N53" s="733"/>
      <c r="O53" s="734"/>
      <c r="P53" s="735" t="str">
        <f>Equipos!B25</f>
        <v>República Checa</v>
      </c>
      <c r="Q53" s="736">
        <f t="shared" ca="1" si="5"/>
        <v>1</v>
      </c>
      <c r="R53" s="736"/>
      <c r="S53" s="736"/>
      <c r="T53" s="736"/>
      <c r="U53" s="736">
        <f ca="1">COUNTIF(Pool!$C$70:$C$85,Fixture!P53)-Y53-AC53-AG53-AK53</f>
        <v>0</v>
      </c>
      <c r="V53" s="736"/>
      <c r="W53" s="736"/>
      <c r="X53" s="736"/>
      <c r="Y53" s="737">
        <f ca="1">COUNTIF(Pool!$C$98:$C$105,Fixture!P53)-AC53-AG53-AK53</f>
        <v>0</v>
      </c>
      <c r="Z53" s="736"/>
      <c r="AA53" s="736"/>
      <c r="AB53" s="736"/>
      <c r="AC53" s="737">
        <f ca="1">COUNTIF(Pool!$C$114:$C$117,Fixture!P53)-AG53-AK53</f>
        <v>0</v>
      </c>
      <c r="AD53" s="736"/>
      <c r="AE53" s="736"/>
      <c r="AF53" s="736"/>
      <c r="AG53" s="737">
        <f ca="1">COUNTIF(Pool!$C$132,Fixture!P53)</f>
        <v>0</v>
      </c>
      <c r="AH53" s="737"/>
      <c r="AI53" s="737"/>
      <c r="AJ53" s="737"/>
      <c r="AK53" s="737">
        <f ca="1">COUNTIF(Pool!$C$131,Fixture!P53)</f>
        <v>0</v>
      </c>
      <c r="AL53" s="737"/>
      <c r="AM53" s="738"/>
      <c r="AN53" s="2"/>
    </row>
    <row r="54" spans="14:40" x14ac:dyDescent="0.3">
      <c r="Z54" s="2"/>
      <c r="AA54" s="2"/>
      <c r="AB54" s="2"/>
      <c r="AC54" s="2"/>
      <c r="AD54" s="2"/>
      <c r="AE54" s="2"/>
      <c r="AF54" s="2"/>
      <c r="AG54" s="2"/>
      <c r="AH54" s="2"/>
      <c r="AI54" s="2"/>
      <c r="AJ54" s="2"/>
      <c r="AK54" s="2"/>
      <c r="AL54" s="2"/>
      <c r="AM54" s="2"/>
      <c r="AN54" s="2"/>
    </row>
    <row r="55" spans="14:40" x14ac:dyDescent="0.3">
      <c r="Z55" s="2"/>
      <c r="AA55" s="2"/>
      <c r="AB55" s="2"/>
      <c r="AC55" s="2"/>
      <c r="AD55" s="2"/>
      <c r="AE55" s="2"/>
      <c r="AF55" s="2"/>
      <c r="AG55" s="2"/>
      <c r="AH55" s="2"/>
      <c r="AI55" s="2"/>
      <c r="AJ55" s="2"/>
      <c r="AK55" s="2"/>
      <c r="AL55" s="2"/>
      <c r="AM55" s="2"/>
      <c r="AN55" s="2"/>
    </row>
    <row r="56" spans="14:40" x14ac:dyDescent="0.3">
      <c r="Z56" s="2"/>
      <c r="AA56" s="2"/>
      <c r="AB56" s="2"/>
      <c r="AC56" s="2"/>
      <c r="AD56" s="2"/>
      <c r="AE56" s="2"/>
      <c r="AF56" s="2"/>
      <c r="AG56" s="2"/>
      <c r="AH56" s="2"/>
      <c r="AI56" s="2"/>
      <c r="AJ56" s="2"/>
      <c r="AK56" s="2"/>
      <c r="AL56" s="2"/>
      <c r="AM56" s="2"/>
      <c r="AN56" s="2"/>
    </row>
    <row r="57" spans="14:40" x14ac:dyDescent="0.3">
      <c r="Z57" s="2"/>
      <c r="AA57" s="2"/>
      <c r="AB57" s="2"/>
      <c r="AC57" s="2"/>
      <c r="AD57" s="2"/>
      <c r="AE57" s="2"/>
      <c r="AF57" s="2"/>
      <c r="AG57" s="2"/>
      <c r="AH57" s="2"/>
      <c r="AI57" s="2"/>
      <c r="AJ57" s="2"/>
      <c r="AK57" s="2"/>
      <c r="AL57" s="2"/>
      <c r="AM57" s="2"/>
      <c r="AN57" s="2"/>
    </row>
    <row r="58" spans="14:40" x14ac:dyDescent="0.3">
      <c r="Z58" s="2"/>
      <c r="AA58" s="2"/>
      <c r="AB58" s="2"/>
      <c r="AC58" s="2"/>
      <c r="AD58" s="2"/>
      <c r="AE58" s="2"/>
      <c r="AF58" s="2"/>
      <c r="AG58" s="2"/>
      <c r="AH58" s="2"/>
      <c r="AI58" s="2"/>
      <c r="AJ58" s="2"/>
      <c r="AK58" s="2"/>
      <c r="AL58" s="2"/>
      <c r="AM58" s="2"/>
      <c r="AN58" s="2"/>
    </row>
    <row r="59" spans="14:40" x14ac:dyDescent="0.3">
      <c r="Z59" s="2"/>
      <c r="AA59" s="2"/>
      <c r="AB59" s="2"/>
      <c r="AC59" s="2"/>
      <c r="AD59" s="2"/>
      <c r="AE59" s="2"/>
      <c r="AF59" s="2"/>
      <c r="AG59" s="2"/>
      <c r="AH59" s="2"/>
      <c r="AI59" s="2"/>
      <c r="AJ59" s="2"/>
      <c r="AK59" s="2"/>
      <c r="AL59" s="2"/>
      <c r="AM59" s="2"/>
      <c r="AN59" s="2"/>
    </row>
    <row r="60" spans="14:40" x14ac:dyDescent="0.3">
      <c r="Z60" s="2"/>
      <c r="AA60" s="2"/>
      <c r="AB60" s="2"/>
      <c r="AC60" s="2"/>
      <c r="AD60" s="2"/>
      <c r="AE60" s="2"/>
      <c r="AF60" s="2"/>
      <c r="AG60" s="2"/>
      <c r="AH60" s="2"/>
      <c r="AI60" s="2"/>
      <c r="AJ60" s="2"/>
      <c r="AK60" s="2"/>
      <c r="AL60" s="2"/>
      <c r="AM60" s="2"/>
      <c r="AN60" s="2"/>
    </row>
    <row r="61" spans="14:40" x14ac:dyDescent="0.3">
      <c r="Z61" s="2"/>
      <c r="AA61" s="2"/>
      <c r="AB61" s="2"/>
      <c r="AC61" s="2"/>
      <c r="AD61" s="2"/>
      <c r="AE61" s="2"/>
      <c r="AF61" s="2"/>
      <c r="AG61" s="2"/>
      <c r="AH61" s="2"/>
      <c r="AI61" s="2"/>
      <c r="AJ61" s="2"/>
      <c r="AK61" s="2"/>
      <c r="AL61" s="2"/>
      <c r="AM61" s="2"/>
      <c r="AN61" s="2"/>
    </row>
    <row r="62" spans="14:40" x14ac:dyDescent="0.3">
      <c r="Z62" s="2"/>
      <c r="AA62" s="2"/>
      <c r="AB62" s="2"/>
      <c r="AC62" s="2"/>
      <c r="AD62" s="2"/>
      <c r="AE62" s="2"/>
      <c r="AF62" s="2"/>
      <c r="AG62" s="2"/>
      <c r="AH62" s="2"/>
      <c r="AI62" s="2"/>
      <c r="AJ62" s="2"/>
      <c r="AK62" s="2"/>
      <c r="AL62" s="2"/>
      <c r="AM62" s="2"/>
      <c r="AN62" s="2"/>
    </row>
  </sheetData>
  <sheetProtection algorithmName="SHA-512" hashValue="Ubs2TTcXG05cVx8UBcAmjeU948a9ZPLkwUQtXRGCM0/yN9nLqHzhM1r/YMrGw3o94J4IZRyldcThg8ZEVF6xxA==" saltValue="1vLsM8RqR58i59j5VDUMnQ==" spinCount="100000" sheet="1" objects="1" scenarios="1" selectLockedCells="1"/>
  <conditionalFormatting sqref="Q30:T53">
    <cfRule type="expression" dxfId="11" priority="565">
      <formula>$Q30=1</formula>
    </cfRule>
  </conditionalFormatting>
  <conditionalFormatting sqref="Q30:X53">
    <cfRule type="expression" dxfId="10" priority="566">
      <formula>$U30=1</formula>
    </cfRule>
  </conditionalFormatting>
  <conditionalFormatting sqref="Q30:AB53">
    <cfRule type="expression" dxfId="9" priority="567">
      <formula>$Y30=1</formula>
    </cfRule>
  </conditionalFormatting>
  <conditionalFormatting sqref="Q30:AF53">
    <cfRule type="expression" dxfId="8" priority="569">
      <formula>$AC30=1</formula>
    </cfRule>
  </conditionalFormatting>
  <conditionalFormatting sqref="Q30:AJ53">
    <cfRule type="expression" dxfId="7" priority="571">
      <formula>$AG30=1</formula>
    </cfRule>
  </conditionalFormatting>
  <conditionalFormatting sqref="Q30:AM53">
    <cfRule type="expression" dxfId="6" priority="573">
      <formula>$AK30=1</formula>
    </cfRule>
  </conditionalFormatting>
  <pageMargins left="0.7" right="0.7" top="0.75" bottom="0.75" header="0.3" footer="0.3"/>
  <pageSetup paperSize="9" scale="62"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dimension ref="A1:MAL56"/>
  <sheetViews>
    <sheetView showGridLines="0" showRowColHeaders="0" topLeftCell="A146" zoomScaleNormal="100" zoomScalePageLayoutView="75" workbookViewId="0">
      <selection activeCell="F174" sqref="F174"/>
    </sheetView>
  </sheetViews>
  <sheetFormatPr defaultColWidth="20.44140625" defaultRowHeight="15" customHeight="1" x14ac:dyDescent="0.3"/>
  <cols>
    <col min="1" max="1" width="6.6640625" style="409" bestFit="1" customWidth="1"/>
    <col min="2" max="2" width="16.6640625" style="409" customWidth="1"/>
    <col min="3" max="3" width="11.44140625" style="409" customWidth="1"/>
    <col min="4" max="4" width="8.6640625" style="409" bestFit="1" customWidth="1"/>
    <col min="5" max="5" width="11.33203125" style="409" customWidth="1"/>
    <col min="6" max="6" width="15.33203125" style="409" customWidth="1"/>
    <col min="7" max="7" width="4.109375" style="409" bestFit="1" customWidth="1"/>
    <col min="8" max="8" width="20.44140625" style="409"/>
    <col min="9" max="9" width="13" style="409" customWidth="1"/>
    <col min="10" max="10" width="12" style="409" customWidth="1"/>
    <col min="11" max="13" width="20.44140625" style="409"/>
    <col min="14" max="16384" width="20.44140625" style="414"/>
  </cols>
  <sheetData>
    <row r="1" spans="1:18 8826:8826" ht="15" customHeight="1" x14ac:dyDescent="0.3">
      <c r="A1" s="413" t="s">
        <v>1300</v>
      </c>
      <c r="B1" s="413" t="s">
        <v>17</v>
      </c>
      <c r="C1" s="413" t="s">
        <v>854</v>
      </c>
      <c r="D1" s="413" t="s">
        <v>35</v>
      </c>
      <c r="F1" s="409" t="s">
        <v>1301</v>
      </c>
      <c r="H1" s="413"/>
      <c r="I1" s="413"/>
      <c r="K1" s="409" t="s">
        <v>1302</v>
      </c>
    </row>
    <row r="2" spans="1:18 8826:8826" ht="15" customHeight="1" x14ac:dyDescent="0.3">
      <c r="A2" s="411">
        <v>1</v>
      </c>
      <c r="B2" s="415" t="str">
        <f>VLOOKUP(Tabla3[[#This Row],[OK]],$G$2:$H$25,2,0)</f>
        <v>Alemania</v>
      </c>
      <c r="C2" s="415" t="s">
        <v>18</v>
      </c>
      <c r="D2" s="415">
        <v>1</v>
      </c>
      <c r="F2" s="409" t="s">
        <v>18</v>
      </c>
      <c r="G2" s="409">
        <v>1</v>
      </c>
      <c r="H2" s="409" t="str">
        <f>VLOOKUP(G2,Idiomas!$C$132:$D$189,2,0)</f>
        <v>Alemania</v>
      </c>
      <c r="I2" s="409" t="str">
        <f>IFERROR(VLOOKUP(H2,$K$2:$M$56,3,0),"")</f>
        <v>🇩🇪</v>
      </c>
      <c r="K2" s="409" t="str">
        <f>Idiomas!D132</f>
        <v>Albania</v>
      </c>
      <c r="M2" s="409" t="s">
        <v>1303</v>
      </c>
      <c r="O2" s="409"/>
      <c r="MAL2" s="414" t="s">
        <v>16</v>
      </c>
    </row>
    <row r="3" spans="1:18 8826:8826" ht="15" customHeight="1" x14ac:dyDescent="0.3">
      <c r="A3" s="411">
        <v>2</v>
      </c>
      <c r="B3" s="415" t="str">
        <f>VLOOKUP(Tabla3[[#This Row],[OK]],$G$2:$H$25,2,0)</f>
        <v>Escocia</v>
      </c>
      <c r="C3" s="415" t="s">
        <v>18</v>
      </c>
      <c r="D3" s="415">
        <v>2</v>
      </c>
      <c r="F3" s="409" t="s">
        <v>60</v>
      </c>
      <c r="G3" s="409">
        <v>2</v>
      </c>
      <c r="H3" s="409" t="str">
        <f>VLOOKUP(G3,Idiomas!$C$132:$D$189,2,0)</f>
        <v>Escocia</v>
      </c>
      <c r="I3" s="409" t="str">
        <f t="shared" ref="I3:I25" si="0">IFERROR(VLOOKUP(H3,$K$2:$M$56,3,0),"")</f>
        <v>🏴󠁧󠁢󠁳󠁣󠁴󠁿</v>
      </c>
      <c r="K3" s="409" t="str">
        <f>Idiomas!D133</f>
        <v>Alemania</v>
      </c>
      <c r="M3" s="409" t="s">
        <v>1304</v>
      </c>
      <c r="O3" s="409"/>
    </row>
    <row r="4" spans="1:18 8826:8826" ht="15" customHeight="1" x14ac:dyDescent="0.3">
      <c r="A4" s="411">
        <v>3</v>
      </c>
      <c r="B4" s="415" t="str">
        <f>VLOOKUP(Tabla3[[#This Row],[OK]],$G$2:$H$25,2,0)</f>
        <v>Hungría</v>
      </c>
      <c r="C4" s="415" t="s">
        <v>18</v>
      </c>
      <c r="D4" s="415">
        <v>3</v>
      </c>
      <c r="F4" s="409" t="s">
        <v>66</v>
      </c>
      <c r="G4" s="409">
        <v>3</v>
      </c>
      <c r="H4" s="409" t="str">
        <f>VLOOKUP(G4,Idiomas!$C$132:$D$189,2,0)</f>
        <v>Hungría</v>
      </c>
      <c r="I4" s="409" t="str">
        <f t="shared" si="0"/>
        <v>🇭🇺</v>
      </c>
      <c r="K4" s="409" t="str">
        <f>Idiomas!D134</f>
        <v>Andorra</v>
      </c>
      <c r="M4" s="409" t="s">
        <v>1305</v>
      </c>
      <c r="O4" s="409"/>
    </row>
    <row r="5" spans="1:18 8826:8826" ht="15" customHeight="1" x14ac:dyDescent="0.3">
      <c r="A5" s="411">
        <v>4</v>
      </c>
      <c r="B5" s="415" t="str">
        <f>VLOOKUP(Tabla3[[#This Row],[OK]],$G$2:$H$25,2,0)</f>
        <v>Suiza</v>
      </c>
      <c r="C5" s="415" t="s">
        <v>18</v>
      </c>
      <c r="D5" s="415">
        <v>4</v>
      </c>
      <c r="F5" s="409" t="s">
        <v>68</v>
      </c>
      <c r="G5" s="409">
        <v>4</v>
      </c>
      <c r="H5" s="409" t="str">
        <f>VLOOKUP(G5,Idiomas!$C$132:$D$189,2,0)</f>
        <v>Suiza</v>
      </c>
      <c r="I5" s="409" t="str">
        <f t="shared" si="0"/>
        <v>🇨🇭</v>
      </c>
      <c r="K5" s="409" t="str">
        <f>Idiomas!D135</f>
        <v>Armenia</v>
      </c>
      <c r="M5" s="409" t="s">
        <v>1306</v>
      </c>
      <c r="O5" s="409"/>
    </row>
    <row r="6" spans="1:18 8826:8826" ht="15" customHeight="1" x14ac:dyDescent="0.3">
      <c r="A6" s="411">
        <v>5</v>
      </c>
      <c r="B6" s="415" t="str">
        <f>VLOOKUP(Tabla3[[#This Row],[OK]],$G$2:$H$25,2,0)</f>
        <v>España</v>
      </c>
      <c r="C6" s="415" t="s">
        <v>60</v>
      </c>
      <c r="D6" s="415">
        <v>5</v>
      </c>
      <c r="F6" s="409" t="s">
        <v>30</v>
      </c>
      <c r="G6" s="409">
        <v>5</v>
      </c>
      <c r="H6" s="409" t="str">
        <f>VLOOKUP(G6,Idiomas!$C$132:$D$189,2,0)</f>
        <v>España</v>
      </c>
      <c r="I6" s="409" t="str">
        <f t="shared" si="0"/>
        <v>🇪🇸</v>
      </c>
      <c r="K6" s="409" t="str">
        <f>Idiomas!D136</f>
        <v>Austria</v>
      </c>
      <c r="M6" s="409" t="s">
        <v>1307</v>
      </c>
      <c r="O6" s="409"/>
    </row>
    <row r="7" spans="1:18 8826:8826" ht="15" customHeight="1" x14ac:dyDescent="0.3">
      <c r="A7" s="411">
        <v>6</v>
      </c>
      <c r="B7" s="415" t="str">
        <f>VLOOKUP(Tabla3[[#This Row],[OK]],$G$2:$H$25,2,0)</f>
        <v>Croacia</v>
      </c>
      <c r="C7" s="415" t="s">
        <v>60</v>
      </c>
      <c r="D7" s="415">
        <v>6</v>
      </c>
      <c r="F7" s="409" t="s">
        <v>71</v>
      </c>
      <c r="G7" s="409">
        <v>6</v>
      </c>
      <c r="H7" s="409" t="str">
        <f>VLOOKUP(G7,Idiomas!$C$132:$D$189,2,0)</f>
        <v>Croacia</v>
      </c>
      <c r="I7" s="409" t="str">
        <f t="shared" si="0"/>
        <v>🇭🇷</v>
      </c>
      <c r="K7" s="409" t="str">
        <f>Idiomas!D137</f>
        <v>Azerbaiyán</v>
      </c>
      <c r="M7" s="409" t="s">
        <v>1308</v>
      </c>
      <c r="O7" s="409"/>
    </row>
    <row r="8" spans="1:18 8826:8826" ht="15" customHeight="1" x14ac:dyDescent="0.3">
      <c r="A8" s="411">
        <v>7</v>
      </c>
      <c r="B8" s="415" t="str">
        <f>VLOOKUP(Tabla3[[#This Row],[OK]],$G$2:$H$25,2,0)</f>
        <v>Italia</v>
      </c>
      <c r="C8" s="415" t="s">
        <v>60</v>
      </c>
      <c r="D8" s="415">
        <v>7</v>
      </c>
      <c r="G8" s="409">
        <v>7</v>
      </c>
      <c r="H8" s="409" t="str">
        <f>VLOOKUP(G8,Idiomas!$C$132:$D$189,2,0)</f>
        <v>Italia</v>
      </c>
      <c r="I8" s="409" t="str">
        <f t="shared" si="0"/>
        <v>🇮🇹</v>
      </c>
      <c r="K8" s="409" t="str">
        <f>Idiomas!D138</f>
        <v>Bélgica</v>
      </c>
      <c r="M8" s="409" t="s">
        <v>1309</v>
      </c>
      <c r="O8" s="409"/>
    </row>
    <row r="9" spans="1:18 8826:8826" ht="15" customHeight="1" x14ac:dyDescent="0.3">
      <c r="A9" s="411">
        <v>8</v>
      </c>
      <c r="B9" s="415" t="str">
        <f>VLOOKUP(Tabla3[[#This Row],[OK]],$G$2:$H$25,2,0)</f>
        <v>Albania</v>
      </c>
      <c r="C9" s="415" t="s">
        <v>60</v>
      </c>
      <c r="D9" s="415">
        <v>8</v>
      </c>
      <c r="G9" s="409">
        <v>8</v>
      </c>
      <c r="H9" s="409" t="str">
        <f>VLOOKUP(G9,Idiomas!$C$132:$D$189,2,0)</f>
        <v>Albania</v>
      </c>
      <c r="I9" s="409" t="str">
        <f t="shared" si="0"/>
        <v>🇦🇱</v>
      </c>
      <c r="K9" s="409" t="str">
        <f>Idiomas!D139</f>
        <v>Bielorrusia</v>
      </c>
      <c r="M9" s="409" t="s">
        <v>1310</v>
      </c>
      <c r="O9" s="409"/>
    </row>
    <row r="10" spans="1:18 8826:8826" ht="15" customHeight="1" x14ac:dyDescent="0.3">
      <c r="A10" s="411">
        <v>9</v>
      </c>
      <c r="B10" s="415" t="str">
        <f>VLOOKUP(Tabla3[[#This Row],[OK]],$G$2:$H$25,2,0)</f>
        <v>Eslovenia</v>
      </c>
      <c r="C10" s="415" t="s">
        <v>66</v>
      </c>
      <c r="D10" s="415">
        <v>9</v>
      </c>
      <c r="G10" s="409">
        <v>9</v>
      </c>
      <c r="H10" s="409" t="str">
        <f>VLOOKUP(G10,Idiomas!$C$132:$D$189,2,0)</f>
        <v>Eslovenia</v>
      </c>
      <c r="I10" s="409" t="str">
        <f t="shared" si="0"/>
        <v>🇸🇮</v>
      </c>
      <c r="K10" s="409" t="str">
        <f>Idiomas!D140</f>
        <v>Bosnia y Herzegovina</v>
      </c>
      <c r="M10" s="409" t="s">
        <v>1311</v>
      </c>
      <c r="O10" s="409"/>
    </row>
    <row r="11" spans="1:18 8826:8826" ht="15" customHeight="1" x14ac:dyDescent="0.3">
      <c r="A11" s="411">
        <v>10</v>
      </c>
      <c r="B11" s="415" t="str">
        <f>VLOOKUP(Tabla3[[#This Row],[OK]],$G$2:$H$25,2,0)</f>
        <v>Dinamarca</v>
      </c>
      <c r="C11" s="415" t="s">
        <v>66</v>
      </c>
      <c r="D11" s="415">
        <v>10</v>
      </c>
      <c r="G11" s="409">
        <v>10</v>
      </c>
      <c r="H11" s="409" t="str">
        <f>VLOOKUP(G11,Idiomas!$C$132:$D$189,2,0)</f>
        <v>Dinamarca</v>
      </c>
      <c r="I11" s="409" t="str">
        <f t="shared" si="0"/>
        <v>🇩🇰</v>
      </c>
      <c r="K11" s="409" t="str">
        <f>Idiomas!D141</f>
        <v>Bulgaria</v>
      </c>
      <c r="M11" s="409" t="s">
        <v>1312</v>
      </c>
      <c r="O11" s="409"/>
    </row>
    <row r="12" spans="1:18 8826:8826" ht="15" customHeight="1" x14ac:dyDescent="0.3">
      <c r="A12" s="411">
        <v>11</v>
      </c>
      <c r="B12" s="415" t="str">
        <f>VLOOKUP(Tabla3[[#This Row],[OK]],$G$2:$H$25,2,0)</f>
        <v>Serbia</v>
      </c>
      <c r="C12" s="415" t="s">
        <v>66</v>
      </c>
      <c r="D12" s="415">
        <v>11</v>
      </c>
      <c r="G12" s="409">
        <v>11</v>
      </c>
      <c r="H12" s="409" t="str">
        <f>VLOOKUP(G12,Idiomas!$C$132:$D$189,2,0)</f>
        <v>Serbia</v>
      </c>
      <c r="I12" s="409" t="str">
        <f t="shared" si="0"/>
        <v>🇷🇸</v>
      </c>
      <c r="K12" s="409" t="str">
        <f>Idiomas!D142</f>
        <v>Chipre</v>
      </c>
      <c r="M12" s="409" t="s">
        <v>1313</v>
      </c>
      <c r="O12" s="409"/>
    </row>
    <row r="13" spans="1:18 8826:8826" ht="15" customHeight="1" x14ac:dyDescent="0.3">
      <c r="A13" s="411">
        <v>12</v>
      </c>
      <c r="B13" s="415" t="str">
        <f>VLOOKUP(Tabla3[[#This Row],[OK]],$G$2:$H$25,2,0)</f>
        <v>Inglaterra</v>
      </c>
      <c r="C13" s="415" t="s">
        <v>66</v>
      </c>
      <c r="D13" s="415">
        <v>12</v>
      </c>
      <c r="G13" s="409">
        <v>12</v>
      </c>
      <c r="H13" s="409" t="str">
        <f>VLOOKUP(G13,Idiomas!$C$132:$D$189,2,0)</f>
        <v>Inglaterra</v>
      </c>
      <c r="I13" s="409" t="str">
        <f t="shared" si="0"/>
        <v>🏴󠁧󠁢󠁥󠁮󠁧󠁿</v>
      </c>
      <c r="K13" s="409" t="str">
        <f>Idiomas!D143</f>
        <v>Croacia</v>
      </c>
      <c r="M13" s="409" t="s">
        <v>1314</v>
      </c>
      <c r="O13" s="409"/>
    </row>
    <row r="14" spans="1:18 8826:8826" ht="15" customHeight="1" x14ac:dyDescent="0.3">
      <c r="A14" s="411">
        <v>13</v>
      </c>
      <c r="B14" s="415" t="str">
        <f>VLOOKUP(Tabla3[[#This Row],[OK]],$G$2:$H$25,2,0)</f>
        <v>Polonia</v>
      </c>
      <c r="C14" s="415" t="s">
        <v>68</v>
      </c>
      <c r="D14" s="415">
        <v>13</v>
      </c>
      <c r="G14" s="409">
        <v>13</v>
      </c>
      <c r="H14" s="409" t="str">
        <f>VLOOKUP(G14,Idiomas!$C$132:$D$189,2,0)</f>
        <v>Polonia</v>
      </c>
      <c r="I14" s="409" t="str">
        <f t="shared" si="0"/>
        <v>🇵🇱</v>
      </c>
      <c r="K14" s="409" t="str">
        <f>Idiomas!D144</f>
        <v>Dinamarca</v>
      </c>
      <c r="M14" s="409" t="s">
        <v>1315</v>
      </c>
      <c r="O14" s="409"/>
    </row>
    <row r="15" spans="1:18 8826:8826" ht="15" customHeight="1" x14ac:dyDescent="0.3">
      <c r="A15" s="411">
        <v>14</v>
      </c>
      <c r="B15" s="415" t="str">
        <f>VLOOKUP(Tabla3[[#This Row],[OK]],$G$2:$H$25,2,0)</f>
        <v>Países Bajos</v>
      </c>
      <c r="C15" s="415" t="s">
        <v>68</v>
      </c>
      <c r="D15" s="415">
        <v>14</v>
      </c>
      <c r="G15" s="409">
        <v>14</v>
      </c>
      <c r="H15" s="409" t="str">
        <f>VLOOKUP(G15,Idiomas!$C$132:$D$189,2,0)</f>
        <v>Países Bajos</v>
      </c>
      <c r="I15" s="409" t="str">
        <f t="shared" si="0"/>
        <v>🇳🇱</v>
      </c>
      <c r="K15" s="409" t="str">
        <f>Idiomas!D145</f>
        <v>Escocia</v>
      </c>
      <c r="M15" s="409" t="s">
        <v>1316</v>
      </c>
      <c r="N15" s="416"/>
      <c r="O15" s="409"/>
      <c r="P15" s="416"/>
      <c r="Q15" s="416"/>
      <c r="R15" s="416"/>
    </row>
    <row r="16" spans="1:18 8826:8826" ht="15" customHeight="1" x14ac:dyDescent="0.3">
      <c r="A16" s="411">
        <v>15</v>
      </c>
      <c r="B16" s="415" t="str">
        <f>VLOOKUP(Tabla3[[#This Row],[OK]],$G$2:$H$25,2,0)</f>
        <v>Austria</v>
      </c>
      <c r="C16" s="415" t="s">
        <v>68</v>
      </c>
      <c r="D16" s="415">
        <v>15</v>
      </c>
      <c r="G16" s="409">
        <v>15</v>
      </c>
      <c r="H16" s="409" t="str">
        <f>VLOOKUP(G16,Idiomas!$C$132:$D$189,2,0)</f>
        <v>Austria</v>
      </c>
      <c r="I16" s="409" t="str">
        <f t="shared" si="0"/>
        <v>🇦🇹</v>
      </c>
      <c r="K16" s="409" t="str">
        <f>Idiomas!D146</f>
        <v>Eslovaquia</v>
      </c>
      <c r="M16" s="409" t="s">
        <v>1317</v>
      </c>
      <c r="O16" s="409"/>
    </row>
    <row r="17" spans="1:331 8826:8826" ht="15" customHeight="1" x14ac:dyDescent="0.3">
      <c r="A17" s="411">
        <v>16</v>
      </c>
      <c r="B17" s="415" t="str">
        <f>VLOOKUP(Tabla3[[#This Row],[OK]],$G$2:$H$25,2,0)</f>
        <v>Francia</v>
      </c>
      <c r="C17" s="415" t="s">
        <v>68</v>
      </c>
      <c r="D17" s="415">
        <v>16</v>
      </c>
      <c r="G17" s="409">
        <v>16</v>
      </c>
      <c r="H17" s="409" t="str">
        <f>VLOOKUP(G17,Idiomas!$C$132:$D$189,2,0)</f>
        <v>Francia</v>
      </c>
      <c r="I17" s="409" t="str">
        <f t="shared" si="0"/>
        <v>🇫🇷</v>
      </c>
      <c r="K17" s="409" t="str">
        <f>Idiomas!D147</f>
        <v>Eslovenia</v>
      </c>
      <c r="M17" s="409" t="s">
        <v>1318</v>
      </c>
      <c r="O17" s="409"/>
    </row>
    <row r="18" spans="1:331 8826:8826" ht="15" customHeight="1" x14ac:dyDescent="0.3">
      <c r="A18" s="411">
        <v>17</v>
      </c>
      <c r="B18" s="415" t="str">
        <f>VLOOKUP(Tabla3[[#This Row],[OK]],$G$2:$H$25,2,0)</f>
        <v>Bélgica</v>
      </c>
      <c r="C18" s="415" t="s">
        <v>30</v>
      </c>
      <c r="D18" s="415">
        <v>17</v>
      </c>
      <c r="G18" s="409">
        <v>17</v>
      </c>
      <c r="H18" s="409" t="str">
        <f>VLOOKUP(G18,Idiomas!$C$132:$D$189,2,0)</f>
        <v>Bélgica</v>
      </c>
      <c r="I18" s="409" t="str">
        <f t="shared" si="0"/>
        <v>🇧🇪</v>
      </c>
      <c r="K18" s="409" t="str">
        <f>Idiomas!D148</f>
        <v>España</v>
      </c>
      <c r="M18" s="409" t="s">
        <v>1319</v>
      </c>
      <c r="O18" s="409"/>
    </row>
    <row r="19" spans="1:331 8826:8826" ht="15" customHeight="1" x14ac:dyDescent="0.3">
      <c r="A19" s="411">
        <v>18</v>
      </c>
      <c r="B19" s="415" t="str">
        <f>VLOOKUP(Tabla3[[#This Row],[OK]],$G$2:$H$25,2,0)</f>
        <v>Eslovaquia</v>
      </c>
      <c r="C19" s="415" t="s">
        <v>30</v>
      </c>
      <c r="D19" s="415">
        <v>18</v>
      </c>
      <c r="G19" s="409">
        <v>18</v>
      </c>
      <c r="H19" s="409" t="str">
        <f>VLOOKUP(G19,Idiomas!$C$132:$D$189,2,0)</f>
        <v>Eslovaquia</v>
      </c>
      <c r="I19" s="409" t="str">
        <f t="shared" si="0"/>
        <v>🇸🇰</v>
      </c>
      <c r="K19" s="409" t="str">
        <f>Idiomas!D149</f>
        <v>Estonia</v>
      </c>
      <c r="M19" s="409" t="s">
        <v>1320</v>
      </c>
      <c r="O19" s="409"/>
    </row>
    <row r="20" spans="1:331 8826:8826" ht="15" customHeight="1" x14ac:dyDescent="0.3">
      <c r="A20" s="411">
        <v>19</v>
      </c>
      <c r="B20" s="415" t="str">
        <f>VLOOKUP(Tabla3[[#This Row],[OK]],$G$2:$H$25,2,0)</f>
        <v>Rumanía</v>
      </c>
      <c r="C20" s="415" t="s">
        <v>30</v>
      </c>
      <c r="D20" s="415">
        <v>19</v>
      </c>
      <c r="G20" s="409">
        <v>19</v>
      </c>
      <c r="H20" s="409" t="str">
        <f>VLOOKUP(G20,Idiomas!$C$132:$D$189,2,0)</f>
        <v>Rumanía</v>
      </c>
      <c r="I20" s="409" t="str">
        <f t="shared" si="0"/>
        <v>🇷🇴</v>
      </c>
      <c r="K20" s="409" t="str">
        <f>Idiomas!D150</f>
        <v>Finlandia</v>
      </c>
      <c r="M20" s="409" t="s">
        <v>1321</v>
      </c>
      <c r="O20" s="409"/>
    </row>
    <row r="21" spans="1:331 8826:8826" ht="15" customHeight="1" x14ac:dyDescent="0.3">
      <c r="A21" s="411">
        <v>20</v>
      </c>
      <c r="B21" s="415" t="str">
        <f>VLOOKUP(Tabla3[[#This Row],[OK]],$G$2:$H$25,2,0)</f>
        <v>Ucrania</v>
      </c>
      <c r="C21" s="415" t="s">
        <v>30</v>
      </c>
      <c r="D21" s="415">
        <v>20</v>
      </c>
      <c r="G21" s="409">
        <v>20</v>
      </c>
      <c r="H21" s="409" t="str">
        <f>VLOOKUP(G21,Idiomas!$C$132:$D$189,2,0)</f>
        <v>Ucrania</v>
      </c>
      <c r="I21" s="409" t="str">
        <f t="shared" si="0"/>
        <v>🇺🇦</v>
      </c>
      <c r="K21" s="409" t="str">
        <f>Idiomas!D151</f>
        <v>Francia</v>
      </c>
      <c r="M21" s="409" t="s">
        <v>1322</v>
      </c>
      <c r="O21" s="409"/>
    </row>
    <row r="22" spans="1:331 8826:8826" ht="15" customHeight="1" x14ac:dyDescent="0.3">
      <c r="A22" s="411">
        <v>21</v>
      </c>
      <c r="B22" s="415" t="str">
        <f>VLOOKUP(Tabla3[[#This Row],[OK]],$G$2:$H$25,2,0)</f>
        <v>Turquía</v>
      </c>
      <c r="C22" s="415" t="s">
        <v>71</v>
      </c>
      <c r="D22" s="415">
        <v>21</v>
      </c>
      <c r="G22" s="409">
        <v>21</v>
      </c>
      <c r="H22" s="409" t="str">
        <f>VLOOKUP(G22,Idiomas!$C$132:$D$189,2,0)</f>
        <v>Turquía</v>
      </c>
      <c r="I22" s="409" t="str">
        <f t="shared" si="0"/>
        <v>🇹🇷</v>
      </c>
      <c r="K22" s="409" t="str">
        <f>Idiomas!D152</f>
        <v>Gales</v>
      </c>
      <c r="M22" s="409" t="s">
        <v>1323</v>
      </c>
      <c r="O22" s="409"/>
    </row>
    <row r="23" spans="1:331 8826:8826" ht="15" customHeight="1" x14ac:dyDescent="0.3">
      <c r="A23" s="411">
        <v>22</v>
      </c>
      <c r="B23" s="415" t="str">
        <f>VLOOKUP(Tabla3[[#This Row],[OK]],$G$2:$H$25,2,0)</f>
        <v>Georgia</v>
      </c>
      <c r="C23" s="415" t="s">
        <v>71</v>
      </c>
      <c r="D23" s="415">
        <v>22</v>
      </c>
      <c r="G23" s="409">
        <v>22</v>
      </c>
      <c r="H23" s="409" t="str">
        <f>VLOOKUP(G23,Idiomas!$C$132:$D$189,2,0)</f>
        <v>Georgia</v>
      </c>
      <c r="I23" s="409" t="str">
        <f t="shared" si="0"/>
        <v>🇬🇪</v>
      </c>
      <c r="K23" s="409" t="str">
        <f>Idiomas!D153</f>
        <v>Georgia</v>
      </c>
      <c r="M23" s="409" t="s">
        <v>1324</v>
      </c>
      <c r="O23" s="409"/>
    </row>
    <row r="24" spans="1:331 8826:8826" ht="15" customHeight="1" x14ac:dyDescent="0.3">
      <c r="A24" s="411">
        <v>23</v>
      </c>
      <c r="B24" s="415" t="str">
        <f>VLOOKUP(Tabla3[[#This Row],[OK]],$G$2:$H$25,2,0)</f>
        <v>Portugal</v>
      </c>
      <c r="C24" s="415" t="s">
        <v>71</v>
      </c>
      <c r="D24" s="415">
        <v>23</v>
      </c>
      <c r="G24" s="409">
        <v>23</v>
      </c>
      <c r="H24" s="409" t="str">
        <f>VLOOKUP(G24,Idiomas!$C$132:$D$189,2,0)</f>
        <v>Portugal</v>
      </c>
      <c r="I24" s="409" t="str">
        <f t="shared" si="0"/>
        <v>🇵🇹</v>
      </c>
      <c r="K24" s="409" t="str">
        <f>Idiomas!D154</f>
        <v>Gibraltar</v>
      </c>
      <c r="M24" s="409" t="s">
        <v>1325</v>
      </c>
      <c r="O24" s="409"/>
    </row>
    <row r="25" spans="1:331 8826:8826" ht="15" customHeight="1" x14ac:dyDescent="0.3">
      <c r="A25" s="411">
        <v>24</v>
      </c>
      <c r="B25" s="415" t="str">
        <f>VLOOKUP(Tabla3[[#This Row],[OK]],$G$2:$H$25,2,0)</f>
        <v>República Checa</v>
      </c>
      <c r="C25" s="415" t="s">
        <v>71</v>
      </c>
      <c r="D25" s="415">
        <v>24</v>
      </c>
      <c r="G25" s="409">
        <v>24</v>
      </c>
      <c r="H25" s="409" t="str">
        <f>VLOOKUP(G25,Idiomas!$C$132:$D$189,2,0)</f>
        <v>República Checa</v>
      </c>
      <c r="I25" s="409" t="str">
        <f t="shared" si="0"/>
        <v>🇨🇿</v>
      </c>
      <c r="K25" s="409" t="str">
        <f>Idiomas!D155</f>
        <v>Grecia</v>
      </c>
      <c r="M25" s="409" t="s">
        <v>1326</v>
      </c>
      <c r="O25" s="409"/>
    </row>
    <row r="26" spans="1:331 8826:8826" ht="15" customHeight="1" x14ac:dyDescent="0.3">
      <c r="K26" s="409" t="str">
        <f>Idiomas!D156</f>
        <v>Hungría</v>
      </c>
      <c r="M26" s="409" t="s">
        <v>1327</v>
      </c>
      <c r="O26" s="409"/>
    </row>
    <row r="27" spans="1:331 8826:8826" ht="15" customHeight="1" x14ac:dyDescent="0.3">
      <c r="K27" s="409" t="str">
        <f>Idiomas!D157</f>
        <v>Inglaterra</v>
      </c>
      <c r="M27" s="409" t="s">
        <v>1328</v>
      </c>
      <c r="O27" s="409"/>
    </row>
    <row r="28" spans="1:331 8826:8826" ht="15" customHeight="1" x14ac:dyDescent="0.3">
      <c r="K28" s="409" t="str">
        <f>Idiomas!D158</f>
        <v>Irlanda</v>
      </c>
      <c r="M28" s="409" t="s">
        <v>1329</v>
      </c>
      <c r="O28" s="409"/>
      <c r="LS28" s="414" t="s">
        <v>16</v>
      </c>
      <c r="MAL28" s="414" t="s">
        <v>16</v>
      </c>
    </row>
    <row r="29" spans="1:331 8826:8826" ht="15" customHeight="1" x14ac:dyDescent="0.3">
      <c r="B29" s="409" t="s">
        <v>1330</v>
      </c>
      <c r="C29" s="409">
        <v>1</v>
      </c>
      <c r="K29" s="409" t="str">
        <f>Idiomas!D159</f>
        <v>Irlanda del Norte</v>
      </c>
      <c r="M29" s="409" t="s">
        <v>1328</v>
      </c>
      <c r="O29" s="409"/>
    </row>
    <row r="30" spans="1:331 8826:8826" ht="15" customHeight="1" x14ac:dyDescent="0.3">
      <c r="B30" s="409" t="s">
        <v>1331</v>
      </c>
      <c r="C30" s="409">
        <v>2</v>
      </c>
      <c r="K30" s="409" t="str">
        <f>Idiomas!D160</f>
        <v>Islandia</v>
      </c>
      <c r="M30" s="409" t="s">
        <v>1332</v>
      </c>
      <c r="O30" s="409"/>
    </row>
    <row r="31" spans="1:331 8826:8826" ht="15" customHeight="1" x14ac:dyDescent="0.3">
      <c r="B31" s="409" t="s">
        <v>1333</v>
      </c>
      <c r="C31" s="409">
        <v>3</v>
      </c>
      <c r="K31" s="409" t="str">
        <f>Idiomas!D161</f>
        <v>Islas Feroe</v>
      </c>
      <c r="M31" s="409" t="s">
        <v>1334</v>
      </c>
      <c r="O31" s="409"/>
    </row>
    <row r="32" spans="1:331 8826:8826" ht="15" customHeight="1" x14ac:dyDescent="0.3">
      <c r="B32" s="409" t="s">
        <v>1335</v>
      </c>
      <c r="C32" s="409">
        <v>4</v>
      </c>
      <c r="K32" s="409" t="str">
        <f>Idiomas!D162</f>
        <v>Israel</v>
      </c>
      <c r="M32" s="409" t="s">
        <v>1336</v>
      </c>
      <c r="O32" s="409"/>
    </row>
    <row r="33" spans="2:15" ht="15" customHeight="1" x14ac:dyDescent="0.3">
      <c r="B33" s="409" t="s">
        <v>1337</v>
      </c>
      <c r="C33" s="409">
        <v>5</v>
      </c>
      <c r="K33" s="409" t="str">
        <f>Idiomas!D163</f>
        <v>Italia</v>
      </c>
      <c r="M33" s="409" t="s">
        <v>1338</v>
      </c>
      <c r="O33" s="409"/>
    </row>
    <row r="34" spans="2:15" ht="15" customHeight="1" x14ac:dyDescent="0.3">
      <c r="B34" s="409" t="s">
        <v>1339</v>
      </c>
      <c r="C34" s="409">
        <v>6</v>
      </c>
      <c r="K34" s="409" t="str">
        <f>Idiomas!D164</f>
        <v>Kazajistán</v>
      </c>
      <c r="M34" s="409" t="s">
        <v>1340</v>
      </c>
      <c r="O34" s="409"/>
    </row>
    <row r="35" spans="2:15" ht="15" customHeight="1" x14ac:dyDescent="0.3">
      <c r="K35" s="409" t="str">
        <f>Idiomas!D165</f>
        <v>Kosovo</v>
      </c>
      <c r="M35" s="409" t="s">
        <v>1341</v>
      </c>
      <c r="O35" s="409"/>
    </row>
    <row r="36" spans="2:15" ht="15" customHeight="1" x14ac:dyDescent="0.3">
      <c r="K36" s="409" t="str">
        <f>Idiomas!D166</f>
        <v>Letonia</v>
      </c>
      <c r="M36" s="409" t="s">
        <v>1342</v>
      </c>
      <c r="O36" s="409"/>
    </row>
    <row r="37" spans="2:15" ht="15" customHeight="1" x14ac:dyDescent="0.3">
      <c r="K37" s="409" t="str">
        <f>Idiomas!D167</f>
        <v>Liechtenstein</v>
      </c>
      <c r="M37" s="409" t="s">
        <v>1343</v>
      </c>
      <c r="O37" s="409"/>
    </row>
    <row r="38" spans="2:15" ht="15" customHeight="1" x14ac:dyDescent="0.3">
      <c r="K38" s="409" t="str">
        <f>Idiomas!D168</f>
        <v>Lituania</v>
      </c>
      <c r="M38" s="409" t="s">
        <v>1344</v>
      </c>
      <c r="O38" s="409"/>
    </row>
    <row r="39" spans="2:15" ht="15" customHeight="1" x14ac:dyDescent="0.3">
      <c r="K39" s="409" t="str">
        <f>Idiomas!D169</f>
        <v>Luxemburgo</v>
      </c>
      <c r="M39" s="409" t="s">
        <v>1345</v>
      </c>
      <c r="O39" s="409"/>
    </row>
    <row r="40" spans="2:15" ht="15" customHeight="1" x14ac:dyDescent="0.3">
      <c r="K40" s="409" t="str">
        <f>Idiomas!D170</f>
        <v>Macedonia del Norte</v>
      </c>
      <c r="M40" s="409" t="s">
        <v>1346</v>
      </c>
      <c r="O40" s="409"/>
    </row>
    <row r="41" spans="2:15" ht="15" customHeight="1" x14ac:dyDescent="0.3">
      <c r="K41" s="409" t="str">
        <f>Idiomas!D171</f>
        <v>Malta</v>
      </c>
      <c r="M41" s="409" t="s">
        <v>1347</v>
      </c>
      <c r="O41" s="409"/>
    </row>
    <row r="42" spans="2:15" ht="15" customHeight="1" x14ac:dyDescent="0.3">
      <c r="K42" s="409" t="str">
        <f>Idiomas!D172</f>
        <v>Moldavia</v>
      </c>
      <c r="M42" s="409" t="s">
        <v>1348</v>
      </c>
      <c r="O42" s="409"/>
    </row>
    <row r="43" spans="2:15" ht="15" customHeight="1" x14ac:dyDescent="0.3">
      <c r="K43" s="409" t="str">
        <f>Idiomas!D173</f>
        <v>Montenegro</v>
      </c>
      <c r="M43" s="409" t="s">
        <v>1349</v>
      </c>
      <c r="O43" s="409"/>
    </row>
    <row r="44" spans="2:15" ht="15" customHeight="1" x14ac:dyDescent="0.3">
      <c r="K44" s="409" t="str">
        <f>Idiomas!D174</f>
        <v>Noruega</v>
      </c>
      <c r="M44" s="409" t="s">
        <v>1350</v>
      </c>
      <c r="O44" s="409"/>
    </row>
    <row r="45" spans="2:15" ht="15" customHeight="1" x14ac:dyDescent="0.3">
      <c r="K45" s="409" t="str">
        <f>Idiomas!D175</f>
        <v>Países Bajos</v>
      </c>
      <c r="M45" s="409" t="s">
        <v>1351</v>
      </c>
      <c r="O45" s="409"/>
    </row>
    <row r="46" spans="2:15" ht="15" customHeight="1" x14ac:dyDescent="0.3">
      <c r="K46" s="409" t="str">
        <f>Idiomas!D176</f>
        <v>Polonia</v>
      </c>
      <c r="M46" s="409" t="s">
        <v>1352</v>
      </c>
      <c r="O46" s="409"/>
    </row>
    <row r="47" spans="2:15" ht="15" customHeight="1" x14ac:dyDescent="0.3">
      <c r="K47" s="409" t="str">
        <f>Idiomas!D177</f>
        <v>Portugal</v>
      </c>
      <c r="M47" s="409" t="s">
        <v>1353</v>
      </c>
      <c r="O47" s="409"/>
    </row>
    <row r="48" spans="2:15" ht="15" customHeight="1" x14ac:dyDescent="0.3">
      <c r="K48" s="409" t="str">
        <f>Idiomas!D178</f>
        <v>República Checa</v>
      </c>
      <c r="M48" s="409" t="s">
        <v>1354</v>
      </c>
      <c r="O48" s="409"/>
    </row>
    <row r="49" spans="11:15" ht="15" customHeight="1" x14ac:dyDescent="0.3">
      <c r="K49" s="409" t="str">
        <f>Idiomas!D179</f>
        <v>Rumanía</v>
      </c>
      <c r="M49" s="409" t="s">
        <v>1355</v>
      </c>
      <c r="O49" s="409"/>
    </row>
    <row r="50" spans="11:15" ht="15" customHeight="1" x14ac:dyDescent="0.3">
      <c r="K50" s="409" t="str">
        <f>Idiomas!D180</f>
        <v>Rusia</v>
      </c>
      <c r="M50" s="409" t="s">
        <v>1356</v>
      </c>
      <c r="O50" s="409"/>
    </row>
    <row r="51" spans="11:15" ht="15" customHeight="1" x14ac:dyDescent="0.3">
      <c r="K51" s="409" t="str">
        <f>Idiomas!D181</f>
        <v>San Marino</v>
      </c>
      <c r="M51" s="409" t="s">
        <v>1357</v>
      </c>
      <c r="O51" s="409"/>
    </row>
    <row r="52" spans="11:15" ht="15" customHeight="1" x14ac:dyDescent="0.3">
      <c r="K52" s="409" t="str">
        <f>Idiomas!D182</f>
        <v>Serbia</v>
      </c>
      <c r="M52" s="409" t="s">
        <v>1358</v>
      </c>
      <c r="O52" s="409"/>
    </row>
    <row r="53" spans="11:15" ht="15" customHeight="1" x14ac:dyDescent="0.3">
      <c r="K53" s="409" t="str">
        <f>Idiomas!D183</f>
        <v>Suecia</v>
      </c>
      <c r="M53" s="409" t="s">
        <v>1359</v>
      </c>
      <c r="O53" s="409"/>
    </row>
    <row r="54" spans="11:15" ht="15" customHeight="1" x14ac:dyDescent="0.3">
      <c r="K54" s="409" t="str">
        <f>Idiomas!D184</f>
        <v>Suiza</v>
      </c>
      <c r="M54" s="409" t="s">
        <v>1360</v>
      </c>
      <c r="O54" s="409"/>
    </row>
    <row r="55" spans="11:15" ht="15" customHeight="1" x14ac:dyDescent="0.3">
      <c r="K55" s="409" t="str">
        <f>Idiomas!D185</f>
        <v>Turquía</v>
      </c>
      <c r="M55" s="409" t="s">
        <v>1361</v>
      </c>
      <c r="O55" s="409"/>
    </row>
    <row r="56" spans="11:15" ht="15" customHeight="1" x14ac:dyDescent="0.3">
      <c r="K56" s="409" t="str">
        <f>Idiomas!D189</f>
        <v>Ucrania</v>
      </c>
      <c r="M56" s="409" t="s">
        <v>1362</v>
      </c>
      <c r="O56" s="409"/>
    </row>
  </sheetData>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scriptIds xmlns="http://schemas.microsoft.com/office/extensibility/maker/v1.0" id="script-ids-node-id">
  <scriptId id="ms-officescript%3A%2F%2Fonedrive_business_itemlink%2F01NOQGCQ4S4FRIPCKATJCI724U3BJRPZQX:ms-officescript%3A%2F%2Fonedrive_business_sharinglink%2Fu!aHR0cHM6Ly9teXJlc291cmNlcy5kZWxvaXR0ZS5jb20vOnU6L2cvcGVyc29uYWwvZGl6cXVpZXJkb2JvbmlsbGFfZGVsb2l0dGVfZXMvRVpMaFlvZUpRSnBFai11VTJGTVg1aGNCc2tRQWU3bHRKTmFaZzZKdnUwazd3dw"/>
  <scriptId xmlns="" id="ms-officescript%3A%2F%2Fonedrive_business_itemlink%2F01NOQGCQ6GBZINSEXDXZEIPKHXSEU7QXGD:ms-officescript%3A%2F%2Fonedrive_business_sharinglink%2Fu!aHR0cHM6Ly9teXJlc291cmNlcy5kZWxvaXR0ZS5jb20vOnU6L2cvcGVyc29uYWwvZGl6cXVpZXJkb2JvbmlsbGFfZGVsb2l0dGVfZXMvRWNZT1VOa1M0NzVJaDZqM2tTbjRYTU1CLWRjUC1PRTh0R05acXNMQS05c0dNZw"/>
</scriptIds>
</file>

<file path=customXml/item4.xml><?xml version="1.0" encoding="utf-8"?>
<ct:contentTypeSchema xmlns:ct="http://schemas.microsoft.com/office/2006/metadata/contentType" xmlns:ma="http://schemas.microsoft.com/office/2006/metadata/properties/metaAttributes" ct:_="" ma:_="" ma:contentTypeName="Document" ma:contentTypeID="0x010100C75CF7A8544B694380355019946E229E" ma:contentTypeVersion="4" ma:contentTypeDescription="Create a new document." ma:contentTypeScope="" ma:versionID="fdf32bc9121a73599f4ba1063121bfb4">
  <xsd:schema xmlns:xsd="http://www.w3.org/2001/XMLSchema" xmlns:xs="http://www.w3.org/2001/XMLSchema" xmlns:p="http://schemas.microsoft.com/office/2006/metadata/properties" xmlns:ns2="f63b4290-2067-430e-9716-f70d9fac81ec" targetNamespace="http://schemas.microsoft.com/office/2006/metadata/properties" ma:root="true" ma:fieldsID="5059b43facc11c8d6998d4428241271e" ns2:_="">
    <xsd:import namespace="f63b4290-2067-430e-9716-f70d9fac81e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3b4290-2067-430e-9716-f70d9fac81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14317F-E3A3-49F0-A1CA-A0DDEB995D7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B302FDB-9654-4E10-8024-A48CAA532EDC}">
  <ds:schemaRefs>
    <ds:schemaRef ds:uri="http://schemas.microsoft.com/sharepoint/v3/contenttype/forms"/>
  </ds:schemaRefs>
</ds:datastoreItem>
</file>

<file path=customXml/itemProps3.xml><?xml version="1.0" encoding="utf-8"?>
<ds:datastoreItem xmlns:ds="http://schemas.openxmlformats.org/officeDocument/2006/customXml" ds:itemID="{3944317D-EDC2-4338-B068-EE8C2387AFC5}">
  <ds:schemaRefs>
    <ds:schemaRef ds:uri="http://schemas.microsoft.com/office/extensibility/maker/v1.0"/>
    <ds:schemaRef ds:uri=""/>
  </ds:schemaRefs>
</ds:datastoreItem>
</file>

<file path=customXml/itemProps4.xml><?xml version="1.0" encoding="utf-8"?>
<ds:datastoreItem xmlns:ds="http://schemas.openxmlformats.org/officeDocument/2006/customXml" ds:itemID="{76DBF9EC-AC9F-4C28-9238-B7A8652CE0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3b4290-2067-430e-9716-f70d9fac81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Home</vt:lpstr>
      <vt:lpstr>EURO2024</vt:lpstr>
      <vt:lpstr>Jugadores</vt:lpstr>
      <vt:lpstr>Pool</vt:lpstr>
      <vt:lpstr>Fixture</vt:lpstr>
      <vt:lpstr>·······</vt:lpstr>
      <vt:lpstr>Nivell</vt:lpstr>
      <vt:lpstr>NombreEquipo</vt:lpstr>
      <vt:lpstr>OK</vt:lpstr>
      <vt:lpstr>Rank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dizquierdobonilla@deloitte.es</dc:creator>
  <cp:keywords/>
  <dc:description/>
  <cp:lastModifiedBy>Blasco Saz, Jose Antonio</cp:lastModifiedBy>
  <cp:revision/>
  <dcterms:created xsi:type="dcterms:W3CDTF">2015-10-31T09:41:54Z</dcterms:created>
  <dcterms:modified xsi:type="dcterms:W3CDTF">2024-06-12T16:57:57Z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2024-04-29T10:27:09Z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32caff6a-bd85-4655-9ea5-9089b954f361</vt:lpwstr>
  </property>
  <property fmtid="{D5CDD505-2E9C-101B-9397-08002B2CF9AE}" pid="8" name="MSIP_Label_ea60d57e-af5b-4752-ac57-3e4f28ca11dc_ContentBits">
    <vt:lpwstr>0</vt:lpwstr>
  </property>
  <property fmtid="{D5CDD505-2E9C-101B-9397-08002B2CF9AE}" pid="9" name="ContentTypeId">
    <vt:lpwstr>0x010100C75CF7A8544B694380355019946E229E</vt:lpwstr>
  </property>
  <property fmtid="{D5CDD505-2E9C-101B-9397-08002B2CF9AE}" pid="10" name="MediaServiceImageTags">
    <vt:lpwstr/>
  </property>
</Properties>
</file>