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4743cc2f8fb22/Cursos e Materiais Didaticos/MBA USP Data Science/TCC/Duvidas prof Favero/TCC Capivari/TCC Capivari/"/>
    </mc:Choice>
  </mc:AlternateContent>
  <xr:revisionPtr revIDLastSave="381" documentId="8_{E35BD85B-5CC3-4867-BC77-6AEC1C80889F}" xr6:coauthVersionLast="47" xr6:coauthVersionMax="47" xr10:uidLastSave="{122C23B0-9E74-44DF-8331-1178320F6D3F}"/>
  <bookViews>
    <workbookView minimized="1" xWindow="690" yWindow="690" windowWidth="25580" windowHeight="15260" xr2:uid="{522FE77A-433B-4063-A227-08CD82C5352E}"/>
  </bookViews>
  <sheets>
    <sheet name="Pre-Processamento" sheetId="1" r:id="rId1"/>
    <sheet name="Bilhetes x Visita" sheetId="2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S26" i="1"/>
  <c r="J27" i="1"/>
  <c r="K27" i="1"/>
  <c r="L20" i="3"/>
  <c r="L19" i="3"/>
  <c r="L18" i="3"/>
  <c r="T7" i="3" l="1"/>
  <c r="S7" i="3"/>
  <c r="R7" i="3"/>
  <c r="Q7" i="3"/>
  <c r="P7" i="3"/>
  <c r="Q6" i="3"/>
  <c r="S6" i="3"/>
  <c r="S8" i="3" s="1"/>
  <c r="P6" i="3"/>
  <c r="L29" i="1"/>
  <c r="L21" i="1" s="1"/>
  <c r="L30" i="1"/>
  <c r="M21" i="1"/>
  <c r="G23" i="1"/>
  <c r="C30" i="1"/>
  <c r="J29" i="1"/>
  <c r="L33" i="1"/>
  <c r="T8" i="3" l="1"/>
  <c r="Q9" i="3"/>
  <c r="L22" i="1"/>
  <c r="J30" i="1"/>
  <c r="J31" i="1" s="1"/>
  <c r="T9" i="3" l="1"/>
  <c r="C19" i="1"/>
  <c r="K26" i="1"/>
  <c r="L27" i="1"/>
  <c r="F23" i="1"/>
  <c r="E23" i="1"/>
  <c r="D23" i="1"/>
  <c r="C24" i="1"/>
  <c r="F86" i="2" l="1" a="1"/>
  <c r="F86" i="2" s="1"/>
  <c r="F50" i="2" a="1"/>
  <c r="F50" i="2" s="1"/>
  <c r="F38" i="2" a="1"/>
  <c r="F38" i="2" s="1"/>
  <c r="F26" i="2" a="1"/>
  <c r="F26" i="2" s="1"/>
  <c r="J23" i="1"/>
  <c r="E30" i="1"/>
  <c r="E27" i="1" s="1"/>
  <c r="D30" i="1"/>
  <c r="D27" i="1" s="1"/>
  <c r="F98" i="2" a="1"/>
  <c r="F98" i="2" s="1"/>
  <c r="D7" i="2" l="1"/>
  <c r="D6" i="2"/>
  <c r="D5" i="2"/>
  <c r="D4" i="2"/>
  <c r="D3" i="2"/>
  <c r="D2" i="2"/>
  <c r="Z47" i="1"/>
  <c r="Z48" i="1"/>
  <c r="Z49" i="1"/>
  <c r="Z50" i="1"/>
  <c r="Z51" i="1"/>
  <c r="Z52" i="1"/>
  <c r="Z53" i="1"/>
  <c r="M27" i="1" s="1"/>
  <c r="Z46" i="1"/>
  <c r="S47" i="1"/>
  <c r="S48" i="1"/>
  <c r="S49" i="1"/>
  <c r="S50" i="1"/>
  <c r="S51" i="1"/>
  <c r="S52" i="1"/>
  <c r="S53" i="1"/>
  <c r="S46" i="1"/>
  <c r="Z20" i="1"/>
  <c r="Z21" i="1"/>
  <c r="Z22" i="1"/>
  <c r="Z23" i="1"/>
  <c r="Z24" i="1"/>
  <c r="Z25" i="1"/>
  <c r="Z26" i="1"/>
  <c r="Z19" i="1"/>
  <c r="S20" i="1"/>
  <c r="S21" i="1"/>
  <c r="S22" i="1"/>
  <c r="S23" i="1"/>
  <c r="S24" i="1"/>
  <c r="S25" i="1"/>
  <c r="S19" i="1"/>
  <c r="N6" i="1"/>
  <c r="N5" i="1"/>
  <c r="N4" i="1"/>
  <c r="N3" i="1"/>
  <c r="N17" i="1"/>
  <c r="N18" i="1"/>
  <c r="F74" i="2" l="1" a="1"/>
  <c r="F74" i="2" s="1"/>
  <c r="F62" i="2" a="1"/>
  <c r="F62" i="2" s="1"/>
  <c r="F2" i="2" a="1"/>
  <c r="F2" i="2" s="1"/>
  <c r="N24" i="1"/>
  <c r="N19" i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N25" i="1"/>
  <c r="N20" i="1"/>
  <c r="N7" i="1"/>
  <c r="N8" i="1"/>
  <c r="N9" i="1"/>
  <c r="N10" i="1"/>
  <c r="N11" i="1"/>
  <c r="N12" i="1"/>
  <c r="N13" i="1"/>
  <c r="O24" i="1" l="1"/>
  <c r="P24" i="1" s="1"/>
  <c r="O19" i="1"/>
  <c r="P19" i="1" s="1"/>
  <c r="N23" i="1"/>
  <c r="O23" i="1" s="1"/>
  <c r="P23" i="1" s="1"/>
  <c r="N22" i="1"/>
  <c r="N21" i="1"/>
  <c r="O21" i="1" l="1"/>
  <c r="P21" i="1" s="1"/>
  <c r="O22" i="1"/>
  <c r="P22" i="1" s="1"/>
  <c r="O20" i="1"/>
  <c r="P20" i="1" s="1"/>
  <c r="D26" i="1"/>
  <c r="F14" i="2" l="1" a="1"/>
  <c r="F14" i="2" s="1"/>
  <c r="N26" i="1"/>
  <c r="O25" i="1" l="1"/>
  <c r="N27" i="1"/>
  <c r="O26" i="1" s="1"/>
  <c r="P26" i="1" s="1"/>
  <c r="P28" i="1" l="1"/>
  <c r="P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<sst xmlns="http://schemas.openxmlformats.org/spreadsheetml/2006/main" count="78" uniqueCount="38">
  <si>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</si>
  <si>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</si>
  <si>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</si>
  <si>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</si>
  <si>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</si>
  <si>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</si>
  <si>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</si>
  <si>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</si>
  <si>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</si>
  <si>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</si>
  <si>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</si>
  <si>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</si>
  <si>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</si>
  <si>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Periodo</t>
  </si>
  <si>
    <t>Visita Estimada</t>
  </si>
  <si>
    <t>Cap. % 2023</t>
  </si>
  <si>
    <t>Teleferico</t>
  </si>
  <si>
    <t>x</t>
  </si>
  <si>
    <t>y</t>
  </si>
  <si>
    <t>α =</t>
  </si>
  <si>
    <t>β =</t>
  </si>
  <si>
    <t>Tendência Setembro</t>
  </si>
  <si>
    <t>Tendência Outubro</t>
  </si>
  <si>
    <t>DADOS BRUTOS</t>
  </si>
  <si>
    <t>TRATAMENTO DE OUTLIERS</t>
  </si>
  <si>
    <t>Tendência Dezembro</t>
  </si>
  <si>
    <t>Tendência Novembro</t>
  </si>
  <si>
    <t>P%</t>
  </si>
  <si>
    <t>Automação</t>
  </si>
  <si>
    <t>Soma de FEV a ABR de 2012:</t>
  </si>
  <si>
    <t>Soma de FEV a ABR de 2011:</t>
  </si>
  <si>
    <t>Total:</t>
  </si>
  <si>
    <t>ANO</t>
  </si>
  <si>
    <t>Ponderação pela tendência histórica</t>
  </si>
  <si>
    <t>Diferença</t>
  </si>
  <si>
    <t>faixa 1</t>
  </si>
  <si>
    <t>faixa 2</t>
  </si>
  <si>
    <t>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</si>
</sst>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  <numFmt numFmtId="167" formatCode="#,##0_ ;\-#,##0\ 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608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14" fontId="6" fillId="0" borderId="0" xfId="0" applyNumberFormat="1" applyFont="1"/>
    <xf numFmtId="3" fontId="7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164" fontId="6" fillId="0" borderId="0" xfId="1" applyNumberFormat="1" applyFont="1" applyFill="1"/>
    <xf numFmtId="3" fontId="6" fillId="0" borderId="0" xfId="0" applyNumberFormat="1" applyFont="1"/>
    <xf numFmtId="164" fontId="0" fillId="0" borderId="0" xfId="1" applyNumberFormat="1" applyFont="1"/>
    <xf numFmtId="9" fontId="6" fillId="0" borderId="0" xfId="2" applyFont="1" applyAlignment="1">
      <alignment vertical="center" wrapText="1"/>
    </xf>
    <xf numFmtId="43" fontId="0" fillId="0" borderId="0" xfId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3" fontId="5" fillId="0" borderId="5" xfId="0" applyNumberFormat="1" applyFont="1" applyBorder="1" applyAlignment="1">
      <alignment vertical="center" wrapText="1"/>
    </xf>
    <xf numFmtId="0" fontId="8" fillId="2" borderId="6" xfId="0" applyFont="1" applyFill="1" applyBorder="1" applyAlignment="1">
      <alignment horizontal="center"/>
    </xf>
    <xf numFmtId="3" fontId="5" fillId="0" borderId="8" xfId="0" applyNumberFormat="1" applyFont="1" applyBorder="1" applyAlignment="1">
      <alignment vertical="center" wrapText="1"/>
    </xf>
    <xf numFmtId="3" fontId="0" fillId="0" borderId="0" xfId="0" applyNumberFormat="1"/>
    <xf numFmtId="165" fontId="0" fillId="0" borderId="0" xfId="2" applyNumberFormat="1" applyFont="1"/>
    <xf numFmtId="166" fontId="0" fillId="0" borderId="0" xfId="1" applyNumberFormat="1" applyFont="1"/>
    <xf numFmtId="0" fontId="9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1" applyNumberFormat="1" applyFont="1" applyFill="1" applyAlignment="1">
      <alignment horizontal="center"/>
    </xf>
    <xf numFmtId="0" fontId="0" fillId="3" borderId="0" xfId="0" applyFill="1"/>
    <xf numFmtId="3" fontId="5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5" fillId="3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3" fontId="4" fillId="0" borderId="7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3" fontId="3" fillId="3" borderId="0" xfId="0" applyNumberFormat="1" applyFont="1" applyFill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right"/>
    </xf>
    <xf numFmtId="3" fontId="5" fillId="0" borderId="9" xfId="0" applyNumberFormat="1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2" xfId="0" applyNumberFormat="1" applyFont="1" applyBorder="1" applyAlignment="1">
      <alignment horizontal="center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center" vertical="center" wrapText="1"/>
    </xf>
    <xf numFmtId="3" fontId="10" fillId="3" borderId="0" xfId="0" applyNumberFormat="1" applyFont="1" applyFill="1" applyAlignment="1">
      <alignment horizontal="center" vertical="center" wrapText="1"/>
    </xf>
    <xf numFmtId="164" fontId="0" fillId="0" borderId="0" xfId="1" applyNumberFormat="1" applyFont="1" applyAlignment="1">
      <alignment horizontal="left"/>
    </xf>
    <xf numFmtId="3" fontId="3" fillId="3" borderId="0" xfId="0" applyNumberFormat="1" applyFont="1" applyFill="1" applyAlignment="1">
      <alignment horizontal="center"/>
    </xf>
    <xf numFmtId="0" fontId="0" fillId="4" borderId="0" xfId="0" applyFill="1"/>
    <xf numFmtId="9" fontId="0" fillId="0" borderId="0" xfId="2" applyFont="1" applyAlignment="1">
      <alignment horizontal="left"/>
    </xf>
    <xf numFmtId="9" fontId="0" fillId="0" borderId="0" xfId="2" applyFont="1"/>
    <xf numFmtId="10" fontId="0" fillId="0" borderId="0" xfId="2" applyNumberFormat="1" applyFont="1" applyAlignment="1">
      <alignment horizontal="left"/>
    </xf>
    <xf numFmtId="0" fontId="8" fillId="0" borderId="0" xfId="0" applyFont="1" applyAlignment="1">
      <alignment horizontal="right"/>
    </xf>
    <xf numFmtId="10" fontId="8" fillId="0" borderId="0" xfId="2" applyNumberFormat="1" applyFont="1"/>
    <xf numFmtId="3" fontId="5" fillId="2" borderId="7" xfId="0" applyNumberFormat="1" applyFont="1" applyFill="1" applyBorder="1" applyAlignment="1">
      <alignment horizontal="center" vertical="center" wrapText="1"/>
    </xf>
    <xf numFmtId="167" fontId="3" fillId="0" borderId="10" xfId="1" applyNumberFormat="1" applyFont="1" applyFill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3" fontId="11" fillId="0" borderId="13" xfId="0" applyNumberFormat="1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4" borderId="0" xfId="0" applyFont="1" applyFill="1"/>
    <xf numFmtId="3" fontId="13" fillId="5" borderId="15" xfId="0" applyNumberFormat="1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3" fontId="12" fillId="0" borderId="15" xfId="0" applyNumberFormat="1" applyFont="1" applyBorder="1"/>
    <xf numFmtId="3" fontId="12" fillId="0" borderId="0" xfId="0" applyNumberFormat="1" applyFont="1"/>
    <xf numFmtId="9" fontId="0" fillId="0" borderId="0" xfId="0" applyNumberFormat="1"/>
    <xf numFmtId="0" fontId="0" fillId="0" borderId="0" xfId="0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Visualização da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6411018501521385E-2"/>
          <c:y val="8.1578218385352438E-2"/>
          <c:w val="0.87784171679329104"/>
          <c:h val="0.79342434304145726"/>
        </c:manualLayout>
      </c:layout>
      <c:lineChart>
        <c:grouping val="stacked"/>
        <c:varyColors val="0"/>
        <c:ser>
          <c:idx val="0"/>
          <c:order val="0"/>
          <c:tx>
            <c:strRef>
              <c:f>'Pre-Processamento'!$A$19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'Pre-Processamento'!$B$19:$M$19</c:f>
              <c:numCache>
                <c:formatCode>#,##0</c:formatCode>
                <c:ptCount val="12"/>
                <c:pt idx="0">
                  <c:v>16664</c:v>
                </c:pt>
                <c:pt idx="1">
                  <c:v>11408</c:v>
                </c:pt>
                <c:pt idx="2">
                  <c:v>14976</c:v>
                </c:pt>
                <c:pt idx="3">
                  <c:v>16983</c:v>
                </c:pt>
                <c:pt idx="4">
                  <c:v>22690</c:v>
                </c:pt>
                <c:pt idx="5">
                  <c:v>30273</c:v>
                </c:pt>
                <c:pt idx="6">
                  <c:v>53044</c:v>
                </c:pt>
                <c:pt idx="7">
                  <c:v>29875</c:v>
                </c:pt>
                <c:pt idx="8">
                  <c:v>21068</c:v>
                </c:pt>
                <c:pt idx="9">
                  <c:v>16346</c:v>
                </c:pt>
                <c:pt idx="10">
                  <c:v>14069</c:v>
                </c:pt>
                <c:pt idx="11">
                  <c:v>20721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4-4336-B348-BD208D5D4009}"/>
            </c:ext>
          </c:extLst>
        </c:ser>
        <c:ser>
          <c:idx val="1"/>
          <c:order val="1"/>
          <c:tx>
            <c:strRef>
              <c:f>'Pre-Processamento'!$A$20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'Pre-Processamento'!$B$20:$M$20</c:f>
              <c:numCache>
                <c:formatCode>#,##0</c:formatCode>
                <c:ptCount val="12"/>
                <c:pt idx="0">
                  <c:v>16825</c:v>
                </c:pt>
                <c:pt idx="1">
                  <c:v>10731</c:v>
                </c:pt>
                <c:pt idx="2">
                  <c:v>14564</c:v>
                </c:pt>
                <c:pt idx="3">
                  <c:v>19525</c:v>
                </c:pt>
                <c:pt idx="4">
                  <c:v>21849</c:v>
                </c:pt>
                <c:pt idx="5">
                  <c:v>31875</c:v>
                </c:pt>
                <c:pt idx="6">
                  <c:v>52222</c:v>
                </c:pt>
                <c:pt idx="7">
                  <c:v>26034</c:v>
                </c:pt>
                <c:pt idx="8">
                  <c:v>24298</c:v>
                </c:pt>
                <c:pt idx="9">
                  <c:v>14355</c:v>
                </c:pt>
                <c:pt idx="10">
                  <c:v>14595</c:v>
                </c:pt>
                <c:pt idx="11">
                  <c:v>16251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E4-4336-B348-BD208D5D4009}"/>
            </c:ext>
          </c:extLst>
        </c:ser>
        <c:ser>
          <c:idx val="2"/>
          <c:order val="2"/>
          <c:tx>
            <c:strRef>
              <c:f>'Pre-Processamento'!$A$21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'Pre-Processamento'!$B$21:$M$21</c:f>
              <c:numCache>
                <c:formatCode>#,##0</c:formatCode>
                <c:ptCount val="12"/>
                <c:pt idx="0">
                  <c:v>12944</c:v>
                </c:pt>
                <c:pt idx="1">
                  <c:v>10263</c:v>
                </c:pt>
                <c:pt idx="2">
                  <c:v>12393</c:v>
                </c:pt>
                <c:pt idx="3">
                  <c:v>23894</c:v>
                </c:pt>
                <c:pt idx="4">
                  <c:v>23393</c:v>
                </c:pt>
                <c:pt idx="5">
                  <c:v>32057</c:v>
                </c:pt>
                <c:pt idx="6">
                  <c:v>52243</c:v>
                </c:pt>
                <c:pt idx="7">
                  <c:v>23549</c:v>
                </c:pt>
                <c:pt idx="8">
                  <c:v>19045</c:v>
                </c:pt>
                <c:pt idx="9">
                  <c:v>14190</c:v>
                </c:pt>
                <c:pt idx="10">
                  <c:v>14902.568683369009</c:v>
                </c:pt>
                <c:pt idx="11">
                  <c:v>14966.5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E4-4336-B348-BD208D5D4009}"/>
            </c:ext>
          </c:extLst>
        </c:ser>
        <c:ser>
          <c:idx val="3"/>
          <c:order val="3"/>
          <c:tx>
            <c:strRef>
              <c:f>'Pre-Processamento'!$A$22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'Pre-Processamento'!$B$22:$M$22</c:f>
              <c:numCache>
                <c:formatCode>#,##0</c:formatCode>
                <c:ptCount val="12"/>
                <c:pt idx="0">
                  <c:v>21821</c:v>
                </c:pt>
                <c:pt idx="1">
                  <c:v>11363</c:v>
                </c:pt>
                <c:pt idx="2">
                  <c:v>12568</c:v>
                </c:pt>
                <c:pt idx="3">
                  <c:v>17084</c:v>
                </c:pt>
                <c:pt idx="4">
                  <c:v>27354</c:v>
                </c:pt>
                <c:pt idx="5">
                  <c:v>28729</c:v>
                </c:pt>
                <c:pt idx="6">
                  <c:v>49139</c:v>
                </c:pt>
                <c:pt idx="7">
                  <c:v>24958</c:v>
                </c:pt>
                <c:pt idx="8">
                  <c:v>18693</c:v>
                </c:pt>
                <c:pt idx="9">
                  <c:v>10730</c:v>
                </c:pt>
                <c:pt idx="10">
                  <c:v>11268.820434992915</c:v>
                </c:pt>
                <c:pt idx="11">
                  <c:v>13682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E4-4336-B348-BD208D5D4009}"/>
            </c:ext>
          </c:extLst>
        </c:ser>
        <c:ser>
          <c:idx val="4"/>
          <c:order val="4"/>
          <c:tx>
            <c:strRef>
              <c:f>'Pre-Processamento'!$A$23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'Pre-Processamento'!$B$23:$M$23</c:f>
              <c:numCache>
                <c:formatCode>#,##0</c:formatCode>
                <c:ptCount val="12"/>
                <c:pt idx="0">
                  <c:v>25073</c:v>
                </c:pt>
                <c:pt idx="1">
                  <c:v>14359</c:v>
                </c:pt>
                <c:pt idx="2">
                  <c:v>13406</c:v>
                </c:pt>
                <c:pt idx="3">
                  <c:v>16723.5</c:v>
                </c:pt>
                <c:pt idx="4">
                  <c:v>24959.5</c:v>
                </c:pt>
                <c:pt idx="5">
                  <c:v>27846.5</c:v>
                </c:pt>
                <c:pt idx="6">
                  <c:v>41229</c:v>
                </c:pt>
                <c:pt idx="7">
                  <c:v>27402</c:v>
                </c:pt>
                <c:pt idx="8">
                  <c:v>17507.5</c:v>
                </c:pt>
                <c:pt idx="9">
                  <c:v>16234</c:v>
                </c:pt>
                <c:pt idx="10">
                  <c:v>13888</c:v>
                </c:pt>
                <c:pt idx="11">
                  <c:v>14448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E4-4336-B348-BD208D5D4009}"/>
            </c:ext>
          </c:extLst>
        </c:ser>
        <c:ser>
          <c:idx val="5"/>
          <c:order val="5"/>
          <c:tx>
            <c:strRef>
              <c:f>'Pre-Processamento'!$A$24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'Pre-Processamento'!$B$24:$M$24</c:f>
              <c:numCache>
                <c:formatCode>#,##0</c:formatCode>
                <c:ptCount val="12"/>
                <c:pt idx="0">
                  <c:v>15380</c:v>
                </c:pt>
                <c:pt idx="1">
                  <c:v>13091.5</c:v>
                </c:pt>
                <c:pt idx="2">
                  <c:v>14244</c:v>
                </c:pt>
                <c:pt idx="3">
                  <c:v>16363</c:v>
                </c:pt>
                <c:pt idx="4">
                  <c:v>22565</c:v>
                </c:pt>
                <c:pt idx="5">
                  <c:v>26964</c:v>
                </c:pt>
                <c:pt idx="6">
                  <c:v>39476</c:v>
                </c:pt>
                <c:pt idx="7">
                  <c:v>29090</c:v>
                </c:pt>
                <c:pt idx="8">
                  <c:v>16322</c:v>
                </c:pt>
                <c:pt idx="9">
                  <c:v>13218</c:v>
                </c:pt>
                <c:pt idx="10">
                  <c:v>16294</c:v>
                </c:pt>
                <c:pt idx="11">
                  <c:v>16298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E4-4336-B348-BD208D5D4009}"/>
            </c:ext>
          </c:extLst>
        </c:ser>
        <c:ser>
          <c:idx val="6"/>
          <c:order val="6"/>
          <c:tx>
            <c:strRef>
              <c:f>'Pre-Processamento'!$A$25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'Pre-Processamento'!$B$25:$M$25</c:f>
              <c:numCache>
                <c:formatCode>#,##0</c:formatCode>
                <c:ptCount val="12"/>
                <c:pt idx="0">
                  <c:v>13820</c:v>
                </c:pt>
                <c:pt idx="1">
                  <c:v>11824</c:v>
                </c:pt>
                <c:pt idx="2">
                  <c:v>14459</c:v>
                </c:pt>
                <c:pt idx="3">
                  <c:v>15396</c:v>
                </c:pt>
                <c:pt idx="4">
                  <c:v>25065</c:v>
                </c:pt>
                <c:pt idx="5">
                  <c:v>14396</c:v>
                </c:pt>
                <c:pt idx="6">
                  <c:v>44690</c:v>
                </c:pt>
                <c:pt idx="7">
                  <c:v>23687</c:v>
                </c:pt>
                <c:pt idx="8">
                  <c:v>16516</c:v>
                </c:pt>
                <c:pt idx="9">
                  <c:v>11836</c:v>
                </c:pt>
                <c:pt idx="10">
                  <c:v>11911</c:v>
                </c:pt>
                <c:pt idx="11">
                  <c:v>11542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E4-4336-B348-BD208D5D4009}"/>
            </c:ext>
          </c:extLst>
        </c:ser>
        <c:ser>
          <c:idx val="7"/>
          <c:order val="7"/>
          <c:tx>
            <c:strRef>
              <c:f>'Pre-Processamento'!$A$26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'Pre-Processamento'!$B$26:$M$26</c:f>
              <c:numCache>
                <c:formatCode>#,##0</c:formatCode>
                <c:ptCount val="12"/>
                <c:pt idx="0">
                  <c:v>9542</c:v>
                </c:pt>
                <c:pt idx="1">
                  <c:v>8553</c:v>
                </c:pt>
                <c:pt idx="2" formatCode="#,##0_ ;\-#,##0\ ">
                  <c:v>11729.218750204504</c:v>
                </c:pt>
                <c:pt idx="3">
                  <c:v>10117</c:v>
                </c:pt>
                <c:pt idx="4">
                  <c:v>14270</c:v>
                </c:pt>
                <c:pt idx="5">
                  <c:v>23657</c:v>
                </c:pt>
                <c:pt idx="6">
                  <c:v>42125</c:v>
                </c:pt>
                <c:pt idx="7">
                  <c:v>18882</c:v>
                </c:pt>
                <c:pt idx="8">
                  <c:v>18395</c:v>
                </c:pt>
                <c:pt idx="9">
                  <c:v>10940.784999999916</c:v>
                </c:pt>
                <c:pt idx="10">
                  <c:v>11097</c:v>
                </c:pt>
                <c:pt idx="11">
                  <c:v>12120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E4-4336-B348-BD208D5D4009}"/>
            </c:ext>
          </c:extLst>
        </c:ser>
        <c:ser>
          <c:idx val="8"/>
          <c:order val="8"/>
          <c:tx>
            <c:strRef>
              <c:f>'Pre-Processamento'!$A$27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'Pre-Processamento'!$B$16:$M$16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'Pre-Processamento'!$B$27:$M$27</c:f>
              <c:numCache>
                <c:formatCode>#,##0</c:formatCode>
                <c:ptCount val="12"/>
                <c:pt idx="0">
                  <c:v>8642</c:v>
                </c:pt>
                <c:pt idx="1">
                  <c:v>7735.3150845172731</c:v>
                </c:pt>
                <c:pt idx="2">
                  <c:v>8999.437500409007</c:v>
                </c:pt>
                <c:pt idx="3">
                  <c:v>11734.24741507372</c:v>
                </c:pt>
                <c:pt idx="4">
                  <c:v>14978</c:v>
                </c:pt>
                <c:pt idx="5">
                  <c:v>23018</c:v>
                </c:pt>
                <c:pt idx="6">
                  <c:v>39232</c:v>
                </c:pt>
                <c:pt idx="7">
                  <c:v>16200</c:v>
                </c:pt>
                <c:pt idx="8">
                  <c:v>15397.860000000102</c:v>
                </c:pt>
                <c:pt idx="9">
                  <c:v>10045.569999999832</c:v>
                </c:pt>
                <c:pt idx="10">
                  <c:v>12211.540000000037</c:v>
                </c:pt>
                <c:pt idx="11">
                  <c:v>10781.929999999935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E4-4336-B348-BD208D5D4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607104"/>
        <c:axId val="18973104"/>
      </c:lineChart>
      <c:catAx>
        <c:axId val="9626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73104"/>
        <c:crosses val="autoZero"/>
        <c:auto val="1"/>
        <c:lblAlgn val="ctr"/>
        <c:lblOffset val="100"/>
        <c:noMultiLvlLbl val="0"/>
      </c:catAx>
      <c:valAx>
        <c:axId val="189731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626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'Pre-Processamento'!$J$16</c:f>
              <c:strCache>
                <c:ptCount val="1"/>
                <c:pt idx="0">
                  <c:v>SET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191243200529988E-2"/>
                  <c:y val="-0.27227368992669021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'Pre-Processamento'!$A$19:$A$26</c:f>
              <c:numCache>
                <c:formatCode>General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xVal>
          <c:yVal>
            <c:numRef>
              <c:f>'Pre-Processamento'!$J$19:$J$26</c:f>
              <c:numCache>
                <c:formatCode>#,##0</c:formatCode>
                <c:ptCount val="8"/>
                <c:pt idx="0">
                  <c:v>21068</c:v>
                </c:pt>
                <c:pt idx="1">
                  <c:v>24298</c:v>
                </c:pt>
                <c:pt idx="2">
                  <c:v>19045</c:v>
                </c:pt>
                <c:pt idx="3">
                  <c:v>18693</c:v>
                </c:pt>
                <c:pt idx="4">
                  <c:v>17507.5</c:v>
                </c:pt>
                <c:pt idx="5">
                  <c:v>16322</c:v>
                </c:pt>
                <c:pt idx="6">
                  <c:v>16516</c:v>
                </c:pt>
                <c:pt idx="7">
                  <c:v>18395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8-4A48-8922-1750A48AC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7200"/>
        <c:axId val="166604912"/>
      </c:scatterChart>
      <c:valAx>
        <c:axId val="3825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04912"/>
        <c:crosses val="autoZero"/>
        <c:crossBetween val="midCat"/>
      </c:valAx>
      <c:valAx>
        <c:axId val="1666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5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'Pre-Processamento'!$K$16</c:f>
              <c:strCache>
                <c:ptCount val="1"/>
                <c:pt idx="0">
                  <c:v>OUT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505263352104421E-2"/>
                  <c:y val="-0.136087247714725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'Pre-Processamento'!$A$19:$A$26</c:f>
              <c:numCache>
                <c:formatCode>General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xVal>
          <c:yVal>
            <c:numRef>
              <c:f>'Pre-Processamento'!$K$19:$K$26</c:f>
              <c:numCache>
                <c:formatCode>#,##0</c:formatCode>
                <c:ptCount val="8"/>
                <c:pt idx="0">
                  <c:v>16346</c:v>
                </c:pt>
                <c:pt idx="1">
                  <c:v>14355</c:v>
                </c:pt>
                <c:pt idx="2">
                  <c:v>14190</c:v>
                </c:pt>
                <c:pt idx="3">
                  <c:v>10730</c:v>
                </c:pt>
                <c:pt idx="4">
                  <c:v>16234</c:v>
                </c:pt>
                <c:pt idx="5">
                  <c:v>13218</c:v>
                </c:pt>
                <c:pt idx="6">
                  <c:v>11836</c:v>
                </c:pt>
                <c:pt idx="7">
                  <c:v>10940.784999999916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01-4DC3-97CA-DE8C47907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7200"/>
        <c:axId val="166604912"/>
      </c:scatterChart>
      <c:valAx>
        <c:axId val="3825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04912"/>
        <c:crosses val="autoZero"/>
        <c:crossBetween val="midCat"/>
      </c:valAx>
      <c:valAx>
        <c:axId val="1666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5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'Pre-Processamento'!$L$16</c:f>
              <c:strCache>
                <c:ptCount val="1"/>
                <c:pt idx="0">
                  <c:v>NOV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472549185538261E-2"/>
                  <c:y val="-0.1771280658883156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'Pre-Processamento'!$A$19:$A$26</c:f>
              <c:numCache>
                <c:formatCode>General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xVal>
          <c:yVal>
            <c:numRef>
              <c:f>'Pre-Processamento'!$L$19:$L$26</c:f>
              <c:numCache>
                <c:formatCode>#,##0</c:formatCode>
                <c:ptCount val="8"/>
                <c:pt idx="0">
                  <c:v>14069</c:v>
                </c:pt>
                <c:pt idx="1">
                  <c:v>14595</c:v>
                </c:pt>
                <c:pt idx="2">
                  <c:v>14902.568683369009</c:v>
                </c:pt>
                <c:pt idx="3">
                  <c:v>11268.820434992915</c:v>
                </c:pt>
                <c:pt idx="4">
                  <c:v>13888</c:v>
                </c:pt>
                <c:pt idx="5">
                  <c:v>16294</c:v>
                </c:pt>
                <c:pt idx="6">
                  <c:v>11911</c:v>
                </c:pt>
                <c:pt idx="7">
                  <c:v>11097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2F-4A01-BAB4-BB032D349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7200"/>
        <c:axId val="166604912"/>
      </c:scatterChart>
      <c:valAx>
        <c:axId val="3825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04912"/>
        <c:crosses val="autoZero"/>
        <c:crossBetween val="midCat"/>
      </c:valAx>
      <c:valAx>
        <c:axId val="1666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5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'Pre-Processamento'!$M$16</c:f>
              <c:strCache>
                <c:ptCount val="1"/>
                <c:pt idx="0">
                  <c:v>DEZ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472549185538261E-2"/>
                  <c:y val="-0.1771280658883156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'Pre-Processamento'!$A$19:$A$26</c:f>
              <c:numCache>
                <c:formatCode>General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xVal>
          <c:yVal>
            <c:numRef>
              <c:f>'Pre-Processamento'!$M$19:$M$26</c:f>
              <c:numCache>
                <c:formatCode>#,##0</c:formatCode>
                <c:ptCount val="8"/>
                <c:pt idx="0">
                  <c:v>20721</c:v>
                </c:pt>
                <c:pt idx="1">
                  <c:v>16251</c:v>
                </c:pt>
                <c:pt idx="2">
                  <c:v>14966.5</c:v>
                </c:pt>
                <c:pt idx="3">
                  <c:v>13682</c:v>
                </c:pt>
                <c:pt idx="4">
                  <c:v>14448</c:v>
                </c:pt>
                <c:pt idx="5">
                  <c:v>16298</c:v>
                </c:pt>
                <c:pt idx="6">
                  <c:v>11542</c:v>
                </c:pt>
                <c:pt idx="7">
                  <c:v>12120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D3-48AE-9D8D-57291223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7200"/>
        <c:axId val="166604912"/>
      </c:scatterChart>
      <c:valAx>
        <c:axId val="3825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04912"/>
        <c:crosses val="autoZero"/>
        <c:crossBetween val="midCat"/>
      </c:valAx>
      <c:valAx>
        <c:axId val="1666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5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'Pre-Processamento'!$N$16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472549185538261E-2"/>
                  <c:y val="-0.1771280658883156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'Pre-Processamento'!$A$19:$A$26</c:f>
              <c:numCache>
                <c:formatCode>General</c:formatCode>
                <c:ptCount val="8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</c:numCache>
            </c:numRef>
          </c:xVal>
          <c:yVal>
            <c:numRef>
              <c:f>'Pre-Processamento'!$N$19:$N$26</c:f>
              <c:numCache>
                <c:formatCode>#,##0</c:formatCode>
                <c:ptCount val="8"/>
                <c:pt idx="0">
                  <c:v>268117</c:v>
                </c:pt>
                <c:pt idx="1">
                  <c:v>263124</c:v>
                </c:pt>
                <c:pt idx="2">
                  <c:v>253840.068683369</c:v>
                </c:pt>
                <c:pt idx="3">
                  <c:v>247389.8204349929</c:v>
                </c:pt>
                <c:pt idx="4">
                  <c:v>253076</c:v>
                </c:pt>
                <c:pt idx="5">
                  <c:v>239305.5</c:v>
                </c:pt>
                <c:pt idx="6">
                  <c:v>215142</c:v>
                </c:pt>
                <c:pt idx="7">
                  <c:v>191428.00375020443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74-48B6-B161-285235EA6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7200"/>
        <c:axId val="166604912"/>
      </c:scatterChart>
      <c:valAx>
        <c:axId val="3825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04912"/>
        <c:crosses val="autoZero"/>
        <c:crossBetween val="midCat"/>
      </c:valAx>
      <c:valAx>
        <c:axId val="1666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5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25400</xdr:rowOff>
    </xdr:from>
    <xdr:to>
      <xdr:col>10</xdr:col>
      <xdr:colOff>496956</xdr:colOff>
      <xdr:row>60</xdr:row>
      <xdr:rowOff>139700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6B37873-D3A8-2102-2764-3B77EC65A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273878</xdr:colOff>
      <xdr:row>0</xdr:row>
      <xdr:rowOff>128656</xdr:rowOff>
    </xdr:from>
    <xdr:to>
      <xdr:col>24</xdr:col>
      <xdr:colOff>66703</xdr:colOff>
      <xdr:row>15</xdr:row>
      <xdr:rowOff>16289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066C3EC-34A0-4920-90CF-F1E90C1DD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361950</xdr:colOff>
      <xdr:row>1</xdr:row>
      <xdr:rowOff>6350</xdr:rowOff>
    </xdr:from>
    <xdr:to>
      <xdr:col>31</xdr:col>
      <xdr:colOff>185420</xdr:colOff>
      <xdr:row>15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DA8BF42-800F-456B-8350-AF4D1DCE3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6350</xdr:colOff>
      <xdr:row>27</xdr:row>
      <xdr:rowOff>44450</xdr:rowOff>
    </xdr:from>
    <xdr:to>
      <xdr:col>23</xdr:col>
      <xdr:colOff>63500</xdr:colOff>
      <xdr:row>42</xdr:row>
      <xdr:rowOff>44450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A5F44D5-30B2-4831-9B65-7557B6CB0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444500</xdr:colOff>
      <xdr:row>27</xdr:row>
      <xdr:rowOff>31750</xdr:rowOff>
    </xdr:from>
    <xdr:to>
      <xdr:col>31</xdr:col>
      <xdr:colOff>323850</xdr:colOff>
      <xdr:row>42</xdr:row>
      <xdr:rowOff>31750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9FFCC94-77EE-4A1E-BFF9-7B7FD1295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679173</xdr:colOff>
      <xdr:row>46</xdr:row>
      <xdr:rowOff>16567</xdr:rowOff>
    </xdr:from>
    <xdr:to>
      <xdr:col>19</xdr:col>
      <xdr:colOff>525393</xdr:colOff>
      <xdr:row>61</xdr:row>
      <xdr:rowOff>16567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A653ED-DA34-4B6F-8763-BA751A511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4860-EE0B-40F5-809B-E4BCE11F05B4}">
  <dimension ref="A1:AB53"/>
  <sheetViews>
    <sheetView showGridLines="0" tabSelected="1" zoomScaleNormal="100" workbookViewId="0">
      <selection activeCell="C28" sqref="C28"/>
    </sheetView>
  </sheetViews>
  <sheetFormatPr defaultRowHeight="14.5" x14ac:dyDescent="0.35"/>
  <cols>
    <col min="1" max="1" width="12.08984375" customWidth="1"/>
    <col min="2" max="13" width="10.08984375" customWidth="1"/>
    <col min="15" max="16" width="8.90625" customWidth="1"/>
    <col min="19" max="19" width="9.6328125" bestFit="1" customWidth="1"/>
    <col min="21" max="21" width="12.6328125" bestFit="1" customWidth="1"/>
    <col min="23" max="23" width="12.6328125" bestFit="1" customWidth="1"/>
    <col min="24" max="24" width="7.36328125" customWidth="1"/>
    <col min="26" max="26" width="10.81640625" customWidth="1"/>
    <col min="28" max="28" width="12.6328125" customWidth="1"/>
    <col min="36" max="36" width="11.6328125" bestFit="1" customWidth="1"/>
  </cols>
  <sheetData>
    <row r="1" spans="1:19" x14ac:dyDescent="0.35">
      <c r="A1" s="57" t="s">
        <v>23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9" x14ac:dyDescent="0.35">
      <c r="A2" s="10" t="s">
        <v>32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2" t="s">
        <v>12</v>
      </c>
    </row>
    <row r="3" spans="1:19" x14ac:dyDescent="0.35">
      <c r="A3" s="9">
        <v>2021</v>
      </c>
      <c r="B3" s="25">
        <v>14139</v>
      </c>
      <c r="C3" s="25">
        <v>10826</v>
      </c>
      <c r="D3" s="20"/>
      <c r="E3" s="25">
        <v>18183</v>
      </c>
      <c r="F3" s="20"/>
      <c r="G3" s="25">
        <v>29559</v>
      </c>
      <c r="H3" s="25">
        <v>36466</v>
      </c>
      <c r="I3" s="25">
        <v>49032</v>
      </c>
      <c r="J3" s="25">
        <v>34652</v>
      </c>
      <c r="K3" s="25">
        <v>24506</v>
      </c>
      <c r="L3" s="20"/>
      <c r="M3" s="20"/>
      <c r="N3" s="13">
        <f>SUM(B3:M3)</f>
        <v>217363</v>
      </c>
    </row>
    <row r="4" spans="1:19" x14ac:dyDescent="0.35">
      <c r="A4" s="9">
        <v>2020</v>
      </c>
      <c r="B4" s="25">
        <v>18150</v>
      </c>
      <c r="C4" s="25">
        <v>12085</v>
      </c>
      <c r="D4" s="20"/>
      <c r="E4" s="20"/>
      <c r="F4" s="20"/>
      <c r="G4" s="20"/>
      <c r="H4" s="20"/>
      <c r="I4" s="20"/>
      <c r="J4" s="25">
        <v>21110</v>
      </c>
      <c r="K4" s="25">
        <v>22037</v>
      </c>
      <c r="L4" s="25">
        <v>15000</v>
      </c>
      <c r="M4" s="25">
        <v>21000</v>
      </c>
      <c r="N4" s="13">
        <f>SUM(B4:M4)</f>
        <v>109382</v>
      </c>
    </row>
    <row r="5" spans="1:19" ht="15.5" x14ac:dyDescent="0.35">
      <c r="A5" s="9">
        <v>2019</v>
      </c>
      <c r="B5" s="26">
        <v>16664</v>
      </c>
      <c r="C5" s="27">
        <v>5946</v>
      </c>
      <c r="D5" s="25">
        <v>14976</v>
      </c>
      <c r="E5" s="25">
        <v>16983</v>
      </c>
      <c r="F5" s="25">
        <v>22690</v>
      </c>
      <c r="G5" s="25">
        <v>30273</v>
      </c>
      <c r="H5" s="25">
        <v>53044</v>
      </c>
      <c r="I5" s="25">
        <v>29875</v>
      </c>
      <c r="J5" s="25">
        <v>21068</v>
      </c>
      <c r="K5" s="25">
        <v>16346</v>
      </c>
      <c r="L5" s="25">
        <v>14069</v>
      </c>
      <c r="M5" s="25">
        <v>20721</v>
      </c>
      <c r="N5" s="13">
        <f>SUM(B5:M5)</f>
        <v>262655</v>
      </c>
      <c r="O5" s="8"/>
      <c r="P5" s="8"/>
    </row>
    <row r="6" spans="1:19" ht="15.5" x14ac:dyDescent="0.35">
      <c r="A6" s="9">
        <v>2018</v>
      </c>
      <c r="B6" s="26">
        <v>16825</v>
      </c>
      <c r="C6" s="25">
        <v>10731</v>
      </c>
      <c r="D6" s="25">
        <v>14564</v>
      </c>
      <c r="E6" s="25">
        <v>19525</v>
      </c>
      <c r="F6" s="25">
        <v>21849</v>
      </c>
      <c r="G6" s="25">
        <v>31875</v>
      </c>
      <c r="H6" s="25">
        <v>52222</v>
      </c>
      <c r="I6" s="25">
        <v>26034</v>
      </c>
      <c r="J6" s="25">
        <v>24298</v>
      </c>
      <c r="K6" s="25">
        <v>14355</v>
      </c>
      <c r="L6" s="25">
        <v>14595</v>
      </c>
      <c r="M6" s="25">
        <v>16251</v>
      </c>
      <c r="N6" s="13">
        <f>SUM(B6:M6)</f>
        <v>263124</v>
      </c>
    </row>
    <row r="7" spans="1:19" ht="15.5" x14ac:dyDescent="0.35">
      <c r="A7" s="9">
        <v>2017</v>
      </c>
      <c r="B7" s="26">
        <v>12944</v>
      </c>
      <c r="C7" s="25">
        <v>10263</v>
      </c>
      <c r="D7" s="42">
        <v>22393</v>
      </c>
      <c r="E7" s="25">
        <v>23894</v>
      </c>
      <c r="F7" s="25">
        <v>23393</v>
      </c>
      <c r="G7" s="25">
        <v>32057</v>
      </c>
      <c r="H7" s="25">
        <v>52243</v>
      </c>
      <c r="I7" s="25">
        <v>23549</v>
      </c>
      <c r="J7" s="25">
        <v>19045</v>
      </c>
      <c r="K7" s="25">
        <v>14190</v>
      </c>
      <c r="L7" s="27">
        <v>3044</v>
      </c>
      <c r="M7" s="27">
        <v>2059</v>
      </c>
      <c r="N7" s="13">
        <f t="shared" ref="N7:N13" si="0">SUM(B7:M7)</f>
        <v>239074</v>
      </c>
    </row>
    <row r="8" spans="1:19" ht="15.5" x14ac:dyDescent="0.35">
      <c r="A8" s="9">
        <v>2016</v>
      </c>
      <c r="B8" s="26">
        <v>21821</v>
      </c>
      <c r="C8" s="25">
        <v>11363</v>
      </c>
      <c r="D8" s="25">
        <v>12568</v>
      </c>
      <c r="E8" s="25">
        <v>17084</v>
      </c>
      <c r="F8" s="25">
        <v>27354</v>
      </c>
      <c r="G8" s="25">
        <v>28729</v>
      </c>
      <c r="H8" s="25">
        <v>49139</v>
      </c>
      <c r="I8" s="25">
        <v>24958</v>
      </c>
      <c r="J8" s="25">
        <v>18693</v>
      </c>
      <c r="K8" s="25">
        <v>10730</v>
      </c>
      <c r="L8" s="27">
        <v>7167</v>
      </c>
      <c r="M8" s="25">
        <v>13682</v>
      </c>
      <c r="N8" s="13">
        <f t="shared" si="0"/>
        <v>243288</v>
      </c>
    </row>
    <row r="9" spans="1:19" ht="15.5" x14ac:dyDescent="0.35">
      <c r="A9" s="9">
        <v>2015</v>
      </c>
      <c r="B9" s="26">
        <v>25073</v>
      </c>
      <c r="C9" s="25">
        <v>14359</v>
      </c>
      <c r="D9" s="27">
        <v>1627</v>
      </c>
      <c r="E9" s="44"/>
      <c r="F9" s="44"/>
      <c r="G9" s="44"/>
      <c r="H9" s="25">
        <v>41229</v>
      </c>
      <c r="I9" s="25">
        <v>27402</v>
      </c>
      <c r="J9" s="27">
        <v>7362</v>
      </c>
      <c r="K9" s="25">
        <v>16234</v>
      </c>
      <c r="L9" s="25">
        <v>13888</v>
      </c>
      <c r="M9" s="25">
        <v>14448</v>
      </c>
      <c r="N9" s="13">
        <f t="shared" si="0"/>
        <v>161622</v>
      </c>
    </row>
    <row r="10" spans="1:19" ht="15.5" x14ac:dyDescent="0.35">
      <c r="A10" s="9">
        <v>2014</v>
      </c>
      <c r="B10" s="26">
        <v>15380</v>
      </c>
      <c r="C10" s="27">
        <v>5695</v>
      </c>
      <c r="D10" s="25">
        <v>14244</v>
      </c>
      <c r="E10" s="25">
        <v>16363</v>
      </c>
      <c r="F10" s="25">
        <v>22565</v>
      </c>
      <c r="G10" s="25">
        <v>26964</v>
      </c>
      <c r="H10" s="25">
        <v>39476</v>
      </c>
      <c r="I10" s="25">
        <v>29090</v>
      </c>
      <c r="J10" s="25">
        <v>16322</v>
      </c>
      <c r="K10" s="25">
        <v>13218</v>
      </c>
      <c r="L10" s="25">
        <v>16294</v>
      </c>
      <c r="M10" s="25">
        <v>16298</v>
      </c>
      <c r="N10" s="13">
        <f t="shared" si="0"/>
        <v>231909</v>
      </c>
    </row>
    <row r="11" spans="1:19" ht="16" thickBot="1" x14ac:dyDescent="0.4">
      <c r="A11" s="9">
        <v>2013</v>
      </c>
      <c r="B11" s="26">
        <v>13820</v>
      </c>
      <c r="C11" s="25">
        <v>11824</v>
      </c>
      <c r="D11" s="25">
        <v>14459</v>
      </c>
      <c r="E11" s="25">
        <v>15396</v>
      </c>
      <c r="F11" s="25">
        <v>25065</v>
      </c>
      <c r="G11" s="25">
        <v>14396</v>
      </c>
      <c r="H11" s="25">
        <v>44690</v>
      </c>
      <c r="I11" s="25">
        <v>23687</v>
      </c>
      <c r="J11" s="25">
        <v>16516</v>
      </c>
      <c r="K11" s="25">
        <v>11836</v>
      </c>
      <c r="L11" s="25">
        <v>11911</v>
      </c>
      <c r="M11" s="25">
        <v>11542</v>
      </c>
      <c r="N11" s="13">
        <f t="shared" si="0"/>
        <v>215142</v>
      </c>
    </row>
    <row r="12" spans="1:19" ht="15.5" x14ac:dyDescent="0.35">
      <c r="A12" s="9">
        <v>2012</v>
      </c>
      <c r="B12" s="26">
        <v>9542</v>
      </c>
      <c r="C12" s="36">
        <v>8553</v>
      </c>
      <c r="D12" s="37">
        <v>827</v>
      </c>
      <c r="E12" s="38">
        <v>10117</v>
      </c>
      <c r="F12" s="25">
        <v>14270</v>
      </c>
      <c r="G12" s="25">
        <v>23657</v>
      </c>
      <c r="H12" s="25">
        <v>42125</v>
      </c>
      <c r="I12" s="25">
        <v>18882</v>
      </c>
      <c r="J12" s="25">
        <v>18395</v>
      </c>
      <c r="K12" s="27">
        <v>9186</v>
      </c>
      <c r="L12" s="25">
        <v>11097</v>
      </c>
      <c r="M12" s="25">
        <v>12120</v>
      </c>
      <c r="N12" s="13">
        <f t="shared" si="0"/>
        <v>178771</v>
      </c>
      <c r="R12" s="16"/>
      <c r="S12" s="17"/>
    </row>
    <row r="13" spans="1:19" ht="16" thickBot="1" x14ac:dyDescent="0.4">
      <c r="A13" s="14">
        <v>2011</v>
      </c>
      <c r="B13" s="29">
        <v>8642</v>
      </c>
      <c r="C13" s="39">
        <v>4790</v>
      </c>
      <c r="D13" s="40">
        <v>8488</v>
      </c>
      <c r="E13" s="41">
        <v>15191</v>
      </c>
      <c r="F13" s="30">
        <v>14978</v>
      </c>
      <c r="G13" s="30">
        <v>23018</v>
      </c>
      <c r="H13" s="30">
        <v>39232</v>
      </c>
      <c r="I13" s="30">
        <v>16200</v>
      </c>
      <c r="J13" s="31">
        <v>7598</v>
      </c>
      <c r="K13" s="32"/>
      <c r="L13" s="31">
        <v>7290</v>
      </c>
      <c r="M13" s="31">
        <v>6583</v>
      </c>
      <c r="N13" s="15">
        <f t="shared" si="0"/>
        <v>152010</v>
      </c>
      <c r="R13" s="16"/>
    </row>
    <row r="14" spans="1:19" x14ac:dyDescent="0.3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9" x14ac:dyDescent="0.35">
      <c r="A15" s="34" t="s">
        <v>24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9" x14ac:dyDescent="0.35">
      <c r="A16" s="10" t="s">
        <v>32</v>
      </c>
      <c r="B16" s="11" t="s">
        <v>0</v>
      </c>
      <c r="C16" s="11" t="s">
        <v>1</v>
      </c>
      <c r="D16" s="11" t="s">
        <v>2</v>
      </c>
      <c r="E16" s="11" t="s">
        <v>3</v>
      </c>
      <c r="F16" s="11" t="s">
        <v>4</v>
      </c>
      <c r="G16" s="11" t="s">
        <v>5</v>
      </c>
      <c r="H16" s="11" t="s">
        <v>6</v>
      </c>
      <c r="I16" s="11" t="s">
        <v>7</v>
      </c>
      <c r="J16" s="11" t="s">
        <v>8</v>
      </c>
      <c r="K16" s="11" t="s">
        <v>9</v>
      </c>
      <c r="L16" s="11" t="s">
        <v>10</v>
      </c>
      <c r="M16" s="11" t="s">
        <v>11</v>
      </c>
      <c r="N16" s="12" t="s">
        <v>12</v>
      </c>
    </row>
    <row r="17" spans="1:28" x14ac:dyDescent="0.35">
      <c r="A17" s="9">
        <v>2021</v>
      </c>
      <c r="B17" s="25">
        <v>14139</v>
      </c>
      <c r="C17" s="25">
        <v>10826</v>
      </c>
      <c r="D17" s="20"/>
      <c r="E17" s="25">
        <v>18183</v>
      </c>
      <c r="F17" s="20"/>
      <c r="G17" s="25">
        <v>29559</v>
      </c>
      <c r="H17" s="25">
        <v>36466</v>
      </c>
      <c r="I17" s="25">
        <v>49032</v>
      </c>
      <c r="J17" s="25">
        <v>34652</v>
      </c>
      <c r="K17" s="25">
        <v>24506</v>
      </c>
      <c r="L17" s="20"/>
      <c r="M17" s="20"/>
      <c r="N17" s="13">
        <f t="shared" ref="N17:N19" si="1">SUM(B17:M17)</f>
        <v>217363</v>
      </c>
      <c r="R17" s="24" t="s">
        <v>21</v>
      </c>
      <c r="S17" s="24"/>
      <c r="T17" s="19" t="s">
        <v>19</v>
      </c>
      <c r="U17" s="8">
        <v>-1588032.77</v>
      </c>
      <c r="Y17" s="24" t="s">
        <v>22</v>
      </c>
      <c r="Z17" s="24"/>
      <c r="AA17" s="19" t="s">
        <v>19</v>
      </c>
      <c r="AB17" s="18">
        <v>-1429428.23</v>
      </c>
    </row>
    <row r="18" spans="1:28" x14ac:dyDescent="0.35">
      <c r="A18" s="9">
        <v>2020</v>
      </c>
      <c r="B18" s="25">
        <v>18150</v>
      </c>
      <c r="C18" s="25">
        <v>12085</v>
      </c>
      <c r="D18" s="20"/>
      <c r="E18" s="20"/>
      <c r="F18" s="20"/>
      <c r="G18" s="20"/>
      <c r="H18" s="20"/>
      <c r="I18" s="20"/>
      <c r="J18" s="25">
        <v>21110</v>
      </c>
      <c r="K18" s="25">
        <v>22037</v>
      </c>
      <c r="L18" s="25">
        <v>15000</v>
      </c>
      <c r="M18" s="25">
        <v>21000</v>
      </c>
      <c r="N18" s="13">
        <f t="shared" si="1"/>
        <v>109382</v>
      </c>
      <c r="O18" s="43"/>
      <c r="P18" s="43"/>
      <c r="R18" s="20" t="s">
        <v>17</v>
      </c>
      <c r="S18" s="20" t="s">
        <v>18</v>
      </c>
      <c r="T18" s="19" t="s">
        <v>20</v>
      </c>
      <c r="U18">
        <v>797.33</v>
      </c>
      <c r="Y18" s="20" t="s">
        <v>17</v>
      </c>
      <c r="Z18" s="20" t="s">
        <v>18</v>
      </c>
      <c r="AA18" s="19" t="s">
        <v>20</v>
      </c>
      <c r="AB18">
        <v>715.8</v>
      </c>
    </row>
    <row r="19" spans="1:28" x14ac:dyDescent="0.35">
      <c r="A19" s="9">
        <v>2019</v>
      </c>
      <c r="B19" s="25">
        <v>16664</v>
      </c>
      <c r="C19" s="28">
        <f>AVERAGE(C20,C18)</f>
        <v>11408</v>
      </c>
      <c r="D19" s="25">
        <v>14976</v>
      </c>
      <c r="E19" s="25">
        <v>16983</v>
      </c>
      <c r="F19" s="25">
        <v>22690</v>
      </c>
      <c r="G19" s="25">
        <v>30273</v>
      </c>
      <c r="H19" s="25">
        <v>53044</v>
      </c>
      <c r="I19" s="25">
        <v>29875</v>
      </c>
      <c r="J19" s="25">
        <v>21068</v>
      </c>
      <c r="K19" s="25">
        <v>16346</v>
      </c>
      <c r="L19" s="25">
        <v>14069</v>
      </c>
      <c r="M19" s="25">
        <v>20721</v>
      </c>
      <c r="N19" s="13">
        <f t="shared" si="1"/>
        <v>268117</v>
      </c>
      <c r="O19" s="43">
        <f t="shared" ref="O19:O25" si="2">N19-N20</f>
        <v>4993</v>
      </c>
      <c r="P19" s="46">
        <f t="shared" ref="P19:P25" si="3">O19/N20</f>
        <v>1.8975844088718628E-2</v>
      </c>
      <c r="Q19" s="17"/>
      <c r="R19" s="20">
        <v>2018</v>
      </c>
      <c r="S19" s="21">
        <f t="shared" ref="S19:S26" si="4">$U$17+$U$18*R19</f>
        <v>20979.170000000158</v>
      </c>
      <c r="Y19" s="20">
        <v>2018</v>
      </c>
      <c r="Z19" s="21">
        <f>$AB$17+$AB$18*Y19</f>
        <v>15056.169999999925</v>
      </c>
    </row>
    <row r="20" spans="1:28" x14ac:dyDescent="0.35">
      <c r="A20" s="9">
        <v>2018</v>
      </c>
      <c r="B20" s="25">
        <v>16825</v>
      </c>
      <c r="C20" s="25">
        <v>10731</v>
      </c>
      <c r="D20" s="25">
        <v>14564</v>
      </c>
      <c r="E20" s="25">
        <v>19525</v>
      </c>
      <c r="F20" s="25">
        <v>21849</v>
      </c>
      <c r="G20" s="25">
        <v>31875</v>
      </c>
      <c r="H20" s="25">
        <v>52222</v>
      </c>
      <c r="I20" s="25">
        <v>26034</v>
      </c>
      <c r="J20" s="25">
        <v>24298</v>
      </c>
      <c r="K20" s="25">
        <v>14355</v>
      </c>
      <c r="L20" s="25">
        <v>14595</v>
      </c>
      <c r="M20" s="25">
        <v>16251</v>
      </c>
      <c r="N20" s="13">
        <f>SUM(B20:M20)</f>
        <v>263124</v>
      </c>
      <c r="O20" s="43">
        <f t="shared" si="2"/>
        <v>9283.9313166310021</v>
      </c>
      <c r="P20" s="46">
        <f t="shared" si="3"/>
        <v>3.6573939507601717E-2</v>
      </c>
      <c r="Q20" s="17"/>
      <c r="R20" s="20">
        <v>2017</v>
      </c>
      <c r="S20" s="21">
        <f t="shared" si="4"/>
        <v>20181.840000000084</v>
      </c>
      <c r="Y20" s="20">
        <v>2017</v>
      </c>
      <c r="Z20" s="21">
        <f t="shared" ref="Z20:Z26" si="5">$AB$17+$AB$18*Y20</f>
        <v>14340.369999999879</v>
      </c>
    </row>
    <row r="21" spans="1:28" x14ac:dyDescent="0.35">
      <c r="A21" s="9">
        <v>2017</v>
      </c>
      <c r="B21" s="25">
        <v>12944</v>
      </c>
      <c r="C21" s="25">
        <v>10263</v>
      </c>
      <c r="D21" s="33">
        <v>12393</v>
      </c>
      <c r="E21" s="25">
        <v>23894</v>
      </c>
      <c r="F21" s="25">
        <v>23393</v>
      </c>
      <c r="G21" s="25">
        <v>32057</v>
      </c>
      <c r="H21" s="25">
        <v>52243</v>
      </c>
      <c r="I21" s="25">
        <v>23549</v>
      </c>
      <c r="J21" s="25">
        <v>19045</v>
      </c>
      <c r="K21" s="25">
        <v>14190</v>
      </c>
      <c r="L21" s="33">
        <f>K21/L29</f>
        <v>14902.568683369009</v>
      </c>
      <c r="M21" s="28">
        <f>AVERAGE(M20,M22)</f>
        <v>14966.5</v>
      </c>
      <c r="N21" s="13">
        <f t="shared" ref="N21:N26" si="6">SUM(B21:M21)</f>
        <v>253840.068683369</v>
      </c>
      <c r="O21" s="43">
        <f t="shared" si="2"/>
        <v>6450.2482483760978</v>
      </c>
      <c r="P21" s="46">
        <f t="shared" si="3"/>
        <v>2.6073216096905015E-2</v>
      </c>
      <c r="Q21" s="17"/>
      <c r="R21" s="20">
        <v>2016</v>
      </c>
      <c r="S21" s="21">
        <f t="shared" si="4"/>
        <v>19384.510000000009</v>
      </c>
      <c r="X21" s="6"/>
      <c r="Y21" s="20">
        <v>2016</v>
      </c>
      <c r="Z21" s="21">
        <f t="shared" si="5"/>
        <v>13624.569999999832</v>
      </c>
    </row>
    <row r="22" spans="1:28" x14ac:dyDescent="0.35">
      <c r="A22" s="9">
        <v>2016</v>
      </c>
      <c r="B22" s="25">
        <v>21821</v>
      </c>
      <c r="C22" s="25">
        <v>11363</v>
      </c>
      <c r="D22" s="25">
        <v>12568</v>
      </c>
      <c r="E22" s="25">
        <v>17084</v>
      </c>
      <c r="F22" s="25">
        <v>27354</v>
      </c>
      <c r="G22" s="25">
        <v>28729</v>
      </c>
      <c r="H22" s="25">
        <v>49139</v>
      </c>
      <c r="I22" s="25">
        <v>24958</v>
      </c>
      <c r="J22" s="25">
        <v>18693</v>
      </c>
      <c r="K22" s="25">
        <v>10730</v>
      </c>
      <c r="L22" s="33">
        <f>K22/L29</f>
        <v>11268.820434992915</v>
      </c>
      <c r="M22" s="25">
        <v>13682</v>
      </c>
      <c r="N22" s="13">
        <f t="shared" si="6"/>
        <v>247389.8204349929</v>
      </c>
      <c r="O22" s="43">
        <f t="shared" si="2"/>
        <v>-5686.1795650070999</v>
      </c>
      <c r="P22" s="46">
        <f t="shared" si="3"/>
        <v>-2.2468268682163065E-2</v>
      </c>
      <c r="Q22" s="17"/>
      <c r="R22" s="20">
        <v>2015</v>
      </c>
      <c r="S22" s="21">
        <f t="shared" si="4"/>
        <v>18587.180000000168</v>
      </c>
      <c r="Y22" s="20">
        <v>2015</v>
      </c>
      <c r="Z22" s="21">
        <f t="shared" si="5"/>
        <v>12908.770000000019</v>
      </c>
    </row>
    <row r="23" spans="1:28" x14ac:dyDescent="0.35">
      <c r="A23" s="9">
        <v>2015</v>
      </c>
      <c r="B23" s="25">
        <v>25073</v>
      </c>
      <c r="C23" s="25">
        <v>14359</v>
      </c>
      <c r="D23" s="28">
        <f>AVERAGE(D22,D24)</f>
        <v>13406</v>
      </c>
      <c r="E23" s="28">
        <f>AVERAGE(E22,E24)</f>
        <v>16723.5</v>
      </c>
      <c r="F23" s="28">
        <f>AVERAGE(F22,F24)</f>
        <v>24959.5</v>
      </c>
      <c r="G23" s="28">
        <f>AVERAGE(G22,G24)</f>
        <v>27846.5</v>
      </c>
      <c r="H23" s="25">
        <v>41229</v>
      </c>
      <c r="I23" s="25">
        <v>27402</v>
      </c>
      <c r="J23" s="28">
        <f>AVERAGE(J22,J24)</f>
        <v>17507.5</v>
      </c>
      <c r="K23" s="25">
        <v>16234</v>
      </c>
      <c r="L23" s="25">
        <v>13888</v>
      </c>
      <c r="M23" s="25">
        <v>14448</v>
      </c>
      <c r="N23" s="13">
        <f>SUM(B23:M23)</f>
        <v>253076</v>
      </c>
      <c r="O23" s="43">
        <f t="shared" si="2"/>
        <v>13770.5</v>
      </c>
      <c r="P23" s="46">
        <f t="shared" si="3"/>
        <v>5.7543600126198517E-2</v>
      </c>
      <c r="Q23" s="17"/>
      <c r="R23" s="20">
        <v>2014</v>
      </c>
      <c r="S23" s="21">
        <f t="shared" si="4"/>
        <v>17789.850000000093</v>
      </c>
      <c r="Y23" s="20">
        <v>2014</v>
      </c>
      <c r="Z23" s="21">
        <f t="shared" si="5"/>
        <v>12192.969999999972</v>
      </c>
    </row>
    <row r="24" spans="1:28" x14ac:dyDescent="0.35">
      <c r="A24" s="9">
        <v>2014</v>
      </c>
      <c r="B24" s="25">
        <v>15380</v>
      </c>
      <c r="C24" s="28">
        <f>AVERAGE(C23,C25)</f>
        <v>13091.5</v>
      </c>
      <c r="D24" s="25">
        <v>14244</v>
      </c>
      <c r="E24" s="25">
        <v>16363</v>
      </c>
      <c r="F24" s="25">
        <v>22565</v>
      </c>
      <c r="G24" s="25">
        <v>26964</v>
      </c>
      <c r="H24" s="25">
        <v>39476</v>
      </c>
      <c r="I24" s="25">
        <v>29090</v>
      </c>
      <c r="J24" s="25">
        <v>16322</v>
      </c>
      <c r="K24" s="25">
        <v>13218</v>
      </c>
      <c r="L24" s="25">
        <v>16294</v>
      </c>
      <c r="M24" s="25">
        <v>16298</v>
      </c>
      <c r="N24" s="13">
        <f t="shared" si="6"/>
        <v>239305.5</v>
      </c>
      <c r="O24" s="43">
        <f t="shared" si="2"/>
        <v>24163.5</v>
      </c>
      <c r="P24" s="46">
        <f t="shared" si="3"/>
        <v>0.11231419248682266</v>
      </c>
      <c r="Q24" s="17"/>
      <c r="R24" s="20">
        <v>2013</v>
      </c>
      <c r="S24" s="21">
        <f t="shared" si="4"/>
        <v>16992.520000000019</v>
      </c>
      <c r="Y24" s="20">
        <v>2013</v>
      </c>
      <c r="Z24" s="21">
        <f t="shared" si="5"/>
        <v>11477.169999999925</v>
      </c>
    </row>
    <row r="25" spans="1:28" ht="15" thickBot="1" x14ac:dyDescent="0.4">
      <c r="A25" s="9">
        <v>2013</v>
      </c>
      <c r="B25" s="25">
        <v>13820</v>
      </c>
      <c r="C25" s="25">
        <v>11824</v>
      </c>
      <c r="D25" s="25">
        <v>14459</v>
      </c>
      <c r="E25" s="25">
        <v>15396</v>
      </c>
      <c r="F25" s="25">
        <v>25065</v>
      </c>
      <c r="G25" s="25">
        <v>14396</v>
      </c>
      <c r="H25" s="25">
        <v>44690</v>
      </c>
      <c r="I25" s="25">
        <v>23687</v>
      </c>
      <c r="J25" s="25">
        <v>16516</v>
      </c>
      <c r="K25" s="25">
        <v>11836</v>
      </c>
      <c r="L25" s="25">
        <v>11911</v>
      </c>
      <c r="M25" s="25">
        <v>11542</v>
      </c>
      <c r="N25" s="13">
        <f t="shared" si="6"/>
        <v>215142</v>
      </c>
      <c r="O25" s="43">
        <f t="shared" si="2"/>
        <v>23713.996249795571</v>
      </c>
      <c r="P25" s="46">
        <f t="shared" si="3"/>
        <v>0.12387945224952619</v>
      </c>
      <c r="Q25" s="17"/>
      <c r="R25" s="20">
        <v>2012</v>
      </c>
      <c r="S25" s="21">
        <f t="shared" si="4"/>
        <v>16195.190000000177</v>
      </c>
      <c r="Y25" s="20">
        <v>2012</v>
      </c>
      <c r="Z25" s="21">
        <f t="shared" si="5"/>
        <v>10761.369999999879</v>
      </c>
    </row>
    <row r="26" spans="1:28" x14ac:dyDescent="0.35">
      <c r="A26" s="9">
        <v>2012</v>
      </c>
      <c r="B26" s="25">
        <v>9542</v>
      </c>
      <c r="C26" s="36">
        <v>8553</v>
      </c>
      <c r="D26" s="52">
        <f>AVERAGE(D25,D27)</f>
        <v>11729.218750204504</v>
      </c>
      <c r="E26" s="38">
        <v>10117</v>
      </c>
      <c r="F26" s="25">
        <v>14270</v>
      </c>
      <c r="G26" s="25">
        <v>23657</v>
      </c>
      <c r="H26" s="25">
        <v>42125</v>
      </c>
      <c r="I26" s="25">
        <v>18882</v>
      </c>
      <c r="J26" s="25">
        <v>18395</v>
      </c>
      <c r="K26" s="28">
        <f>AVERAGE(K25,K27)</f>
        <v>10940.784999999916</v>
      </c>
      <c r="L26" s="25">
        <v>11097</v>
      </c>
      <c r="M26" s="25">
        <v>12120</v>
      </c>
      <c r="N26" s="13">
        <f t="shared" si="6"/>
        <v>191428.00375020443</v>
      </c>
      <c r="O26" s="43">
        <f>N26-N27</f>
        <v>12452.103750204522</v>
      </c>
      <c r="P26" s="46">
        <f>O26/N27</f>
        <v>6.9574192671776086E-2</v>
      </c>
      <c r="Q26" s="17"/>
      <c r="R26" s="22">
        <v>2011</v>
      </c>
      <c r="S26" s="23">
        <f>$U$17+$U$18*R26</f>
        <v>15397.860000000102</v>
      </c>
      <c r="Y26" s="22">
        <v>2011</v>
      </c>
      <c r="Z26" s="23">
        <f t="shared" si="5"/>
        <v>10045.569999999832</v>
      </c>
    </row>
    <row r="27" spans="1:28" ht="15" thickBot="1" x14ac:dyDescent="0.4">
      <c r="A27" s="14">
        <v>2011</v>
      </c>
      <c r="B27" s="30">
        <v>8642</v>
      </c>
      <c r="C27" s="53">
        <f>SUM($C$13:$E$13)*C30</f>
        <v>7735.3150845172731</v>
      </c>
      <c r="D27" s="54">
        <f>SUM($C$13:$E$13)*D30</f>
        <v>8999.437500409007</v>
      </c>
      <c r="E27" s="55">
        <f>SUM($C$13:$E$13)*E30</f>
        <v>11734.24741507372</v>
      </c>
      <c r="F27" s="30">
        <v>14978</v>
      </c>
      <c r="G27" s="30">
        <v>23018</v>
      </c>
      <c r="H27" s="30">
        <v>39232</v>
      </c>
      <c r="I27" s="30">
        <v>16200</v>
      </c>
      <c r="J27" s="51">
        <f>S26</f>
        <v>15397.860000000102</v>
      </c>
      <c r="K27" s="51">
        <f>Z26</f>
        <v>10045.569999999832</v>
      </c>
      <c r="L27" s="51">
        <f>S53</f>
        <v>12211.540000000037</v>
      </c>
      <c r="M27" s="51">
        <f>Z53</f>
        <v>10781.929999999935</v>
      </c>
      <c r="N27" s="15">
        <f>SUM(B27:M27)</f>
        <v>178975.89999999991</v>
      </c>
    </row>
    <row r="28" spans="1:28" x14ac:dyDescent="0.35">
      <c r="O28" s="35" t="s">
        <v>31</v>
      </c>
      <c r="P28" s="48">
        <f>SUM(O19:O26)/SUM(N20:N27)</f>
        <v>4.8386259115295531E-2</v>
      </c>
    </row>
    <row r="29" spans="1:28" x14ac:dyDescent="0.35">
      <c r="C29" s="47" t="s">
        <v>33</v>
      </c>
      <c r="D29" s="47"/>
      <c r="E29" s="47"/>
      <c r="G29" s="63" t="s">
        <v>29</v>
      </c>
      <c r="H29" s="63"/>
      <c r="I29" s="63"/>
      <c r="J29" s="16">
        <f>SUM(C26:E26)</f>
        <v>30399.218750204505</v>
      </c>
      <c r="L29">
        <f>SUM(K23:K27)/SUM(L23:L27)</f>
        <v>0.95218484151901794</v>
      </c>
    </row>
    <row r="30" spans="1:28" x14ac:dyDescent="0.35">
      <c r="C30" s="47">
        <f>SUM(C19:C25)/SUM($C$19:$E$25)</f>
        <v>0.27171010869778611</v>
      </c>
      <c r="D30" s="47">
        <f>SUM(D19:D25)/SUM($C$19:$E$25)</f>
        <v>0.3161135796975309</v>
      </c>
      <c r="E30" s="47">
        <f>SUM(E19:E25)/SUM($C$19:$E$25)</f>
        <v>0.41217631160468299</v>
      </c>
      <c r="G30" s="63" t="s">
        <v>30</v>
      </c>
      <c r="H30" s="63"/>
      <c r="I30" s="63"/>
      <c r="J30" s="16">
        <f>SUM(C27:E27)</f>
        <v>28469</v>
      </c>
      <c r="L30">
        <f>SUM(K23:K27,K19:K20)/SUM(L23:L27,L19:L20)</f>
        <v>0.98841036792006631</v>
      </c>
    </row>
    <row r="31" spans="1:28" x14ac:dyDescent="0.35">
      <c r="I31" s="49" t="s">
        <v>27</v>
      </c>
      <c r="J31" s="50">
        <f>J29/J30-1</f>
        <v>6.7800721844971878E-2</v>
      </c>
      <c r="L31" s="25"/>
    </row>
    <row r="32" spans="1:28" x14ac:dyDescent="0.35">
      <c r="L32" s="25">
        <v>11268.820434992915</v>
      </c>
    </row>
    <row r="33" spans="12:28" x14ac:dyDescent="0.35">
      <c r="L33" s="25">
        <f>AVERAGE(L23:L24,L19:L20)</f>
        <v>14711.5</v>
      </c>
    </row>
    <row r="34" spans="12:28" x14ac:dyDescent="0.35">
      <c r="L34" s="25"/>
    </row>
    <row r="35" spans="12:28" x14ac:dyDescent="0.35">
      <c r="L35" s="25"/>
    </row>
    <row r="44" spans="12:28" x14ac:dyDescent="0.35">
      <c r="R44" s="24" t="s">
        <v>26</v>
      </c>
      <c r="S44" s="24"/>
      <c r="T44" s="19" t="s">
        <v>19</v>
      </c>
      <c r="U44" s="18">
        <v>-624370.51</v>
      </c>
      <c r="Y44" s="24" t="s">
        <v>25</v>
      </c>
      <c r="Z44" s="24"/>
      <c r="AA44" s="19" t="s">
        <v>19</v>
      </c>
      <c r="AB44" s="18">
        <v>-1880322.25</v>
      </c>
    </row>
    <row r="45" spans="12:28" x14ac:dyDescent="0.35">
      <c r="R45" s="20" t="s">
        <v>17</v>
      </c>
      <c r="S45" s="20" t="s">
        <v>18</v>
      </c>
      <c r="T45" s="19" t="s">
        <v>20</v>
      </c>
      <c r="U45">
        <v>316.55</v>
      </c>
      <c r="Y45" s="20" t="s">
        <v>17</v>
      </c>
      <c r="Z45" s="20" t="s">
        <v>18</v>
      </c>
      <c r="AA45" s="19" t="s">
        <v>20</v>
      </c>
      <c r="AB45">
        <v>940.38</v>
      </c>
    </row>
    <row r="46" spans="12:28" x14ac:dyDescent="0.35">
      <c r="R46" s="20">
        <v>2018</v>
      </c>
      <c r="S46" s="21">
        <f t="shared" ref="S46:S53" si="7">$U$44+$U$45*R46</f>
        <v>14427.390000000014</v>
      </c>
      <c r="Y46" s="20">
        <v>2018</v>
      </c>
      <c r="Z46" s="21">
        <f>$AB$44+$AB$45*Y46</f>
        <v>17364.590000000084</v>
      </c>
    </row>
    <row r="47" spans="12:28" x14ac:dyDescent="0.35">
      <c r="R47" s="20">
        <v>2017</v>
      </c>
      <c r="S47" s="21">
        <f t="shared" si="7"/>
        <v>14110.839999999967</v>
      </c>
      <c r="Y47" s="20">
        <v>2017</v>
      </c>
      <c r="Z47" s="21">
        <f t="shared" ref="Z47:Z53" si="8">$AB$44+$AB$45*Y47</f>
        <v>16424.209999999963</v>
      </c>
    </row>
    <row r="48" spans="12:28" x14ac:dyDescent="0.35">
      <c r="R48" s="20">
        <v>2016</v>
      </c>
      <c r="S48" s="21">
        <f t="shared" si="7"/>
        <v>13794.290000000037</v>
      </c>
      <c r="Y48" s="20">
        <v>2016</v>
      </c>
      <c r="Z48" s="21">
        <f t="shared" si="8"/>
        <v>15483.830000000075</v>
      </c>
    </row>
    <row r="49" spans="18:26" x14ac:dyDescent="0.35">
      <c r="R49" s="20">
        <v>2015</v>
      </c>
      <c r="S49" s="21">
        <f t="shared" si="7"/>
        <v>13477.739999999991</v>
      </c>
      <c r="Y49" s="20">
        <v>2015</v>
      </c>
      <c r="Z49" s="21">
        <f t="shared" si="8"/>
        <v>14543.449999999953</v>
      </c>
    </row>
    <row r="50" spans="18:26" x14ac:dyDescent="0.35">
      <c r="R50" s="20">
        <v>2014</v>
      </c>
      <c r="S50" s="21">
        <f t="shared" si="7"/>
        <v>13161.190000000061</v>
      </c>
      <c r="Y50" s="20">
        <v>2014</v>
      </c>
      <c r="Z50" s="21">
        <f t="shared" si="8"/>
        <v>13603.070000000065</v>
      </c>
    </row>
    <row r="51" spans="18:26" x14ac:dyDescent="0.35">
      <c r="R51" s="20">
        <v>2013</v>
      </c>
      <c r="S51" s="21">
        <f t="shared" si="7"/>
        <v>12844.640000000014</v>
      </c>
      <c r="Y51" s="20">
        <v>2013</v>
      </c>
      <c r="Z51" s="21">
        <f t="shared" si="8"/>
        <v>12662.689999999944</v>
      </c>
    </row>
    <row r="52" spans="18:26" x14ac:dyDescent="0.35">
      <c r="R52" s="20">
        <v>2012</v>
      </c>
      <c r="S52" s="21">
        <f t="shared" si="7"/>
        <v>12528.089999999967</v>
      </c>
      <c r="Y52" s="20">
        <v>2012</v>
      </c>
      <c r="Z52" s="21">
        <f t="shared" si="8"/>
        <v>11722.310000000056</v>
      </c>
    </row>
    <row r="53" spans="18:26" x14ac:dyDescent="0.35">
      <c r="R53" s="22">
        <v>2011</v>
      </c>
      <c r="S53" s="23">
        <f t="shared" si="7"/>
        <v>12211.540000000037</v>
      </c>
      <c r="Y53" s="22">
        <v>2011</v>
      </c>
      <c r="Z53" s="23">
        <f t="shared" si="8"/>
        <v>10781.929999999935</v>
      </c>
    </row>
  </sheetData>
  <scenarios current="0" show="0">
    <scenario name="Set" locked="1" count="14" user="Julio" comment="Criado por Julio em 30/12/2023">
      <inputCells r="A20" val="2018"/>
      <inputCells r="A21" val="2017"/>
      <inputCells r="A22" val="2016"/>
      <inputCells r="A23" val="2015"/>
      <inputCells r="A24" val="2014"/>
      <inputCells r="A25" val="2013"/>
      <inputCells r="A26" val="2012"/>
      <inputCells r="J20" val="24298" numFmtId="3"/>
      <inputCells r="J21" val="19045" numFmtId="3"/>
      <inputCells r="J22" val="18693" numFmtId="3"/>
      <inputCells r="J23" val="17507,5"/>
      <inputCells r="J24" val="16322" numFmtId="3"/>
      <inputCells r="J25" val="16516" numFmtId="3"/>
      <inputCells r="J26" val="18395" numFmtId="3"/>
    </scenario>
  </scenarios>
  <mergeCells count="2">
    <mergeCell ref="G29:I29"/>
    <mergeCell ref="G30:I30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N20:N22 N24:N26 N17:N18 N7:N13 N3:N6 L3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1A67-2716-4BD3-B7C6-6FA3EEFCF7F9}">
  <dimension ref="A1:F121"/>
  <sheetViews>
    <sheetView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9" bestFit="1" customWidth="1"/>
    <col min="3" max="3" width="10.90625" bestFit="1" customWidth="1"/>
    <col min="4" max="4" width="13.453125" bestFit="1" customWidth="1"/>
    <col min="6" max="6" width="13.81640625" customWidth="1"/>
  </cols>
  <sheetData>
    <row r="1" spans="1:6" x14ac:dyDescent="0.35">
      <c r="A1" t="s">
        <v>13</v>
      </c>
      <c r="B1" t="s">
        <v>16</v>
      </c>
      <c r="C1" t="s">
        <v>15</v>
      </c>
      <c r="D1" t="s">
        <v>14</v>
      </c>
      <c r="F1" s="45" t="s">
        <v>28</v>
      </c>
    </row>
    <row r="2" spans="1:6" x14ac:dyDescent="0.35">
      <c r="A2" s="1">
        <v>40544</v>
      </c>
      <c r="B2" s="3">
        <v>8642</v>
      </c>
      <c r="C2" s="7">
        <v>0.21</v>
      </c>
      <c r="D2" s="6">
        <f t="shared" ref="D2:D7" si="0">B2/C2</f>
        <v>41152.380952380954</v>
      </c>
      <c r="F2" s="3" cm="1">
        <f t="array" ref="F2:F13">TRANSPOSE('Pre-Processamento'!B27:M27)</f>
        <v>8642</v>
      </c>
    </row>
    <row r="3" spans="1:6" x14ac:dyDescent="0.35">
      <c r="A3" s="1">
        <v>40575</v>
      </c>
      <c r="B3" s="3">
        <v>4790</v>
      </c>
      <c r="C3" s="7">
        <v>0.19</v>
      </c>
      <c r="D3" s="6">
        <f t="shared" si="0"/>
        <v>25210.526315789473</v>
      </c>
      <c r="F3" s="3">
        <v>7735.3150845172731</v>
      </c>
    </row>
    <row r="4" spans="1:6" x14ac:dyDescent="0.35">
      <c r="A4" s="1">
        <v>40603</v>
      </c>
      <c r="B4" s="3">
        <v>8488</v>
      </c>
      <c r="C4" s="7">
        <v>0.19</v>
      </c>
      <c r="D4" s="6">
        <f t="shared" si="0"/>
        <v>44673.684210526313</v>
      </c>
      <c r="F4" s="3">
        <v>8999.437500409007</v>
      </c>
    </row>
    <row r="5" spans="1:6" x14ac:dyDescent="0.35">
      <c r="A5" s="1">
        <v>40634</v>
      </c>
      <c r="B5" s="3">
        <v>15191</v>
      </c>
      <c r="C5" s="7">
        <v>0.2</v>
      </c>
      <c r="D5" s="6">
        <f t="shared" si="0"/>
        <v>75955</v>
      </c>
      <c r="F5" s="3">
        <v>11734.24741507372</v>
      </c>
    </row>
    <row r="6" spans="1:6" x14ac:dyDescent="0.35">
      <c r="A6" s="1">
        <v>40664</v>
      </c>
      <c r="B6" s="3">
        <v>14978</v>
      </c>
      <c r="C6" s="7">
        <v>0.21</v>
      </c>
      <c r="D6" s="6">
        <f t="shared" si="0"/>
        <v>71323.809523809527</v>
      </c>
      <c r="F6" s="3">
        <v>14978</v>
      </c>
    </row>
    <row r="7" spans="1:6" x14ac:dyDescent="0.35">
      <c r="A7" s="1">
        <v>40695</v>
      </c>
      <c r="B7" s="3">
        <v>23018</v>
      </c>
      <c r="C7" s="7">
        <v>0.2</v>
      </c>
      <c r="D7" s="6">
        <f t="shared" si="0"/>
        <v>115090</v>
      </c>
      <c r="F7" s="3">
        <v>23018</v>
      </c>
    </row>
    <row r="8" spans="1:6" x14ac:dyDescent="0.35">
      <c r="A8" s="1">
        <v>40725</v>
      </c>
      <c r="B8" s="3">
        <v>39232</v>
      </c>
      <c r="C8" s="7">
        <v>0.19</v>
      </c>
      <c r="D8" s="6">
        <f t="shared" ref="D8:D66" si="1">B8/C8</f>
        <v>206484.21052631579</v>
      </c>
      <c r="F8" s="3">
        <v>39232</v>
      </c>
    </row>
    <row r="9" spans="1:6" x14ac:dyDescent="0.35">
      <c r="A9" s="1">
        <v>40756</v>
      </c>
      <c r="B9" s="3">
        <v>16200</v>
      </c>
      <c r="C9" s="7">
        <v>0.21</v>
      </c>
      <c r="D9" s="6">
        <f t="shared" si="1"/>
        <v>77142.857142857145</v>
      </c>
      <c r="F9" s="3">
        <v>16200</v>
      </c>
    </row>
    <row r="10" spans="1:6" x14ac:dyDescent="0.35">
      <c r="A10" s="1">
        <v>40787</v>
      </c>
      <c r="B10" s="3">
        <v>7598</v>
      </c>
      <c r="C10" s="7">
        <v>0.26</v>
      </c>
      <c r="D10" s="6">
        <f t="shared" si="1"/>
        <v>29223.076923076922</v>
      </c>
      <c r="F10" s="3">
        <v>15397.860000000102</v>
      </c>
    </row>
    <row r="11" spans="1:6" x14ac:dyDescent="0.35">
      <c r="A11" s="1">
        <v>40817</v>
      </c>
      <c r="B11" s="4">
        <v>7748</v>
      </c>
      <c r="C11" s="7">
        <v>0.25</v>
      </c>
      <c r="D11" s="6">
        <f t="shared" si="1"/>
        <v>30992</v>
      </c>
      <c r="F11" s="3">
        <v>10045.569999999832</v>
      </c>
    </row>
    <row r="12" spans="1:6" x14ac:dyDescent="0.35">
      <c r="A12" s="1">
        <v>40848</v>
      </c>
      <c r="B12" s="3">
        <v>7290</v>
      </c>
      <c r="C12" s="7">
        <v>0.21</v>
      </c>
      <c r="D12" s="6">
        <f t="shared" si="1"/>
        <v>34714.285714285717</v>
      </c>
      <c r="F12" s="3">
        <v>12211.540000000037</v>
      </c>
    </row>
    <row r="13" spans="1:6" x14ac:dyDescent="0.35">
      <c r="A13" s="1">
        <v>40878</v>
      </c>
      <c r="B13" s="3">
        <v>6583</v>
      </c>
      <c r="C13" s="7">
        <v>0.2</v>
      </c>
      <c r="D13" s="6">
        <f t="shared" si="1"/>
        <v>32915</v>
      </c>
      <c r="F13" s="3">
        <v>10781.929999999935</v>
      </c>
    </row>
    <row r="14" spans="1:6" ht="15.5" x14ac:dyDescent="0.35">
      <c r="A14" s="1">
        <v>40909</v>
      </c>
      <c r="B14" s="2">
        <v>9542</v>
      </c>
      <c r="C14" s="7">
        <v>0.21</v>
      </c>
      <c r="D14" s="6">
        <f t="shared" si="1"/>
        <v>45438.095238095237</v>
      </c>
      <c r="F14" s="3" cm="1">
        <f t="array" ref="F14:F25">TRANSPOSE('Pre-Processamento'!B26:M26)</f>
        <v>9542</v>
      </c>
    </row>
    <row r="15" spans="1:6" x14ac:dyDescent="0.35">
      <c r="A15" s="1">
        <v>40940</v>
      </c>
      <c r="B15" s="3">
        <v>8553</v>
      </c>
      <c r="C15" s="7">
        <v>0.19</v>
      </c>
      <c r="D15" s="6">
        <f t="shared" si="1"/>
        <v>45015.789473684214</v>
      </c>
      <c r="F15" s="3">
        <v>8553</v>
      </c>
    </row>
    <row r="16" spans="1:6" x14ac:dyDescent="0.35">
      <c r="A16" s="1">
        <v>40969</v>
      </c>
      <c r="B16" s="5">
        <v>11473.5</v>
      </c>
      <c r="C16" s="7">
        <v>0.19</v>
      </c>
      <c r="D16" s="6">
        <f t="shared" si="1"/>
        <v>60386.84210526316</v>
      </c>
      <c r="F16" s="3">
        <v>11729.218750204504</v>
      </c>
    </row>
    <row r="17" spans="1:6" x14ac:dyDescent="0.35">
      <c r="A17" s="1">
        <v>41000</v>
      </c>
      <c r="B17" s="3">
        <v>10117</v>
      </c>
      <c r="C17" s="7">
        <v>0.2</v>
      </c>
      <c r="D17" s="6">
        <f t="shared" si="1"/>
        <v>50585</v>
      </c>
      <c r="F17" s="3">
        <v>10117</v>
      </c>
    </row>
    <row r="18" spans="1:6" x14ac:dyDescent="0.35">
      <c r="A18" s="1">
        <v>41030</v>
      </c>
      <c r="B18" s="3">
        <v>14270</v>
      </c>
      <c r="C18" s="7">
        <v>0.21</v>
      </c>
      <c r="D18" s="6">
        <f t="shared" si="1"/>
        <v>67952.380952380961</v>
      </c>
      <c r="F18" s="3">
        <v>14270</v>
      </c>
    </row>
    <row r="19" spans="1:6" x14ac:dyDescent="0.35">
      <c r="A19" s="1">
        <v>41061</v>
      </c>
      <c r="B19" s="3">
        <v>23657</v>
      </c>
      <c r="C19" s="7">
        <v>0.2</v>
      </c>
      <c r="D19" s="6">
        <f t="shared" si="1"/>
        <v>118285</v>
      </c>
      <c r="F19" s="3">
        <v>23657</v>
      </c>
    </row>
    <row r="20" spans="1:6" x14ac:dyDescent="0.35">
      <c r="A20" s="1">
        <v>41091</v>
      </c>
      <c r="B20" s="3">
        <v>42125</v>
      </c>
      <c r="C20" s="7">
        <v>0.19</v>
      </c>
      <c r="D20" s="6">
        <f t="shared" si="1"/>
        <v>221710.52631578947</v>
      </c>
      <c r="F20" s="3">
        <v>42125</v>
      </c>
    </row>
    <row r="21" spans="1:6" x14ac:dyDescent="0.35">
      <c r="A21" s="1">
        <v>41122</v>
      </c>
      <c r="B21" s="3">
        <v>18882</v>
      </c>
      <c r="C21" s="7">
        <v>0.21</v>
      </c>
      <c r="D21" s="6">
        <f t="shared" si="1"/>
        <v>89914.285714285725</v>
      </c>
      <c r="F21" s="3">
        <v>18882</v>
      </c>
    </row>
    <row r="22" spans="1:6" x14ac:dyDescent="0.35">
      <c r="A22" s="1">
        <v>41153</v>
      </c>
      <c r="B22" s="3">
        <v>18395</v>
      </c>
      <c r="C22" s="7">
        <v>0.26</v>
      </c>
      <c r="D22" s="6">
        <f t="shared" si="1"/>
        <v>70750</v>
      </c>
      <c r="F22" s="3">
        <v>18395</v>
      </c>
    </row>
    <row r="23" spans="1:6" x14ac:dyDescent="0.35">
      <c r="A23" s="1">
        <v>41183</v>
      </c>
      <c r="B23" s="3">
        <v>9186</v>
      </c>
      <c r="C23" s="7">
        <v>0.25</v>
      </c>
      <c r="D23" s="6">
        <f t="shared" si="1"/>
        <v>36744</v>
      </c>
      <c r="F23" s="3">
        <v>10940.784999999916</v>
      </c>
    </row>
    <row r="24" spans="1:6" x14ac:dyDescent="0.35">
      <c r="A24" s="1">
        <v>41214</v>
      </c>
      <c r="B24" s="3">
        <v>11097</v>
      </c>
      <c r="C24" s="7">
        <v>0.21</v>
      </c>
      <c r="D24" s="6">
        <f t="shared" si="1"/>
        <v>52842.857142857145</v>
      </c>
      <c r="F24" s="3">
        <v>11097</v>
      </c>
    </row>
    <row r="25" spans="1:6" x14ac:dyDescent="0.35">
      <c r="A25" s="1">
        <v>41244</v>
      </c>
      <c r="B25" s="3">
        <v>12120</v>
      </c>
      <c r="C25" s="7">
        <v>0.2</v>
      </c>
      <c r="D25" s="6">
        <f t="shared" si="1"/>
        <v>60600</v>
      </c>
      <c r="F25" s="3">
        <v>12120</v>
      </c>
    </row>
    <row r="26" spans="1:6" ht="15.5" x14ac:dyDescent="0.35">
      <c r="A26" s="1">
        <v>41275</v>
      </c>
      <c r="B26" s="2">
        <v>13820</v>
      </c>
      <c r="C26" s="7">
        <v>0.21</v>
      </c>
      <c r="D26" s="6">
        <f t="shared" si="1"/>
        <v>65809.523809523816</v>
      </c>
      <c r="F26" s="3" cm="1">
        <f t="array" ref="F26:F37">TRANSPOSE('Pre-Processamento'!B25:M25)</f>
        <v>13820</v>
      </c>
    </row>
    <row r="27" spans="1:6" x14ac:dyDescent="0.35">
      <c r="A27" s="1">
        <v>41306</v>
      </c>
      <c r="B27" s="3">
        <v>11824</v>
      </c>
      <c r="C27" s="7">
        <v>0.19</v>
      </c>
      <c r="D27" s="6">
        <f t="shared" si="1"/>
        <v>62231.57894736842</v>
      </c>
      <c r="F27" s="3">
        <v>11824</v>
      </c>
    </row>
    <row r="28" spans="1:6" x14ac:dyDescent="0.35">
      <c r="A28" s="1">
        <v>41334</v>
      </c>
      <c r="B28" s="3">
        <v>14459</v>
      </c>
      <c r="C28" s="7">
        <v>0.19</v>
      </c>
      <c r="D28" s="6">
        <f t="shared" si="1"/>
        <v>76100</v>
      </c>
      <c r="F28" s="3">
        <v>14459</v>
      </c>
    </row>
    <row r="29" spans="1:6" x14ac:dyDescent="0.35">
      <c r="A29" s="1">
        <v>41365</v>
      </c>
      <c r="B29" s="3">
        <v>15396</v>
      </c>
      <c r="C29" s="7">
        <v>0.2</v>
      </c>
      <c r="D29" s="6">
        <f t="shared" si="1"/>
        <v>76980</v>
      </c>
      <c r="F29" s="3">
        <v>15396</v>
      </c>
    </row>
    <row r="30" spans="1:6" x14ac:dyDescent="0.35">
      <c r="A30" s="1">
        <v>41395</v>
      </c>
      <c r="B30" s="3">
        <v>25065</v>
      </c>
      <c r="C30" s="7">
        <v>0.21</v>
      </c>
      <c r="D30" s="6">
        <f t="shared" si="1"/>
        <v>119357.14285714286</v>
      </c>
      <c r="F30" s="3">
        <v>25065</v>
      </c>
    </row>
    <row r="31" spans="1:6" x14ac:dyDescent="0.35">
      <c r="A31" s="1">
        <v>41426</v>
      </c>
      <c r="B31" s="3">
        <v>14396</v>
      </c>
      <c r="C31" s="7">
        <v>0.2</v>
      </c>
      <c r="D31" s="6">
        <f t="shared" si="1"/>
        <v>71980</v>
      </c>
      <c r="F31" s="3">
        <v>14396</v>
      </c>
    </row>
    <row r="32" spans="1:6" x14ac:dyDescent="0.35">
      <c r="A32" s="1">
        <v>41456</v>
      </c>
      <c r="B32" s="3">
        <v>44690</v>
      </c>
      <c r="C32" s="7">
        <v>0.19</v>
      </c>
      <c r="D32" s="6">
        <f t="shared" si="1"/>
        <v>235210.52631578947</v>
      </c>
      <c r="F32" s="3">
        <v>44690</v>
      </c>
    </row>
    <row r="33" spans="1:6" x14ac:dyDescent="0.35">
      <c r="A33" s="1">
        <v>41487</v>
      </c>
      <c r="B33" s="3">
        <v>23687</v>
      </c>
      <c r="C33" s="7">
        <v>0.21</v>
      </c>
      <c r="D33" s="6">
        <f t="shared" si="1"/>
        <v>112795.23809523811</v>
      </c>
      <c r="F33" s="3">
        <v>23687</v>
      </c>
    </row>
    <row r="34" spans="1:6" x14ac:dyDescent="0.35">
      <c r="A34" s="1">
        <v>41518</v>
      </c>
      <c r="B34" s="3">
        <v>16516</v>
      </c>
      <c r="C34" s="7">
        <v>0.26</v>
      </c>
      <c r="D34" s="6">
        <f t="shared" si="1"/>
        <v>63523.076923076922</v>
      </c>
      <c r="F34" s="3">
        <v>16516</v>
      </c>
    </row>
    <row r="35" spans="1:6" x14ac:dyDescent="0.35">
      <c r="A35" s="1">
        <v>41548</v>
      </c>
      <c r="B35" s="3">
        <v>11836</v>
      </c>
      <c r="C35" s="7">
        <v>0.25</v>
      </c>
      <c r="D35" s="6">
        <f t="shared" si="1"/>
        <v>47344</v>
      </c>
      <c r="F35" s="3">
        <v>11836</v>
      </c>
    </row>
    <row r="36" spans="1:6" x14ac:dyDescent="0.35">
      <c r="A36" s="1">
        <v>41579</v>
      </c>
      <c r="B36" s="3">
        <v>11911</v>
      </c>
      <c r="C36" s="7">
        <v>0.21</v>
      </c>
      <c r="D36" s="6">
        <f t="shared" si="1"/>
        <v>56719.047619047618</v>
      </c>
      <c r="F36" s="3">
        <v>11911</v>
      </c>
    </row>
    <row r="37" spans="1:6" x14ac:dyDescent="0.35">
      <c r="A37" s="1">
        <v>41609</v>
      </c>
      <c r="B37" s="3">
        <v>11542</v>
      </c>
      <c r="C37" s="7">
        <v>0.2</v>
      </c>
      <c r="D37" s="6">
        <f t="shared" si="1"/>
        <v>57710</v>
      </c>
      <c r="F37" s="3">
        <v>11542</v>
      </c>
    </row>
    <row r="38" spans="1:6" ht="15.5" x14ac:dyDescent="0.35">
      <c r="A38" s="1">
        <v>41640</v>
      </c>
      <c r="B38" s="2">
        <v>15380</v>
      </c>
      <c r="C38" s="7">
        <v>0.21</v>
      </c>
      <c r="D38" s="6">
        <f t="shared" si="1"/>
        <v>73238.095238095237</v>
      </c>
      <c r="F38" s="3" cm="1">
        <f t="array" ref="F38:F49">TRANSPOSE('Pre-Processamento'!B24:M24)</f>
        <v>15380</v>
      </c>
    </row>
    <row r="39" spans="1:6" x14ac:dyDescent="0.35">
      <c r="A39" s="1">
        <v>41671</v>
      </c>
      <c r="B39" s="5">
        <v>13091.5</v>
      </c>
      <c r="C39" s="7">
        <v>0.19</v>
      </c>
      <c r="D39" s="6">
        <f t="shared" si="1"/>
        <v>68902.631578947374</v>
      </c>
      <c r="F39" s="3">
        <v>13091.5</v>
      </c>
    </row>
    <row r="40" spans="1:6" x14ac:dyDescent="0.35">
      <c r="A40" s="1">
        <v>41699</v>
      </c>
      <c r="B40" s="3">
        <v>14244</v>
      </c>
      <c r="C40" s="7">
        <v>0.19</v>
      </c>
      <c r="D40" s="6">
        <f t="shared" si="1"/>
        <v>74968.421052631573</v>
      </c>
      <c r="F40" s="3">
        <v>14244</v>
      </c>
    </row>
    <row r="41" spans="1:6" x14ac:dyDescent="0.35">
      <c r="A41" s="1">
        <v>41730</v>
      </c>
      <c r="B41" s="3">
        <v>16363</v>
      </c>
      <c r="C41" s="7">
        <v>0.2</v>
      </c>
      <c r="D41" s="6">
        <f t="shared" si="1"/>
        <v>81815</v>
      </c>
      <c r="F41" s="3">
        <v>16363</v>
      </c>
    </row>
    <row r="42" spans="1:6" x14ac:dyDescent="0.35">
      <c r="A42" s="1">
        <v>41760</v>
      </c>
      <c r="B42" s="3">
        <v>22565</v>
      </c>
      <c r="C42" s="7">
        <v>0.21</v>
      </c>
      <c r="D42" s="6">
        <f t="shared" si="1"/>
        <v>107452.38095238096</v>
      </c>
      <c r="F42" s="3">
        <v>22565</v>
      </c>
    </row>
    <row r="43" spans="1:6" x14ac:dyDescent="0.35">
      <c r="A43" s="1">
        <v>41791</v>
      </c>
      <c r="B43" s="3">
        <v>26964</v>
      </c>
      <c r="C43" s="7">
        <v>0.2</v>
      </c>
      <c r="D43" s="6">
        <f t="shared" si="1"/>
        <v>134820</v>
      </c>
      <c r="F43" s="3">
        <v>26964</v>
      </c>
    </row>
    <row r="44" spans="1:6" x14ac:dyDescent="0.35">
      <c r="A44" s="1">
        <v>41821</v>
      </c>
      <c r="B44" s="3">
        <v>39476</v>
      </c>
      <c r="C44" s="7">
        <v>0.19</v>
      </c>
      <c r="D44" s="6">
        <f t="shared" si="1"/>
        <v>207768.42105263157</v>
      </c>
      <c r="F44" s="3">
        <v>39476</v>
      </c>
    </row>
    <row r="45" spans="1:6" x14ac:dyDescent="0.35">
      <c r="A45" s="1">
        <v>41852</v>
      </c>
      <c r="B45" s="3">
        <v>29090</v>
      </c>
      <c r="C45" s="7">
        <v>0.21</v>
      </c>
      <c r="D45" s="6">
        <f t="shared" si="1"/>
        <v>138523.80952380953</v>
      </c>
      <c r="F45" s="3">
        <v>29090</v>
      </c>
    </row>
    <row r="46" spans="1:6" x14ac:dyDescent="0.35">
      <c r="A46" s="1">
        <v>41883</v>
      </c>
      <c r="B46" s="3">
        <v>16322</v>
      </c>
      <c r="C46" s="7">
        <v>0.26</v>
      </c>
      <c r="D46" s="6">
        <f t="shared" si="1"/>
        <v>62776.923076923078</v>
      </c>
      <c r="F46" s="3">
        <v>16322</v>
      </c>
    </row>
    <row r="47" spans="1:6" x14ac:dyDescent="0.35">
      <c r="A47" s="1">
        <v>41913</v>
      </c>
      <c r="B47" s="3">
        <v>13218</v>
      </c>
      <c r="C47" s="7">
        <v>0.25</v>
      </c>
      <c r="D47" s="6">
        <f t="shared" si="1"/>
        <v>52872</v>
      </c>
      <c r="F47" s="3">
        <v>13218</v>
      </c>
    </row>
    <row r="48" spans="1:6" x14ac:dyDescent="0.35">
      <c r="A48" s="1">
        <v>41944</v>
      </c>
      <c r="B48" s="3">
        <v>16294</v>
      </c>
      <c r="C48" s="7">
        <v>0.21</v>
      </c>
      <c r="D48" s="6">
        <f t="shared" si="1"/>
        <v>77590.476190476198</v>
      </c>
      <c r="F48" s="3">
        <v>16294</v>
      </c>
    </row>
    <row r="49" spans="1:6" x14ac:dyDescent="0.35">
      <c r="A49" s="1">
        <v>41974</v>
      </c>
      <c r="B49" s="3">
        <v>16298</v>
      </c>
      <c r="C49" s="7">
        <v>0.2</v>
      </c>
      <c r="D49" s="6">
        <f t="shared" si="1"/>
        <v>81490</v>
      </c>
      <c r="F49" s="3">
        <v>16298</v>
      </c>
    </row>
    <row r="50" spans="1:6" ht="15.5" x14ac:dyDescent="0.35">
      <c r="A50" s="1">
        <v>42005</v>
      </c>
      <c r="B50" s="2">
        <v>25073</v>
      </c>
      <c r="C50" s="7">
        <v>0.21</v>
      </c>
      <c r="D50" s="6">
        <f t="shared" si="1"/>
        <v>119395.23809523811</v>
      </c>
      <c r="F50" s="3" cm="1">
        <f t="array" ref="F50:F61">TRANSPOSE('Pre-Processamento'!B23:M23)</f>
        <v>25073</v>
      </c>
    </row>
    <row r="51" spans="1:6" x14ac:dyDescent="0.35">
      <c r="A51" s="1">
        <v>42036</v>
      </c>
      <c r="B51" s="3">
        <v>14359</v>
      </c>
      <c r="C51" s="7">
        <v>0.19</v>
      </c>
      <c r="D51" s="6">
        <f t="shared" si="1"/>
        <v>75573.68421052632</v>
      </c>
      <c r="F51" s="3">
        <v>14359</v>
      </c>
    </row>
    <row r="52" spans="1:6" x14ac:dyDescent="0.35">
      <c r="A52" s="1">
        <v>42064</v>
      </c>
      <c r="B52" s="5">
        <v>13406</v>
      </c>
      <c r="C52" s="7">
        <v>0.19</v>
      </c>
      <c r="D52" s="6">
        <f t="shared" si="1"/>
        <v>70557.894736842107</v>
      </c>
      <c r="F52" s="3">
        <v>13406</v>
      </c>
    </row>
    <row r="53" spans="1:6" x14ac:dyDescent="0.35">
      <c r="A53" s="1">
        <v>42095</v>
      </c>
      <c r="B53" s="5">
        <v>16723.5</v>
      </c>
      <c r="C53" s="7">
        <v>0.2</v>
      </c>
      <c r="D53" s="6">
        <f t="shared" si="1"/>
        <v>83617.5</v>
      </c>
      <c r="F53" s="3">
        <v>16723.5</v>
      </c>
    </row>
    <row r="54" spans="1:6" x14ac:dyDescent="0.35">
      <c r="A54" s="1">
        <v>42125</v>
      </c>
      <c r="B54" s="5">
        <v>24959.5</v>
      </c>
      <c r="C54" s="7">
        <v>0.21</v>
      </c>
      <c r="D54" s="6">
        <f t="shared" si="1"/>
        <v>118854.76190476191</v>
      </c>
      <c r="F54" s="3">
        <v>24959.5</v>
      </c>
    </row>
    <row r="55" spans="1:6" x14ac:dyDescent="0.35">
      <c r="A55" s="1">
        <v>42156</v>
      </c>
      <c r="B55" s="5">
        <v>27846.5</v>
      </c>
      <c r="C55" s="7">
        <v>0.2</v>
      </c>
      <c r="D55" s="6">
        <f t="shared" si="1"/>
        <v>139232.5</v>
      </c>
      <c r="F55" s="3">
        <v>27846.5</v>
      </c>
    </row>
    <row r="56" spans="1:6" x14ac:dyDescent="0.35">
      <c r="A56" s="1">
        <v>42186</v>
      </c>
      <c r="B56" s="3">
        <v>41229</v>
      </c>
      <c r="C56" s="7">
        <v>0.19</v>
      </c>
      <c r="D56" s="6">
        <f t="shared" si="1"/>
        <v>216994.73684210525</v>
      </c>
      <c r="F56" s="3">
        <v>41229</v>
      </c>
    </row>
    <row r="57" spans="1:6" x14ac:dyDescent="0.35">
      <c r="A57" s="1">
        <v>42217</v>
      </c>
      <c r="B57" s="3">
        <v>27402</v>
      </c>
      <c r="C57" s="7">
        <v>0.21</v>
      </c>
      <c r="D57" s="6">
        <f t="shared" si="1"/>
        <v>130485.71428571429</v>
      </c>
      <c r="F57" s="3">
        <v>27402</v>
      </c>
    </row>
    <row r="58" spans="1:6" x14ac:dyDescent="0.35">
      <c r="A58" s="1">
        <v>42248</v>
      </c>
      <c r="B58" s="5">
        <v>17507.5</v>
      </c>
      <c r="C58" s="7">
        <v>0.26</v>
      </c>
      <c r="D58" s="6">
        <f t="shared" si="1"/>
        <v>67336.538461538454</v>
      </c>
      <c r="F58" s="3">
        <v>17507.5</v>
      </c>
    </row>
    <row r="59" spans="1:6" x14ac:dyDescent="0.35">
      <c r="A59" s="1">
        <v>42278</v>
      </c>
      <c r="B59" s="3">
        <v>16234</v>
      </c>
      <c r="C59" s="7">
        <v>0.25</v>
      </c>
      <c r="D59" s="6">
        <f t="shared" si="1"/>
        <v>64936</v>
      </c>
      <c r="F59" s="3">
        <v>16234</v>
      </c>
    </row>
    <row r="60" spans="1:6" x14ac:dyDescent="0.35">
      <c r="A60" s="1">
        <v>42309</v>
      </c>
      <c r="B60" s="3">
        <v>13888</v>
      </c>
      <c r="C60" s="7">
        <v>0.21</v>
      </c>
      <c r="D60" s="6">
        <f t="shared" si="1"/>
        <v>66133.333333333343</v>
      </c>
      <c r="F60" s="3">
        <v>13888</v>
      </c>
    </row>
    <row r="61" spans="1:6" x14ac:dyDescent="0.35">
      <c r="A61" s="1">
        <v>42339</v>
      </c>
      <c r="B61" s="3">
        <v>14448</v>
      </c>
      <c r="C61" s="7">
        <v>0.2</v>
      </c>
      <c r="D61" s="6">
        <f t="shared" si="1"/>
        <v>72240</v>
      </c>
      <c r="F61" s="3">
        <v>14448</v>
      </c>
    </row>
    <row r="62" spans="1:6" ht="15.5" x14ac:dyDescent="0.35">
      <c r="A62" s="1">
        <v>42370</v>
      </c>
      <c r="B62" s="2">
        <v>21821</v>
      </c>
      <c r="C62" s="7">
        <v>0.21</v>
      </c>
      <c r="D62" s="6">
        <f t="shared" si="1"/>
        <v>103909.52380952382</v>
      </c>
      <c r="F62" s="3" cm="1">
        <f t="array" ref="F62:F73">TRANSPOSE('Pre-Processamento'!B22:M22)</f>
        <v>21821</v>
      </c>
    </row>
    <row r="63" spans="1:6" x14ac:dyDescent="0.35">
      <c r="A63" s="1">
        <v>42401</v>
      </c>
      <c r="B63" s="3">
        <v>11363</v>
      </c>
      <c r="C63" s="7">
        <v>0.19</v>
      </c>
      <c r="D63" s="6">
        <f t="shared" si="1"/>
        <v>59805.263157894733</v>
      </c>
      <c r="F63" s="3">
        <v>11363</v>
      </c>
    </row>
    <row r="64" spans="1:6" x14ac:dyDescent="0.35">
      <c r="A64" s="1">
        <v>42430</v>
      </c>
      <c r="B64" s="3">
        <v>12568</v>
      </c>
      <c r="C64" s="7">
        <v>0.19</v>
      </c>
      <c r="D64" s="6">
        <f t="shared" si="1"/>
        <v>66147.368421052626</v>
      </c>
      <c r="F64" s="3">
        <v>12568</v>
      </c>
    </row>
    <row r="65" spans="1:6" x14ac:dyDescent="0.35">
      <c r="A65" s="1">
        <v>42461</v>
      </c>
      <c r="B65" s="3">
        <v>17084</v>
      </c>
      <c r="C65" s="7">
        <v>0.2</v>
      </c>
      <c r="D65" s="6">
        <f t="shared" si="1"/>
        <v>85420</v>
      </c>
      <c r="F65" s="3">
        <v>17084</v>
      </c>
    </row>
    <row r="66" spans="1:6" x14ac:dyDescent="0.35">
      <c r="A66" s="1">
        <v>42491</v>
      </c>
      <c r="B66" s="3">
        <v>27354</v>
      </c>
      <c r="C66" s="7">
        <v>0.21</v>
      </c>
      <c r="D66" s="6">
        <f t="shared" si="1"/>
        <v>130257.14285714286</v>
      </c>
      <c r="F66" s="3">
        <v>27354</v>
      </c>
    </row>
    <row r="67" spans="1:6" x14ac:dyDescent="0.35">
      <c r="A67" s="1">
        <v>42522</v>
      </c>
      <c r="B67" s="3">
        <v>28729</v>
      </c>
      <c r="C67" s="7">
        <v>0.2</v>
      </c>
      <c r="D67" s="6">
        <f t="shared" ref="D67:D102" si="2">B67/C67</f>
        <v>143645</v>
      </c>
      <c r="F67" s="3">
        <v>28729</v>
      </c>
    </row>
    <row r="68" spans="1:6" x14ac:dyDescent="0.35">
      <c r="A68" s="1">
        <v>42552</v>
      </c>
      <c r="B68" s="3">
        <v>49139</v>
      </c>
      <c r="C68" s="7">
        <v>0.19</v>
      </c>
      <c r="D68" s="6">
        <f t="shared" si="2"/>
        <v>258626.31578947368</v>
      </c>
      <c r="F68" s="3">
        <v>49139</v>
      </c>
    </row>
    <row r="69" spans="1:6" x14ac:dyDescent="0.35">
      <c r="A69" s="1">
        <v>42583</v>
      </c>
      <c r="B69" s="3">
        <v>24958</v>
      </c>
      <c r="C69" s="7">
        <v>0.21</v>
      </c>
      <c r="D69" s="6">
        <f t="shared" si="2"/>
        <v>118847.61904761905</v>
      </c>
      <c r="F69" s="3">
        <v>24958</v>
      </c>
    </row>
    <row r="70" spans="1:6" x14ac:dyDescent="0.35">
      <c r="A70" s="1">
        <v>42614</v>
      </c>
      <c r="B70" s="3">
        <v>18693</v>
      </c>
      <c r="C70" s="7">
        <v>0.26</v>
      </c>
      <c r="D70" s="6">
        <f t="shared" si="2"/>
        <v>71896.153846153844</v>
      </c>
      <c r="F70" s="3">
        <v>18693</v>
      </c>
    </row>
    <row r="71" spans="1:6" x14ac:dyDescent="0.35">
      <c r="A71" s="1">
        <v>42644</v>
      </c>
      <c r="B71" s="3">
        <v>10730</v>
      </c>
      <c r="C71" s="7">
        <v>0.25</v>
      </c>
      <c r="D71" s="6">
        <f t="shared" si="2"/>
        <v>42920</v>
      </c>
      <c r="F71" s="3">
        <v>10730</v>
      </c>
    </row>
    <row r="72" spans="1:6" x14ac:dyDescent="0.35">
      <c r="A72" s="1">
        <v>42675</v>
      </c>
      <c r="B72" s="3">
        <v>12206</v>
      </c>
      <c r="C72" s="7">
        <v>0.21</v>
      </c>
      <c r="D72" s="6">
        <f t="shared" si="2"/>
        <v>58123.809523809527</v>
      </c>
      <c r="F72" s="3">
        <v>11268.820434992915</v>
      </c>
    </row>
    <row r="73" spans="1:6" x14ac:dyDescent="0.35">
      <c r="A73" s="1">
        <v>42705</v>
      </c>
      <c r="B73" s="3">
        <v>13682</v>
      </c>
      <c r="C73" s="7">
        <v>0.2</v>
      </c>
      <c r="D73" s="6">
        <f t="shared" si="2"/>
        <v>68410</v>
      </c>
      <c r="F73" s="3">
        <v>13682</v>
      </c>
    </row>
    <row r="74" spans="1:6" ht="15.5" x14ac:dyDescent="0.35">
      <c r="A74" s="1">
        <v>42736</v>
      </c>
      <c r="B74" s="2">
        <v>12944</v>
      </c>
      <c r="C74" s="7">
        <v>0.21</v>
      </c>
      <c r="D74" s="6">
        <f t="shared" si="2"/>
        <v>61638.095238095244</v>
      </c>
      <c r="F74" s="3" cm="1">
        <f t="array" ref="F74:F85">TRANSPOSE('Pre-Processamento'!B21:M21)</f>
        <v>12944</v>
      </c>
    </row>
    <row r="75" spans="1:6" x14ac:dyDescent="0.35">
      <c r="A75" s="1">
        <v>42767</v>
      </c>
      <c r="B75" s="3">
        <v>10263</v>
      </c>
      <c r="C75" s="7">
        <v>0.19</v>
      </c>
      <c r="D75" s="6">
        <f t="shared" si="2"/>
        <v>54015.789473684206</v>
      </c>
      <c r="F75" s="3">
        <v>10263</v>
      </c>
    </row>
    <row r="76" spans="1:6" x14ac:dyDescent="0.35">
      <c r="A76" s="1">
        <v>42795</v>
      </c>
      <c r="B76" s="3">
        <v>22393</v>
      </c>
      <c r="C76" s="7">
        <v>0.19</v>
      </c>
      <c r="D76" s="6">
        <f t="shared" si="2"/>
        <v>117857.89473684211</v>
      </c>
      <c r="F76" s="3">
        <v>12393</v>
      </c>
    </row>
    <row r="77" spans="1:6" x14ac:dyDescent="0.35">
      <c r="A77" s="1">
        <v>42826</v>
      </c>
      <c r="B77" s="3">
        <v>23894</v>
      </c>
      <c r="C77" s="7">
        <v>0.2</v>
      </c>
      <c r="D77" s="6">
        <f t="shared" si="2"/>
        <v>119470</v>
      </c>
      <c r="F77" s="3">
        <v>23894</v>
      </c>
    </row>
    <row r="78" spans="1:6" x14ac:dyDescent="0.35">
      <c r="A78" s="1">
        <v>42856</v>
      </c>
      <c r="B78" s="3">
        <v>23393</v>
      </c>
      <c r="C78" s="7">
        <v>0.21</v>
      </c>
      <c r="D78" s="6">
        <f t="shared" si="2"/>
        <v>111395.23809523811</v>
      </c>
      <c r="F78" s="3">
        <v>23393</v>
      </c>
    </row>
    <row r="79" spans="1:6" x14ac:dyDescent="0.35">
      <c r="A79" s="1">
        <v>42887</v>
      </c>
      <c r="B79" s="3">
        <v>32057</v>
      </c>
      <c r="C79" s="7">
        <v>0.2</v>
      </c>
      <c r="D79" s="6">
        <f t="shared" si="2"/>
        <v>160285</v>
      </c>
      <c r="F79" s="3">
        <v>32057</v>
      </c>
    </row>
    <row r="80" spans="1:6" x14ac:dyDescent="0.35">
      <c r="A80" s="1">
        <v>42917</v>
      </c>
      <c r="B80" s="3">
        <v>52243</v>
      </c>
      <c r="C80" s="7">
        <v>0.19</v>
      </c>
      <c r="D80" s="6">
        <f t="shared" si="2"/>
        <v>274963.15789473685</v>
      </c>
      <c r="F80" s="3">
        <v>52243</v>
      </c>
    </row>
    <row r="81" spans="1:6" x14ac:dyDescent="0.35">
      <c r="A81" s="1">
        <v>42948</v>
      </c>
      <c r="B81" s="3">
        <v>23549</v>
      </c>
      <c r="C81" s="7">
        <v>0.21</v>
      </c>
      <c r="D81" s="6">
        <f t="shared" si="2"/>
        <v>112138.09523809524</v>
      </c>
      <c r="F81" s="3">
        <v>23549</v>
      </c>
    </row>
    <row r="82" spans="1:6" x14ac:dyDescent="0.35">
      <c r="A82" s="1">
        <v>42979</v>
      </c>
      <c r="B82" s="3">
        <v>19045</v>
      </c>
      <c r="C82" s="7">
        <v>0.26</v>
      </c>
      <c r="D82" s="6">
        <f t="shared" si="2"/>
        <v>73250</v>
      </c>
      <c r="F82" s="3">
        <v>19045</v>
      </c>
    </row>
    <row r="83" spans="1:6" x14ac:dyDescent="0.35">
      <c r="A83" s="1">
        <v>43009</v>
      </c>
      <c r="B83" s="3">
        <v>14190</v>
      </c>
      <c r="C83" s="7">
        <v>0.25</v>
      </c>
      <c r="D83" s="6">
        <f t="shared" si="2"/>
        <v>56760</v>
      </c>
      <c r="F83" s="3">
        <v>14190</v>
      </c>
    </row>
    <row r="84" spans="1:6" x14ac:dyDescent="0.35">
      <c r="A84" s="1">
        <v>43040</v>
      </c>
      <c r="B84" s="5">
        <v>13400.5</v>
      </c>
      <c r="C84" s="7">
        <v>0.21</v>
      </c>
      <c r="D84" s="6">
        <f t="shared" si="2"/>
        <v>63811.904761904763</v>
      </c>
      <c r="F84" s="3">
        <v>14902.568683369009</v>
      </c>
    </row>
    <row r="85" spans="1:6" x14ac:dyDescent="0.35">
      <c r="A85" s="1">
        <v>43070</v>
      </c>
      <c r="B85" s="5">
        <v>14966.5</v>
      </c>
      <c r="C85" s="7">
        <v>0.2</v>
      </c>
      <c r="D85" s="6">
        <f t="shared" si="2"/>
        <v>74832.5</v>
      </c>
      <c r="F85" s="3">
        <v>14966.5</v>
      </c>
    </row>
    <row r="86" spans="1:6" ht="15.5" x14ac:dyDescent="0.35">
      <c r="A86" s="1">
        <v>43101</v>
      </c>
      <c r="B86" s="2">
        <v>16825</v>
      </c>
      <c r="C86" s="7">
        <v>0.21</v>
      </c>
      <c r="D86" s="6">
        <f t="shared" si="2"/>
        <v>80119.047619047618</v>
      </c>
      <c r="F86" s="3" cm="1">
        <f t="array" ref="F86:F97">TRANSPOSE('Pre-Processamento'!B20:M20)</f>
        <v>16825</v>
      </c>
    </row>
    <row r="87" spans="1:6" x14ac:dyDescent="0.35">
      <c r="A87" s="1">
        <v>43132</v>
      </c>
      <c r="B87" s="3">
        <v>10731</v>
      </c>
      <c r="C87" s="7">
        <v>0.19</v>
      </c>
      <c r="D87" s="6">
        <f t="shared" si="2"/>
        <v>56478.947368421053</v>
      </c>
      <c r="F87" s="3">
        <v>10731</v>
      </c>
    </row>
    <row r="88" spans="1:6" x14ac:dyDescent="0.35">
      <c r="A88" s="1">
        <v>43160</v>
      </c>
      <c r="B88" s="3">
        <v>14564</v>
      </c>
      <c r="C88" s="7">
        <v>0.19</v>
      </c>
      <c r="D88" s="6">
        <f t="shared" si="2"/>
        <v>76652.631578947374</v>
      </c>
      <c r="F88" s="3">
        <v>14564</v>
      </c>
    </row>
    <row r="89" spans="1:6" x14ac:dyDescent="0.35">
      <c r="A89" s="1">
        <v>43191</v>
      </c>
      <c r="B89" s="3">
        <v>19525</v>
      </c>
      <c r="C89" s="7">
        <v>0.2</v>
      </c>
      <c r="D89" s="6">
        <f t="shared" si="2"/>
        <v>97625</v>
      </c>
      <c r="F89" s="3">
        <v>19525</v>
      </c>
    </row>
    <row r="90" spans="1:6" x14ac:dyDescent="0.35">
      <c r="A90" s="1">
        <v>43221</v>
      </c>
      <c r="B90" s="3">
        <v>21849</v>
      </c>
      <c r="C90" s="7">
        <v>0.21</v>
      </c>
      <c r="D90" s="6">
        <f t="shared" si="2"/>
        <v>104042.85714285714</v>
      </c>
      <c r="F90" s="3">
        <v>21849</v>
      </c>
    </row>
    <row r="91" spans="1:6" x14ac:dyDescent="0.35">
      <c r="A91" s="1">
        <v>43252</v>
      </c>
      <c r="B91" s="3">
        <v>31875</v>
      </c>
      <c r="C91" s="7">
        <v>0.2</v>
      </c>
      <c r="D91" s="6">
        <f t="shared" si="2"/>
        <v>159375</v>
      </c>
      <c r="F91" s="3">
        <v>31875</v>
      </c>
    </row>
    <row r="92" spans="1:6" x14ac:dyDescent="0.35">
      <c r="A92" s="1">
        <v>43282</v>
      </c>
      <c r="B92" s="3">
        <v>52222</v>
      </c>
      <c r="C92" s="7">
        <v>0.19</v>
      </c>
      <c r="D92" s="6">
        <f t="shared" si="2"/>
        <v>274852.63157894736</v>
      </c>
      <c r="F92" s="3">
        <v>52222</v>
      </c>
    </row>
    <row r="93" spans="1:6" x14ac:dyDescent="0.35">
      <c r="A93" s="1">
        <v>43313</v>
      </c>
      <c r="B93" s="3">
        <v>26034</v>
      </c>
      <c r="C93" s="7">
        <v>0.21</v>
      </c>
      <c r="D93" s="6">
        <f t="shared" si="2"/>
        <v>123971.42857142858</v>
      </c>
      <c r="F93" s="3">
        <v>26034</v>
      </c>
    </row>
    <row r="94" spans="1:6" x14ac:dyDescent="0.35">
      <c r="A94" s="1">
        <v>43344</v>
      </c>
      <c r="B94" s="3">
        <v>24298</v>
      </c>
      <c r="C94" s="7">
        <v>0.26</v>
      </c>
      <c r="D94" s="6">
        <f t="shared" si="2"/>
        <v>93453.846153846156</v>
      </c>
      <c r="F94" s="3">
        <v>24298</v>
      </c>
    </row>
    <row r="95" spans="1:6" x14ac:dyDescent="0.35">
      <c r="A95" s="1">
        <v>43374</v>
      </c>
      <c r="B95" s="3">
        <v>14355</v>
      </c>
      <c r="C95" s="7">
        <v>0.25</v>
      </c>
      <c r="D95" s="6">
        <f t="shared" si="2"/>
        <v>57420</v>
      </c>
      <c r="F95" s="3">
        <v>14355</v>
      </c>
    </row>
    <row r="96" spans="1:6" x14ac:dyDescent="0.35">
      <c r="A96" s="1">
        <v>43405</v>
      </c>
      <c r="B96" s="3">
        <v>14595</v>
      </c>
      <c r="C96" s="7">
        <v>0.21</v>
      </c>
      <c r="D96" s="6">
        <f t="shared" si="2"/>
        <v>69500</v>
      </c>
      <c r="F96" s="3">
        <v>14595</v>
      </c>
    </row>
    <row r="97" spans="1:6" x14ac:dyDescent="0.35">
      <c r="A97" s="1">
        <v>43435</v>
      </c>
      <c r="B97" s="3">
        <v>16251</v>
      </c>
      <c r="C97" s="7">
        <v>0.2</v>
      </c>
      <c r="D97" s="6">
        <f t="shared" si="2"/>
        <v>81255</v>
      </c>
      <c r="F97" s="3">
        <v>16251</v>
      </c>
    </row>
    <row r="98" spans="1:6" ht="15.5" x14ac:dyDescent="0.35">
      <c r="A98" s="1">
        <v>43466</v>
      </c>
      <c r="B98" s="2">
        <v>16664</v>
      </c>
      <c r="C98" s="7">
        <v>0.21</v>
      </c>
      <c r="D98" s="6">
        <f t="shared" si="2"/>
        <v>79352.380952380961</v>
      </c>
      <c r="F98" s="3" cm="1">
        <f t="array" ref="F98:F109">TRANSPOSE('Pre-Processamento'!B19:M19)</f>
        <v>16664</v>
      </c>
    </row>
    <row r="99" spans="1:6" x14ac:dyDescent="0.35">
      <c r="A99" s="1">
        <v>43497</v>
      </c>
      <c r="B99" s="3">
        <v>5946</v>
      </c>
      <c r="C99" s="7">
        <v>0.19</v>
      </c>
      <c r="D99" s="6">
        <f t="shared" si="2"/>
        <v>31294.736842105263</v>
      </c>
      <c r="F99" s="3">
        <v>11408</v>
      </c>
    </row>
    <row r="100" spans="1:6" x14ac:dyDescent="0.35">
      <c r="A100" s="1">
        <v>43525</v>
      </c>
      <c r="B100" s="3">
        <v>14976</v>
      </c>
      <c r="C100" s="7">
        <v>0.19</v>
      </c>
      <c r="D100" s="6">
        <f t="shared" si="2"/>
        <v>78821.052631578947</v>
      </c>
      <c r="F100" s="3">
        <v>14976</v>
      </c>
    </row>
    <row r="101" spans="1:6" x14ac:dyDescent="0.35">
      <c r="A101" s="1">
        <v>43556</v>
      </c>
      <c r="B101" s="3">
        <v>16983</v>
      </c>
      <c r="C101" s="7">
        <v>0.2</v>
      </c>
      <c r="D101" s="6">
        <f t="shared" si="2"/>
        <v>84915</v>
      </c>
      <c r="F101" s="3">
        <v>16983</v>
      </c>
    </row>
    <row r="102" spans="1:6" x14ac:dyDescent="0.35">
      <c r="A102" s="1">
        <v>43586</v>
      </c>
      <c r="B102" s="3">
        <v>22690</v>
      </c>
      <c r="C102" s="7">
        <v>0.21</v>
      </c>
      <c r="D102" s="6">
        <f t="shared" si="2"/>
        <v>108047.61904761905</v>
      </c>
      <c r="F102" s="3">
        <v>22690</v>
      </c>
    </row>
    <row r="103" spans="1:6" x14ac:dyDescent="0.35">
      <c r="C103" s="7"/>
      <c r="F103" s="3">
        <v>30273</v>
      </c>
    </row>
    <row r="104" spans="1:6" x14ac:dyDescent="0.35">
      <c r="C104" s="7"/>
      <c r="F104" s="3">
        <v>53044</v>
      </c>
    </row>
    <row r="105" spans="1:6" x14ac:dyDescent="0.35">
      <c r="C105" s="7"/>
      <c r="F105" s="3">
        <v>29875</v>
      </c>
    </row>
    <row r="106" spans="1:6" x14ac:dyDescent="0.35">
      <c r="C106" s="7"/>
      <c r="F106" s="3">
        <v>21068</v>
      </c>
    </row>
    <row r="107" spans="1:6" x14ac:dyDescent="0.35">
      <c r="C107" s="7"/>
      <c r="F107" s="3">
        <v>16346</v>
      </c>
    </row>
    <row r="108" spans="1:6" x14ac:dyDescent="0.35">
      <c r="C108" s="7"/>
      <c r="F108" s="3">
        <v>14069</v>
      </c>
    </row>
    <row r="109" spans="1:6" x14ac:dyDescent="0.35">
      <c r="C109" s="7"/>
      <c r="F109" s="3">
        <v>20721</v>
      </c>
    </row>
    <row r="110" spans="1:6" x14ac:dyDescent="0.35">
      <c r="C110" s="7"/>
    </row>
    <row r="111" spans="1:6" x14ac:dyDescent="0.35">
      <c r="C111" s="7"/>
    </row>
    <row r="112" spans="1:6" x14ac:dyDescent="0.35">
      <c r="C112" s="7"/>
    </row>
    <row r="113" spans="3:3" x14ac:dyDescent="0.35">
      <c r="C113" s="7"/>
    </row>
    <row r="114" spans="3:3" x14ac:dyDescent="0.35">
      <c r="C114" s="7"/>
    </row>
    <row r="115" spans="3:3" x14ac:dyDescent="0.35">
      <c r="C115" s="7"/>
    </row>
    <row r="116" spans="3:3" x14ac:dyDescent="0.35">
      <c r="C116" s="7"/>
    </row>
    <row r="117" spans="3:3" x14ac:dyDescent="0.35">
      <c r="C117" s="7"/>
    </row>
    <row r="118" spans="3:3" x14ac:dyDescent="0.35">
      <c r="C118" s="7"/>
    </row>
    <row r="119" spans="3:3" x14ac:dyDescent="0.35">
      <c r="C119" s="7"/>
    </row>
    <row r="120" spans="3:3" x14ac:dyDescent="0.35">
      <c r="C120" s="7"/>
    </row>
    <row r="121" spans="3:3" x14ac:dyDescent="0.35">
      <c r="C121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53D9-8DCD-41E5-AD21-276BE84ABC6D}">
  <dimension ref="A1:T20"/>
  <sheetViews>
    <sheetView showGridLines="0" zoomScale="130" zoomScaleNormal="130" workbookViewId="0">
      <selection activeCell="P21" sqref="P21"/>
    </sheetView>
  </sheetViews>
  <sheetFormatPr defaultRowHeight="14.5" x14ac:dyDescent="0.35"/>
  <cols>
    <col min="1" max="1" width="6.36328125" style="56" customWidth="1"/>
    <col min="2" max="11" width="6.36328125" customWidth="1"/>
    <col min="12" max="12" width="11.7265625" customWidth="1"/>
    <col min="13" max="13" width="6.36328125" customWidth="1"/>
    <col min="16" max="16" width="14.453125" customWidth="1"/>
    <col min="20" max="20" width="9.54296875" customWidth="1"/>
  </cols>
  <sheetData>
    <row r="1" spans="1:20" x14ac:dyDescent="0.35">
      <c r="A1" s="58" t="s">
        <v>32</v>
      </c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</row>
    <row r="2" spans="1:20" ht="1" customHeight="1" x14ac:dyDescent="0.35">
      <c r="A2"/>
    </row>
    <row r="3" spans="1:20" x14ac:dyDescent="0.35">
      <c r="A3" s="59">
        <v>2019</v>
      </c>
      <c r="B3" s="60">
        <v>16664</v>
      </c>
      <c r="C3" s="60">
        <v>11408</v>
      </c>
      <c r="D3" s="60">
        <v>14976</v>
      </c>
      <c r="E3" s="60">
        <v>16983</v>
      </c>
      <c r="F3" s="60">
        <v>22690</v>
      </c>
      <c r="G3" s="60">
        <v>30273</v>
      </c>
      <c r="H3" s="60">
        <v>53044</v>
      </c>
      <c r="I3" s="60">
        <v>29875</v>
      </c>
      <c r="J3" s="60">
        <v>21068</v>
      </c>
      <c r="K3" s="60">
        <v>16346</v>
      </c>
      <c r="L3" s="60">
        <v>14069</v>
      </c>
      <c r="M3" s="60">
        <v>20721</v>
      </c>
    </row>
    <row r="4" spans="1:20" x14ac:dyDescent="0.35">
      <c r="A4" s="59">
        <v>2018</v>
      </c>
      <c r="B4" s="60">
        <v>16825</v>
      </c>
      <c r="C4" s="60">
        <v>10731</v>
      </c>
      <c r="D4" s="60">
        <v>14564</v>
      </c>
      <c r="E4" s="60">
        <v>19525</v>
      </c>
      <c r="F4" s="60">
        <v>21849</v>
      </c>
      <c r="G4" s="60">
        <v>31875</v>
      </c>
      <c r="H4" s="60">
        <v>52222</v>
      </c>
      <c r="I4" s="60">
        <v>26034</v>
      </c>
      <c r="J4" s="60">
        <v>24298</v>
      </c>
      <c r="K4" s="60">
        <v>14355</v>
      </c>
      <c r="L4" s="60">
        <v>14595</v>
      </c>
      <c r="M4" s="60">
        <v>16251</v>
      </c>
      <c r="P4" t="s">
        <v>35</v>
      </c>
      <c r="Q4" t="s">
        <v>36</v>
      </c>
      <c r="R4" t="s">
        <v>34</v>
      </c>
      <c r="S4" t="s">
        <v>37</v>
      </c>
    </row>
    <row r="5" spans="1:20" x14ac:dyDescent="0.35">
      <c r="A5" s="59">
        <v>2017</v>
      </c>
      <c r="B5" s="60">
        <v>12944</v>
      </c>
      <c r="C5" s="60">
        <v>10263</v>
      </c>
      <c r="D5" s="60">
        <v>12393</v>
      </c>
      <c r="E5" s="60">
        <v>23894</v>
      </c>
      <c r="F5" s="60">
        <v>23393</v>
      </c>
      <c r="G5" s="60">
        <v>32057</v>
      </c>
      <c r="H5" s="60">
        <v>52243</v>
      </c>
      <c r="I5" s="60">
        <v>23549</v>
      </c>
      <c r="J5" s="60">
        <v>19045</v>
      </c>
      <c r="K5" s="60">
        <v>14190</v>
      </c>
      <c r="L5" s="60">
        <v>14902.568683369009</v>
      </c>
      <c r="M5" s="60">
        <v>14966.5</v>
      </c>
      <c r="P5" s="61">
        <v>8000000</v>
      </c>
      <c r="Q5" s="61">
        <v>10000000</v>
      </c>
      <c r="R5" s="61"/>
      <c r="S5" s="61">
        <v>2000000</v>
      </c>
    </row>
    <row r="6" spans="1:20" x14ac:dyDescent="0.35">
      <c r="A6" s="59">
        <v>2016</v>
      </c>
      <c r="B6" s="60">
        <v>21821</v>
      </c>
      <c r="C6" s="60">
        <v>11363</v>
      </c>
      <c r="D6" s="60">
        <v>12568</v>
      </c>
      <c r="E6" s="60">
        <v>17084</v>
      </c>
      <c r="F6" s="60">
        <v>27354</v>
      </c>
      <c r="G6" s="60">
        <v>28729</v>
      </c>
      <c r="H6" s="60">
        <v>49139</v>
      </c>
      <c r="I6" s="60">
        <v>24958</v>
      </c>
      <c r="J6" s="60">
        <v>18693</v>
      </c>
      <c r="K6" s="60">
        <v>10730</v>
      </c>
      <c r="L6" s="60">
        <v>11268.820434992915</v>
      </c>
      <c r="M6" s="60">
        <v>13682</v>
      </c>
      <c r="O6" s="62">
        <v>0.06</v>
      </c>
      <c r="P6" s="61">
        <f>$O$6*P5</f>
        <v>480000</v>
      </c>
      <c r="Q6" s="61">
        <f t="shared" ref="Q6:S6" si="0">$O$6*Q5</f>
        <v>600000</v>
      </c>
      <c r="R6" s="61"/>
      <c r="S6" s="61">
        <f t="shared" si="0"/>
        <v>120000</v>
      </c>
    </row>
    <row r="7" spans="1:20" x14ac:dyDescent="0.35">
      <c r="A7" s="59">
        <v>2015</v>
      </c>
      <c r="B7" s="60">
        <v>25073</v>
      </c>
      <c r="C7" s="60">
        <v>14359</v>
      </c>
      <c r="D7" s="60">
        <v>13406</v>
      </c>
      <c r="E7" s="60">
        <v>16723.5</v>
      </c>
      <c r="F7" s="60">
        <v>24959.5</v>
      </c>
      <c r="G7" s="60">
        <v>27846.5</v>
      </c>
      <c r="H7" s="60">
        <v>41229</v>
      </c>
      <c r="I7" s="60">
        <v>27402</v>
      </c>
      <c r="J7" s="60">
        <v>17507.5</v>
      </c>
      <c r="K7" s="60">
        <v>16234</v>
      </c>
      <c r="L7" s="60">
        <v>13888</v>
      </c>
      <c r="M7" s="60">
        <v>14448</v>
      </c>
      <c r="O7" s="62">
        <v>7.0000000000000007E-2</v>
      </c>
      <c r="P7" s="61">
        <f>$O$7*P5</f>
        <v>560000</v>
      </c>
      <c r="Q7" s="61">
        <f t="shared" ref="Q7" si="1">$O$7*Q5</f>
        <v>700000.00000000012</v>
      </c>
      <c r="R7" s="61">
        <f>Q7-Q6</f>
        <v>100000.00000000012</v>
      </c>
      <c r="S7" s="61">
        <f>$O$7*S5</f>
        <v>140000</v>
      </c>
      <c r="T7" s="16">
        <f>(Q7+S7)</f>
        <v>840000.00000000012</v>
      </c>
    </row>
    <row r="8" spans="1:20" x14ac:dyDescent="0.35">
      <c r="A8" s="59">
        <v>2014</v>
      </c>
      <c r="B8" s="60">
        <v>15380</v>
      </c>
      <c r="C8" s="60">
        <v>13091.5</v>
      </c>
      <c r="D8" s="60">
        <v>14244</v>
      </c>
      <c r="E8" s="60">
        <v>16363</v>
      </c>
      <c r="F8" s="60">
        <v>22565</v>
      </c>
      <c r="G8" s="60">
        <v>26964</v>
      </c>
      <c r="H8" s="60">
        <v>39476</v>
      </c>
      <c r="I8" s="60">
        <v>29090</v>
      </c>
      <c r="J8" s="60">
        <v>16322</v>
      </c>
      <c r="K8" s="60">
        <v>13218</v>
      </c>
      <c r="L8" s="60">
        <v>16294</v>
      </c>
      <c r="M8" s="60">
        <v>16298</v>
      </c>
      <c r="O8" s="62">
        <v>0.1</v>
      </c>
      <c r="P8" s="61"/>
      <c r="Q8" s="61"/>
      <c r="R8" s="61"/>
      <c r="S8" s="61">
        <f>$O$8*S6</f>
        <v>12000</v>
      </c>
      <c r="T8" s="16">
        <f>Q7+S8</f>
        <v>712000.00000000012</v>
      </c>
    </row>
    <row r="9" spans="1:20" x14ac:dyDescent="0.35">
      <c r="A9" s="59">
        <v>2013</v>
      </c>
      <c r="B9" s="60">
        <v>13820</v>
      </c>
      <c r="C9" s="60">
        <v>11824</v>
      </c>
      <c r="D9" s="60">
        <v>14459</v>
      </c>
      <c r="E9" s="60">
        <v>15396</v>
      </c>
      <c r="F9" s="60">
        <v>25065</v>
      </c>
      <c r="G9" s="60">
        <v>14396</v>
      </c>
      <c r="H9" s="60">
        <v>44690</v>
      </c>
      <c r="I9" s="60">
        <v>23687</v>
      </c>
      <c r="J9" s="60">
        <v>16516</v>
      </c>
      <c r="K9" s="60">
        <v>11836</v>
      </c>
      <c r="L9" s="60">
        <v>11911</v>
      </c>
      <c r="M9" s="60">
        <v>11542</v>
      </c>
      <c r="O9" t="s">
        <v>34</v>
      </c>
      <c r="Q9" s="16">
        <f>Q7-Q6</f>
        <v>100000.00000000012</v>
      </c>
      <c r="R9" s="16"/>
      <c r="T9" s="16">
        <f>T7-T8</f>
        <v>128000</v>
      </c>
    </row>
    <row r="10" spans="1:20" x14ac:dyDescent="0.35">
      <c r="A10" s="59">
        <v>2012</v>
      </c>
      <c r="B10" s="60">
        <v>9542</v>
      </c>
      <c r="C10" s="60">
        <v>8553</v>
      </c>
      <c r="D10" s="60">
        <v>11729.218750204504</v>
      </c>
      <c r="E10" s="60">
        <v>10117</v>
      </c>
      <c r="F10" s="60">
        <v>14270</v>
      </c>
      <c r="G10" s="60">
        <v>23657</v>
      </c>
      <c r="H10" s="60">
        <v>42125</v>
      </c>
      <c r="I10" s="60">
        <v>18882</v>
      </c>
      <c r="J10" s="60">
        <v>18395</v>
      </c>
      <c r="K10" s="60">
        <v>10940.784999999916</v>
      </c>
      <c r="L10" s="60">
        <v>11097</v>
      </c>
      <c r="M10" s="60">
        <v>12120</v>
      </c>
    </row>
    <row r="11" spans="1:20" x14ac:dyDescent="0.35">
      <c r="A11" s="59">
        <v>2011</v>
      </c>
      <c r="B11" s="60">
        <v>8642</v>
      </c>
      <c r="C11" s="60">
        <v>7735.3150845172731</v>
      </c>
      <c r="D11" s="60">
        <v>8999.437500409007</v>
      </c>
      <c r="E11" s="60">
        <v>11734.24741507372</v>
      </c>
      <c r="F11" s="60">
        <v>14978</v>
      </c>
      <c r="G11" s="60">
        <v>23018</v>
      </c>
      <c r="H11" s="60">
        <v>39232</v>
      </c>
      <c r="I11" s="60">
        <v>16200</v>
      </c>
      <c r="J11" s="60">
        <v>15397.860000000102</v>
      </c>
      <c r="K11" s="60">
        <v>10045.569999999832</v>
      </c>
      <c r="L11" s="60">
        <v>12211.540000000037</v>
      </c>
      <c r="M11" s="60">
        <v>10781.929999999935</v>
      </c>
    </row>
    <row r="16" spans="1:20" x14ac:dyDescent="0.35">
      <c r="L16">
        <v>13222</v>
      </c>
    </row>
    <row r="17" spans="12:12" x14ac:dyDescent="0.35">
      <c r="L17">
        <v>2.15</v>
      </c>
    </row>
    <row r="18" spans="12:12" x14ac:dyDescent="0.35">
      <c r="L18">
        <f>L16*L17</f>
        <v>28427.3</v>
      </c>
    </row>
    <row r="19" spans="12:12" x14ac:dyDescent="0.35">
      <c r="L19" s="6">
        <f>L18/0.1845</f>
        <v>154077.50677506774</v>
      </c>
    </row>
    <row r="20" spans="12:12" x14ac:dyDescent="0.35">
      <c r="L20" s="6">
        <f>L18/0.2082</f>
        <v>136538.4245917387</v>
      </c>
    </row>
  </sheetData>
  <pageMargins left="0.511811024" right="0.511811024" top="0.78740157499999996" bottom="0.78740157499999996" header="0.31496062000000002" footer="0.31496062000000002"/>
  <ignoredErrors>
    <ignoredError sqref="R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Pre-Processamento</vt:lpstr>
      <vt:lpstr>Bilhetes x Visita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Braga Mandu</dc:creator>
  <cp:lastModifiedBy>Julio Braga Mandu</cp:lastModifiedBy>
  <cp:lastPrinted>2024-03-22T17:18:09Z</cp:lastPrinted>
  <dcterms:created xsi:type="dcterms:W3CDTF">2023-11-13T20:33:21Z</dcterms:created>
  <dcterms:modified xsi:type="dcterms:W3CDTF">2024-08-09T18:03:43Z</dcterms:modified>
</cp:coreProperties>
</file>