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media/image1.png" ContentType="image/png"/>
  <Override PartName="/xl/comments5.xml" ContentType="application/vnd.openxmlformats-officedocument.spreadsheetml.comments+xml"/>
  <Override PartName="/xl/charts/chart1.xml" ContentType="application/vnd.openxmlformats-officedocument.drawingml.chart+xml"/>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come Breakdown" sheetId="1" state="visible" r:id="rId2"/>
    <sheet name="Monthly Budget" sheetId="2" state="visible" r:id="rId3"/>
    <sheet name="Mortgage Calculator" sheetId="3" state="visible" r:id="rId4"/>
    <sheet name="Tax Data" sheetId="4" state="visible" r:id="rId5"/>
    <sheet name="401k" sheetId="5" state="visible" r:id="rId6"/>
  </sheets>
  <definedNames>
    <definedName function="false" hidden="false" localSheetId="4" name="_xlnm.Print_Titles" vbProcedure="false">401k!$32:$32</definedName>
    <definedName function="false" hidden="false" name="coRates1" vbProcedure="false">'Tax Data'!$S$7:$U$8</definedName>
    <definedName function="false" hidden="false" name="coRates2" vbProcedure="false">'Tax Data'!$S$15:$U$16</definedName>
    <definedName function="false" hidden="false" name="gaRates1" vbProcedure="false">'Tax Data'!$K$7:$M$13</definedName>
    <definedName function="false" hidden="false" name="gaRates2" vbProcedure="false">'Tax Data'!$K$15:$M$21</definedName>
    <definedName function="false" hidden="false" name="inc" vbProcedure="false">'Income Breakdown'!$D$12</definedName>
    <definedName function="false" hidden="false" name="inc2" vbProcedure="false">'Income Breakdown'!$K$12</definedName>
    <definedName function="false" hidden="false" name="inc2stanDeduc" vbProcedure="false">'Income Breakdown'!$M$12</definedName>
    <definedName function="false" hidden="false" name="incStanDeduc" vbProcedure="false">'Income Breakdown'!$F$12</definedName>
    <definedName function="false" hidden="false" name="maRates1" vbProcedure="false">'Tax Data'!$S$25:$U$26</definedName>
    <definedName function="false" hidden="false" name="maRates2" vbProcedure="false">'Tax Data'!$S$33:$U$34</definedName>
    <definedName function="false" hidden="false" name="meRates1" vbProcedure="false">'Tax Data'!$K$25:$M$28</definedName>
    <definedName function="false" hidden="false" name="meRates2" vbProcedure="false">'Tax Data'!$K$33:$M$36</definedName>
    <definedName function="false" hidden="false" name="nper" vbProcedure="false">401k!$E$18</definedName>
    <definedName function="false" hidden="false" name="orRates1" vbProcedure="false">'Tax Data'!$O$7:$Q$11</definedName>
    <definedName function="false" hidden="false" name="orRates2" vbProcedure="false">'Tax Data'!$O$15:$Q$19</definedName>
    <definedName function="false" hidden="false" name="randrate" vbProcedure="false">401k!$H$21</definedName>
    <definedName function="false" hidden="false" name="rates1" vbProcedure="false">'Tax Data'!$J$42:$L$48</definedName>
    <definedName function="false" hidden="false" name="rates2" vbProcedure="false">'Tax Data'!$M$42:$O$48</definedName>
    <definedName function="false" hidden="false" name="rates3" vbProcedure="false">'Tax Data'!$P$42:$R$48</definedName>
    <definedName function="false" hidden="false" name="rates4" vbProcedure="false">'Tax Data'!$S$42:$U$48</definedName>
    <definedName function="false" hidden="false" name="ratesFour" vbProcedure="false">'Tax Data'!$S$42:$U$48</definedName>
    <definedName function="false" hidden="false" name="ratesOne" vbProcedure="false">'Tax Data'!$J$42:$L$48</definedName>
    <definedName function="false" hidden="false" name="ratesThree" vbProcedure="false">'Tax Data'!$P$42:$R$48</definedName>
    <definedName function="false" hidden="false" name="ratesTwo" vbProcedure="false">'Tax Data'!$M$42:$O$48</definedName>
    <definedName function="false" hidden="false" name="stanDeduc1" vbProcedure="false">'Tax Data'!$I$6</definedName>
    <definedName function="false" hidden="false" name="stanDeduc2" vbProcedure="false">'Tax Data'!$I$7</definedName>
    <definedName function="false" hidden="false" name="stanDeduc3" vbProcedure="false">'Tax Data'!$I$8</definedName>
    <definedName function="false" hidden="false" name="stanDeduc4" vbProcedure="false">'Tax Data'!$I$9</definedName>
    <definedName function="false" hidden="false" name="vaRates1" vbProcedure="false">'Tax Data'!$O$25:$Q$29</definedName>
    <definedName function="false" hidden="false" name="vaRates2" vbProcedure="false">'Tax Data'!$O$33:$Q$37</definedName>
    <definedName function="false" hidden="false" localSheetId="4" name="solver_adj" vbProcedure="false">401k!$E$17,401k!$E$11,401k!$E$8</definedName>
    <definedName function="false" hidden="false" localSheetId="4" name="solver_cvg" vbProcedure="false">0.0001</definedName>
    <definedName function="false" hidden="false" localSheetId="4" name="solver_drv" vbProcedure="false">1</definedName>
    <definedName function="false" hidden="false" localSheetId="4" name="solver_est" vbProcedure="false">1</definedName>
    <definedName function="false" hidden="false" localSheetId="4" name="solver_itr" vbProcedure="false">100</definedName>
    <definedName function="false" hidden="false" localSheetId="4" name="solver_lin" vbProcedure="false">2</definedName>
    <definedName function="false" hidden="false" localSheetId="4" name="solver_neg" vbProcedure="false">2</definedName>
    <definedName function="false" hidden="false" localSheetId="4" name="solver_num" vbProcedure="false">0</definedName>
    <definedName function="false" hidden="false" localSheetId="4" name="solver_nwt" vbProcedure="false">1</definedName>
    <definedName function="false" hidden="false" localSheetId="4" name="solver_opt" vbProcedure="false">'401k' #REF!</definedName>
    <definedName function="false" hidden="false" localSheetId="4" name="solver_pre" vbProcedure="false">0.000001</definedName>
    <definedName function="false" hidden="false" localSheetId="4" name="solver_scl" vbProcedure="false">2</definedName>
    <definedName function="false" hidden="false" localSheetId="4" name="solver_sho" vbProcedure="false">2</definedName>
    <definedName function="false" hidden="false" localSheetId="4" name="solver_tim" vbProcedure="false">100</definedName>
    <definedName function="false" hidden="false" localSheetId="4" name="solver_tol" vbProcedure="false">0.05</definedName>
    <definedName function="false" hidden="false" localSheetId="4" name="solver_typ" vbProcedure="false">2</definedName>
    <definedName function="false" hidden="false" localSheetId="4" name="solver_val" vbProcedure="false">1000</definedName>
    <definedName function="false" hidden="false" localSheetId="4" name="_xlnm.Print_Area" vbProcedure="false">OFFSET(401k!$A$1,0,0,ROW(401k!$A$32)+1+401k!$H$5,8)</definedName>
  </definedNames>
  <calcPr iterateCount="100" refMode="A1" iterate="false" iterateDelta="0.001"/>
  <extLst>
    <ext xmlns:loext="http://schemas.libreoffice.org/" uri="{7626C862-2A13-11E5-B345-FEFF819CDC9F}">
      <loext:extCalcPr stringRefSyntax="CalcA1ExcelA1"/>
    </ext>
  </extLst>
</workbook>
</file>

<file path=xl/comments5.xml><?xml version="1.0" encoding="utf-8"?>
<comments xmlns="http://schemas.openxmlformats.org/spreadsheetml/2006/main" xmlns:xdr="http://schemas.openxmlformats.org/drawingml/2006/spreadsheetDrawing">
  <authors>
    <author> </author>
  </authors>
  <commentList>
    <comment ref="C32" authorId="0">
      <text>
        <r>
          <rPr>
            <sz val="10"/>
            <rFont val="Arial"/>
            <family val="2"/>
            <charset val="1"/>
          </rPr>
          <t xml:space="preserve">Expected Annual Return:
</t>
        </r>
        <r>
          <rPr>
            <sz val="8"/>
            <color rgb="FF000000"/>
            <rFont val="Tahoma"/>
            <family val="2"/>
            <charset val="1"/>
          </rPr>
          <t xml:space="preserve">To vary the rate over time, delete the formulas in this column and either add your own formulas or enter the rates manually.
</t>
        </r>
        <r>
          <rPr>
            <b val="true"/>
            <sz val="8"/>
            <color rgb="FF000000"/>
            <rFont val="Tahoma"/>
            <family val="2"/>
            <charset val="1"/>
          </rPr>
          <t xml:space="preserve">Random Rate Formula:
</t>
        </r>
        <r>
          <rPr>
            <sz val="8"/>
            <color rgb="FF000000"/>
            <rFont val="Tahoma"/>
            <family val="2"/>
            <charset val="1"/>
          </rPr>
          <t xml:space="preserve">Random rate between -2% and 10%
  =min+RAND()*(max-min)
  where min=-0.02 and max=0.10
</t>
        </r>
      </text>
    </comment>
    <comment ref="D5" authorId="0">
      <text>
        <r>
          <rPr>
            <sz val="10"/>
            <rFont val="Arial"/>
            <family val="2"/>
            <charset val="1"/>
          </rPr>
          <t xml:space="preserve">Current Age:
</t>
        </r>
        <r>
          <rPr>
            <sz val="8"/>
            <color rgb="FF000000"/>
            <rFont val="Tahoma"/>
            <family val="2"/>
            <charset val="1"/>
          </rPr>
          <t xml:space="preserve">This is used to calculate the number of years to invest.</t>
        </r>
      </text>
    </comment>
    <comment ref="D6" authorId="0">
      <text>
        <r>
          <rPr>
            <sz val="10"/>
            <rFont val="Arial"/>
            <family val="2"/>
            <charset val="1"/>
          </rPr>
          <t xml:space="preserve">Age at Retirement:
</t>
        </r>
        <r>
          <rPr>
            <sz val="8"/>
            <color rgb="FF000000"/>
            <rFont val="Tahoma"/>
            <family val="2"/>
            <charset val="1"/>
          </rPr>
          <t xml:space="preserve">This is used to estimate the number of years to invest.</t>
        </r>
      </text>
    </comment>
    <comment ref="D12" authorId="0">
      <text>
        <r>
          <rPr>
            <sz val="10"/>
            <rFont val="Arial"/>
            <family val="2"/>
            <charset val="1"/>
          </rPr>
          <t xml:space="preserve">Percent Contribution:
</t>
        </r>
        <r>
          <rPr>
            <sz val="8"/>
            <color rgb="FF000000"/>
            <rFont val="Tahoma"/>
            <family val="2"/>
            <charset val="1"/>
          </rPr>
          <t xml:space="preserve">The amount that you will contribute is based on the percentage of your salary. It is usually withheld from your paycheck and deposited into your 401(k) automatically. Many companies limit the maximum amount that you can contribute (often 15% max).
</t>
        </r>
      </text>
    </comment>
    <comment ref="D13" authorId="0">
      <text>
        <r>
          <rPr>
            <sz val="10"/>
            <rFont val="Arial"/>
            <family val="2"/>
            <charset val="1"/>
          </rPr>
          <t xml:space="preserve">Employer Match:
</t>
        </r>
        <r>
          <rPr>
            <sz val="9"/>
            <color rgb="FF000000"/>
            <rFont val="Tahoma"/>
            <family val="2"/>
            <charset val="1"/>
          </rPr>
          <t xml:space="preserve">This is the amount your employer contributes, specified as a percentage of your contribution.
For example, if you contributed $1000 and your company matches 50%, then your company would contribute $500.</t>
        </r>
      </text>
    </comment>
    <comment ref="D14" authorId="0">
      <text>
        <r>
          <rPr>
            <sz val="10"/>
            <rFont val="Arial"/>
            <family val="2"/>
            <charset val="1"/>
          </rPr>
          <t xml:space="preserve">Maximum Employee % Contribution (for Employer Match)
</t>
        </r>
        <r>
          <rPr>
            <sz val="9"/>
            <color rgb="FF000000"/>
            <rFont val="Tahoma"/>
            <family val="2"/>
            <charset val="1"/>
          </rPr>
          <t xml:space="preserve">There is usually a limit to how much of your contribution your company will match. The maximum employer contribution is often stated as "50% match up to 6% of your salary." For this spreadsheet, this should be interpreted as "</t>
        </r>
        <r>
          <rPr>
            <b val="true"/>
            <sz val="9"/>
            <color rgb="FF000000"/>
            <rFont val="Tahoma"/>
            <family val="2"/>
            <charset val="1"/>
          </rPr>
          <t xml:space="preserve">50% match up to an employee contribution of 6%.</t>
        </r>
        <r>
          <rPr>
            <sz val="9"/>
            <color rgb="FF000000"/>
            <rFont val="Tahoma"/>
            <family val="2"/>
            <charset val="1"/>
          </rPr>
          <t xml:space="preserve">" This means that the company stops matching the rest of your contribution if you contribute more than 6% of your salary.</t>
        </r>
      </text>
    </comment>
    <comment ref="D17" authorId="0">
      <text>
        <r>
          <rPr>
            <sz val="10"/>
            <rFont val="Arial"/>
            <family val="2"/>
            <charset val="1"/>
          </rPr>
          <t xml:space="preserve">Annual Rate of Return:
</t>
        </r>
        <r>
          <rPr>
            <sz val="8"/>
            <color rgb="FF000000"/>
            <rFont val="Tahoma"/>
            <family val="2"/>
            <charset val="1"/>
          </rPr>
          <t xml:space="preserve">This spreadsheet assumes a </t>
        </r>
        <r>
          <rPr>
            <b val="true"/>
            <sz val="8"/>
            <color rgb="FF000000"/>
            <rFont val="Tahoma"/>
            <family val="2"/>
            <charset val="1"/>
          </rPr>
          <t xml:space="preserve">fixed </t>
        </r>
        <r>
          <rPr>
            <sz val="8"/>
            <color rgb="FF000000"/>
            <rFont val="Tahoma"/>
            <family val="2"/>
            <charset val="1"/>
          </rPr>
          <t xml:space="preserve">annual interest rate, unless the "Use Random Rates" box is checked.</t>
        </r>
      </text>
    </comment>
    <comment ref="D18" authorId="0">
      <text>
        <r>
          <rPr>
            <sz val="10"/>
            <rFont val="Arial"/>
            <family val="2"/>
            <charset val="1"/>
          </rPr>
          <t xml:space="preserve">Payments Per Year:
</t>
        </r>
        <r>
          <rPr>
            <sz val="8"/>
            <color rgb="FF000000"/>
            <rFont val="Tahoma"/>
            <family val="2"/>
            <charset val="1"/>
          </rPr>
          <t xml:space="preserve">The number of contributions made per year.
Usually based on how often you receive your paycheck.
12 = Monthly
24 = Semi-Monthly (twice per month)
26 = Bi-Weekly (once every two weeks)
52 = Weekly
13 = Every 4 weeks
4 = Quarterly (four times per year)
2 = Semi-annually
1 = Annually</t>
        </r>
      </text>
    </comment>
    <comment ref="D32" authorId="0">
      <text>
        <r>
          <rPr>
            <sz val="10"/>
            <rFont val="Arial"/>
            <family val="2"/>
            <charset val="1"/>
          </rPr>
          <t xml:space="preserve">Salary:
</t>
        </r>
        <r>
          <rPr>
            <sz val="8"/>
            <color rgb="FF000000"/>
            <rFont val="Tahoma"/>
            <family val="2"/>
            <charset val="1"/>
          </rPr>
          <t xml:space="preserve">The contributions for each year are based on the salary in this column. </t>
        </r>
      </text>
    </comment>
    <comment ref="E15" authorId="0">
      <text>
        <r>
          <rPr>
            <sz val="10"/>
            <rFont val="Arial"/>
            <family val="2"/>
            <charset val="1"/>
          </rPr>
          <t xml:space="preserve">Contribution Limit Warning:
</t>
        </r>
        <r>
          <rPr>
            <sz val="8"/>
            <color rgb="FF000000"/>
            <rFont val="Tahoma"/>
            <family val="2"/>
            <charset val="1"/>
          </rPr>
          <t xml:space="preserve">The calculator allows you to make contributions over the IRS limit, but this cell will warn you whether your first annual contribution is over the limit.</t>
        </r>
      </text>
    </comment>
    <comment ref="E32" authorId="0">
      <text>
        <r>
          <rPr>
            <sz val="10"/>
            <rFont val="Arial"/>
            <family val="2"/>
            <charset val="1"/>
          </rPr>
          <t xml:space="preserve">Your Annual Contribution:
</t>
        </r>
        <r>
          <rPr>
            <sz val="8"/>
            <color rgb="FF000000"/>
            <rFont val="Tahoma"/>
            <family val="2"/>
            <charset val="1"/>
          </rPr>
          <t xml:space="preserve">This calculator does not take into account whether your contributions are pre-tax or after tax (i.e. a Roth 401k).</t>
        </r>
      </text>
    </comment>
    <comment ref="E33" authorId="0">
      <text>
        <r>
          <rPr>
            <sz val="10"/>
            <rFont val="Arial"/>
            <family val="2"/>
            <charset val="1"/>
          </rPr>
          <t xml:space="preserve">Annual Contributions To-Date:
</t>
        </r>
        <r>
          <rPr>
            <sz val="8"/>
            <color rgb="FF000000"/>
            <rFont val="Tahoma"/>
            <family val="2"/>
            <charset val="1"/>
          </rPr>
          <t xml:space="preserve">If you have a starting 401(k) balance, look on your last statement to determine how much you have contributed to date, and enter that value here.</t>
        </r>
      </text>
    </comment>
    <comment ref="F32" authorId="0">
      <text>
        <r>
          <rPr>
            <sz val="10"/>
            <rFont val="Arial"/>
            <family val="2"/>
            <charset val="1"/>
          </rPr>
          <t xml:space="preserve">Annual Employer Contribution
</t>
        </r>
        <r>
          <rPr>
            <sz val="8"/>
            <color rgb="FF000000"/>
            <rFont val="Tahoma"/>
            <family val="2"/>
            <charset val="1"/>
          </rPr>
          <t xml:space="preserve">The amount your employer matches during the year.</t>
        </r>
      </text>
    </comment>
    <comment ref="F33" authorId="0">
      <text>
        <r>
          <rPr>
            <sz val="10"/>
            <rFont val="Arial"/>
            <family val="2"/>
            <charset val="1"/>
          </rPr>
          <t xml:space="preserve">Employer Contributions To-Date:
</t>
        </r>
        <r>
          <rPr>
            <sz val="8"/>
            <color rgb="FF000000"/>
            <rFont val="Tahoma"/>
            <family val="2"/>
            <charset val="1"/>
          </rPr>
          <t xml:space="preserve">If you have a starting 401(k) balance, look on your last statement to determine how much </t>
        </r>
        <r>
          <rPr>
            <b val="true"/>
            <sz val="8"/>
            <color rgb="FF000000"/>
            <rFont val="Tahoma"/>
            <family val="2"/>
            <charset val="1"/>
          </rPr>
          <t xml:space="preserve">your employer </t>
        </r>
        <r>
          <rPr>
            <sz val="8"/>
            <color rgb="FF000000"/>
            <rFont val="Tahoma"/>
            <family val="2"/>
            <charset val="1"/>
          </rPr>
          <t xml:space="preserve">has contributed to date, and enter that value here.</t>
        </r>
      </text>
    </comment>
    <comment ref="G5" authorId="0">
      <text>
        <r>
          <rPr>
            <sz val="10"/>
            <rFont val="Arial"/>
            <family val="2"/>
            <charset val="1"/>
          </rPr>
          <t xml:space="preserve">Years to Invest:
</t>
        </r>
        <r>
          <rPr>
            <sz val="8"/>
            <color rgb="FF000000"/>
            <rFont val="Tahoma"/>
            <family val="2"/>
            <charset val="1"/>
          </rPr>
          <t xml:space="preserve">Number of years to make contributions to your 401(k). The calculator is currently set up to calculate this value based on your current age and age at retirement, but you can override the formula here to enter a specific value.</t>
        </r>
      </text>
    </comment>
    <comment ref="G22" authorId="0">
      <text>
        <r>
          <rPr>
            <sz val="10"/>
            <rFont val="Arial"/>
            <family val="2"/>
            <charset val="1"/>
          </rPr>
          <t xml:space="preserve">Random Rates:
</t>
        </r>
        <r>
          <rPr>
            <sz val="8"/>
            <color rgb="FF000000"/>
            <rFont val="Tahoma"/>
            <family val="2"/>
            <charset val="1"/>
          </rPr>
          <t xml:space="preserve">If you choose the "On" option, the rate column will calculate the random rate between the Min and Max rates that you specify below. To recalculate the spreadsheet, press F9.</t>
        </r>
      </text>
    </comment>
    <comment ref="G25" authorId="0">
      <text>
        <r>
          <rPr>
            <sz val="10"/>
            <rFont val="Arial"/>
            <family val="2"/>
            <charset val="1"/>
          </rPr>
          <t xml:space="preserve">Average Rate:
</t>
        </r>
        <r>
          <rPr>
            <sz val="8"/>
            <color rgb="FF000000"/>
            <rFont val="Tahoma"/>
            <family val="2"/>
            <charset val="1"/>
          </rPr>
          <t xml:space="preserve">The average rate is calculated as the average of the </t>
        </r>
        <r>
          <rPr>
            <b val="true"/>
            <sz val="8"/>
            <color rgb="FF000000"/>
            <rFont val="Tahoma"/>
            <family val="2"/>
            <charset val="1"/>
          </rPr>
          <t xml:space="preserve">Rate</t>
        </r>
        <r>
          <rPr>
            <sz val="8"/>
            <color rgb="FF000000"/>
            <rFont val="Tahoma"/>
            <family val="2"/>
            <charset val="1"/>
          </rPr>
          <t xml:space="preserve"> column for the specified number of years until retirement. This doesn't have any relationship to Internal Rate of Return.</t>
        </r>
      </text>
    </comment>
    <comment ref="G32" authorId="0">
      <text>
        <r>
          <rPr>
            <sz val="10"/>
            <rFont val="Arial"/>
            <family val="2"/>
            <charset val="1"/>
          </rPr>
          <t xml:space="preserve">Estimated Annual Interest:
</t>
        </r>
        <r>
          <rPr>
            <sz val="8"/>
            <color rgb="FF000000"/>
            <rFont val="Tahoma"/>
            <family val="2"/>
            <charset val="1"/>
          </rPr>
          <t xml:space="preserve">The interest is calculated using the FV formula to account for the fact that the contributions are made in equal payments each time you receive your paycheck. This actually has a pretty minimal effect compared to fluctuations in annual rates of return.</t>
        </r>
      </text>
    </comment>
    <comment ref="H32" authorId="0">
      <text>
        <r>
          <rPr>
            <sz val="10"/>
            <rFont val="Arial"/>
            <family val="2"/>
            <charset val="1"/>
          </rPr>
          <t xml:space="preserve">Balance at the </t>
        </r>
        <r>
          <rPr>
            <b val="true"/>
            <sz val="8"/>
            <color rgb="FF000000"/>
            <rFont val="Tahoma"/>
            <family val="2"/>
            <charset val="1"/>
          </rPr>
          <t xml:space="preserve">end of the year</t>
        </r>
        <r>
          <rPr>
            <sz val="8"/>
            <color rgb="FF000000"/>
            <rFont val="Tahoma"/>
            <family val="2"/>
            <charset val="1"/>
          </rPr>
          <t xml:space="preserve">.</t>
        </r>
      </text>
    </comment>
    <comment ref="J32" authorId="0">
      <text>
        <r>
          <rPr>
            <sz val="10"/>
            <rFont val="Arial"/>
            <family val="2"/>
            <charset val="1"/>
          </rPr>
          <t xml:space="preserve">This column is used to create the "My Contribution" line in the graph.</t>
        </r>
      </text>
    </comment>
    <comment ref="K32" authorId="0">
      <text>
        <r>
          <rPr>
            <sz val="10"/>
            <rFont val="Arial"/>
            <family val="2"/>
            <charset val="1"/>
          </rPr>
          <t xml:space="preserve">This column is used to create the "Total Contribution" line on the graph.</t>
        </r>
      </text>
    </comment>
  </commentList>
</comments>
</file>

<file path=xl/sharedStrings.xml><?xml version="1.0" encoding="utf-8"?>
<sst xmlns="http://schemas.openxmlformats.org/spreadsheetml/2006/main" count="347" uniqueCount="182">
  <si>
    <t xml:space="preserve">Income Breakdown</t>
  </si>
  <si>
    <t xml:space="preserve">Calculates real income accounting for 401k deductions and taxes, along with adjustable tax bracket modifiers and a breakdown of calculations; includes a planned budget to determine annual, monthly, and bi-weekly spending plan and savings accrual for mortgage and student loans.</t>
  </si>
  <si>
    <t xml:space="preserve">Financial Statement</t>
  </si>
  <si>
    <t xml:space="preserve">Jared</t>
  </si>
  <si>
    <t xml:space="preserve">Income</t>
  </si>
  <si>
    <t xml:space="preserve">401k Rate</t>
  </si>
  <si>
    <t xml:space="preserve">Medical Insurance Monthly Contributions</t>
  </si>
  <si>
    <t xml:space="preserve">Dental Insurance Monthly Contributions</t>
  </si>
  <si>
    <t xml:space="preserve">Vision Insurance Monthly Contributions</t>
  </si>
  <si>
    <t xml:space="preserve">Federal Tax Filing Status</t>
  </si>
  <si>
    <t xml:space="preserve">Single</t>
  </si>
  <si>
    <t xml:space="preserve">State Tax Filing Status</t>
  </si>
  <si>
    <t xml:space="preserve">GA: Single</t>
  </si>
  <si>
    <t xml:space="preserve">Post-Standard Deduction</t>
  </si>
  <si>
    <t xml:space="preserve">Income after Pre-Tax Deductions</t>
  </si>
  <si>
    <t xml:space="preserve">Federal Tax</t>
  </si>
  <si>
    <t xml:space="preserve">(Marginal Rate)</t>
  </si>
  <si>
    <t xml:space="preserve">(Effective Rate)</t>
  </si>
  <si>
    <t xml:space="preserve">FICA</t>
  </si>
  <si>
    <t xml:space="preserve">Taxes Paid</t>
  </si>
  <si>
    <t xml:space="preserve">State Tax</t>
  </si>
  <si>
    <t xml:space="preserve">Yearly</t>
  </si>
  <si>
    <t xml:space="preserve">Monthly</t>
  </si>
  <si>
    <t xml:space="preserve">Bi-Weekly</t>
  </si>
  <si>
    <t xml:space="preserve">Income after Tax</t>
  </si>
  <si>
    <t xml:space="preserve">Expenses</t>
  </si>
  <si>
    <t xml:space="preserve">Note: Change Monthly Column Values Only</t>
  </si>
  <si>
    <t xml:space="preserve">Rent</t>
  </si>
  <si>
    <t xml:space="preserve">Water</t>
  </si>
  <si>
    <t xml:space="preserve">Electric</t>
  </si>
  <si>
    <t xml:space="preserve">Gas (utility)</t>
  </si>
  <si>
    <t xml:space="preserve">Phone</t>
  </si>
  <si>
    <t xml:space="preserve">Internet</t>
  </si>
  <si>
    <t xml:space="preserve">Car Note</t>
  </si>
  <si>
    <t xml:space="preserve">Car Insurance</t>
  </si>
  <si>
    <t xml:space="preserve">Gas (vehicle)</t>
  </si>
  <si>
    <t xml:space="preserve">Groceries</t>
  </si>
  <si>
    <t xml:space="preserve">Entertainment</t>
  </si>
  <si>
    <t xml:space="preserve">Medical Insurance</t>
  </si>
  <si>
    <t xml:space="preserve">Dental Insurance</t>
  </si>
  <si>
    <t xml:space="preserve">Vision Insurance</t>
  </si>
  <si>
    <t xml:space="preserve">Prescriptions</t>
  </si>
  <si>
    <t xml:space="preserve">Renters Insurance</t>
  </si>
  <si>
    <t xml:space="preserve">Student Loans</t>
  </si>
  <si>
    <t xml:space="preserve">Subtotal</t>
  </si>
  <si>
    <t xml:space="preserve">Emergency Fund/Vacation</t>
  </si>
  <si>
    <t xml:space="preserve">Mortgage</t>
  </si>
  <si>
    <t xml:space="preserve">Total</t>
  </si>
  <si>
    <t xml:space="preserve">Mortgage Savings Timeline</t>
  </si>
  <si>
    <t xml:space="preserve">Remaining Income</t>
  </si>
  <si>
    <t xml:space="preserve">1-Year</t>
  </si>
  <si>
    <t xml:space="preserve">3-Year</t>
  </si>
  <si>
    <t xml:space="preserve">5-Year</t>
  </si>
  <si>
    <t xml:space="preserve">Student Loans Timeline</t>
  </si>
  <si>
    <t xml:space="preserve">2-Year</t>
  </si>
  <si>
    <t xml:space="preserve">Monthly Budget</t>
  </si>
  <si>
    <t xml:space="preserve">To keep track of real-data spending habits and to compare with planned budget on ‘Income Breakdown’.*</t>
  </si>
  <si>
    <t xml:space="preserve">*Categories for Entertainment and Grocery can be adjusted.</t>
  </si>
  <si>
    <t xml:space="preserve">January</t>
  </si>
  <si>
    <t xml:space="preserve">February</t>
  </si>
  <si>
    <t xml:space="preserve">March</t>
  </si>
  <si>
    <t xml:space="preserve">April</t>
  </si>
  <si>
    <t xml:space="preserve">May</t>
  </si>
  <si>
    <t xml:space="preserve">June</t>
  </si>
  <si>
    <t xml:space="preserve">Grocery</t>
  </si>
  <si>
    <t xml:space="preserve">Entertainment Subtotal</t>
  </si>
  <si>
    <t xml:space="preserve">Grocery Subtotal</t>
  </si>
  <si>
    <t xml:space="preserve">Remaining</t>
  </si>
  <si>
    <t xml:space="preserve">July</t>
  </si>
  <si>
    <t xml:space="preserve">August</t>
  </si>
  <si>
    <t xml:space="preserve">September</t>
  </si>
  <si>
    <t xml:space="preserve">October</t>
  </si>
  <si>
    <t xml:space="preserve">November</t>
  </si>
  <si>
    <t xml:space="preserve">December</t>
  </si>
  <si>
    <t xml:space="preserve">Mortgage Calculator</t>
  </si>
  <si>
    <t xml:space="preserve">Allows submission of loan data to determine total cost and interest, develop a payment schedule* charting monthly balance changes, and considers other variables such as property tax to determine real total monthly cost.**</t>
  </si>
  <si>
    <r>
      <rPr>
        <sz val="10"/>
        <rFont val="Arial"/>
        <family val="2"/>
        <charset val="1"/>
      </rPr>
      <t xml:space="preserve">*payment schedule begins January 1</t>
    </r>
    <r>
      <rPr>
        <vertAlign val="superscript"/>
        <sz val="10"/>
        <rFont val="Arial"/>
        <family val="2"/>
        <charset val="1"/>
      </rPr>
      <t xml:space="preserve">st</t>
    </r>
    <r>
      <rPr>
        <sz val="10"/>
        <rFont val="Arial"/>
        <family val="2"/>
        <charset val="1"/>
      </rPr>
      <t xml:space="preserve">, 2025 but can be changed to suit the user’s needs.</t>
    </r>
  </si>
  <si>
    <t xml:space="preserve">**Other variables are not guaranteed and are subject to change based on location of residence and other data that is unavailable to the program. User discretion is advised.</t>
  </si>
  <si>
    <t xml:space="preserve">Payment Schedule</t>
  </si>
  <si>
    <t xml:space="preserve">Summary Information</t>
  </si>
  <si>
    <t xml:space="preserve">Date</t>
  </si>
  <si>
    <t xml:space="preserve">Payment no.</t>
  </si>
  <si>
    <t xml:space="preserve">Payment Amt.</t>
  </si>
  <si>
    <t xml:space="preserve">Interest</t>
  </si>
  <si>
    <t xml:space="preserve">Principal</t>
  </si>
  <si>
    <t xml:space="preserve">Extra payment</t>
  </si>
  <si>
    <t xml:space="preserve">Loan</t>
  </si>
  <si>
    <t xml:space="preserve">Listed Value</t>
  </si>
  <si>
    <t xml:space="preserve">Down Payment</t>
  </si>
  <si>
    <t xml:space="preserve">Down Payment %</t>
  </si>
  <si>
    <t xml:space="preserve">Loan Amount $</t>
  </si>
  <si>
    <t xml:space="preserve">Annual Interest Rate</t>
  </si>
  <si>
    <t xml:space="preserve">Life Loan (in years)</t>
  </si>
  <si>
    <t xml:space="preserve">Number of Payments per Year</t>
  </si>
  <si>
    <t xml:space="preserve">Total Number of Payments</t>
  </si>
  <si>
    <t xml:space="preserve">Payment per Period</t>
  </si>
  <si>
    <t xml:space="preserve">Sum of Payments</t>
  </si>
  <si>
    <t xml:space="preserve">Interest Cost</t>
  </si>
  <si>
    <t xml:space="preserve">Other Variables:</t>
  </si>
  <si>
    <t xml:space="preserve">PMI</t>
  </si>
  <si>
    <t xml:space="preserve">Homeowner’s Insurance</t>
  </si>
  <si>
    <t xml:space="preserve">Property Tax (County, City, School)</t>
  </si>
  <si>
    <t xml:space="preserve">Total Monthly (Real):</t>
  </si>
  <si>
    <t xml:space="preserve">Closing costs appr. 5.59% per 100k</t>
  </si>
  <si>
    <t xml:space="preserve">Down Payment + CC</t>
  </si>
  <si>
    <t xml:space="preserve">Tax Data</t>
  </si>
  <si>
    <t xml:space="preserve">For organizing federal and state tax brackets along with standard deduction details, used for income calculations. Information is subject to change per updates to federal and state law.</t>
  </si>
  <si>
    <t xml:space="preserve">Federal Income Tax Brackets</t>
  </si>
  <si>
    <t xml:space="preserve">Standard Deduction</t>
  </si>
  <si>
    <t xml:space="preserve">Georgia Income Tax Brackets</t>
  </si>
  <si>
    <t xml:space="preserve">Oregon Income Tax Brackets</t>
  </si>
  <si>
    <t xml:space="preserve">Colorado Income Tax Brackets</t>
  </si>
  <si>
    <t xml:space="preserve">Bracket</t>
  </si>
  <si>
    <t xml:space="preserve">Tax Rate</t>
  </si>
  <si>
    <t xml:space="preserve">Lower Limit</t>
  </si>
  <si>
    <t xml:space="preserve">Upper Limit</t>
  </si>
  <si>
    <t xml:space="preserve">Taxable Income</t>
  </si>
  <si>
    <t xml:space="preserve">Cum. Tax</t>
  </si>
  <si>
    <t xml:space="preserve">Filing Status</t>
  </si>
  <si>
    <t xml:space="preserve">Deduction Amount</t>
  </si>
  <si>
    <t xml:space="preserve">Head of Household</t>
  </si>
  <si>
    <t xml:space="preserve">Married Filing Jointly</t>
  </si>
  <si>
    <t xml:space="preserve">Married Filing Separately</t>
  </si>
  <si>
    <t xml:space="preserve">Maine Income Tax Brackets</t>
  </si>
  <si>
    <t xml:space="preserve">Virginia Income Tax Brackets</t>
  </si>
  <si>
    <t xml:space="preserve">Massachusetts Income Tax Brackets</t>
  </si>
  <si>
    <t xml:space="preserve">Married, Filing Jointly</t>
  </si>
  <si>
    <t xml:space="preserve">Married, Filing Separately</t>
  </si>
  <si>
    <t xml:space="preserve">Rate 1</t>
  </si>
  <si>
    <t xml:space="preserve">Rate 2</t>
  </si>
  <si>
    <t xml:space="preserve">Rate 3</t>
  </si>
  <si>
    <t xml:space="preserve">Rate 4</t>
  </si>
  <si>
    <t xml:space="preserve">401(k) Savings Calculator</t>
  </si>
  <si>
    <t xml:space="preserve">https://www.vertex42.com/Calculators/401k-savings-calculator.html</t>
  </si>
  <si>
    <t xml:space="preserve">Using This Worksheet</t>
  </si>
  <si>
    <t xml:space="preserve">401(k) Plan Assumptions</t>
  </si>
  <si>
    <t xml:space="preserve">Summary of Results</t>
  </si>
  <si>
    <t xml:space="preserve">Taxes and IRS Contribution Limits are</t>
  </si>
  <si>
    <t xml:space="preserve">Current Age</t>
  </si>
  <si>
    <t xml:space="preserve">Years to Invest</t>
  </si>
  <si>
    <t xml:space="preserve">NOT factored into the calculations. You must</t>
  </si>
  <si>
    <t xml:space="preserve">Age at Retirement</t>
  </si>
  <si>
    <t xml:space="preserve">check to ensure that you are not contributing</t>
  </si>
  <si>
    <t xml:space="preserve">Balance and Salary</t>
  </si>
  <si>
    <t xml:space="preserve">Future Value</t>
  </si>
  <si>
    <t xml:space="preserve">more than the 401(k) Limit.</t>
  </si>
  <si>
    <t xml:space="preserve">Current 401(k) Balance</t>
  </si>
  <si>
    <t xml:space="preserve">Current Annual Salary</t>
  </si>
  <si>
    <t xml:space="preserve">Ending Salary</t>
  </si>
  <si>
    <t xml:space="preserve">Annual Increase in Salary</t>
  </si>
  <si>
    <t xml:space="preserve">Set Chart Y-Axis to a Fixed Value</t>
  </si>
  <si>
    <t xml:space="preserve">Contributions</t>
  </si>
  <si>
    <t xml:space="preserve">Total Contributions</t>
  </si>
  <si>
    <t xml:space="preserve">When making comparisons using the graph,</t>
  </si>
  <si>
    <t xml:space="preserve">% of Salary to Contribute</t>
  </si>
  <si>
    <t xml:space="preserve">Your Contributions</t>
  </si>
  <si>
    <t xml:space="preserve">it helps to set the y-axis on the chart to some </t>
  </si>
  <si>
    <t xml:space="preserve">Employer Match</t>
  </si>
  <si>
    <t xml:space="preserve">Employer Contributions</t>
  </si>
  <si>
    <t xml:space="preserve">maximum $ amount. Right-click on the $ axis, select </t>
  </si>
  <si>
    <t xml:space="preserve">Max Employee % Contribution</t>
  </si>
  <si>
    <t xml:space="preserve">Format Axis, go to the Scale tab, uncheck the box </t>
  </si>
  <si>
    <t xml:space="preserve">next to Maximum, and set the max value.</t>
  </si>
  <si>
    <t xml:space="preserve">Return</t>
  </si>
  <si>
    <t xml:space="preserve">Annual Rate of Return</t>
  </si>
  <si>
    <t xml:space="preserve">Payments Per Year</t>
  </si>
  <si>
    <t xml:space="preserve">[42]</t>
  </si>
  <si>
    <t xml:space="preserve">Random Rates</t>
  </si>
  <si>
    <t xml:space="preserve">Off</t>
  </si>
  <si>
    <t xml:space="preserve">Min</t>
  </si>
  <si>
    <t xml:space="preserve">Max</t>
  </si>
  <si>
    <t xml:space="preserve">Average</t>
  </si>
  <si>
    <t xml:space="preserve">(Press F9 to Recalculate)</t>
  </si>
  <si>
    <t xml:space="preserve">Year</t>
  </si>
  <si>
    <t xml:space="preserve">Age</t>
  </si>
  <si>
    <t xml:space="preserve">Rate</t>
  </si>
  <si>
    <t xml:space="preserve">Salary</t>
  </si>
  <si>
    <r>
      <rPr>
        <b val="true"/>
        <sz val="10"/>
        <rFont val="Tahoma"/>
        <family val="2"/>
        <charset val="1"/>
      </rPr>
      <t xml:space="preserve">Annual </t>
    </r>
    <r>
      <rPr>
        <sz val="10"/>
        <rFont val="Tahoma"/>
        <family val="2"/>
        <charset val="1"/>
      </rPr>
      <t xml:space="preserve">Contribution</t>
    </r>
  </si>
  <si>
    <r>
      <rPr>
        <b val="true"/>
        <sz val="10"/>
        <rFont val="Tahoma"/>
        <family val="2"/>
        <charset val="1"/>
      </rPr>
      <t xml:space="preserve">Employer </t>
    </r>
    <r>
      <rPr>
        <sz val="10"/>
        <rFont val="Tahoma"/>
        <family val="2"/>
        <charset val="1"/>
      </rPr>
      <t xml:space="preserve">Contribution</t>
    </r>
  </si>
  <si>
    <t xml:space="preserve">Balance</t>
  </si>
  <si>
    <r>
      <rPr>
        <b val="true"/>
        <sz val="10"/>
        <rFont val="Tahoma"/>
        <family val="2"/>
        <charset val="1"/>
      </rPr>
      <t xml:space="preserve">My </t>
    </r>
    <r>
      <rPr>
        <sz val="10"/>
        <rFont val="Tahoma"/>
        <family val="2"/>
        <charset val="1"/>
      </rPr>
      <t xml:space="preserve">Contribution</t>
    </r>
  </si>
  <si>
    <r>
      <rPr>
        <b val="true"/>
        <sz val="10"/>
        <rFont val="Tahoma"/>
        <family val="2"/>
        <charset val="1"/>
      </rPr>
      <t xml:space="preserve">Total </t>
    </r>
    <r>
      <rPr>
        <sz val="10"/>
        <rFont val="Tahoma"/>
        <family val="2"/>
        <charset val="1"/>
      </rPr>
      <t xml:space="preserve">Contribution</t>
    </r>
  </si>
</sst>
</file>

<file path=xl/styles.xml><?xml version="1.0" encoding="utf-8"?>
<styleSheet xmlns="http://schemas.openxmlformats.org/spreadsheetml/2006/main">
  <numFmts count="17">
    <numFmt numFmtId="164" formatCode="General"/>
    <numFmt numFmtId="165" formatCode="[$$-409]#,##0.00;[RED]\-[$$-409]#,##0.00"/>
    <numFmt numFmtId="166" formatCode="[$$-409]#,##0;[RED]\-[$$-409]#,##0"/>
    <numFmt numFmtId="167" formatCode="0%"/>
    <numFmt numFmtId="168" formatCode="mm/dd/yy"/>
    <numFmt numFmtId="169" formatCode="0.00%"/>
    <numFmt numFmtId="170" formatCode="mmmm\ yyyy"/>
    <numFmt numFmtId="171" formatCode="\$#,##0"/>
    <numFmt numFmtId="172" formatCode="0.0%"/>
    <numFmt numFmtId="173" formatCode="General"/>
    <numFmt numFmtId="174" formatCode="&quot; $&quot;* #,##0.00\ ;&quot; $&quot;* \(#,##0.00\);&quot; $&quot;* \-#\ ;\ @\ "/>
    <numFmt numFmtId="175" formatCode="&quot; $&quot;* #,##0\ ;&quot; $&quot;* \(#,##0\);&quot; $&quot;* \-#\ ;\ @\ "/>
    <numFmt numFmtId="176" formatCode="\$#,##0.00\ ;[RED]&quot;($&quot;#,##0.00\)"/>
    <numFmt numFmtId="177" formatCode="#,##0.00"/>
    <numFmt numFmtId="178" formatCode="\$* #,##0.00;\$* \-#,##0.00;\$* \-#;@"/>
    <numFmt numFmtId="179" formatCode="\ * #,##0.00\ ;\ * \(#,##0.00\);\ * \-#\ ;\ @\ "/>
    <numFmt numFmtId="180" formatCode="#,##0"/>
  </numFmts>
  <fonts count="49">
    <font>
      <sz val="10"/>
      <name val="Arial"/>
      <family val="2"/>
      <charset val="1"/>
    </font>
    <font>
      <sz val="10"/>
      <name val="Arial"/>
      <family val="0"/>
    </font>
    <font>
      <sz val="10"/>
      <name val="Arial"/>
      <family val="0"/>
    </font>
    <font>
      <sz val="10"/>
      <name val="Arial"/>
      <family val="0"/>
    </font>
    <font>
      <sz val="18"/>
      <color rgb="FF000000"/>
      <name val="Arial"/>
      <family val="2"/>
      <charset val="1"/>
    </font>
    <font>
      <sz val="18"/>
      <color rgb="FFFFFFFF"/>
      <name val="Arial"/>
      <family val="2"/>
      <charset val="1"/>
    </font>
    <font>
      <b val="true"/>
      <sz val="18"/>
      <color rgb="FFFFFFFF"/>
      <name val="Arial"/>
      <family val="2"/>
      <charset val="1"/>
    </font>
    <font>
      <b val="true"/>
      <sz val="16"/>
      <color rgb="FFFFFFFF"/>
      <name val="Arial"/>
      <family val="2"/>
      <charset val="1"/>
    </font>
    <font>
      <b val="true"/>
      <sz val="14"/>
      <color rgb="FF666666"/>
      <name val="Arial"/>
      <family val="2"/>
      <charset val="1"/>
    </font>
    <font>
      <b val="true"/>
      <sz val="10"/>
      <color rgb="FFFFFFFF"/>
      <name val="Arial"/>
      <family val="2"/>
      <charset val="1"/>
    </font>
    <font>
      <b val="true"/>
      <sz val="7"/>
      <color rgb="FFFFFFFF"/>
      <name val="Arial"/>
      <family val="2"/>
      <charset val="1"/>
    </font>
    <font>
      <b val="true"/>
      <sz val="10"/>
      <color rgb="FF333333"/>
      <name val="Arial"/>
      <family val="2"/>
      <charset val="1"/>
    </font>
    <font>
      <b val="true"/>
      <sz val="12"/>
      <color rgb="FFFFFFFF"/>
      <name val="Arial"/>
      <family val="2"/>
      <charset val="1"/>
    </font>
    <font>
      <b val="true"/>
      <u val="single"/>
      <sz val="10"/>
      <color rgb="FFFFFFFF"/>
      <name val="Arial"/>
      <family val="2"/>
      <charset val="1"/>
    </font>
    <font>
      <b val="true"/>
      <sz val="10"/>
      <color rgb="FF666666"/>
      <name val="Arial"/>
      <family val="2"/>
      <charset val="1"/>
    </font>
    <font>
      <sz val="18"/>
      <color rgb="FF333333"/>
      <name val="Arial"/>
      <family val="2"/>
      <charset val="1"/>
    </font>
    <font>
      <b val="true"/>
      <sz val="10"/>
      <name val="Arial"/>
      <family val="2"/>
      <charset val="1"/>
    </font>
    <font>
      <vertAlign val="superscript"/>
      <sz val="10"/>
      <name val="Arial"/>
      <family val="2"/>
      <charset val="1"/>
    </font>
    <font>
      <b val="true"/>
      <sz val="10"/>
      <color rgb="FF000000"/>
      <name val="Arial"/>
      <family val="2"/>
      <charset val="1"/>
    </font>
    <font>
      <b val="true"/>
      <u val="single"/>
      <sz val="16"/>
      <color rgb="FF666666"/>
      <name val="Arial"/>
      <family val="2"/>
      <charset val="1"/>
    </font>
    <font>
      <b val="true"/>
      <u val="single"/>
      <sz val="16"/>
      <color rgb="FF333333"/>
      <name val="Arial"/>
      <family val="2"/>
      <charset val="1"/>
    </font>
    <font>
      <b val="true"/>
      <sz val="16"/>
      <color rgb="FF666666"/>
      <name val="Arial"/>
      <family val="2"/>
      <charset val="1"/>
    </font>
    <font>
      <b val="true"/>
      <sz val="11"/>
      <color rgb="FF000000"/>
      <name val="Calibri"/>
      <family val="0"/>
      <charset val="1"/>
    </font>
    <font>
      <b val="true"/>
      <sz val="16"/>
      <color rgb="FF333333"/>
      <name val="Arial"/>
      <family val="2"/>
      <charset val="1"/>
    </font>
    <font>
      <sz val="11"/>
      <color rgb="FF000000"/>
      <name val="Calibri"/>
      <family val="0"/>
      <charset val="1"/>
    </font>
    <font>
      <sz val="10"/>
      <name val="Tahoma"/>
      <family val="2"/>
      <charset val="1"/>
    </font>
    <font>
      <u val="single"/>
      <sz val="8"/>
      <color rgb="FF0000FF"/>
      <name val="Tahoma"/>
      <family val="2"/>
      <charset val="1"/>
    </font>
    <font>
      <u val="single"/>
      <sz val="10"/>
      <color rgb="FF0000FF"/>
      <name val="Arial"/>
      <family val="2"/>
      <charset val="1"/>
    </font>
    <font>
      <sz val="8"/>
      <name val="Arial"/>
      <family val="2"/>
      <charset val="1"/>
    </font>
    <font>
      <b val="true"/>
      <sz val="10"/>
      <color rgb="FF2B4F82"/>
      <name val="Tahoma"/>
      <family val="2"/>
      <charset val="1"/>
    </font>
    <font>
      <b val="true"/>
      <sz val="11"/>
      <color rgb="FFFFFFFF"/>
      <name val="Arial"/>
      <family val="2"/>
      <charset val="1"/>
    </font>
    <font>
      <sz val="11"/>
      <name val="Tahoma"/>
      <family val="2"/>
      <charset val="1"/>
    </font>
    <font>
      <b val="true"/>
      <sz val="12"/>
      <color rgb="FFFFFFFF"/>
      <name val="Tahoma"/>
      <family val="2"/>
      <charset val="1"/>
    </font>
    <font>
      <b val="true"/>
      <i val="true"/>
      <sz val="10"/>
      <color rgb="FF666666"/>
      <name val="Tahoma"/>
      <family val="2"/>
      <charset val="1"/>
    </font>
    <font>
      <b val="true"/>
      <sz val="10"/>
      <name val="Tahoma"/>
      <family val="2"/>
      <charset val="1"/>
    </font>
    <font>
      <sz val="10"/>
      <color rgb="FF1D3557"/>
      <name val="Tahoma"/>
      <family val="2"/>
      <charset val="1"/>
    </font>
    <font>
      <sz val="10"/>
      <color rgb="FFFF0000"/>
      <name val="Tahoma"/>
      <family val="2"/>
      <charset val="1"/>
    </font>
    <font>
      <sz val="6"/>
      <color rgb="FFF2F2F2"/>
      <name val="Tahoma"/>
      <family val="2"/>
      <charset val="1"/>
    </font>
    <font>
      <sz val="10"/>
      <color rgb="FFFFFFFF"/>
      <name val="Tahoma"/>
      <family val="2"/>
      <charset val="1"/>
    </font>
    <font>
      <sz val="9"/>
      <name val="Tahoma"/>
      <family val="2"/>
      <charset val="1"/>
    </font>
    <font>
      <sz val="8"/>
      <name val="Tahoma"/>
      <family val="2"/>
      <charset val="1"/>
    </font>
    <font>
      <i val="true"/>
      <sz val="8"/>
      <name val="Tahoma"/>
      <family val="2"/>
      <charset val="1"/>
    </font>
    <font>
      <sz val="8"/>
      <color rgb="FF000000"/>
      <name val="Tahoma"/>
      <family val="2"/>
      <charset val="1"/>
    </font>
    <font>
      <b val="true"/>
      <sz val="8"/>
      <color rgb="FF000000"/>
      <name val="Tahoma"/>
      <family val="2"/>
      <charset val="1"/>
    </font>
    <font>
      <sz val="9"/>
      <color rgb="FF000000"/>
      <name val="Tahoma"/>
      <family val="2"/>
      <charset val="1"/>
    </font>
    <font>
      <b val="true"/>
      <sz val="9"/>
      <color rgb="FF000000"/>
      <name val="Tahoma"/>
      <family val="2"/>
      <charset val="1"/>
    </font>
    <font>
      <sz val="10"/>
      <color rgb="FF000000"/>
      <name val="Arial"/>
      <family val="2"/>
    </font>
    <font>
      <b val="true"/>
      <sz val="10"/>
      <color rgb="FF000000"/>
      <name val="Arial"/>
      <family val="2"/>
    </font>
    <font>
      <sz val="9.2"/>
      <color rgb="FF000000"/>
      <name val="Arial"/>
      <family val="2"/>
    </font>
  </fonts>
  <fills count="33">
    <fill>
      <patternFill patternType="none"/>
    </fill>
    <fill>
      <patternFill patternType="gray125"/>
    </fill>
    <fill>
      <patternFill patternType="solid">
        <fgColor rgb="FFD62E4E"/>
        <bgColor rgb="FFEB333C"/>
      </patternFill>
    </fill>
    <fill>
      <patternFill patternType="solid">
        <fgColor rgb="FF5983B0"/>
        <bgColor rgb="FF3969AD"/>
      </patternFill>
    </fill>
    <fill>
      <patternFill patternType="solid">
        <fgColor rgb="FF81D41A"/>
        <bgColor rgb="FF5EB91E"/>
      </patternFill>
    </fill>
    <fill>
      <patternFill patternType="solid">
        <fgColor rgb="FFFFFF00"/>
        <bgColor rgb="FFFFBF00"/>
      </patternFill>
    </fill>
    <fill>
      <patternFill patternType="solid">
        <fgColor rgb="FFE042E8"/>
        <bgColor rgb="FFD62E4E"/>
      </patternFill>
    </fill>
    <fill>
      <patternFill patternType="solid">
        <fgColor rgb="FF2A6099"/>
        <bgColor rgb="FF3465A4"/>
      </patternFill>
    </fill>
    <fill>
      <patternFill patternType="solid">
        <fgColor rgb="FFFFBF00"/>
        <bgColor rgb="FFFFB66C"/>
      </patternFill>
    </fill>
    <fill>
      <patternFill patternType="solid">
        <fgColor rgb="FFEB333C"/>
        <bgColor rgb="FFD62E4E"/>
      </patternFill>
    </fill>
    <fill>
      <patternFill patternType="solid">
        <fgColor rgb="FF89CFF0"/>
        <bgColor rgb="FFABC2E3"/>
      </patternFill>
    </fill>
    <fill>
      <patternFill patternType="solid">
        <fgColor rgb="FF729FCF"/>
        <bgColor rgb="FF81A4D5"/>
      </patternFill>
    </fill>
    <fill>
      <patternFill patternType="solid">
        <fgColor rgb="FFE8F2A1"/>
        <bgColor rgb="FFFFE994"/>
      </patternFill>
    </fill>
    <fill>
      <patternFill patternType="solid">
        <fgColor rgb="FFFFFFA6"/>
        <bgColor rgb="FFE8F2A1"/>
      </patternFill>
    </fill>
    <fill>
      <patternFill patternType="solid">
        <fgColor rgb="FFFFE994"/>
        <bgColor rgb="FFE8F2A1"/>
      </patternFill>
    </fill>
    <fill>
      <patternFill patternType="solid">
        <fgColor rgb="FFFFB66C"/>
        <bgColor rgb="FFFFAA95"/>
      </patternFill>
    </fill>
    <fill>
      <patternFill patternType="solid">
        <fgColor rgb="FFFFAA95"/>
        <bgColor rgb="FFFFA6A6"/>
      </patternFill>
    </fill>
    <fill>
      <patternFill patternType="solid">
        <fgColor rgb="FFFFA6A6"/>
        <bgColor rgb="FFFFAA95"/>
      </patternFill>
    </fill>
    <fill>
      <patternFill patternType="solid">
        <fgColor rgb="FFB3CAC7"/>
        <bgColor rgb="FFB4C7DC"/>
      </patternFill>
    </fill>
    <fill>
      <patternFill patternType="solid">
        <fgColor rgb="FFEC9BA4"/>
        <bgColor rgb="FFFFA6A6"/>
      </patternFill>
    </fill>
    <fill>
      <patternFill patternType="solid">
        <fgColor rgb="FFBF819E"/>
        <bgColor rgb="FFA6A6A6"/>
      </patternFill>
    </fill>
    <fill>
      <patternFill patternType="solid">
        <fgColor rgb="FFB7B3CA"/>
        <bgColor rgb="FFB2B2B2"/>
      </patternFill>
    </fill>
    <fill>
      <patternFill patternType="solid">
        <fgColor rgb="FFB4C7DC"/>
        <bgColor rgb="FFABC2E3"/>
      </patternFill>
    </fill>
    <fill>
      <patternFill patternType="solid">
        <fgColor rgb="FFAFD095"/>
        <bgColor rgb="FFA7D69B"/>
      </patternFill>
    </fill>
    <fill>
      <patternFill patternType="solid">
        <fgColor rgb="FFB2B2B2"/>
        <bgColor rgb="FFB7B3CA"/>
      </patternFill>
    </fill>
    <fill>
      <patternFill patternType="solid">
        <fgColor rgb="FF5EB91E"/>
        <bgColor rgb="FF81D41A"/>
      </patternFill>
    </fill>
    <fill>
      <patternFill patternType="solid">
        <fgColor rgb="FF2B4F82"/>
        <bgColor rgb="FF2A6099"/>
      </patternFill>
    </fill>
    <fill>
      <patternFill patternType="solid">
        <fgColor rgb="FF336228"/>
        <bgColor rgb="FF2B4F82"/>
      </patternFill>
    </fill>
    <fill>
      <patternFill patternType="solid">
        <fgColor rgb="FFD5E1F1"/>
        <bgColor rgb="FFEAEAEA"/>
      </patternFill>
    </fill>
    <fill>
      <patternFill patternType="solid">
        <fgColor rgb="FFE2F1DE"/>
        <bgColor rgb="FFEAEAEA"/>
      </patternFill>
    </fill>
    <fill>
      <patternFill patternType="solid">
        <fgColor rgb="FFF3F0E4"/>
        <bgColor rgb="FFF2F2F2"/>
      </patternFill>
    </fill>
    <fill>
      <patternFill patternType="solid">
        <fgColor rgb="FFABC2E3"/>
        <bgColor rgb="FFB4C7DC"/>
      </patternFill>
    </fill>
    <fill>
      <patternFill patternType="solid">
        <fgColor rgb="FFFFFFFF"/>
        <bgColor rgb="FFF2F2F2"/>
      </patternFill>
    </fill>
  </fills>
  <borders count="28">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style="hair"/>
      <top/>
      <bottom/>
      <diagonal/>
    </border>
    <border diagonalUp="false" diagonalDown="false">
      <left style="hair"/>
      <right/>
      <top style="hair"/>
      <bottom/>
      <diagonal/>
    </border>
    <border diagonalUp="false" diagonalDown="false">
      <left style="hair"/>
      <right/>
      <top/>
      <bottom/>
      <diagonal/>
    </border>
    <border diagonalUp="false" diagonalDown="false">
      <left style="hair"/>
      <right/>
      <top/>
      <bottom style="hair"/>
      <diagonal/>
    </border>
    <border diagonalUp="false" diagonalDown="false">
      <left/>
      <right/>
      <top/>
      <bottom style="hair"/>
      <diagonal/>
    </border>
    <border diagonalUp="false" diagonalDown="false">
      <left style="hair">
        <color rgb="FF3465A4"/>
      </left>
      <right/>
      <top style="hair">
        <color rgb="FF3465A4"/>
      </top>
      <bottom style="hair">
        <color rgb="FF3465A4"/>
      </bottom>
      <diagonal/>
    </border>
    <border diagonalUp="false" diagonalDown="false">
      <left/>
      <right/>
      <top style="hair">
        <color rgb="FF3465A4"/>
      </top>
      <bottom style="hair">
        <color rgb="FF3465A4"/>
      </bottom>
      <diagonal/>
    </border>
    <border diagonalUp="false" diagonalDown="false">
      <left/>
      <right style="hair">
        <color rgb="FF3465A4"/>
      </right>
      <top style="hair">
        <color rgb="FF3465A4"/>
      </top>
      <bottom style="hair">
        <color rgb="FF3465A4"/>
      </bottom>
      <diagonal/>
    </border>
    <border diagonalUp="false" diagonalDown="false">
      <left/>
      <right style="hair"/>
      <top/>
      <bottom style="hair"/>
      <diagonal/>
    </border>
    <border diagonalUp="false" diagonalDown="false">
      <left style="hair"/>
      <right style="hair"/>
      <top style="thin"/>
      <bottom style="hair"/>
      <diagonal/>
    </border>
    <border diagonalUp="false" diagonalDown="false">
      <left style="hair"/>
      <right style="hair"/>
      <top style="hair"/>
      <bottom/>
      <diagonal/>
    </border>
    <border diagonalUp="false" diagonalDown="false">
      <left/>
      <right/>
      <top/>
      <bottom style="thin">
        <color rgb="FF3969AD"/>
      </bottom>
      <diagonal/>
    </border>
    <border diagonalUp="false" diagonalDown="false">
      <left/>
      <right/>
      <top/>
      <bottom style="medium">
        <color rgb="FF81A4D5"/>
      </bottom>
      <diagonal/>
    </border>
    <border diagonalUp="false" diagonalDown="false">
      <left/>
      <right/>
      <top/>
      <bottom style="medium">
        <color rgb="FFA7D69B"/>
      </bottom>
      <diagonal/>
    </border>
    <border diagonalUp="false" diagonalDown="false">
      <left style="thin">
        <color rgb="FFB2B2B2"/>
      </left>
      <right style="thin">
        <color rgb="FFB2B2B2"/>
      </right>
      <top/>
      <bottom style="thin">
        <color rgb="FFB2B2B2"/>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right/>
      <top/>
      <bottom style="medium">
        <color rgb="FF3969AD"/>
      </bottom>
      <diagonal/>
    </border>
    <border diagonalUp="false" diagonalDown="false">
      <left/>
      <right/>
      <top/>
      <bottom style="medium">
        <color rgb="FF4D933C"/>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9"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74"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9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6" fillId="3" borderId="1" xfId="21"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4" fontId="7" fillId="4" borderId="1" xfId="21" applyFont="true" applyBorder="true" applyAlignment="true" applyProtection="true">
      <alignment horizontal="center" vertical="center" textRotation="0" wrapText="false" indent="0" shrinkToFit="false"/>
      <protection locked="true" hidden="false"/>
    </xf>
    <xf numFmtId="164" fontId="8" fillId="5" borderId="2"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6" borderId="3" xfId="0" applyFont="true" applyBorder="true" applyAlignment="true" applyProtection="false">
      <alignment horizontal="left" vertical="bottom" textRotation="0" wrapText="false" indent="0" shrinkToFit="false"/>
      <protection locked="true" hidden="false"/>
    </xf>
    <xf numFmtId="164" fontId="10" fillId="6" borderId="4" xfId="0" applyFont="true" applyBorder="true" applyAlignment="true" applyProtection="false">
      <alignment horizontal="right" vertical="bottom" textRotation="0" wrapText="false" indent="0" shrinkToFit="false"/>
      <protection locked="true" hidden="false"/>
    </xf>
    <xf numFmtId="164" fontId="10" fillId="6" borderId="5" xfId="0" applyFont="true" applyBorder="true" applyAlignment="true" applyProtection="false">
      <alignment horizontal="right" vertical="bottom" textRotation="0" wrapText="false" indent="0" shrinkToFit="false"/>
      <protection locked="true" hidden="false"/>
    </xf>
    <xf numFmtId="166" fontId="0" fillId="0" borderId="5"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5" xfId="0" applyFont="false" applyBorder="true" applyAlignment="false" applyProtection="false">
      <alignment horizontal="general" vertical="bottom" textRotation="0" wrapText="false" indent="0" shrinkToFit="false"/>
      <protection locked="true" hidden="false"/>
    </xf>
    <xf numFmtId="164" fontId="9" fillId="6" borderId="5"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5" xfId="0" applyFont="true" applyBorder="true" applyAlignment="true" applyProtection="false">
      <alignment horizontal="right" vertical="bottom" textRotation="0" wrapText="false" indent="0" shrinkToFit="false"/>
      <protection locked="true" hidden="false"/>
    </xf>
    <xf numFmtId="164" fontId="9" fillId="7" borderId="1" xfId="0" applyFont="true" applyBorder="true" applyAlignment="true" applyProtection="false">
      <alignment horizontal="center" vertical="center"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6" fontId="0" fillId="0" borderId="7"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5" fontId="0" fillId="0" borderId="8" xfId="0" applyFont="false" applyBorder="true" applyAlignment="false" applyProtection="false">
      <alignment horizontal="general"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7" fontId="0" fillId="0" borderId="8" xfId="0" applyFont="false" applyBorder="true" applyAlignment="false" applyProtection="false">
      <alignment horizontal="general" vertical="bottom" textRotation="0" wrapText="false" indent="0" shrinkToFit="false"/>
      <protection locked="true" hidden="false"/>
    </xf>
    <xf numFmtId="169" fontId="0" fillId="0" borderId="1" xfId="0" applyFont="false" applyBorder="true" applyAlignment="false" applyProtection="false">
      <alignment horizontal="general" vertical="bottom" textRotation="0" wrapText="false" indent="0" shrinkToFit="false"/>
      <protection locked="true" hidden="false"/>
    </xf>
    <xf numFmtId="169" fontId="0" fillId="0" borderId="5" xfId="0" applyFont="fals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true" applyProtection="false">
      <alignment horizontal="center" vertical="center" textRotation="0" wrapText="false" indent="0" shrinkToFit="false"/>
      <protection locked="true" hidden="false"/>
    </xf>
    <xf numFmtId="166"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9" fillId="6" borderId="4" xfId="0" applyFont="true" applyBorder="true" applyAlignment="true" applyProtection="false">
      <alignment horizontal="left" vertical="bottom" textRotation="0" wrapText="false" indent="0" shrinkToFit="false"/>
      <protection locked="true" hidden="false"/>
    </xf>
    <xf numFmtId="164" fontId="9" fillId="6" borderId="5" xfId="0" applyFont="true" applyBorder="true" applyAlignment="true" applyProtection="false">
      <alignment horizontal="left" vertical="bottom" textRotation="0" wrapText="false" indent="0" shrinkToFit="false"/>
      <protection locked="true" hidden="false"/>
    </xf>
    <xf numFmtId="164" fontId="9" fillId="9" borderId="1" xfId="0" applyFont="true" applyBorder="true" applyAlignment="true" applyProtection="false">
      <alignment horizontal="center" vertical="bottom" textRotation="0" wrapText="false" indent="0" shrinkToFit="false"/>
      <protection locked="true" hidden="false"/>
    </xf>
    <xf numFmtId="166" fontId="0" fillId="0" borderId="4" xfId="0" applyFont="false" applyBorder="true" applyAlignment="false" applyProtection="false">
      <alignment horizontal="general" vertical="bottom" textRotation="0" wrapText="false" indent="0" shrinkToFit="false"/>
      <protection locked="true" hidden="false"/>
    </xf>
    <xf numFmtId="164" fontId="12" fillId="10" borderId="1"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9" fillId="10" borderId="3" xfId="0" applyFont="true" applyBorder="true" applyAlignment="true" applyProtection="false">
      <alignment horizontal="left" vertical="bottom" textRotation="0" wrapText="false" indent="0" shrinkToFit="false"/>
      <protection locked="true" hidden="false"/>
    </xf>
    <xf numFmtId="164" fontId="9" fillId="10" borderId="4" xfId="0" applyFont="true" applyBorder="true" applyAlignment="true" applyProtection="false">
      <alignment horizontal="left" vertical="bottom" textRotation="0" wrapText="false" indent="0" shrinkToFit="false"/>
      <protection locked="true" hidden="false"/>
    </xf>
    <xf numFmtId="164" fontId="9" fillId="10" borderId="5" xfId="0" applyFont="true" applyBorder="true" applyAlignment="true" applyProtection="false">
      <alignment horizontal="left" vertical="bottom" textRotation="0" wrapText="false" indent="0" shrinkToFit="false"/>
      <protection locked="true" hidden="false"/>
    </xf>
    <xf numFmtId="166" fontId="0" fillId="0" borderId="10" xfId="0" applyFont="false" applyBorder="true" applyAlignment="false" applyProtection="false">
      <alignment horizontal="general" vertical="bottom" textRotation="0" wrapText="false" indent="0" shrinkToFit="false"/>
      <protection locked="true" hidden="false"/>
    </xf>
    <xf numFmtId="164" fontId="13" fillId="11" borderId="13" xfId="0" applyFont="true" applyBorder="true" applyAlignment="true" applyProtection="false">
      <alignment horizontal="left" vertical="bottom" textRotation="0" wrapText="false" indent="0" shrinkToFit="false"/>
      <protection locked="true" hidden="false"/>
    </xf>
    <xf numFmtId="164" fontId="9" fillId="11" borderId="14" xfId="0" applyFont="true" applyBorder="true" applyAlignment="true" applyProtection="false">
      <alignment horizontal="left" vertical="bottom" textRotation="0" wrapText="false" indent="0" shrinkToFit="false"/>
      <protection locked="true" hidden="false"/>
    </xf>
    <xf numFmtId="164" fontId="0" fillId="11" borderId="15" xfId="0" applyFont="false" applyBorder="true" applyAlignment="false" applyProtection="false">
      <alignment horizontal="general" vertical="bottom" textRotation="0" wrapText="false" indent="0" shrinkToFit="false"/>
      <protection locked="true" hidden="false"/>
    </xf>
    <xf numFmtId="164" fontId="9" fillId="10" borderId="12" xfId="0" applyFont="true" applyBorder="true" applyAlignment="true" applyProtection="false">
      <alignment horizontal="left" vertical="bottom" textRotation="0" wrapText="false" indent="0" shrinkToFit="false"/>
      <protection locked="true" hidden="false"/>
    </xf>
    <xf numFmtId="164" fontId="13" fillId="11" borderId="14" xfId="0" applyFont="true" applyBorder="true" applyAlignment="true" applyProtection="false">
      <alignment horizontal="left" vertical="bottom" textRotation="0" wrapText="false" indent="0" shrinkToFit="false"/>
      <protection locked="true" hidden="false"/>
    </xf>
    <xf numFmtId="164" fontId="13" fillId="11" borderId="15" xfId="0" applyFont="true" applyBorder="true" applyAlignment="true" applyProtection="false">
      <alignment horizontal="left" vertical="bottom" textRotation="0" wrapText="false" indent="0" shrinkToFit="false"/>
      <protection locked="true" hidden="false"/>
    </xf>
    <xf numFmtId="164" fontId="14" fillId="5" borderId="2" xfId="0" applyFont="true" applyBorder="true" applyAlignment="true" applyProtection="false">
      <alignment horizontal="center" vertical="center" textRotation="0" wrapText="fals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6" fontId="0" fillId="0" borderId="11" xfId="0" applyFont="false" applyBorder="true" applyAlignment="true" applyProtection="false">
      <alignment horizontal="center" vertical="center" textRotation="0" wrapText="false" indent="0" shrinkToFit="false"/>
      <protection locked="true" hidden="false"/>
    </xf>
    <xf numFmtId="166" fontId="0" fillId="0" borderId="12" xfId="0" applyFont="false" applyBorder="true" applyAlignment="true" applyProtection="false">
      <alignment horizontal="center" vertical="center" textRotation="0" wrapText="false" indent="0" shrinkToFit="false"/>
      <protection locked="true" hidden="false"/>
    </xf>
    <xf numFmtId="166" fontId="0" fillId="0" borderId="16" xfId="0" applyFont="fals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6" fontId="0" fillId="0" borderId="11" xfId="0" applyFont="false" applyBorder="true" applyAlignment="false" applyProtection="false">
      <alignment horizontal="general" vertical="bottom" textRotation="0" wrapText="false" indent="0" shrinkToFit="false"/>
      <protection locked="true" hidden="false"/>
    </xf>
    <xf numFmtId="166" fontId="0" fillId="0" borderId="12" xfId="0" applyFont="false" applyBorder="true" applyAlignment="false" applyProtection="false">
      <alignment horizontal="general" vertical="bottom" textRotation="0" wrapText="false" indent="0" shrinkToFit="false"/>
      <protection locked="true" hidden="false"/>
    </xf>
    <xf numFmtId="166" fontId="0" fillId="0" borderId="16"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70" fontId="15" fillId="12" borderId="1" xfId="21" applyFont="true" applyBorder="true" applyAlignment="true" applyProtection="true">
      <alignment horizontal="center" vertical="center" textRotation="0" wrapText="false" indent="0" shrinkToFit="false"/>
      <protection locked="true" hidden="false"/>
    </xf>
    <xf numFmtId="170" fontId="15" fillId="13" borderId="1" xfId="21" applyFont="true" applyBorder="true" applyAlignment="true" applyProtection="true">
      <alignment horizontal="center" vertical="center" textRotation="0" wrapText="false" indent="0" shrinkToFit="false"/>
      <protection locked="true" hidden="false"/>
    </xf>
    <xf numFmtId="170" fontId="15" fillId="14" borderId="1" xfId="21" applyFont="true" applyBorder="true" applyAlignment="true" applyProtection="true">
      <alignment horizontal="center" vertical="center" textRotation="0" wrapText="false" indent="0" shrinkToFit="false"/>
      <protection locked="true" hidden="false"/>
    </xf>
    <xf numFmtId="170" fontId="5" fillId="15" borderId="1" xfId="21" applyFont="true" applyBorder="true" applyAlignment="true" applyProtection="true">
      <alignment horizontal="center" vertical="center" textRotation="0" wrapText="false" indent="0" shrinkToFit="false"/>
      <protection locked="true" hidden="false"/>
    </xf>
    <xf numFmtId="170" fontId="5" fillId="16" borderId="1" xfId="21" applyFont="true" applyBorder="true" applyAlignment="true" applyProtection="true">
      <alignment horizontal="center" vertical="center" textRotation="0" wrapText="false" indent="0" shrinkToFit="false"/>
      <protection locked="true" hidden="false"/>
    </xf>
    <xf numFmtId="170" fontId="5" fillId="17" borderId="1" xfId="21" applyFont="tru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9" fillId="15" borderId="1" xfId="0" applyFont="true" applyBorder="true" applyAlignment="true" applyProtection="false">
      <alignment horizontal="center" vertical="center" textRotation="0" wrapText="false" indent="0" shrinkToFit="false"/>
      <protection locked="true" hidden="false"/>
    </xf>
    <xf numFmtId="164" fontId="9" fillId="18" borderId="1" xfId="0" applyFont="tru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5" fontId="0" fillId="0" borderId="17" xfId="0" applyFont="false" applyBorder="true" applyAlignment="false" applyProtection="false">
      <alignment horizontal="general" vertical="bottom" textRotation="0" wrapText="false" indent="0" shrinkToFit="false"/>
      <protection locked="true" hidden="false"/>
    </xf>
    <xf numFmtId="165" fontId="0" fillId="0" borderId="6" xfId="0" applyFont="false" applyBorder="true" applyAlignment="false" applyProtection="false">
      <alignment horizontal="general" vertical="bottom" textRotation="0" wrapText="false" indent="0" shrinkToFit="false"/>
      <protection locked="true" hidden="false"/>
    </xf>
    <xf numFmtId="165" fontId="0" fillId="0" borderId="7"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16" fillId="0" borderId="8" xfId="0" applyFont="true" applyBorder="true" applyAlignment="false" applyProtection="false">
      <alignment horizontal="general" vertical="bottom" textRotation="0" wrapText="false" indent="0" shrinkToFit="false"/>
      <protection locked="true" hidden="false"/>
    </xf>
    <xf numFmtId="165" fontId="0" fillId="0" borderId="16" xfId="0" applyFont="false" applyBorder="true" applyAlignment="false" applyProtection="false">
      <alignment horizontal="general" vertical="bottom" textRotation="0" wrapText="false" indent="0" shrinkToFit="false"/>
      <protection locked="true" hidden="false"/>
    </xf>
    <xf numFmtId="170" fontId="5" fillId="19" borderId="1" xfId="21" applyFont="true" applyBorder="true" applyAlignment="true" applyProtection="true">
      <alignment horizontal="center" vertical="center" textRotation="0" wrapText="false" indent="0" shrinkToFit="false"/>
      <protection locked="true" hidden="false"/>
    </xf>
    <xf numFmtId="170" fontId="5" fillId="20" borderId="1" xfId="21" applyFont="true" applyBorder="true" applyAlignment="true" applyProtection="true">
      <alignment horizontal="center" vertical="center" textRotation="0" wrapText="false" indent="0" shrinkToFit="false"/>
      <protection locked="true" hidden="false"/>
    </xf>
    <xf numFmtId="170" fontId="5" fillId="21" borderId="1" xfId="21" applyFont="true" applyBorder="true" applyAlignment="true" applyProtection="true">
      <alignment horizontal="center" vertical="center" textRotation="0" wrapText="false" indent="0" shrinkToFit="false"/>
      <protection locked="true" hidden="false"/>
    </xf>
    <xf numFmtId="170" fontId="5" fillId="22" borderId="1" xfId="21" applyFont="true" applyBorder="true" applyAlignment="true" applyProtection="true">
      <alignment horizontal="center" vertical="center" textRotation="0" wrapText="false" indent="0" shrinkToFit="false"/>
      <protection locked="true" hidden="false"/>
    </xf>
    <xf numFmtId="170" fontId="5" fillId="18" borderId="1" xfId="21" applyFont="true" applyBorder="true" applyAlignment="true" applyProtection="true">
      <alignment horizontal="center" vertical="center" textRotation="0" wrapText="false" indent="0" shrinkToFit="false"/>
      <protection locked="true" hidden="false"/>
    </xf>
    <xf numFmtId="170" fontId="5" fillId="23" borderId="1" xfId="21" applyFont="true" applyBorder="true" applyAlignment="true" applyProtection="true">
      <alignment horizontal="center" vertical="center" textRotation="0" wrapText="false" indent="0" shrinkToFit="false"/>
      <protection locked="true" hidden="false"/>
    </xf>
    <xf numFmtId="164" fontId="7" fillId="4" borderId="18"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18" fillId="24" borderId="9" xfId="0" applyFont="true" applyBorder="true" applyAlignment="true" applyProtection="false">
      <alignment horizontal="left" vertical="center" textRotation="0" wrapText="false" indent="0" shrinkToFit="false"/>
      <protection locked="true" hidden="false"/>
    </xf>
    <xf numFmtId="164" fontId="0" fillId="0" borderId="7" xfId="0" applyFont="fals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left" vertical="center" textRotation="0" wrapText="false" indent="0" shrinkToFit="false"/>
      <protection locked="true" hidden="false"/>
    </xf>
    <xf numFmtId="165" fontId="0" fillId="0" borderId="8" xfId="0" applyFont="false" applyBorder="true" applyAlignment="true" applyProtection="false">
      <alignment horizontal="right" vertical="center"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xf numFmtId="169" fontId="0" fillId="0" borderId="8" xfId="0" applyFont="false" applyBorder="true" applyAlignment="true" applyProtection="false">
      <alignment horizontal="right" vertical="center" textRotation="0" wrapText="false" indent="0" shrinkToFit="false"/>
      <protection locked="true" hidden="false"/>
    </xf>
    <xf numFmtId="164" fontId="0" fillId="0" borderId="8" xfId="0" applyFont="false" applyBorder="true" applyAlignment="true" applyProtection="false">
      <alignment horizontal="right" vertical="center" textRotation="0" wrapText="false" indent="0" shrinkToFit="false"/>
      <protection locked="true" hidden="false"/>
    </xf>
    <xf numFmtId="165" fontId="0" fillId="0" borderId="8" xfId="0" applyFont="true" applyBorder="true" applyAlignment="true" applyProtection="false">
      <alignment horizontal="right" vertical="center" textRotation="0" wrapText="true" indent="0" shrinkToFit="false"/>
      <protection locked="true" hidden="false"/>
    </xf>
    <xf numFmtId="164" fontId="0" fillId="0" borderId="11" xfId="0" applyFont="true" applyBorder="true" applyAlignment="true" applyProtection="false">
      <alignment horizontal="left" vertical="center" textRotation="0" wrapText="false" indent="0" shrinkToFit="false"/>
      <protection locked="true" hidden="false"/>
    </xf>
    <xf numFmtId="165" fontId="0" fillId="0" borderId="16" xfId="0" applyFont="false" applyBorder="true" applyAlignment="true" applyProtection="false">
      <alignment horizontal="right" vertical="center"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5" fontId="0" fillId="0" borderId="5" xfId="0" applyFont="false" applyBorder="true" applyAlignment="false" applyProtection="false">
      <alignment horizontal="general" vertical="bottom" textRotation="0" wrapText="false" indent="0" shrinkToFit="false"/>
      <protection locked="true" hidden="false"/>
    </xf>
    <xf numFmtId="164" fontId="19" fillId="5" borderId="1" xfId="21" applyFont="true" applyBorder="true" applyAlignment="true" applyProtection="true">
      <alignment horizontal="center" vertical="center" textRotation="0" wrapText="false" indent="0" shrinkToFit="false"/>
      <protection locked="true" hidden="false"/>
    </xf>
    <xf numFmtId="164" fontId="7" fillId="19" borderId="1" xfId="0" applyFont="true" applyBorder="true" applyAlignment="true" applyProtection="false">
      <alignment horizontal="center" vertical="center" textRotation="0" wrapText="false" indent="0" shrinkToFit="false"/>
      <protection locked="true" hidden="false"/>
    </xf>
    <xf numFmtId="164" fontId="20" fillId="8" borderId="1" xfId="0" applyFont="true" applyBorder="true" applyAlignment="true" applyProtection="false">
      <alignment horizontal="center" vertical="center" textRotation="0" wrapText="false" indent="0" shrinkToFit="false"/>
      <protection locked="true" hidden="false"/>
    </xf>
    <xf numFmtId="164" fontId="21" fillId="5" borderId="1" xfId="21" applyFont="true" applyBorder="true" applyAlignment="true" applyProtection="true">
      <alignment horizontal="center" vertical="bottom" textRotation="0" wrapText="false" indent="0" shrinkToFit="false"/>
      <protection locked="true" hidden="false"/>
    </xf>
    <xf numFmtId="164" fontId="21" fillId="5" borderId="1" xfId="21" applyFont="true" applyBorder="true" applyAlignment="true" applyProtection="tru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22" fillId="0" borderId="1" xfId="0" applyFont="true" applyBorder="true" applyAlignment="true" applyProtection="false">
      <alignment horizontal="center" vertical="center" textRotation="0" wrapText="true" indent="0" shrinkToFit="false"/>
      <protection locked="true" hidden="false"/>
    </xf>
    <xf numFmtId="164" fontId="23" fillId="8" borderId="1" xfId="0" applyFont="true" applyBorder="true" applyAlignment="true" applyProtection="false">
      <alignment horizontal="center" vertical="bottom" textRotation="0" wrapText="false" indent="0" shrinkToFit="false"/>
      <protection locked="true" hidden="false"/>
    </xf>
    <xf numFmtId="164" fontId="9" fillId="11" borderId="1" xfId="0" applyFont="true" applyBorder="true" applyAlignment="true" applyProtection="false">
      <alignment horizontal="center" vertical="center" textRotation="0" wrapText="false" indent="0" shrinkToFit="false"/>
      <protection locked="true" hidden="false"/>
    </xf>
    <xf numFmtId="166" fontId="24" fillId="0" borderId="7" xfId="0" applyFont="true" applyBorder="true" applyAlignment="true" applyProtection="false">
      <alignment horizontal="general" vertical="bottom" textRotation="0" wrapText="false" indent="0" shrinkToFit="false"/>
      <protection locked="true" hidden="false"/>
    </xf>
    <xf numFmtId="164" fontId="9" fillId="25" borderId="1" xfId="0" applyFont="true" applyBorder="tru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6" fontId="0" fillId="0" borderId="8" xfId="0" applyFont="false" applyBorder="true" applyAlignment="true" applyProtection="false">
      <alignment horizontal="center" vertical="bottom" textRotation="0" wrapText="false" indent="0" shrinkToFit="false"/>
      <protection locked="true" hidden="false"/>
    </xf>
    <xf numFmtId="166" fontId="0" fillId="0" borderId="18" xfId="0" applyFont="false" applyBorder="true" applyAlignment="true" applyProtection="false">
      <alignment horizontal="center" vertical="center" textRotation="0" wrapText="false" indent="0" shrinkToFit="false"/>
      <protection locked="true" hidden="false"/>
    </xf>
    <xf numFmtId="166" fontId="24" fillId="0" borderId="8" xfId="0" applyFont="true" applyBorder="true" applyAlignment="true" applyProtection="false">
      <alignment horizontal="general" vertical="bottom" textRotation="0" wrapText="false" indent="0" shrinkToFit="false"/>
      <protection locked="true" hidden="false"/>
    </xf>
    <xf numFmtId="171" fontId="24" fillId="0" borderId="6" xfId="0" applyFont="true" applyBorder="true" applyAlignment="true" applyProtection="false">
      <alignment horizontal="general" vertical="bottom" textRotation="0" wrapText="false" indent="0" shrinkToFit="false"/>
      <protection locked="true" hidden="false"/>
    </xf>
    <xf numFmtId="167" fontId="24" fillId="0" borderId="6" xfId="0" applyFont="true" applyBorder="true" applyAlignment="true" applyProtection="false">
      <alignment horizontal="general" vertical="bottom" textRotation="0" wrapText="false" indent="0" shrinkToFit="false"/>
      <protection locked="true" hidden="false"/>
    </xf>
    <xf numFmtId="169" fontId="24" fillId="0" borderId="6" xfId="0" applyFont="true" applyBorder="true" applyAlignment="true" applyProtection="false">
      <alignment horizontal="general" vertical="bottom" textRotation="0" wrapText="false" indent="0" shrinkToFit="false"/>
      <protection locked="true" hidden="false"/>
    </xf>
    <xf numFmtId="171" fontId="24" fillId="0" borderId="0" xfId="0" applyFont="true" applyBorder="false" applyAlignment="true" applyProtection="false">
      <alignment horizontal="general" vertical="bottom" textRotation="0" wrapText="false" indent="0" shrinkToFit="false"/>
      <protection locked="true" hidden="false"/>
    </xf>
    <xf numFmtId="167" fontId="24" fillId="0" borderId="0" xfId="0" applyFont="true" applyBorder="false" applyAlignment="true" applyProtection="false">
      <alignment horizontal="general" vertical="bottom" textRotation="0" wrapText="false" indent="0" shrinkToFit="false"/>
      <protection locked="true" hidden="false"/>
    </xf>
    <xf numFmtId="169" fontId="24" fillId="0" borderId="0" xfId="0" applyFont="true" applyBorder="false" applyAlignment="true" applyProtection="false">
      <alignment horizontal="general" vertical="bottom" textRotation="0" wrapText="false" indent="0" shrinkToFit="false"/>
      <protection locked="true" hidden="false"/>
    </xf>
    <xf numFmtId="166" fontId="24" fillId="0" borderId="16" xfId="0" applyFont="true" applyBorder="true" applyAlignment="true" applyProtection="false">
      <alignment horizontal="general" vertical="bottom" textRotation="0" wrapText="false" indent="0" shrinkToFit="false"/>
      <protection locked="true" hidden="false"/>
    </xf>
    <xf numFmtId="172" fontId="24" fillId="0" borderId="0" xfId="0" applyFont="true" applyBorder="false" applyAlignment="true" applyProtection="false">
      <alignment horizontal="general" vertical="bottom" textRotation="0" wrapText="false" indent="0" shrinkToFit="false"/>
      <protection locked="true" hidden="false"/>
    </xf>
    <xf numFmtId="167" fontId="0" fillId="0" borderId="12"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6" fontId="0" fillId="0" borderId="9" xfId="0" applyFont="false" applyBorder="true" applyAlignment="true" applyProtection="false">
      <alignment horizontal="center" vertical="bottom" textRotation="0" wrapText="false" indent="0" shrinkToFit="false"/>
      <protection locked="true" hidden="false"/>
    </xf>
    <xf numFmtId="167" fontId="0" fillId="0" borderId="6" xfId="0" applyFont="false" applyBorder="true" applyAlignment="false" applyProtection="false">
      <alignment horizontal="general" vertical="bottom" textRotation="0" wrapText="false" indent="0" shrinkToFit="false"/>
      <protection locked="true" hidden="false"/>
    </xf>
    <xf numFmtId="166" fontId="0" fillId="0" borderId="3" xfId="0" applyFont="false" applyBorder="true" applyAlignment="true" applyProtection="false">
      <alignment horizontal="center" vertical="bottom" textRotation="0" wrapText="false" indent="0" shrinkToFit="false"/>
      <protection locked="true" hidden="false"/>
    </xf>
    <xf numFmtId="167" fontId="0" fillId="0" borderId="4" xfId="0" applyFont="fals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true">
      <alignment horizontal="general" vertical="bottom" textRotation="0" wrapText="false" indent="0" shrinkToFit="false"/>
      <protection locked="true" hidden="false"/>
    </xf>
    <xf numFmtId="164" fontId="6" fillId="26" borderId="0"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26" fillId="0" borderId="0" xfId="20" applyFont="true" applyBorder="true" applyAlignment="true" applyProtection="true">
      <alignment horizontal="left" vertical="bottom" textRotation="0" wrapText="false" indent="0" shrinkToFit="false"/>
      <protection locked="true" hidden="false"/>
    </xf>
    <xf numFmtId="173" fontId="28" fillId="0" borderId="0" xfId="0" applyFont="true" applyBorder="true" applyAlignment="true" applyProtection="false">
      <alignment horizontal="right" vertical="bottom" textRotation="0" wrapText="false" indent="0" shrinkToFit="false"/>
      <protection locked="true" hidden="false"/>
    </xf>
    <xf numFmtId="164" fontId="27" fillId="0" borderId="0" xfId="20" applyFont="false" applyBorder="true" applyAlignment="true" applyProtection="true">
      <alignment horizontal="left" vertical="bottom" textRotation="0" wrapText="false" indent="0" shrinkToFit="false"/>
      <protection locked="true" hidden="false"/>
    </xf>
    <xf numFmtId="164" fontId="29" fillId="0" borderId="19" xfId="0" applyFont="true" applyBorder="true" applyAlignment="false" applyProtection="true">
      <alignment horizontal="general" vertical="bottom" textRotation="0" wrapText="false" indent="0" shrinkToFit="false"/>
      <protection locked="true" hidden="false"/>
    </xf>
    <xf numFmtId="164" fontId="25" fillId="0" borderId="19" xfId="0" applyFont="true" applyBorder="true" applyAlignment="false" applyProtection="true">
      <alignment horizontal="general" vertical="bottom" textRotation="0" wrapText="false" indent="0" shrinkToFit="false"/>
      <protection locked="true" hidden="false"/>
    </xf>
    <xf numFmtId="164" fontId="30" fillId="26" borderId="20" xfId="0" applyFont="true" applyBorder="true" applyAlignment="true" applyProtection="true">
      <alignment horizontal="center" vertical="center" textRotation="0" wrapText="false" indent="0" shrinkToFit="false"/>
      <protection locked="true" hidden="false"/>
    </xf>
    <xf numFmtId="164" fontId="30" fillId="27" borderId="21" xfId="0" applyFont="true" applyBorder="true" applyAlignment="true" applyProtection="true">
      <alignment horizontal="center" vertical="center" textRotation="0" wrapText="false" indent="0" shrinkToFit="false"/>
      <protection locked="true" hidden="false"/>
    </xf>
    <xf numFmtId="164" fontId="25" fillId="28" borderId="0" xfId="0" applyFont="true" applyBorder="false" applyAlignment="false" applyProtection="true">
      <alignment horizontal="general" vertical="bottom" textRotation="0" wrapText="false" indent="0" shrinkToFit="false"/>
      <protection locked="true" hidden="false"/>
    </xf>
    <xf numFmtId="164" fontId="25" fillId="28" borderId="0" xfId="0" applyFont="true" applyBorder="false" applyAlignment="true" applyProtection="true">
      <alignment horizontal="right" vertical="center" textRotation="0" wrapText="false" indent="2" shrinkToFit="false"/>
      <protection locked="true" hidden="false"/>
    </xf>
    <xf numFmtId="164" fontId="31" fillId="0" borderId="22" xfId="0" applyFont="true" applyBorder="true" applyAlignment="true" applyProtection="true">
      <alignment horizontal="center" vertical="bottom" textRotation="0" wrapText="false" indent="0" shrinkToFit="false"/>
      <protection locked="false" hidden="false"/>
    </xf>
    <xf numFmtId="164" fontId="25" fillId="29" borderId="0" xfId="0" applyFont="true" applyBorder="false" applyAlignment="false" applyProtection="true">
      <alignment horizontal="general" vertical="bottom" textRotation="0" wrapText="false" indent="0" shrinkToFit="false"/>
      <protection locked="true" hidden="false"/>
    </xf>
    <xf numFmtId="164" fontId="25" fillId="29" borderId="0" xfId="0" applyFont="true" applyBorder="false" applyAlignment="true" applyProtection="true">
      <alignment horizontal="right" vertical="bottom" textRotation="0" wrapText="false" indent="2" shrinkToFit="false"/>
      <protection locked="true" hidden="false"/>
    </xf>
    <xf numFmtId="173" fontId="31" fillId="29" borderId="0" xfId="19" applyFont="true" applyBorder="true" applyAlignment="true" applyProtection="true">
      <alignment horizontal="center" vertical="bottom" textRotation="0" wrapText="false" indent="0" shrinkToFit="false"/>
      <protection locked="true" hidden="false"/>
    </xf>
    <xf numFmtId="164" fontId="31" fillId="0" borderId="23" xfId="0" applyFont="true" applyBorder="true" applyAlignment="true" applyProtection="true">
      <alignment horizontal="center" vertical="bottom" textRotation="0" wrapText="false" indent="0" shrinkToFit="false"/>
      <protection locked="false" hidden="false"/>
    </xf>
    <xf numFmtId="164" fontId="32" fillId="28" borderId="0" xfId="0" applyFont="true" applyBorder="true" applyAlignment="true" applyProtection="true">
      <alignment horizontal="left" vertical="center" textRotation="0" wrapText="false" indent="2" shrinkToFit="false"/>
      <protection locked="true" hidden="false"/>
    </xf>
    <xf numFmtId="164" fontId="32" fillId="28" borderId="24" xfId="0" applyFont="true" applyBorder="true" applyAlignment="true" applyProtection="true">
      <alignment horizontal="left" vertical="center" textRotation="0" wrapText="false" indent="2" shrinkToFit="false"/>
      <protection locked="true" hidden="false"/>
    </xf>
    <xf numFmtId="164" fontId="33" fillId="28" borderId="24" xfId="0" applyFont="true" applyBorder="true" applyAlignment="true" applyProtection="true">
      <alignment horizontal="right" vertical="center" textRotation="0" wrapText="false" indent="2" shrinkToFit="false"/>
      <protection locked="true" hidden="false"/>
    </xf>
    <xf numFmtId="164" fontId="25" fillId="29" borderId="0" xfId="0" applyFont="true" applyBorder="true" applyAlignment="false" applyProtection="true">
      <alignment horizontal="general" vertical="bottom" textRotation="0" wrapText="false" indent="0" shrinkToFit="false"/>
      <protection locked="true" hidden="false"/>
    </xf>
    <xf numFmtId="164" fontId="25" fillId="29" borderId="25" xfId="0" applyFont="true" applyBorder="true" applyAlignment="false" applyProtection="true">
      <alignment horizontal="general" vertical="bottom" textRotation="0" wrapText="false" indent="0" shrinkToFit="false"/>
      <protection locked="true" hidden="false"/>
    </xf>
    <xf numFmtId="164" fontId="33" fillId="29" borderId="25" xfId="0" applyFont="true" applyBorder="true" applyAlignment="true" applyProtection="true">
      <alignment horizontal="right" vertical="center" textRotation="0" wrapText="false" indent="2" shrinkToFit="false"/>
      <protection locked="true" hidden="false"/>
    </xf>
    <xf numFmtId="175" fontId="31" fillId="0" borderId="22" xfId="17" applyFont="true" applyBorder="true" applyAlignment="true" applyProtection="true">
      <alignment horizontal="right" vertical="center" textRotation="0" wrapText="false" indent="0" shrinkToFit="false"/>
      <protection locked="false" hidden="false"/>
    </xf>
    <xf numFmtId="175" fontId="31" fillId="29" borderId="0" xfId="17" applyFont="true" applyBorder="true" applyAlignment="true" applyProtection="true">
      <alignment horizontal="right" vertical="center" textRotation="0" wrapText="false" indent="0" shrinkToFit="false"/>
      <protection locked="true" hidden="false"/>
    </xf>
    <xf numFmtId="175" fontId="31" fillId="0" borderId="23" xfId="17" applyFont="true" applyBorder="true" applyAlignment="true" applyProtection="true">
      <alignment horizontal="right" vertical="center" textRotation="0" wrapText="false" indent="0" shrinkToFit="false"/>
      <protection locked="false" hidden="false"/>
    </xf>
    <xf numFmtId="172" fontId="31" fillId="0" borderId="23" xfId="19" applyFont="true" applyBorder="true" applyAlignment="true" applyProtection="true">
      <alignment horizontal="right" vertical="bottom" textRotation="0" wrapText="false" indent="0" shrinkToFit="false"/>
      <protection locked="false" hidden="false"/>
    </xf>
    <xf numFmtId="164" fontId="34" fillId="0" borderId="0" xfId="0" applyFont="true" applyBorder="false" applyAlignment="false" applyProtection="true">
      <alignment horizontal="general" vertical="bottom" textRotation="0" wrapText="false" indent="0" shrinkToFit="false"/>
      <protection locked="true" hidden="false"/>
    </xf>
    <xf numFmtId="169" fontId="31" fillId="0" borderId="22" xfId="19" applyFont="true" applyBorder="true" applyAlignment="true" applyProtection="true">
      <alignment horizontal="right" vertical="bottom" textRotation="0" wrapText="false" indent="0" shrinkToFit="false"/>
      <protection locked="false" hidden="false"/>
    </xf>
    <xf numFmtId="164" fontId="35" fillId="28" borderId="0" xfId="0" applyFont="true" applyBorder="false" applyAlignment="true" applyProtection="true">
      <alignment horizontal="right" vertical="center" textRotation="0" wrapText="false" indent="2" shrinkToFit="false"/>
      <protection locked="true" hidden="false"/>
    </xf>
    <xf numFmtId="176" fontId="25" fillId="29" borderId="0" xfId="0" applyFont="true" applyBorder="false" applyAlignment="true" applyProtection="true">
      <alignment horizontal="center" vertical="bottom" textRotation="0" wrapText="false" indent="0" shrinkToFit="false"/>
      <protection locked="true" hidden="false"/>
    </xf>
    <xf numFmtId="173" fontId="36" fillId="28" borderId="0" xfId="0" applyFont="true" applyBorder="false" applyAlignment="true" applyProtection="true">
      <alignment horizontal="right" vertical="bottom" textRotation="0" wrapText="false" indent="0" shrinkToFit="false"/>
      <protection locked="true" hidden="false"/>
    </xf>
    <xf numFmtId="176" fontId="25" fillId="0" borderId="0" xfId="0" applyFont="true" applyBorder="false" applyAlignment="true" applyProtection="true">
      <alignment horizontal="center" vertical="bottom" textRotation="0" wrapText="false" indent="0" shrinkToFit="false"/>
      <protection locked="true" hidden="false"/>
    </xf>
    <xf numFmtId="177" fontId="37" fillId="0" borderId="0" xfId="0" applyFont="true" applyBorder="false" applyAlignment="true" applyProtection="true">
      <alignment horizontal="right" vertical="bottom" textRotation="0" wrapText="false" indent="0" shrinkToFit="false"/>
      <protection locked="true" hidden="false"/>
    </xf>
    <xf numFmtId="164" fontId="38" fillId="0" borderId="0" xfId="0" applyFont="true" applyBorder="false" applyAlignment="false" applyProtection="true">
      <alignment horizontal="general" vertical="bottom" textRotation="0" wrapText="false" indent="0" shrinkToFit="false"/>
      <protection locked="true" hidden="false"/>
    </xf>
    <xf numFmtId="177" fontId="39" fillId="0" borderId="0" xfId="0" applyFont="true" applyBorder="false" applyAlignment="true" applyProtection="true">
      <alignment horizontal="right" vertical="center" textRotation="0" wrapText="false" indent="0" shrinkToFit="false"/>
      <protection locked="true" hidden="false"/>
    </xf>
    <xf numFmtId="164" fontId="25" fillId="0" borderId="26" xfId="0" applyFont="true" applyBorder="true" applyAlignment="true" applyProtection="true">
      <alignment horizontal="right" vertical="center" textRotation="0" wrapText="false" indent="2" shrinkToFit="false"/>
      <protection locked="true" hidden="false"/>
    </xf>
    <xf numFmtId="169" fontId="31" fillId="0" borderId="23" xfId="19" applyFont="true" applyBorder="true" applyAlignment="true" applyProtection="true">
      <alignment horizontal="right" vertical="center" textRotation="0" wrapText="false" indent="0" shrinkToFit="false"/>
      <protection locked="false" hidden="false"/>
    </xf>
    <xf numFmtId="169" fontId="31" fillId="30" borderId="23" xfId="19" applyFont="true" applyBorder="true" applyAlignment="true" applyProtection="true">
      <alignment horizontal="right" vertical="center" textRotation="0" wrapText="false" indent="0" shrinkToFit="false"/>
      <protection locked="true" hidden="false"/>
    </xf>
    <xf numFmtId="176" fontId="40" fillId="0" borderId="0" xfId="0" applyFont="true" applyBorder="false" applyAlignment="true" applyProtection="true">
      <alignment horizontal="right" vertical="bottom" textRotation="0" wrapText="false" indent="0" shrinkToFit="false"/>
      <protection locked="true" hidden="false"/>
    </xf>
    <xf numFmtId="164" fontId="34" fillId="31" borderId="24" xfId="0" applyFont="true" applyBorder="true" applyAlignment="true" applyProtection="true">
      <alignment horizontal="center" vertical="center" textRotation="0" wrapText="true" indent="0" shrinkToFit="false"/>
      <protection locked="true" hidden="false"/>
    </xf>
    <xf numFmtId="164" fontId="34" fillId="31" borderId="24" xfId="0" applyFont="true" applyBorder="true" applyAlignment="true" applyProtection="true">
      <alignment horizontal="right" vertical="center" textRotation="0" wrapText="true" indent="0" shrinkToFit="false"/>
      <protection locked="true" hidden="false"/>
    </xf>
    <xf numFmtId="164" fontId="25" fillId="0" borderId="0" xfId="0" applyFont="true" applyBorder="false" applyAlignment="true" applyProtection="true">
      <alignment horizontal="general" vertical="center" textRotation="0" wrapText="false" indent="0" shrinkToFit="false"/>
      <protection locked="true" hidden="false"/>
    </xf>
    <xf numFmtId="164" fontId="40" fillId="28" borderId="0" xfId="0" applyFont="true" applyBorder="false" applyAlignment="true" applyProtection="true">
      <alignment horizontal="center" vertical="bottom" textRotation="0" wrapText="false" indent="0" shrinkToFit="false"/>
      <protection locked="true" hidden="false"/>
    </xf>
    <xf numFmtId="174" fontId="40" fillId="28" borderId="0" xfId="17" applyFont="true" applyBorder="true" applyAlignment="true" applyProtection="true">
      <alignment horizontal="center" vertical="bottom" textRotation="0" wrapText="false" indent="0" shrinkToFit="false"/>
      <protection locked="true" hidden="false"/>
    </xf>
    <xf numFmtId="174" fontId="40" fillId="32" borderId="27" xfId="17" applyFont="true" applyBorder="true" applyAlignment="true" applyProtection="true">
      <alignment horizontal="center" vertical="bottom" textRotation="0" wrapText="false" indent="0" shrinkToFit="false"/>
      <protection locked="false" hidden="false"/>
    </xf>
    <xf numFmtId="178" fontId="40" fillId="28" borderId="0" xfId="17" applyFont="true" applyBorder="true" applyAlignment="true" applyProtection="true">
      <alignment horizontal="center" vertical="bottom" textRotation="0" wrapText="false" indent="0" shrinkToFit="false"/>
      <protection locked="true" hidden="false"/>
    </xf>
    <xf numFmtId="174" fontId="40" fillId="28" borderId="0" xfId="0" applyFont="true" applyBorder="false" applyAlignment="true" applyProtection="true">
      <alignment horizontal="center" vertical="bottom" textRotation="0" wrapText="false" indent="0" shrinkToFit="false"/>
      <protection locked="true" hidden="false"/>
    </xf>
    <xf numFmtId="173" fontId="40" fillId="0" borderId="0" xfId="0" applyFont="true" applyBorder="false" applyAlignment="true" applyProtection="true">
      <alignment horizontal="center" vertical="bottom" textRotation="0" wrapText="false" indent="0" shrinkToFit="false"/>
      <protection locked="true" hidden="false"/>
    </xf>
    <xf numFmtId="169" fontId="40" fillId="0" borderId="0" xfId="19" applyFont="true" applyBorder="true" applyAlignment="true" applyProtection="true">
      <alignment horizontal="center" vertical="bottom" textRotation="0" wrapText="false" indent="0" shrinkToFit="false"/>
      <protection locked="true" hidden="false"/>
    </xf>
    <xf numFmtId="180" fontId="41" fillId="0" borderId="0" xfId="15" applyFont="true" applyBorder="true" applyAlignment="true" applyProtection="true">
      <alignment horizontal="right" vertical="bottom" textRotation="0" wrapText="false" indent="0" shrinkToFit="false"/>
      <protection locked="true" hidden="false"/>
    </xf>
    <xf numFmtId="180" fontId="40" fillId="0" borderId="0" xfId="15" applyFont="true" applyBorder="true" applyAlignment="true" applyProtection="true">
      <alignment horizontal="right" vertical="bottom" textRotation="0" wrapText="false" indent="0" shrinkToFit="false"/>
      <protection locked="true" hidden="false"/>
    </xf>
    <xf numFmtId="177" fontId="40" fillId="0" borderId="0" xfId="15" applyFont="true" applyBorder="true" applyAlignment="true" applyProtection="true">
      <alignment horizontal="righ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Heading 1 1" xfId="21"/>
    <cellStyle name="*unknown*" xfId="20" builtinId="8"/>
  </cellStyles>
  <dxfs count="4">
    <dxf>
      <font>
        <name val="Arial"/>
        <charset val="1"/>
        <family val="2"/>
        <color rgb="FFB2B2B2"/>
      </font>
      <fill>
        <patternFill>
          <bgColor rgb="FFEAEAEA"/>
        </patternFill>
      </fill>
    </dxf>
    <dxf>
      <font>
        <name val="Arial"/>
        <charset val="1"/>
        <family val="2"/>
        <color rgb="FFB2B2B2"/>
      </font>
      <fill>
        <patternFill>
          <bgColor rgb="FFEAEAEA"/>
        </patternFill>
      </fill>
    </dxf>
    <dxf>
      <font>
        <name val="Arial"/>
        <charset val="1"/>
        <family val="2"/>
        <color rgb="FFEAEAEA"/>
      </font>
    </dxf>
    <dxf>
      <font>
        <name val="Arial"/>
        <charset val="1"/>
        <family val="2"/>
      </font>
      <fill>
        <patternFill>
          <bgColor rgb="FFEAEAEA"/>
        </patternFill>
      </fill>
    </dxf>
  </dxfs>
  <colors>
    <indexedColors>
      <rgbColor rgb="FF000000"/>
      <rgbColor rgb="FFFFFFFF"/>
      <rgbColor rgb="FFFF0000"/>
      <rgbColor rgb="FFAFD095"/>
      <rgbColor rgb="FF0000FF"/>
      <rgbColor rgb="FFFFFF00"/>
      <rgbColor rgb="FFE042E8"/>
      <rgbColor rgb="FFA7D69B"/>
      <rgbColor rgb="FF800000"/>
      <rgbColor rgb="FF008000"/>
      <rgbColor rgb="FF000080"/>
      <rgbColor rgb="FF5EB91E"/>
      <rgbColor rgb="FF800080"/>
      <rgbColor rgb="FF3465A4"/>
      <rgbColor rgb="FFB3CAC7"/>
      <rgbColor rgb="FF5983B0"/>
      <rgbColor rgb="FF81A4D5"/>
      <rgbColor rgb="FFD62E4E"/>
      <rgbColor rgb="FFF3F0E4"/>
      <rgbColor rgb="FFF2F2F2"/>
      <rgbColor rgb="FF660066"/>
      <rgbColor rgb="FFEC9BA4"/>
      <rgbColor rgb="FF2A6099"/>
      <rgbColor rgb="FFD5E1F1"/>
      <rgbColor rgb="FF000080"/>
      <rgbColor rgb="FFFF00FF"/>
      <rgbColor rgb="FFE8F2A1"/>
      <rgbColor rgb="FFB4C7DC"/>
      <rgbColor rgb="FF800080"/>
      <rgbColor rgb="FF800000"/>
      <rgbColor rgb="FFB2B2B2"/>
      <rgbColor rgb="FF0000FF"/>
      <rgbColor rgb="FFABC2E3"/>
      <rgbColor rgb="FFEAEAEA"/>
      <rgbColor rgb="FFE2F1DE"/>
      <rgbColor rgb="FFFFFFA6"/>
      <rgbColor rgb="FF89CFF0"/>
      <rgbColor rgb="FFFFA6A6"/>
      <rgbColor rgb="FFB7B3CA"/>
      <rgbColor rgb="FFFFE994"/>
      <rgbColor rgb="FF3969AD"/>
      <rgbColor rgb="FF729FCF"/>
      <rgbColor rgb="FF81D41A"/>
      <rgbColor rgb="FFFFBF00"/>
      <rgbColor rgb="FFFFB66C"/>
      <rgbColor rgb="FFEB333C"/>
      <rgbColor rgb="FF666666"/>
      <rgbColor rgb="FFA6A6A6"/>
      <rgbColor rgb="FF1D3557"/>
      <rgbColor rgb="FF4D933C"/>
      <rgbColor rgb="FF003300"/>
      <rgbColor rgb="FF336228"/>
      <rgbColor rgb="FFFFAA95"/>
      <rgbColor rgb="FFBF819E"/>
      <rgbColor rgb="FF2B4F8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158550396375991"/>
          <c:y val="0.076533381581328"/>
          <c:w val="0.816685541713854"/>
          <c:h val="0.755020806947711"/>
        </c:manualLayout>
      </c:layout>
      <c:scatterChart>
        <c:scatterStyle val="line"/>
        <c:varyColors val="0"/>
        <c:ser>
          <c:idx val="0"/>
          <c:order val="0"/>
          <c:tx>
            <c:strRef>
              <c:f>401k!$H$32</c:f>
              <c:strCache>
                <c:ptCount val="1"/>
                <c:pt idx="0">
                  <c:v>Balance</c:v>
                </c:pt>
              </c:strCache>
            </c:strRef>
          </c:tx>
          <c:spPr>
            <a:solidFill>
              <a:srgbClr val="000080"/>
            </a:solidFill>
            <a:ln w="25560">
              <a:solidFill>
                <a:srgbClr val="000080"/>
              </a:solidFill>
              <a:round/>
            </a:ln>
          </c:spPr>
          <c:marker>
            <c:symbol val="none"/>
          </c:marker>
          <c:dLbls>
            <c:txPr>
              <a:bodyPr wrap="none"/>
              <a:lstStyle/>
              <a:p>
                <a:pPr>
                  <a:defRPr b="0" sz="55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401k!$B$34:$B$93</c:f>
              <c:numCache>
                <c:formatCode>General</c:formatCode>
                <c:ptCount val="60"/>
                <c:pt idx="0">
                  <c:v>27</c:v>
                </c:pt>
                <c:pt idx="1">
                  <c:v>28</c:v>
                </c:pt>
                <c:pt idx="2">
                  <c:v>29</c:v>
                </c:pt>
                <c:pt idx="3">
                  <c:v>30</c:v>
                </c:pt>
                <c:pt idx="4">
                  <c:v>31</c:v>
                </c:pt>
                <c:pt idx="5">
                  <c:v>32</c:v>
                </c:pt>
                <c:pt idx="6">
                  <c:v>33</c:v>
                </c:pt>
                <c:pt idx="7">
                  <c:v>34</c:v>
                </c:pt>
                <c:pt idx="8">
                  <c:v>35</c:v>
                </c:pt>
                <c:pt idx="9">
                  <c:v>36</c:v>
                </c:pt>
                <c:pt idx="10">
                  <c:v>37</c:v>
                </c:pt>
                <c:pt idx="11">
                  <c:v>38</c:v>
                </c:pt>
                <c:pt idx="12">
                  <c:v>39</c:v>
                </c:pt>
                <c:pt idx="13">
                  <c:v>40</c:v>
                </c:pt>
                <c:pt idx="14">
                  <c:v>41</c:v>
                </c:pt>
                <c:pt idx="15">
                  <c:v>42</c:v>
                </c:pt>
                <c:pt idx="16">
                  <c:v>43</c:v>
                </c:pt>
                <c:pt idx="17">
                  <c:v>44</c:v>
                </c:pt>
                <c:pt idx="18">
                  <c:v>45</c:v>
                </c:pt>
                <c:pt idx="19">
                  <c:v>46</c:v>
                </c:pt>
                <c:pt idx="20">
                  <c:v>47</c:v>
                </c:pt>
                <c:pt idx="21">
                  <c:v>48</c:v>
                </c:pt>
                <c:pt idx="22">
                  <c:v>49</c:v>
                </c:pt>
                <c:pt idx="23">
                  <c:v>50</c:v>
                </c:pt>
                <c:pt idx="24">
                  <c:v>51</c:v>
                </c:pt>
                <c:pt idx="25">
                  <c:v>52</c:v>
                </c:pt>
                <c:pt idx="26">
                  <c:v>53</c:v>
                </c:pt>
                <c:pt idx="27">
                  <c:v>54</c:v>
                </c:pt>
                <c:pt idx="28">
                  <c:v>55</c:v>
                </c:pt>
                <c:pt idx="29">
                  <c:v>56</c:v>
                </c:pt>
                <c:pt idx="30">
                  <c:v>57</c:v>
                </c:pt>
                <c:pt idx="31">
                  <c:v>58</c:v>
                </c:pt>
                <c:pt idx="32">
                  <c:v>59</c:v>
                </c:pt>
                <c:pt idx="33">
                  <c:v>60</c:v>
                </c:pt>
                <c:pt idx="34">
                  <c:v>61</c:v>
                </c:pt>
              </c:numCache>
            </c:numRef>
          </c:xVal>
          <c:yVal>
            <c:numRef>
              <c:f>401k!$H$34:$H$93</c:f>
              <c:numCache>
                <c:formatCode>General</c:formatCode>
                <c:ptCount val="60"/>
                <c:pt idx="0">
                  <c:v>58274.0186642691</c:v>
                </c:pt>
                <c:pt idx="1">
                  <c:v>77970.727999859</c:v>
                </c:pt>
                <c:pt idx="2">
                  <c:v>99177.5959554322</c:v>
                </c:pt>
                <c:pt idx="3">
                  <c:v>121987.008359619</c:v>
                </c:pt>
                <c:pt idx="4">
                  <c:v>146496.533939765</c:v>
                </c:pt>
                <c:pt idx="5">
                  <c:v>172809.203308272</c:v>
                </c:pt>
                <c:pt idx="6">
                  <c:v>201033.802643716</c:v>
                </c:pt>
                <c:pt idx="7">
                  <c:v>231285.182831559</c:v>
                </c:pt>
                <c:pt idx="8">
                  <c:v>263684.584868766</c:v>
                </c:pt>
                <c:pt idx="9">
                  <c:v>298359.982378256</c:v>
                </c:pt>
                <c:pt idx="10">
                  <c:v>335446.442122779</c:v>
                </c:pt>
                <c:pt idx="11">
                  <c:v>375086.503453818</c:v>
                </c:pt>
                <c:pt idx="12">
                  <c:v>417430.577679412</c:v>
                </c:pt>
                <c:pt idx="13">
                  <c:v>462637.368385627</c:v>
                </c:pt>
                <c:pt idx="14">
                  <c:v>510874.313799829</c:v>
                </c:pt>
                <c:pt idx="15">
                  <c:v>562318.052340096</c:v>
                </c:pt>
                <c:pt idx="16">
                  <c:v>617154.912554174</c:v>
                </c:pt>
                <c:pt idx="17">
                  <c:v>675581.428713492</c:v>
                </c:pt>
                <c:pt idx="18">
                  <c:v>737804.883393074</c:v>
                </c:pt>
                <c:pt idx="19">
                  <c:v>804043.87843682</c:v>
                </c:pt>
                <c:pt idx="20">
                  <c:v>874528.935779863</c:v>
                </c:pt>
                <c:pt idx="21">
                  <c:v>949503.129675582</c:v>
                </c:pt>
                <c:pt idx="22">
                  <c:v>1029222.75195472</c:v>
                </c:pt>
                <c:pt idx="23">
                  <c:v>1113958.01202788</c:v>
                </c:pt>
                <c:pt idx="24">
                  <c:v>1203993.77343107</c:v>
                </c:pt>
                <c:pt idx="25">
                  <c:v>1299630.32880652</c:v>
                </c:pt>
                <c:pt idx="26">
                  <c:v>1401184.21530876</c:v>
                </c:pt>
                <c:pt idx="27">
                  <c:v>1508989.07252829</c:v>
                </c:pt>
                <c:pt idx="28">
                  <c:v>1623396.54513328</c:v>
                </c:pt>
                <c:pt idx="29">
                  <c:v>1744777.23254267</c:v>
                </c:pt>
                <c:pt idx="30">
                  <c:v>1873521.68806381</c:v>
                </c:pt>
                <c:pt idx="31">
                  <c:v>2010041.47005255</c:v>
                </c:pt>
                <c:pt idx="32">
                  <c:v>2154770.2477858</c:v>
                </c:pt>
                <c:pt idx="33">
                  <c:v>2308164.96487506</c:v>
                </c:pt>
                <c:pt idx="34">
                  <c:v>2470707.06319485</c:v>
                </c:pt>
              </c:numCache>
            </c:numRef>
          </c:yVal>
          <c:smooth val="0"/>
        </c:ser>
        <c:ser>
          <c:idx val="1"/>
          <c:order val="1"/>
          <c:spPr>
            <a:solidFill>
              <a:srgbClr val="ff0000"/>
            </a:solidFill>
            <a:ln w="25560">
              <a:solidFill>
                <a:srgbClr val="ff0000"/>
              </a:solidFill>
              <a:round/>
            </a:ln>
          </c:spPr>
          <c:marker>
            <c:symbol val="none"/>
          </c:marker>
          <c:dLbls>
            <c:txPr>
              <a:bodyPr wrap="none"/>
              <a:lstStyle/>
              <a:p>
                <a:pPr>
                  <a:defRPr b="0" sz="55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401k!$B$34:$B$93</c:f>
              <c:numCache>
                <c:formatCode>General</c:formatCode>
                <c:ptCount val="60"/>
                <c:pt idx="0">
                  <c:v>27</c:v>
                </c:pt>
                <c:pt idx="1">
                  <c:v>28</c:v>
                </c:pt>
                <c:pt idx="2">
                  <c:v>29</c:v>
                </c:pt>
                <c:pt idx="3">
                  <c:v>30</c:v>
                </c:pt>
                <c:pt idx="4">
                  <c:v>31</c:v>
                </c:pt>
                <c:pt idx="5">
                  <c:v>32</c:v>
                </c:pt>
                <c:pt idx="6">
                  <c:v>33</c:v>
                </c:pt>
                <c:pt idx="7">
                  <c:v>34</c:v>
                </c:pt>
                <c:pt idx="8">
                  <c:v>35</c:v>
                </c:pt>
                <c:pt idx="9">
                  <c:v>36</c:v>
                </c:pt>
                <c:pt idx="10">
                  <c:v>37</c:v>
                </c:pt>
                <c:pt idx="11">
                  <c:v>38</c:v>
                </c:pt>
                <c:pt idx="12">
                  <c:v>39</c:v>
                </c:pt>
                <c:pt idx="13">
                  <c:v>40</c:v>
                </c:pt>
                <c:pt idx="14">
                  <c:v>41</c:v>
                </c:pt>
                <c:pt idx="15">
                  <c:v>42</c:v>
                </c:pt>
                <c:pt idx="16">
                  <c:v>43</c:v>
                </c:pt>
                <c:pt idx="17">
                  <c:v>44</c:v>
                </c:pt>
                <c:pt idx="18">
                  <c:v>45</c:v>
                </c:pt>
                <c:pt idx="19">
                  <c:v>46</c:v>
                </c:pt>
                <c:pt idx="20">
                  <c:v>47</c:v>
                </c:pt>
                <c:pt idx="21">
                  <c:v>48</c:v>
                </c:pt>
                <c:pt idx="22">
                  <c:v>49</c:v>
                </c:pt>
                <c:pt idx="23">
                  <c:v>50</c:v>
                </c:pt>
                <c:pt idx="24">
                  <c:v>51</c:v>
                </c:pt>
                <c:pt idx="25">
                  <c:v>52</c:v>
                </c:pt>
                <c:pt idx="26">
                  <c:v>53</c:v>
                </c:pt>
                <c:pt idx="27">
                  <c:v>54</c:v>
                </c:pt>
                <c:pt idx="28">
                  <c:v>55</c:v>
                </c:pt>
                <c:pt idx="29">
                  <c:v>56</c:v>
                </c:pt>
                <c:pt idx="30">
                  <c:v>57</c:v>
                </c:pt>
                <c:pt idx="31">
                  <c:v>58</c:v>
                </c:pt>
                <c:pt idx="32">
                  <c:v>59</c:v>
                </c:pt>
                <c:pt idx="33">
                  <c:v>60</c:v>
                </c:pt>
                <c:pt idx="34">
                  <c:v>61</c:v>
                </c:pt>
              </c:numCache>
            </c:numRef>
          </c:xVal>
          <c:yVal>
            <c:numRef>
              <c:f>401k!$J$34:$J$93</c:f>
              <c:numCache>
                <c:formatCode>General</c:formatCode>
                <c:ptCount val="60"/>
                <c:pt idx="0">
                  <c:v>8800</c:v>
                </c:pt>
                <c:pt idx="1">
                  <c:v>17864</c:v>
                </c:pt>
                <c:pt idx="2">
                  <c:v>27199.92</c:v>
                </c:pt>
                <c:pt idx="3">
                  <c:v>36815.9176</c:v>
                </c:pt>
                <c:pt idx="4">
                  <c:v>46720.395128</c:v>
                </c:pt>
                <c:pt idx="5">
                  <c:v>56922.00698184</c:v>
                </c:pt>
                <c:pt idx="6">
                  <c:v>67429.6671912952</c:v>
                </c:pt>
                <c:pt idx="7">
                  <c:v>78252.5572070341</c:v>
                </c:pt>
                <c:pt idx="8">
                  <c:v>89400.1339232451</c:v>
                </c:pt>
                <c:pt idx="9">
                  <c:v>100882.137940942</c:v>
                </c:pt>
                <c:pt idx="10">
                  <c:v>112708.602079171</c:v>
                </c:pt>
                <c:pt idx="11">
                  <c:v>124889.860141546</c:v>
                </c:pt>
                <c:pt idx="12">
                  <c:v>137436.555945792</c:v>
                </c:pt>
                <c:pt idx="13">
                  <c:v>150359.652624166</c:v>
                </c:pt>
                <c:pt idx="14">
                  <c:v>163670.442202891</c:v>
                </c:pt>
                <c:pt idx="15">
                  <c:v>177380.555468978</c:v>
                </c:pt>
                <c:pt idx="16">
                  <c:v>191501.972133047</c:v>
                </c:pt>
                <c:pt idx="17">
                  <c:v>206047.031297038</c:v>
                </c:pt>
                <c:pt idx="18">
                  <c:v>221028.44223595</c:v>
                </c:pt>
                <c:pt idx="19">
                  <c:v>236459.295503028</c:v>
                </c:pt>
                <c:pt idx="20">
                  <c:v>252353.074368119</c:v>
                </c:pt>
                <c:pt idx="21">
                  <c:v>268723.666599162</c:v>
                </c:pt>
                <c:pt idx="22">
                  <c:v>285585.376597137</c:v>
                </c:pt>
                <c:pt idx="23">
                  <c:v>302952.937895052</c:v>
                </c:pt>
                <c:pt idx="24">
                  <c:v>320841.526031903</c:v>
                </c:pt>
                <c:pt idx="25">
                  <c:v>339266.77181286</c:v>
                </c:pt>
                <c:pt idx="26">
                  <c:v>358244.774967246</c:v>
                </c:pt>
                <c:pt idx="27">
                  <c:v>377792.118216263</c:v>
                </c:pt>
                <c:pt idx="28">
                  <c:v>397925.881762751</c:v>
                </c:pt>
                <c:pt idx="29">
                  <c:v>418663.658215634</c:v>
                </c:pt>
                <c:pt idx="30">
                  <c:v>440023.567962103</c:v>
                </c:pt>
                <c:pt idx="31">
                  <c:v>462024.275000966</c:v>
                </c:pt>
                <c:pt idx="32">
                  <c:v>484685.003250995</c:v>
                </c:pt>
                <c:pt idx="33">
                  <c:v>508025.553348525</c:v>
                </c:pt>
                <c:pt idx="34">
                  <c:v>532066.319948981</c:v>
                </c:pt>
              </c:numCache>
            </c:numRef>
          </c:yVal>
          <c:smooth val="0"/>
        </c:ser>
        <c:ser>
          <c:idx val="2"/>
          <c:order val="2"/>
          <c:spPr>
            <a:solidFill>
              <a:srgbClr val="0000ff"/>
            </a:solidFill>
            <a:ln w="25560">
              <a:solidFill>
                <a:srgbClr val="0000ff"/>
              </a:solidFill>
              <a:round/>
            </a:ln>
          </c:spPr>
          <c:marker>
            <c:symbol val="none"/>
          </c:marker>
          <c:dLbls>
            <c:txPr>
              <a:bodyPr wrap="none"/>
              <a:lstStyle/>
              <a:p>
                <a:pPr>
                  <a:defRPr b="0" sz="550" spc="-1" strike="noStrike">
                    <a:solidFill>
                      <a:srgbClr val="000000"/>
                    </a:solidFill>
                    <a:latin typeface="Arial"/>
                    <a:ea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401k!$B$34:$B$93</c:f>
              <c:numCache>
                <c:formatCode>General</c:formatCode>
                <c:ptCount val="60"/>
                <c:pt idx="0">
                  <c:v>27</c:v>
                </c:pt>
                <c:pt idx="1">
                  <c:v>28</c:v>
                </c:pt>
                <c:pt idx="2">
                  <c:v>29</c:v>
                </c:pt>
                <c:pt idx="3">
                  <c:v>30</c:v>
                </c:pt>
                <c:pt idx="4">
                  <c:v>31</c:v>
                </c:pt>
                <c:pt idx="5">
                  <c:v>32</c:v>
                </c:pt>
                <c:pt idx="6">
                  <c:v>33</c:v>
                </c:pt>
                <c:pt idx="7">
                  <c:v>34</c:v>
                </c:pt>
                <c:pt idx="8">
                  <c:v>35</c:v>
                </c:pt>
                <c:pt idx="9">
                  <c:v>36</c:v>
                </c:pt>
                <c:pt idx="10">
                  <c:v>37</c:v>
                </c:pt>
                <c:pt idx="11">
                  <c:v>38</c:v>
                </c:pt>
                <c:pt idx="12">
                  <c:v>39</c:v>
                </c:pt>
                <c:pt idx="13">
                  <c:v>40</c:v>
                </c:pt>
                <c:pt idx="14">
                  <c:v>41</c:v>
                </c:pt>
                <c:pt idx="15">
                  <c:v>42</c:v>
                </c:pt>
                <c:pt idx="16">
                  <c:v>43</c:v>
                </c:pt>
                <c:pt idx="17">
                  <c:v>44</c:v>
                </c:pt>
                <c:pt idx="18">
                  <c:v>45</c:v>
                </c:pt>
                <c:pt idx="19">
                  <c:v>46</c:v>
                </c:pt>
                <c:pt idx="20">
                  <c:v>47</c:v>
                </c:pt>
                <c:pt idx="21">
                  <c:v>48</c:v>
                </c:pt>
                <c:pt idx="22">
                  <c:v>49</c:v>
                </c:pt>
                <c:pt idx="23">
                  <c:v>50</c:v>
                </c:pt>
                <c:pt idx="24">
                  <c:v>51</c:v>
                </c:pt>
                <c:pt idx="25">
                  <c:v>52</c:v>
                </c:pt>
                <c:pt idx="26">
                  <c:v>53</c:v>
                </c:pt>
                <c:pt idx="27">
                  <c:v>54</c:v>
                </c:pt>
                <c:pt idx="28">
                  <c:v>55</c:v>
                </c:pt>
                <c:pt idx="29">
                  <c:v>56</c:v>
                </c:pt>
                <c:pt idx="30">
                  <c:v>57</c:v>
                </c:pt>
                <c:pt idx="31">
                  <c:v>58</c:v>
                </c:pt>
                <c:pt idx="32">
                  <c:v>59</c:v>
                </c:pt>
                <c:pt idx="33">
                  <c:v>60</c:v>
                </c:pt>
                <c:pt idx="34">
                  <c:v>61</c:v>
                </c:pt>
              </c:numCache>
            </c:numRef>
          </c:xVal>
          <c:yVal>
            <c:numRef>
              <c:f>401k!$K$34:$K$93</c:f>
              <c:numCache>
                <c:formatCode>General</c:formatCode>
                <c:ptCount val="60"/>
                <c:pt idx="0">
                  <c:v>15840</c:v>
                </c:pt>
                <c:pt idx="1">
                  <c:v>32155.2</c:v>
                </c:pt>
                <c:pt idx="2">
                  <c:v>48959.856</c:v>
                </c:pt>
                <c:pt idx="3">
                  <c:v>66268.65168</c:v>
                </c:pt>
                <c:pt idx="4">
                  <c:v>84096.7112304</c:v>
                </c:pt>
                <c:pt idx="5">
                  <c:v>102459.612567312</c:v>
                </c:pt>
                <c:pt idx="6">
                  <c:v>121373.400944331</c:v>
                </c:pt>
                <c:pt idx="7">
                  <c:v>140854.602972661</c:v>
                </c:pt>
                <c:pt idx="8">
                  <c:v>160920.241061841</c:v>
                </c:pt>
                <c:pt idx="9">
                  <c:v>181587.848293696</c:v>
                </c:pt>
                <c:pt idx="10">
                  <c:v>202875.483742507</c:v>
                </c:pt>
                <c:pt idx="11">
                  <c:v>224801.748254782</c:v>
                </c:pt>
                <c:pt idx="12">
                  <c:v>247385.800702426</c:v>
                </c:pt>
                <c:pt idx="13">
                  <c:v>270647.374723499</c:v>
                </c:pt>
                <c:pt idx="14">
                  <c:v>294606.795965204</c:v>
                </c:pt>
                <c:pt idx="15">
                  <c:v>319284.99984416</c:v>
                </c:pt>
                <c:pt idx="16">
                  <c:v>344703.549839485</c:v>
                </c:pt>
                <c:pt idx="17">
                  <c:v>370884.656334669</c:v>
                </c:pt>
                <c:pt idx="18">
                  <c:v>397851.196024709</c:v>
                </c:pt>
                <c:pt idx="19">
                  <c:v>425626.731905451</c:v>
                </c:pt>
                <c:pt idx="20">
                  <c:v>454235.533862614</c:v>
                </c:pt>
                <c:pt idx="21">
                  <c:v>483702.599878493</c:v>
                </c:pt>
                <c:pt idx="22">
                  <c:v>514053.677874847</c:v>
                </c:pt>
                <c:pt idx="23">
                  <c:v>545315.288211093</c:v>
                </c:pt>
                <c:pt idx="24">
                  <c:v>577514.746857426</c:v>
                </c:pt>
                <c:pt idx="25">
                  <c:v>610680.189263148</c:v>
                </c:pt>
                <c:pt idx="26">
                  <c:v>644840.594941043</c:v>
                </c:pt>
                <c:pt idx="27">
                  <c:v>680025.812789274</c:v>
                </c:pt>
                <c:pt idx="28">
                  <c:v>716266.587172952</c:v>
                </c:pt>
                <c:pt idx="29">
                  <c:v>753594.584788141</c:v>
                </c:pt>
                <c:pt idx="30">
                  <c:v>792042.422331785</c:v>
                </c:pt>
                <c:pt idx="31">
                  <c:v>831643.695001739</c:v>
                </c:pt>
                <c:pt idx="32">
                  <c:v>872433.005851791</c:v>
                </c:pt>
                <c:pt idx="33">
                  <c:v>914445.996027345</c:v>
                </c:pt>
                <c:pt idx="34">
                  <c:v>957719.375908165</c:v>
                </c:pt>
              </c:numCache>
            </c:numRef>
          </c:yVal>
          <c:smooth val="0"/>
        </c:ser>
        <c:axId val="44906017"/>
        <c:axId val="47192000"/>
      </c:scatterChart>
      <c:valAx>
        <c:axId val="44906017"/>
        <c:scaling>
          <c:orientation val="minMax"/>
          <c:min val="20"/>
        </c:scaling>
        <c:delete val="0"/>
        <c:axPos val="b"/>
        <c:title>
          <c:tx>
            <c:rich>
              <a:bodyPr rot="0"/>
              <a:lstStyle/>
              <a:p>
                <a:pPr>
                  <a:defRPr b="1" sz="1000" spc="-1" strike="noStrike">
                    <a:solidFill>
                      <a:srgbClr val="000000"/>
                    </a:solidFill>
                    <a:latin typeface="Arial"/>
                    <a:ea typeface="Arial"/>
                  </a:defRPr>
                </a:pPr>
                <a:r>
                  <a:rPr b="1" sz="1000" spc="-1" strike="noStrike">
                    <a:solidFill>
                      <a:srgbClr val="000000"/>
                    </a:solidFill>
                    <a:latin typeface="Arial"/>
                    <a:ea typeface="Arial"/>
                  </a:rPr>
                  <a:t>Age</a:t>
                </a:r>
              </a:p>
            </c:rich>
          </c:tx>
          <c:layout>
            <c:manualLayout>
              <c:xMode val="edge"/>
              <c:yMode val="edge"/>
              <c:x val="0.541940354850887"/>
              <c:y val="0.882576442916591"/>
            </c:manualLayout>
          </c:layout>
          <c:overlay val="0"/>
          <c:spPr>
            <a:noFill/>
            <a:ln w="25560">
              <a:noFill/>
            </a:ln>
          </c:spPr>
        </c:title>
        <c:numFmt formatCode="General" sourceLinked="0"/>
        <c:majorTickMark val="out"/>
        <c:minorTickMark val="none"/>
        <c:tickLblPos val="nextTo"/>
        <c:spPr>
          <a:ln w="3240">
            <a:solidFill>
              <a:srgbClr val="000000"/>
            </a:solidFill>
            <a:round/>
          </a:ln>
        </c:spPr>
        <c:txPr>
          <a:bodyPr/>
          <a:lstStyle/>
          <a:p>
            <a:pPr>
              <a:defRPr b="0" sz="1000" spc="-1" strike="noStrike">
                <a:solidFill>
                  <a:srgbClr val="000000"/>
                </a:solidFill>
                <a:latin typeface="Arial"/>
                <a:ea typeface="Arial"/>
              </a:defRPr>
            </a:pPr>
          </a:p>
        </c:txPr>
        <c:crossAx val="47192000"/>
        <c:crosses val="autoZero"/>
        <c:crossBetween val="midCat"/>
      </c:valAx>
      <c:valAx>
        <c:axId val="47192000"/>
        <c:scaling>
          <c:orientation val="minMax"/>
        </c:scaling>
        <c:delete val="0"/>
        <c:axPos val="l"/>
        <c:numFmt formatCode="&quot; $&quot;* #,##0\ ;&quot; $&quot;* \(#,##0\);&quot; $&quot;* \-#\ ;\ @\ " sourceLinked="0"/>
        <c:majorTickMark val="out"/>
        <c:minorTickMark val="none"/>
        <c:tickLblPos val="nextTo"/>
        <c:spPr>
          <a:ln w="3240">
            <a:solidFill>
              <a:srgbClr val="000000"/>
            </a:solidFill>
            <a:round/>
          </a:ln>
        </c:spPr>
        <c:txPr>
          <a:bodyPr/>
          <a:lstStyle/>
          <a:p>
            <a:pPr>
              <a:defRPr b="0" sz="1000" spc="-1" strike="noStrike">
                <a:solidFill>
                  <a:srgbClr val="000000"/>
                </a:solidFill>
                <a:latin typeface="Arial"/>
                <a:ea typeface="Arial"/>
              </a:defRPr>
            </a:pPr>
          </a:p>
        </c:txPr>
        <c:crossAx val="44906017"/>
        <c:crosses val="autoZero"/>
        <c:crossBetween val="midCat"/>
      </c:valAx>
      <c:spPr>
        <a:noFill/>
        <a:ln w="25560">
          <a:noFill/>
        </a:ln>
      </c:spPr>
    </c:plotArea>
    <c:legend>
      <c:legendPos val="r"/>
      <c:layout>
        <c:manualLayout>
          <c:xMode val="edge"/>
          <c:yMode val="edge"/>
          <c:x val="0.172655896119583"/>
          <c:y val="0.0710926193921852"/>
          <c:w val="0.306832767081918"/>
          <c:h val="0.305952596345214"/>
        </c:manualLayout>
      </c:layout>
      <c:overlay val="0"/>
      <c:spPr>
        <a:noFill/>
        <a:ln w="3240">
          <a:solidFill>
            <a:srgbClr val="b2b2b2"/>
          </a:solidFill>
          <a:round/>
        </a:ln>
      </c:spPr>
      <c:txPr>
        <a:bodyPr/>
        <a:lstStyle/>
        <a:p>
          <a:pPr>
            <a:defRPr b="0" sz="920" spc="-1" strike="noStrike">
              <a:solidFill>
                <a:srgbClr val="000000"/>
              </a:solidFill>
              <a:latin typeface="Arial"/>
              <a:ea typeface="Arial"/>
            </a:defRPr>
          </a:pPr>
        </a:p>
      </c:txPr>
    </c:legend>
    <c:plotVisOnly val="1"/>
    <c:dispBlanksAs val="gap"/>
  </c:chart>
  <c:spPr>
    <a:solidFill>
      <a:srgbClr val="ffffff"/>
    </a:solidFill>
    <a:ln w="648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hyperlink" Target="https://www.vertex42.com/" TargetMode="External"/><Relationship Id="rId3"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19</xdr:row>
      <xdr:rowOff>-360</xdr:rowOff>
    </xdr:from>
    <xdr:to>
      <xdr:col>6</xdr:col>
      <xdr:colOff>226800</xdr:colOff>
      <xdr:row>30</xdr:row>
      <xdr:rowOff>88920</xdr:rowOff>
    </xdr:to>
    <xdr:graphicFrame>
      <xdr:nvGraphicFramePr>
        <xdr:cNvPr id="0" name="Chart 4"/>
        <xdr:cNvGraphicFramePr/>
      </xdr:nvGraphicFramePr>
      <xdr:xfrm>
        <a:off x="0" y="3801960"/>
        <a:ext cx="4767840" cy="19893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733320</xdr:colOff>
      <xdr:row>0</xdr:row>
      <xdr:rowOff>47520</xdr:rowOff>
    </xdr:from>
    <xdr:to>
      <xdr:col>7</xdr:col>
      <xdr:colOff>1096560</xdr:colOff>
      <xdr:row>0</xdr:row>
      <xdr:rowOff>350640</xdr:rowOff>
    </xdr:to>
    <xdr:pic>
      <xdr:nvPicPr>
        <xdr:cNvPr id="1" name="Picture 3" descr="">
          <a:hlinkClick r:id="rId2"/>
        </xdr:cNvPr>
        <xdr:cNvPicPr/>
      </xdr:nvPicPr>
      <xdr:blipFill>
        <a:blip r:embed="rId3"/>
        <a:stretch/>
      </xdr:blipFill>
      <xdr:spPr>
        <a:xfrm>
          <a:off x="5274360" y="47520"/>
          <a:ext cx="1399320" cy="303120"/>
        </a:xfrm>
        <a:prstGeom prst="rect">
          <a:avLst/>
        </a:prstGeom>
        <a:ln w="0">
          <a:noFill/>
        </a:ln>
      </xdr:spPr>
    </xdr:pic>
    <xdr:clientData/>
  </xdr:twoCellAnchor>
</xdr:wsDr>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vertex42.com/Calculators/401k-savings-calculator.html" TargetMode="External"/><Relationship Id="rId3" Type="http://schemas.openxmlformats.org/officeDocument/2006/relationships/drawing" Target="../drawings/drawing1.xm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7"/>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E43" activeCellId="0" sqref="E43"/>
    </sheetView>
  </sheetViews>
  <sheetFormatPr defaultColWidth="11.60546875" defaultRowHeight="12.8" zeroHeight="false" outlineLevelRow="0" outlineLevelCol="0"/>
  <cols>
    <col collapsed="false" customWidth="true" hidden="false" outlineLevel="0" max="1" min="1" style="0" width="37.37"/>
    <col collapsed="false" customWidth="true" hidden="false" outlineLevel="0" max="2" min="2" style="0" width="14.94"/>
    <col collapsed="false" customWidth="true" hidden="false" outlineLevel="0" max="3" min="3" style="0" width="18.36"/>
    <col collapsed="false" customWidth="true" hidden="false" outlineLevel="0" max="4" min="4" style="0" width="22.28"/>
    <col collapsed="false" customWidth="true" hidden="false" outlineLevel="0" max="5" min="5" style="0" width="14.54"/>
    <col collapsed="false" customWidth="true" hidden="false" outlineLevel="0" max="6" min="6" style="0" width="14.83"/>
    <col collapsed="false" customWidth="true" hidden="false" outlineLevel="0" max="7" min="7" style="0" width="14.88"/>
    <col collapsed="false" customWidth="true" hidden="false" outlineLevel="0" max="8" min="8" style="0" width="21.5"/>
    <col collapsed="false" customWidth="true" hidden="false" outlineLevel="0" max="9" min="9" style="0" width="21.97"/>
    <col collapsed="false" customWidth="true" hidden="false" outlineLevel="0" max="10" min="10" style="0" width="12.58"/>
    <col collapsed="false" customWidth="true" hidden="false" outlineLevel="0" max="11" min="11" style="0" width="18.36"/>
    <col collapsed="false" customWidth="true" hidden="false" outlineLevel="0" max="12" min="12" style="0" width="13.89"/>
    <col collapsed="false" customWidth="true" hidden="false" outlineLevel="0" max="13" min="13" style="0" width="14.88"/>
    <col collapsed="false" customWidth="true" hidden="false" outlineLevel="0" max="14" min="14" style="0" width="9.13"/>
    <col collapsed="false" customWidth="true" hidden="false" outlineLevel="0" max="15" min="15" style="0" width="14.81"/>
    <col collapsed="false" customWidth="true" hidden="false" outlineLevel="0" max="16" min="16" style="0" width="14.96"/>
    <col collapsed="false" customWidth="true" hidden="false" outlineLevel="0" max="17" min="17" style="0" width="18.32"/>
    <col collapsed="false" customWidth="true" hidden="false" outlineLevel="0" max="18" min="18" style="0" width="22.36"/>
    <col collapsed="false" customWidth="true" hidden="false" outlineLevel="0" max="19" min="19" style="0" width="14.68"/>
    <col collapsed="false" customWidth="true" hidden="false" outlineLevel="0" max="20" min="20" style="0" width="14.96"/>
    <col collapsed="false" customWidth="true" hidden="false" outlineLevel="0" max="21" min="21" style="0" width="14.81"/>
  </cols>
  <sheetData>
    <row r="1" customFormat="false" ht="22.05" hidden="false" customHeight="true" outlineLevel="0" collapsed="false">
      <c r="A1" s="1" t="s">
        <v>0</v>
      </c>
      <c r="B1" s="2" t="n">
        <v>2021</v>
      </c>
      <c r="C1" s="3" t="s">
        <v>1</v>
      </c>
      <c r="D1" s="3"/>
      <c r="E1" s="3"/>
      <c r="F1" s="3"/>
      <c r="K1" s="4"/>
      <c r="P1" s="4"/>
      <c r="U1" s="4"/>
      <c r="Z1" s="4"/>
    </row>
    <row r="2" customFormat="false" ht="22.05" hidden="false" customHeight="false" outlineLevel="0" collapsed="false">
      <c r="A2" s="1"/>
      <c r="B2" s="2"/>
      <c r="C2" s="3"/>
      <c r="D2" s="3"/>
      <c r="E2" s="3"/>
      <c r="F2" s="3"/>
      <c r="K2" s="4"/>
      <c r="P2" s="4"/>
      <c r="U2" s="4"/>
      <c r="Z2" s="4"/>
    </row>
    <row r="3" customFormat="false" ht="22.05" hidden="false" customHeight="false" outlineLevel="0" collapsed="false">
      <c r="A3" s="1"/>
      <c r="B3" s="2"/>
      <c r="C3" s="3"/>
      <c r="D3" s="3"/>
      <c r="E3" s="3"/>
      <c r="F3" s="3"/>
      <c r="K3" s="4"/>
      <c r="P3" s="4"/>
      <c r="U3" s="4"/>
      <c r="Z3" s="4"/>
    </row>
    <row r="4" customFormat="false" ht="22.05" hidden="false" customHeight="false" outlineLevel="0" collapsed="false">
      <c r="A4" s="5" t="s">
        <v>2</v>
      </c>
      <c r="B4" s="5"/>
      <c r="C4" s="5"/>
      <c r="D4" s="5"/>
      <c r="E4" s="6" t="s">
        <v>3</v>
      </c>
      <c r="F4" s="6"/>
      <c r="G4" s="7"/>
      <c r="H4" s="4"/>
      <c r="I4" s="4"/>
      <c r="J4" s="4"/>
      <c r="K4" s="4"/>
      <c r="L4" s="8"/>
      <c r="M4" s="8"/>
      <c r="O4" s="4"/>
      <c r="P4" s="4"/>
      <c r="Q4" s="4"/>
      <c r="R4" s="4"/>
      <c r="S4" s="8"/>
      <c r="T4" s="8"/>
    </row>
    <row r="5" customFormat="false" ht="12.8" hidden="false" customHeight="false" outlineLevel="0" collapsed="false">
      <c r="A5" s="9" t="s">
        <v>4</v>
      </c>
      <c r="B5" s="10"/>
      <c r="C5" s="11"/>
      <c r="D5" s="12" t="n">
        <f aca="false">(52*40*22)</f>
        <v>45760</v>
      </c>
      <c r="E5" s="13"/>
    </row>
    <row r="6" customFormat="false" ht="12.8" hidden="false" customHeight="false" outlineLevel="0" collapsed="false">
      <c r="A6" s="9" t="s">
        <v>5</v>
      </c>
      <c r="B6" s="10"/>
      <c r="C6" s="11"/>
      <c r="D6" s="14" t="n">
        <v>0.1</v>
      </c>
    </row>
    <row r="7" customFormat="false" ht="12.8" hidden="false" customHeight="false" outlineLevel="0" collapsed="false">
      <c r="A7" s="9" t="s">
        <v>6</v>
      </c>
      <c r="B7" s="10"/>
      <c r="C7" s="11"/>
      <c r="D7" s="12" t="n">
        <v>0</v>
      </c>
    </row>
    <row r="8" customFormat="false" ht="12.8" hidden="false" customHeight="false" outlineLevel="0" collapsed="false">
      <c r="A8" s="9" t="s">
        <v>7</v>
      </c>
      <c r="B8" s="10"/>
      <c r="C8" s="11"/>
      <c r="D8" s="12" t="n">
        <v>0</v>
      </c>
    </row>
    <row r="9" customFormat="false" ht="12.8" hidden="false" customHeight="false" outlineLevel="0" collapsed="false">
      <c r="A9" s="9" t="s">
        <v>8</v>
      </c>
      <c r="B9" s="10"/>
      <c r="C9" s="11"/>
      <c r="D9" s="12" t="n">
        <v>0</v>
      </c>
    </row>
    <row r="10" customFormat="false" ht="12.8" hidden="false" customHeight="false" outlineLevel="0" collapsed="false">
      <c r="A10" s="9" t="s">
        <v>9</v>
      </c>
      <c r="B10" s="10"/>
      <c r="C10" s="15"/>
      <c r="D10" s="16" t="s">
        <v>10</v>
      </c>
    </row>
    <row r="11" customFormat="false" ht="12.8" hidden="false" customHeight="false" outlineLevel="0" collapsed="false">
      <c r="A11" s="9" t="s">
        <v>11</v>
      </c>
      <c r="B11" s="10"/>
      <c r="C11" s="11"/>
      <c r="D11" s="17" t="s">
        <v>12</v>
      </c>
      <c r="F11" s="18" t="s">
        <v>13</v>
      </c>
      <c r="G11" s="18"/>
      <c r="L11" s="8"/>
      <c r="M11" s="8"/>
      <c r="S11" s="8"/>
      <c r="T11" s="8"/>
    </row>
    <row r="12" customFormat="false" ht="12.8" hidden="false" customHeight="false" outlineLevel="0" collapsed="false">
      <c r="A12" s="9" t="s">
        <v>14</v>
      </c>
      <c r="B12" s="10"/>
      <c r="C12" s="11"/>
      <c r="D12" s="19" t="n">
        <f aca="false">D5-(D5*D6)</f>
        <v>41184</v>
      </c>
      <c r="E12" s="20"/>
      <c r="F12" s="21" t="n">
        <f aca="false">_xlfn.IFS(D10="Single",inc-stanDeduc1,D10="Head of Household",inc-stanDeduc2,D10="Married, Filing Jointly",inc-stanDeduc3,D10="Married, Filing Separately",inc-stanDeduc4)</f>
        <v>28234</v>
      </c>
      <c r="G12" s="22"/>
    </row>
    <row r="13" customFormat="false" ht="12.8" hidden="false" customHeight="false" outlineLevel="0" collapsed="false">
      <c r="A13" s="9" t="s">
        <v>15</v>
      </c>
      <c r="B13" s="10"/>
      <c r="C13" s="11"/>
      <c r="D13" s="19" t="n">
        <f aca="false">_xlfn.IFS(D10="Single",VLOOKUP(inc,ratesOne,3,1)+(inc-VLOOKUP(inc,ratesOne,1,1))*VLOOKUP(inc,ratesOne,2,1),D10="Head of Household",VLOOKUP(inc,rates2,3,1)+(inc-VLOOKUP(inc,rates2,1,1))*VLOOKUP(inc,rates2,2,1),D10="Married, Filing Jointly",VLOOKUP(inc,rates3,3,1)+(inc-VLOOKUP(inc,rates3,1,1))*VLOOKUP(inc,rates3,2,1),D10="Married, Filing Separately",VLOOKUP(inc,rates4,3,1)+(inc-VLOOKUP(inc,rates4,1,1))*VLOOKUP(inc,rates4,2,1))</f>
        <v>4736.58</v>
      </c>
      <c r="E13" s="13"/>
      <c r="F13" s="23" t="n">
        <f aca="false">_xlfn.IFS(D10="Single",VLOOKUP(incStanDeduc,rates1,3,1)+(incStanDeduc-VLOOKUP(incStanDeduc,rates1,1,1))*VLOOKUP(incStanDeduc,rates1,2,1),D10="Head of Household",VLOOKUP(incStanDeduc,rates2,3,1)+(incStanDeduc-VLOOKUP(incStanDeduc,rates2,1,1))*VLOOKUP(incStanDeduc,rates2,2,1),D10="Married, Filing Jointly",VLOOKUP(incStanDeduc,rates3,3,1)+(incStanDeduc-VLOOKUP(incStanDeduc,rates3,1,1))*VLOOKUP(incStanDeduc,rates3,2,1),D10="Married, Filing Separately",VLOOKUP(incStanDeduc,rates4,3,1)+(incStanDeduc-VLOOKUP(incStanDeduc,rates4,1,1))*VLOOKUP(incStanDeduc,rates4,2,1))</f>
        <v>3182.58</v>
      </c>
    </row>
    <row r="14" customFormat="false" ht="12.8" hidden="false" customHeight="false" outlineLevel="0" collapsed="false">
      <c r="A14" s="9"/>
      <c r="B14" s="10"/>
      <c r="C14" s="11" t="s">
        <v>16</v>
      </c>
      <c r="D14" s="24" t="n">
        <f aca="false">_xlfn.IFS(D10="Single",VLOOKUP(inc,rates1,2,1),D10="Head of Household",VLOOKUP(inc,rates2,2,1),D10="Married, Filing Jointly",VLOOKUP(inc,rates3,2,1),D10="Married, Filing Separately",VLOOKUP(inc,rates4,2,1))</f>
        <v>0.12</v>
      </c>
      <c r="E14" s="13"/>
      <c r="F14" s="25" t="n">
        <f aca="false">_xlfn.IFS(D10="Single",VLOOKUP(incStanDeduc,rates1,2,1),D10="Head of Household",VLOOKUP(incStanDeduc,rates2,2,1),D10="Married, Filing Jointly",VLOOKUP(incStanDeduc,rates3,2,1),D10="Married, Filing Separately",VLOOKUP(incStanDeduc,rates4,2,1))</f>
        <v>0.12</v>
      </c>
    </row>
    <row r="15" customFormat="false" ht="12.8" hidden="false" customHeight="false" outlineLevel="0" collapsed="false">
      <c r="A15" s="9"/>
      <c r="B15" s="10"/>
      <c r="C15" s="11" t="s">
        <v>17</v>
      </c>
      <c r="D15" s="26" t="n">
        <f aca="false">D13/inc</f>
        <v>0.115010198135198</v>
      </c>
      <c r="F15" s="27" t="n">
        <f aca="false">F13/incStanDeduc</f>
        <v>0.112721541403981</v>
      </c>
    </row>
    <row r="16" customFormat="false" ht="12.8" hidden="false" customHeight="false" outlineLevel="0" collapsed="false">
      <c r="A16" s="9" t="s">
        <v>18</v>
      </c>
      <c r="B16" s="10"/>
      <c r="C16" s="11"/>
      <c r="D16" s="19" t="n">
        <f aca="false">D5*0.0765</f>
        <v>3500.64</v>
      </c>
      <c r="E16" s="28" t="s">
        <v>19</v>
      </c>
      <c r="F16" s="29" t="n">
        <f aca="false">D5*0.0765</f>
        <v>3500.64</v>
      </c>
      <c r="G16" s="28" t="s">
        <v>19</v>
      </c>
    </row>
    <row r="17" customFormat="false" ht="12.8" hidden="false" customHeight="false" outlineLevel="0" collapsed="false">
      <c r="A17" s="9" t="s">
        <v>20</v>
      </c>
      <c r="B17" s="10"/>
      <c r="C17" s="11"/>
      <c r="D17" s="19" t="n">
        <f aca="false">_xlfn.IFS(D11="CO: Single", VLOOKUP(inc,coRates1,3,1)+(inc-VLOOKUP(inc,coRates1,1,1))*VLOOKUP(inc,coRates1,2,1),D11="CO: Married, Filing Jointly",VLOOKUP(inc,coRates2,3,1)+(inc-VLOOKUP(inc,coRates2,1,1))*VLOOKUP(inc,coRates2,2,1),D11="GA: Single",VLOOKUP(inc,gaRates1,3,1)+(inc-VLOOKUP(inc,gaRates1,1,1))*VLOOKUP(inc,gaRates1,2,1),D11="GA: Married, Filing Jointly",VLOOKUP(inc,gaRates2,3,1)+(inc-VLOOKUP(inc,gaRates2,1,1))*VLOOKUP(inc,gaRates2,2,1))</f>
        <v>2281.04</v>
      </c>
      <c r="E17" s="13" t="n">
        <f aca="false">SUM(D13+D16+D17)</f>
        <v>10518.26</v>
      </c>
      <c r="F17" s="12" t="n">
        <f aca="false">_xlfn.IFS(D11="CO: Single", VLOOKUP(incStanDeduc,coRates1,3,1)+(incStanDeduc-VLOOKUP(incStanDeduc,coRates1,1,1))*VLOOKUP(incStanDeduc,coRates1,2,1),D11="CO: Married, Filing Jointly",VLOOKUP(incStanDeduc,coRates2,3,1)+(incStanDeduc-VLOOKUP(incStanDeduc,coRates2,1,1))*VLOOKUP(incStanDeduc,coRates2,2,1),D11="GA: Single",VLOOKUP(incStanDeduc,gaRates1,3,1)+(incStanDeduc-VLOOKUP(incStanDeduc,gaRates1,1,1))*VLOOKUP(incStanDeduc,gaRates1,2,1),D11="GA: Married, Filing Jointly",VLOOKUP(incStanDeduc,gaRates2,3,1)+(incStanDeduc-VLOOKUP(incStanDeduc,gaRates2,1,1))*VLOOKUP(incStanDeduc,gaRates2,2,1))</f>
        <v>1504.04</v>
      </c>
      <c r="G17" s="13" t="n">
        <f aca="false">SUM(F13+F16+F17)</f>
        <v>8187.26</v>
      </c>
    </row>
    <row r="18" customFormat="false" ht="13.05" hidden="false" customHeight="true" outlineLevel="0" collapsed="false">
      <c r="A18" s="9"/>
      <c r="B18" s="10"/>
      <c r="C18" s="11" t="s">
        <v>16</v>
      </c>
      <c r="D18" s="26" t="n">
        <f aca="false">_xlfn.IFS(D11="GA: Single",VLOOKUP(inc,gaRates1,2,1),D11="GA: Married, Filing Jointly",VLOOKUP(inc,gaRates2,2,1))</f>
        <v>0.06</v>
      </c>
      <c r="E18" s="30"/>
      <c r="F18" s="20"/>
    </row>
    <row r="19" customFormat="false" ht="12.8" hidden="false" customHeight="false" outlineLevel="0" collapsed="false">
      <c r="A19" s="9"/>
      <c r="B19" s="10"/>
      <c r="C19" s="11" t="s">
        <v>17</v>
      </c>
      <c r="D19" s="26" t="n">
        <f aca="false">D17/inc</f>
        <v>0.0553865578865579</v>
      </c>
      <c r="E19" s="31"/>
      <c r="F19" s="8"/>
    </row>
    <row r="20" customFormat="false" ht="12.8" hidden="false" customHeight="false" outlineLevel="0" collapsed="false">
      <c r="A20" s="9"/>
      <c r="B20" s="10"/>
      <c r="C20" s="11"/>
      <c r="D20" s="24"/>
      <c r="E20" s="32"/>
      <c r="F20" s="33"/>
    </row>
    <row r="21" customFormat="false" ht="12.8" hidden="false" customHeight="false" outlineLevel="0" collapsed="false">
      <c r="A21" s="9"/>
      <c r="B21" s="34"/>
      <c r="C21" s="35"/>
      <c r="D21" s="36" t="s">
        <v>21</v>
      </c>
      <c r="E21" s="36" t="s">
        <v>22</v>
      </c>
      <c r="F21" s="36" t="s">
        <v>23</v>
      </c>
      <c r="O21" s="9"/>
      <c r="P21" s="34"/>
      <c r="Q21" s="35"/>
      <c r="R21" s="36" t="s">
        <v>21</v>
      </c>
      <c r="S21" s="36" t="s">
        <v>22</v>
      </c>
      <c r="T21" s="36" t="s">
        <v>23</v>
      </c>
    </row>
    <row r="22" customFormat="false" ht="12.8" hidden="false" customHeight="false" outlineLevel="0" collapsed="false">
      <c r="A22" s="9" t="s">
        <v>24</v>
      </c>
      <c r="B22" s="34"/>
      <c r="C22" s="35"/>
      <c r="D22" s="19" t="n">
        <f aca="false">D12-D13-D16-D17-(D7*12)-(D8*12)-(D9*12)</f>
        <v>30665.74</v>
      </c>
      <c r="E22" s="37" t="n">
        <f aca="false">D22/12</f>
        <v>2555.47833333333</v>
      </c>
      <c r="F22" s="12" t="n">
        <f aca="false">E22/2</f>
        <v>1277.73916666667</v>
      </c>
      <c r="O22" s="9" t="s">
        <v>24</v>
      </c>
      <c r="P22" s="34"/>
      <c r="Q22" s="35"/>
      <c r="R22" s="19" t="n">
        <f aca="false">D22+K22</f>
        <v>30665.74</v>
      </c>
      <c r="S22" s="37" t="n">
        <f aca="false">R22/12</f>
        <v>2555.47833333333</v>
      </c>
      <c r="T22" s="12" t="n">
        <f aca="false">S22/2</f>
        <v>1277.73916666667</v>
      </c>
    </row>
    <row r="23" customFormat="false" ht="26.15" hidden="false" customHeight="true" outlineLevel="0" collapsed="false">
      <c r="A23" s="38" t="s">
        <v>25</v>
      </c>
      <c r="B23" s="38"/>
      <c r="C23" s="38"/>
      <c r="D23" s="39" t="s">
        <v>26</v>
      </c>
      <c r="E23" s="39"/>
      <c r="F23" s="39"/>
      <c r="H23" s="4"/>
      <c r="I23" s="4"/>
      <c r="J23" s="4"/>
      <c r="O23" s="38" t="s">
        <v>25</v>
      </c>
      <c r="P23" s="38"/>
      <c r="Q23" s="38"/>
      <c r="R23" s="31"/>
      <c r="T23" s="40"/>
    </row>
    <row r="24" customFormat="false" ht="12.8" hidden="false" customHeight="false" outlineLevel="0" collapsed="false">
      <c r="A24" s="41" t="s">
        <v>27</v>
      </c>
      <c r="B24" s="42"/>
      <c r="C24" s="43"/>
      <c r="D24" s="44" t="n">
        <f aca="false">E24*12</f>
        <v>15600</v>
      </c>
      <c r="E24" s="13" t="n">
        <v>1300</v>
      </c>
      <c r="F24" s="29" t="n">
        <f aca="false">E24/2</f>
        <v>650</v>
      </c>
      <c r="G24" s="13"/>
      <c r="O24" s="41" t="s">
        <v>27</v>
      </c>
      <c r="P24" s="42"/>
      <c r="Q24" s="43"/>
      <c r="R24" s="44" t="n">
        <f aca="false">S24*12</f>
        <v>15600</v>
      </c>
      <c r="S24" s="13" t="n">
        <f aca="false">E24+L24</f>
        <v>1300</v>
      </c>
      <c r="T24" s="29" t="n">
        <f aca="false">S24/2</f>
        <v>650</v>
      </c>
      <c r="U24" s="13" t="n">
        <f aca="false">S24+S43</f>
        <v>1300</v>
      </c>
    </row>
    <row r="25" customFormat="false" ht="12.8" hidden="false" customHeight="false" outlineLevel="0" collapsed="false">
      <c r="A25" s="41" t="s">
        <v>28</v>
      </c>
      <c r="B25" s="42"/>
      <c r="C25" s="43"/>
      <c r="D25" s="44" t="n">
        <f aca="false">E25*12</f>
        <v>720</v>
      </c>
      <c r="E25" s="13" t="n">
        <v>60</v>
      </c>
      <c r="F25" s="29" t="n">
        <f aca="false">E25/2</f>
        <v>30</v>
      </c>
      <c r="O25" s="41" t="s">
        <v>28</v>
      </c>
      <c r="P25" s="42"/>
      <c r="Q25" s="43"/>
      <c r="R25" s="44" t="n">
        <f aca="false">S25*12</f>
        <v>720</v>
      </c>
      <c r="S25" s="13" t="n">
        <f aca="false">E25+L25</f>
        <v>60</v>
      </c>
      <c r="T25" s="29" t="n">
        <f aca="false">S25/2</f>
        <v>30</v>
      </c>
    </row>
    <row r="26" customFormat="false" ht="12.8" hidden="false" customHeight="false" outlineLevel="0" collapsed="false">
      <c r="A26" s="41" t="s">
        <v>29</v>
      </c>
      <c r="B26" s="42"/>
      <c r="C26" s="43"/>
      <c r="D26" s="44" t="n">
        <f aca="false">E26*12</f>
        <v>840</v>
      </c>
      <c r="E26" s="13" t="n">
        <v>70</v>
      </c>
      <c r="F26" s="29" t="n">
        <f aca="false">E26/2</f>
        <v>35</v>
      </c>
      <c r="O26" s="41" t="s">
        <v>29</v>
      </c>
      <c r="P26" s="42"/>
      <c r="Q26" s="43"/>
      <c r="R26" s="44" t="n">
        <f aca="false">S26*12</f>
        <v>840</v>
      </c>
      <c r="S26" s="13" t="n">
        <f aca="false">E26+L26</f>
        <v>70</v>
      </c>
      <c r="T26" s="29" t="n">
        <f aca="false">S26/2</f>
        <v>35</v>
      </c>
    </row>
    <row r="27" customFormat="false" ht="12.8" hidden="false" customHeight="false" outlineLevel="0" collapsed="false">
      <c r="A27" s="41" t="s">
        <v>30</v>
      </c>
      <c r="B27" s="42"/>
      <c r="C27" s="43"/>
      <c r="D27" s="44" t="n">
        <f aca="false">E27*12</f>
        <v>840</v>
      </c>
      <c r="E27" s="13" t="n">
        <v>70</v>
      </c>
      <c r="F27" s="29" t="n">
        <f aca="false">E27/2</f>
        <v>35</v>
      </c>
      <c r="O27" s="41" t="s">
        <v>30</v>
      </c>
      <c r="P27" s="42"/>
      <c r="Q27" s="43"/>
      <c r="R27" s="44" t="n">
        <f aca="false">S27*12</f>
        <v>840</v>
      </c>
      <c r="S27" s="13" t="n">
        <f aca="false">E27+L27</f>
        <v>70</v>
      </c>
      <c r="T27" s="29" t="n">
        <f aca="false">S27/2</f>
        <v>35</v>
      </c>
    </row>
    <row r="28" customFormat="false" ht="12.8" hidden="false" customHeight="false" outlineLevel="0" collapsed="false">
      <c r="A28" s="41" t="s">
        <v>31</v>
      </c>
      <c r="B28" s="42"/>
      <c r="C28" s="43"/>
      <c r="D28" s="44" t="n">
        <f aca="false">E28*12</f>
        <v>396</v>
      </c>
      <c r="E28" s="13" t="n">
        <v>33</v>
      </c>
      <c r="F28" s="29" t="n">
        <f aca="false">E28/2</f>
        <v>16.5</v>
      </c>
      <c r="O28" s="41" t="s">
        <v>31</v>
      </c>
      <c r="P28" s="42"/>
      <c r="Q28" s="43"/>
      <c r="R28" s="44" t="n">
        <f aca="false">S28*12</f>
        <v>396</v>
      </c>
      <c r="S28" s="13" t="n">
        <f aca="false">E28+L28</f>
        <v>33</v>
      </c>
      <c r="T28" s="29" t="n">
        <f aca="false">S28/2</f>
        <v>16.5</v>
      </c>
    </row>
    <row r="29" customFormat="false" ht="12.8" hidden="false" customHeight="false" outlineLevel="0" collapsed="false">
      <c r="A29" s="41" t="s">
        <v>32</v>
      </c>
      <c r="B29" s="42"/>
      <c r="C29" s="43"/>
      <c r="D29" s="44" t="n">
        <f aca="false">E29*12</f>
        <v>840</v>
      </c>
      <c r="E29" s="13" t="n">
        <v>70</v>
      </c>
      <c r="F29" s="29" t="n">
        <f aca="false">E29/2</f>
        <v>35</v>
      </c>
      <c r="O29" s="41" t="s">
        <v>32</v>
      </c>
      <c r="P29" s="42"/>
      <c r="Q29" s="43"/>
      <c r="R29" s="44" t="n">
        <f aca="false">S29*12</f>
        <v>840</v>
      </c>
      <c r="S29" s="13" t="n">
        <f aca="false">E29+L29</f>
        <v>70</v>
      </c>
      <c r="T29" s="29" t="n">
        <f aca="false">S29/2</f>
        <v>35</v>
      </c>
    </row>
    <row r="30" customFormat="false" ht="12.8" hidden="false" customHeight="false" outlineLevel="0" collapsed="false">
      <c r="A30" s="41" t="s">
        <v>33</v>
      </c>
      <c r="B30" s="42"/>
      <c r="C30" s="43"/>
      <c r="D30" s="44" t="n">
        <f aca="false">E30*12</f>
        <v>0</v>
      </c>
      <c r="E30" s="13" t="n">
        <v>0</v>
      </c>
      <c r="F30" s="29" t="n">
        <f aca="false">E30/2</f>
        <v>0</v>
      </c>
      <c r="O30" s="41" t="s">
        <v>33</v>
      </c>
      <c r="P30" s="42"/>
      <c r="Q30" s="43"/>
      <c r="R30" s="44" t="n">
        <f aca="false">S30*12</f>
        <v>0</v>
      </c>
      <c r="S30" s="13" t="n">
        <f aca="false">E30+L30</f>
        <v>0</v>
      </c>
      <c r="T30" s="29" t="n">
        <f aca="false">S30/2</f>
        <v>0</v>
      </c>
    </row>
    <row r="31" customFormat="false" ht="12.8" hidden="false" customHeight="false" outlineLevel="0" collapsed="false">
      <c r="A31" s="41" t="s">
        <v>34</v>
      </c>
      <c r="B31" s="42"/>
      <c r="C31" s="43"/>
      <c r="D31" s="44" t="n">
        <f aca="false">E31*12</f>
        <v>2880</v>
      </c>
      <c r="E31" s="13" t="n">
        <v>240</v>
      </c>
      <c r="F31" s="29" t="n">
        <f aca="false">E31/2</f>
        <v>120</v>
      </c>
      <c r="O31" s="41" t="s">
        <v>34</v>
      </c>
      <c r="P31" s="42"/>
      <c r="Q31" s="43"/>
      <c r="R31" s="44" t="n">
        <f aca="false">S31*12</f>
        <v>2880</v>
      </c>
      <c r="S31" s="13" t="n">
        <f aca="false">E31+L31</f>
        <v>240</v>
      </c>
      <c r="T31" s="29" t="n">
        <f aca="false">S31/2</f>
        <v>120</v>
      </c>
    </row>
    <row r="32" customFormat="false" ht="12.8" hidden="false" customHeight="false" outlineLevel="0" collapsed="false">
      <c r="A32" s="41" t="s">
        <v>35</v>
      </c>
      <c r="B32" s="42"/>
      <c r="C32" s="43"/>
      <c r="D32" s="44" t="n">
        <f aca="false">E32*12</f>
        <v>960</v>
      </c>
      <c r="E32" s="13" t="n">
        <v>80</v>
      </c>
      <c r="F32" s="29" t="n">
        <f aca="false">E32/2</f>
        <v>40</v>
      </c>
      <c r="O32" s="41" t="s">
        <v>35</v>
      </c>
      <c r="P32" s="42"/>
      <c r="Q32" s="43"/>
      <c r="R32" s="44" t="n">
        <f aca="false">S32*12</f>
        <v>960</v>
      </c>
      <c r="S32" s="13" t="n">
        <f aca="false">E32+L32</f>
        <v>80</v>
      </c>
      <c r="T32" s="29" t="n">
        <f aca="false">S32/2</f>
        <v>40</v>
      </c>
    </row>
    <row r="33" customFormat="false" ht="12.8" hidden="false" customHeight="false" outlineLevel="0" collapsed="false">
      <c r="A33" s="41" t="s">
        <v>36</v>
      </c>
      <c r="B33" s="42"/>
      <c r="C33" s="43"/>
      <c r="D33" s="44" t="n">
        <f aca="false">E33*12</f>
        <v>2400</v>
      </c>
      <c r="E33" s="13" t="n">
        <v>200</v>
      </c>
      <c r="F33" s="29" t="n">
        <f aca="false">E33/2</f>
        <v>100</v>
      </c>
      <c r="O33" s="41" t="s">
        <v>36</v>
      </c>
      <c r="P33" s="42"/>
      <c r="Q33" s="43"/>
      <c r="R33" s="44" t="n">
        <f aca="false">S33*12</f>
        <v>2400</v>
      </c>
      <c r="S33" s="13" t="n">
        <f aca="false">E33+L33</f>
        <v>200</v>
      </c>
      <c r="T33" s="29" t="n">
        <f aca="false">S33/2</f>
        <v>100</v>
      </c>
    </row>
    <row r="34" customFormat="false" ht="12.8" hidden="false" customHeight="false" outlineLevel="0" collapsed="false">
      <c r="A34" s="41" t="s">
        <v>37</v>
      </c>
      <c r="B34" s="42"/>
      <c r="C34" s="43"/>
      <c r="D34" s="44" t="n">
        <f aca="false">E34*12</f>
        <v>2400</v>
      </c>
      <c r="E34" s="13" t="n">
        <v>200</v>
      </c>
      <c r="F34" s="29" t="n">
        <f aca="false">E34/2</f>
        <v>100</v>
      </c>
      <c r="O34" s="41" t="s">
        <v>37</v>
      </c>
      <c r="P34" s="42"/>
      <c r="Q34" s="43"/>
      <c r="R34" s="44" t="n">
        <f aca="false">S34*12</f>
        <v>2400</v>
      </c>
      <c r="S34" s="13" t="n">
        <f aca="false">E34+L34</f>
        <v>200</v>
      </c>
      <c r="T34" s="29" t="n">
        <f aca="false">S34/2</f>
        <v>100</v>
      </c>
    </row>
    <row r="35" customFormat="false" ht="12.8" hidden="false" customHeight="false" outlineLevel="0" collapsed="false">
      <c r="A35" s="41" t="s">
        <v>38</v>
      </c>
      <c r="B35" s="42"/>
      <c r="C35" s="43"/>
      <c r="D35" s="44" t="n">
        <f aca="false">E35*12</f>
        <v>1680</v>
      </c>
      <c r="E35" s="13" t="n">
        <v>140</v>
      </c>
      <c r="F35" s="29" t="n">
        <f aca="false">E35/2</f>
        <v>70</v>
      </c>
      <c r="O35" s="41" t="s">
        <v>38</v>
      </c>
      <c r="P35" s="42"/>
      <c r="Q35" s="43"/>
      <c r="R35" s="44" t="n">
        <f aca="false">S35*12</f>
        <v>1680</v>
      </c>
      <c r="S35" s="13" t="n">
        <f aca="false">E35+L35</f>
        <v>140</v>
      </c>
      <c r="T35" s="29" t="n">
        <f aca="false">S35/2</f>
        <v>70</v>
      </c>
    </row>
    <row r="36" customFormat="false" ht="12.8" hidden="false" customHeight="false" outlineLevel="0" collapsed="false">
      <c r="A36" s="41" t="s">
        <v>39</v>
      </c>
      <c r="B36" s="42"/>
      <c r="C36" s="43"/>
      <c r="D36" s="44" t="n">
        <f aca="false">E36*12</f>
        <v>240</v>
      </c>
      <c r="E36" s="13" t="n">
        <v>20</v>
      </c>
      <c r="F36" s="29" t="n">
        <f aca="false">E36/2</f>
        <v>10</v>
      </c>
      <c r="O36" s="41" t="s">
        <v>39</v>
      </c>
      <c r="P36" s="42"/>
      <c r="Q36" s="43"/>
      <c r="R36" s="44" t="n">
        <f aca="false">S36*12</f>
        <v>240</v>
      </c>
      <c r="S36" s="13" t="n">
        <f aca="false">E36+L36</f>
        <v>20</v>
      </c>
      <c r="T36" s="29" t="n">
        <f aca="false">S36/2</f>
        <v>10</v>
      </c>
    </row>
    <row r="37" customFormat="false" ht="12.8" hidden="false" customHeight="false" outlineLevel="0" collapsed="false">
      <c r="A37" s="41" t="s">
        <v>40</v>
      </c>
      <c r="B37" s="42"/>
      <c r="C37" s="43"/>
      <c r="D37" s="44" t="n">
        <f aca="false">E37*12</f>
        <v>240</v>
      </c>
      <c r="E37" s="13" t="n">
        <v>20</v>
      </c>
      <c r="F37" s="29" t="n">
        <f aca="false">E37/2</f>
        <v>10</v>
      </c>
      <c r="O37" s="41" t="s">
        <v>40</v>
      </c>
      <c r="P37" s="42"/>
      <c r="Q37" s="43"/>
      <c r="R37" s="44" t="n">
        <f aca="false">S37*12</f>
        <v>240</v>
      </c>
      <c r="S37" s="13" t="n">
        <f aca="false">E37+L37</f>
        <v>20</v>
      </c>
      <c r="T37" s="29" t="n">
        <f aca="false">S37/2</f>
        <v>10</v>
      </c>
    </row>
    <row r="38" customFormat="false" ht="12.8" hidden="false" customHeight="false" outlineLevel="0" collapsed="false">
      <c r="A38" s="41" t="s">
        <v>41</v>
      </c>
      <c r="B38" s="42"/>
      <c r="C38" s="43"/>
      <c r="D38" s="44" t="n">
        <f aca="false">E38*12</f>
        <v>180</v>
      </c>
      <c r="E38" s="13" t="n">
        <v>15</v>
      </c>
      <c r="F38" s="29" t="n">
        <f aca="false">E38/2</f>
        <v>7.5</v>
      </c>
      <c r="O38" s="41" t="s">
        <v>41</v>
      </c>
      <c r="P38" s="42"/>
      <c r="Q38" s="43"/>
      <c r="R38" s="44" t="n">
        <f aca="false">S38*12</f>
        <v>180</v>
      </c>
      <c r="S38" s="13" t="n">
        <f aca="false">E38+L38</f>
        <v>15</v>
      </c>
      <c r="T38" s="29" t="n">
        <f aca="false">S38/2</f>
        <v>7.5</v>
      </c>
    </row>
    <row r="39" customFormat="false" ht="12.8" hidden="false" customHeight="false" outlineLevel="0" collapsed="false">
      <c r="A39" s="41" t="s">
        <v>42</v>
      </c>
      <c r="B39" s="42"/>
      <c r="C39" s="43"/>
      <c r="D39" s="44" t="n">
        <f aca="false">E39*12</f>
        <v>240</v>
      </c>
      <c r="E39" s="13" t="n">
        <v>20</v>
      </c>
      <c r="F39" s="29" t="n">
        <f aca="false">E39/2</f>
        <v>10</v>
      </c>
      <c r="O39" s="41" t="s">
        <v>42</v>
      </c>
      <c r="P39" s="42"/>
      <c r="Q39" s="43"/>
      <c r="R39" s="44" t="n">
        <f aca="false">S39*12</f>
        <v>240</v>
      </c>
      <c r="S39" s="13" t="n">
        <f aca="false">E39+L39</f>
        <v>20</v>
      </c>
      <c r="T39" s="29" t="n">
        <f aca="false">S39/2</f>
        <v>10</v>
      </c>
    </row>
    <row r="40" customFormat="false" ht="12.8" hidden="false" customHeight="false" outlineLevel="0" collapsed="false">
      <c r="A40" s="41" t="s">
        <v>43</v>
      </c>
      <c r="B40" s="42"/>
      <c r="C40" s="43"/>
      <c r="D40" s="44" t="n">
        <f aca="false">E40*12</f>
        <v>0</v>
      </c>
      <c r="E40" s="13" t="n">
        <v>0</v>
      </c>
      <c r="F40" s="29" t="n">
        <f aca="false">E40/2</f>
        <v>0</v>
      </c>
      <c r="O40" s="41" t="s">
        <v>43</v>
      </c>
      <c r="P40" s="42"/>
      <c r="Q40" s="43"/>
      <c r="R40" s="44" t="n">
        <f aca="false">S40*12</f>
        <v>0</v>
      </c>
      <c r="S40" s="13" t="n">
        <f aca="false">E40+L40</f>
        <v>0</v>
      </c>
      <c r="T40" s="29" t="n">
        <f aca="false">S40/2</f>
        <v>0</v>
      </c>
    </row>
    <row r="41" customFormat="false" ht="12.8" hidden="false" customHeight="false" outlineLevel="0" collapsed="false">
      <c r="A41" s="45" t="s">
        <v>44</v>
      </c>
      <c r="B41" s="46"/>
      <c r="C41" s="47"/>
      <c r="D41" s="44" t="n">
        <f aca="false">SUM(D24:D40)</f>
        <v>30456</v>
      </c>
      <c r="E41" s="13" t="n">
        <f aca="false">SUM(E24:E40)</f>
        <v>2538</v>
      </c>
      <c r="F41" s="29" t="n">
        <f aca="false">SUM(F24:F40)</f>
        <v>1269</v>
      </c>
      <c r="O41" s="45" t="s">
        <v>44</v>
      </c>
      <c r="P41" s="46"/>
      <c r="Q41" s="47"/>
      <c r="R41" s="44" t="n">
        <f aca="false">SUM(R24:R40)</f>
        <v>30456</v>
      </c>
      <c r="S41" s="13" t="n">
        <f aca="false">E41+L41</f>
        <v>2538</v>
      </c>
      <c r="T41" s="29" t="n">
        <f aca="false">SUM(T24:T40)</f>
        <v>1269</v>
      </c>
    </row>
    <row r="42" customFormat="false" ht="12.8" hidden="false" customHeight="false" outlineLevel="0" collapsed="false">
      <c r="A42" s="41" t="s">
        <v>45</v>
      </c>
      <c r="B42" s="42"/>
      <c r="C42" s="43"/>
      <c r="D42" s="44" t="n">
        <f aca="false">E42*12</f>
        <v>0</v>
      </c>
      <c r="E42" s="13" t="n">
        <v>0</v>
      </c>
      <c r="F42" s="29" t="n">
        <f aca="false">E42/2</f>
        <v>0</v>
      </c>
      <c r="O42" s="41" t="s">
        <v>45</v>
      </c>
      <c r="P42" s="42"/>
      <c r="Q42" s="43"/>
      <c r="R42" s="44" t="n">
        <f aca="false">S42*12</f>
        <v>0</v>
      </c>
      <c r="S42" s="13" t="n">
        <f aca="false">E42+L42</f>
        <v>0</v>
      </c>
      <c r="T42" s="29" t="n">
        <f aca="false">S42/2</f>
        <v>0</v>
      </c>
    </row>
    <row r="43" customFormat="false" ht="12.8" hidden="false" customHeight="false" outlineLevel="0" collapsed="false">
      <c r="A43" s="41" t="s">
        <v>46</v>
      </c>
      <c r="B43" s="48"/>
      <c r="C43" s="43"/>
      <c r="D43" s="44" t="n">
        <f aca="false">E43*12</f>
        <v>0</v>
      </c>
      <c r="E43" s="13" t="n">
        <v>0</v>
      </c>
      <c r="F43" s="29" t="n">
        <f aca="false">E43/2</f>
        <v>0</v>
      </c>
      <c r="O43" s="41" t="s">
        <v>46</v>
      </c>
      <c r="P43" s="48"/>
      <c r="Q43" s="43"/>
      <c r="R43" s="44" t="n">
        <f aca="false">S43*12</f>
        <v>0</v>
      </c>
      <c r="S43" s="13" t="n">
        <f aca="false">SUM(E43+L43)</f>
        <v>0</v>
      </c>
      <c r="T43" s="29" t="n">
        <f aca="false">S43/2</f>
        <v>0</v>
      </c>
    </row>
    <row r="44" customFormat="false" ht="12.8" hidden="false" customHeight="false" outlineLevel="0" collapsed="false">
      <c r="A44" s="45" t="s">
        <v>47</v>
      </c>
      <c r="B44" s="49"/>
      <c r="C44" s="50"/>
      <c r="D44" s="44" t="n">
        <f aca="false">SUM(D41:D43)</f>
        <v>30456</v>
      </c>
      <c r="E44" s="13" t="n">
        <f aca="false">SUM(E41:E43)</f>
        <v>2538</v>
      </c>
      <c r="F44" s="29" t="n">
        <f aca="false">SUM(F41:F43)</f>
        <v>1269</v>
      </c>
      <c r="O44" s="45" t="s">
        <v>47</v>
      </c>
      <c r="P44" s="49"/>
      <c r="Q44" s="50"/>
      <c r="R44" s="44" t="n">
        <f aca="false">SUM(R41:R43)</f>
        <v>30456</v>
      </c>
      <c r="S44" s="13" t="n">
        <f aca="false">E44+L44</f>
        <v>2538</v>
      </c>
      <c r="T44" s="29" t="n">
        <f aca="false">SUM(T41:T43)</f>
        <v>1269</v>
      </c>
    </row>
    <row r="45" customFormat="false" ht="12.8" hidden="false" customHeight="false" outlineLevel="0" collapsed="false">
      <c r="A45" s="51" t="s">
        <v>48</v>
      </c>
      <c r="B45" s="51"/>
      <c r="C45" s="51"/>
      <c r="D45" s="52" t="s">
        <v>49</v>
      </c>
      <c r="E45" s="52"/>
      <c r="F45" s="52"/>
      <c r="H45" s="8"/>
      <c r="I45" s="8"/>
      <c r="J45" s="8"/>
      <c r="K45" s="8"/>
      <c r="L45" s="8"/>
      <c r="M45" s="8"/>
      <c r="O45" s="51" t="s">
        <v>48</v>
      </c>
      <c r="P45" s="51"/>
      <c r="Q45" s="51"/>
      <c r="R45" s="52" t="s">
        <v>49</v>
      </c>
      <c r="S45" s="52"/>
      <c r="T45" s="52"/>
    </row>
    <row r="46" customFormat="false" ht="12.8" hidden="false" customHeight="false" outlineLevel="0" collapsed="false">
      <c r="A46" s="53" t="s">
        <v>50</v>
      </c>
      <c r="B46" s="54" t="s">
        <v>51</v>
      </c>
      <c r="C46" s="55" t="s">
        <v>52</v>
      </c>
      <c r="D46" s="56" t="n">
        <f aca="false">D22-D44</f>
        <v>209.739999999998</v>
      </c>
      <c r="E46" s="57" t="n">
        <f aca="false">E22-E44</f>
        <v>17.478333333333</v>
      </c>
      <c r="F46" s="58" t="n">
        <f aca="false">F22-F44</f>
        <v>8.73916666666651</v>
      </c>
      <c r="K46" s="8"/>
      <c r="L46" s="8"/>
      <c r="M46" s="8"/>
      <c r="O46" s="53" t="s">
        <v>50</v>
      </c>
      <c r="P46" s="54" t="s">
        <v>51</v>
      </c>
      <c r="Q46" s="55" t="s">
        <v>52</v>
      </c>
      <c r="R46" s="56" t="n">
        <f aca="false">R22-R44</f>
        <v>209.739999999998</v>
      </c>
      <c r="S46" s="57" t="n">
        <f aca="false">S22-S44</f>
        <v>17.478333333333</v>
      </c>
      <c r="T46" s="58" t="n">
        <f aca="false">T22-T44</f>
        <v>8.73916666666651</v>
      </c>
    </row>
    <row r="47" customFormat="false" ht="12.8" hidden="false" customHeight="false" outlineLevel="0" collapsed="false">
      <c r="A47" s="44" t="n">
        <f aca="false">D43</f>
        <v>0</v>
      </c>
      <c r="B47" s="13" t="n">
        <f aca="false">D43*3</f>
        <v>0</v>
      </c>
      <c r="C47" s="29" t="n">
        <f aca="false">D43*5</f>
        <v>0</v>
      </c>
      <c r="D47" s="56"/>
      <c r="E47" s="57"/>
      <c r="F47" s="58"/>
      <c r="K47" s="8"/>
      <c r="L47" s="8"/>
      <c r="M47" s="8"/>
      <c r="O47" s="44" t="n">
        <f aca="false">R43</f>
        <v>0</v>
      </c>
      <c r="P47" s="13" t="n">
        <f aca="false">R43*3</f>
        <v>0</v>
      </c>
      <c r="Q47" s="29" t="n">
        <f aca="false">R43*5</f>
        <v>0</v>
      </c>
      <c r="R47" s="56"/>
      <c r="S47" s="57"/>
      <c r="T47" s="58"/>
    </row>
    <row r="48" customFormat="false" ht="12.8" hidden="false" customHeight="false" outlineLevel="0" collapsed="false">
      <c r="A48" s="18" t="s">
        <v>53</v>
      </c>
      <c r="B48" s="18"/>
      <c r="C48" s="18"/>
    </row>
    <row r="49" customFormat="false" ht="12.8" hidden="false" customHeight="false" outlineLevel="0" collapsed="false">
      <c r="A49" s="59" t="s">
        <v>50</v>
      </c>
      <c r="B49" s="60" t="s">
        <v>54</v>
      </c>
      <c r="C49" s="61" t="s">
        <v>51</v>
      </c>
    </row>
    <row r="50" customFormat="false" ht="21.8" hidden="false" customHeight="true" outlineLevel="0" collapsed="false">
      <c r="A50" s="62" t="n">
        <f aca="false">D40</f>
        <v>0</v>
      </c>
      <c r="B50" s="63" t="n">
        <f aca="false">D40*2</f>
        <v>0</v>
      </c>
      <c r="C50" s="64" t="n">
        <f aca="false">D40*3</f>
        <v>0</v>
      </c>
    </row>
    <row r="51" customFormat="false" ht="21.8" hidden="false" customHeight="true" outlineLevel="0" collapsed="false">
      <c r="A51" s="4"/>
      <c r="B51" s="4"/>
      <c r="C51" s="4"/>
      <c r="D51" s="4"/>
    </row>
    <row r="58" customFormat="false" ht="12.8" hidden="false" customHeight="false" outlineLevel="0" collapsed="false">
      <c r="E58" s="8"/>
      <c r="F58" s="8"/>
    </row>
    <row r="70" customFormat="false" ht="22.05" hidden="false" customHeight="false" outlineLevel="0" collapsed="false">
      <c r="A70" s="4"/>
      <c r="B70" s="4"/>
      <c r="C70" s="4"/>
    </row>
    <row r="95" customFormat="false" ht="12.8" hidden="false" customHeight="false" outlineLevel="0" collapsed="false">
      <c r="A95" s="8"/>
      <c r="B95" s="8"/>
      <c r="C95" s="8"/>
      <c r="D95" s="8"/>
      <c r="E95" s="8"/>
      <c r="F95" s="8"/>
    </row>
    <row r="96" customFormat="false" ht="12.8" hidden="false" customHeight="false" outlineLevel="0" collapsed="false">
      <c r="D96" s="8"/>
      <c r="E96" s="8"/>
      <c r="F96" s="8"/>
    </row>
    <row r="97" customFormat="false" ht="12.8" hidden="false" customHeight="false" outlineLevel="0" collapsed="false">
      <c r="D97" s="8"/>
      <c r="E97" s="8"/>
      <c r="F97" s="8"/>
    </row>
  </sheetData>
  <mergeCells count="40">
    <mergeCell ref="A1:A3"/>
    <mergeCell ref="B1:B3"/>
    <mergeCell ref="C1:F3"/>
    <mergeCell ref="A4:D4"/>
    <mergeCell ref="E4:F4"/>
    <mergeCell ref="H4:K4"/>
    <mergeCell ref="L4:M4"/>
    <mergeCell ref="O4:R4"/>
    <mergeCell ref="S4:T4"/>
    <mergeCell ref="F11:G11"/>
    <mergeCell ref="L11:M11"/>
    <mergeCell ref="S11:T11"/>
    <mergeCell ref="A23:C23"/>
    <mergeCell ref="D23:F23"/>
    <mergeCell ref="H23:J23"/>
    <mergeCell ref="O23:Q23"/>
    <mergeCell ref="A45:C45"/>
    <mergeCell ref="D45:F45"/>
    <mergeCell ref="H45:J45"/>
    <mergeCell ref="K45:M45"/>
    <mergeCell ref="O45:Q45"/>
    <mergeCell ref="R45:T45"/>
    <mergeCell ref="D46:D47"/>
    <mergeCell ref="E46:E47"/>
    <mergeCell ref="F46:F47"/>
    <mergeCell ref="K46:K47"/>
    <mergeCell ref="L46:L47"/>
    <mergeCell ref="M46:M47"/>
    <mergeCell ref="R46:R47"/>
    <mergeCell ref="S46:S47"/>
    <mergeCell ref="T46:T47"/>
    <mergeCell ref="A48:C48"/>
    <mergeCell ref="A51:D51"/>
    <mergeCell ref="E58:F58"/>
    <mergeCell ref="A70:C70"/>
    <mergeCell ref="A95:C95"/>
    <mergeCell ref="D95:F95"/>
    <mergeCell ref="D96:D97"/>
    <mergeCell ref="E96:E97"/>
    <mergeCell ref="F96:F97"/>
  </mergeCells>
  <dataValidations count="2">
    <dataValidation allowBlank="true" errorStyle="stop" operator="equal" showDropDown="false" showErrorMessage="true" showInputMessage="false" sqref="D10" type="list">
      <mc:AlternateContent xmlns:x12ac="http://schemas.microsoft.com/office/spreadsheetml/2011/1/ac" xmlns:mc="http://schemas.openxmlformats.org/markup-compatibility/2006">
        <mc:Choice Requires="x12ac">
          <x12ac:list>Single,Head of Household,"Married, Filing Jointly","Married, Filing Separately",</x12ac:list>
        </mc:Choice>
        <mc:Fallback>
          <formula1>"Single,Head of Household,Married, Filing Jointly,Married, Filing Separately,"</formula1>
        </mc:Fallback>
      </mc:AlternateContent>
      <formula2>0</formula2>
    </dataValidation>
    <dataValidation allowBlank="true" errorStyle="stop" operator="equal" showDropDown="false" showErrorMessage="true" showInputMessage="false" sqref="D11" type="list">
      <mc:AlternateContent xmlns:x12ac="http://schemas.microsoft.com/office/spreadsheetml/2011/1/ac" xmlns:mc="http://schemas.openxmlformats.org/markup-compatibility/2006">
        <mc:Choice Requires="x12ac">
          <x12ac:list>GA: Single,"GA: Married, Filing Jointly",OR: Single,"OR: Married, Filing Jointly",CO: Single,"CO: Married, Filing Jointly",MA: Single,"MA: Married, Filing Jointly",VA: Single,"VA: Married, Filing Jointly",ME: Single,"ME: Married, Filing Jointly"</x12ac:list>
        </mc:Choice>
        <mc:Fallback>
          <formula1>"GA: Single,GA: Married, Filing Jointly,OR: Single,OR: Married, Filing Jointly,CO: Single,CO: Married, Filing Jointly,MA: Single,MA: Married, Filing Jointly,VA: Single,VA: Married, Filing Jointly,ME: Single,ME: Married, Filing Jointly"</formula1>
        </mc:Fallback>
      </mc:AlternateContent>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8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S42" activeCellId="0" sqref="S42"/>
    </sheetView>
  </sheetViews>
  <sheetFormatPr defaultColWidth="11.60546875" defaultRowHeight="12.8" zeroHeight="false" outlineLevelRow="0" outlineLevelCol="0"/>
  <cols>
    <col collapsed="false" customWidth="true" hidden="false" outlineLevel="0" max="1" min="1" style="0" width="19.01"/>
    <col collapsed="false" customWidth="true" hidden="false" outlineLevel="0" max="2" min="2" style="0" width="19.15"/>
    <col collapsed="false" customWidth="true" hidden="false" outlineLevel="0" max="3" min="3" style="0" width="17.37"/>
    <col collapsed="false" customWidth="true" hidden="false" outlineLevel="0" max="4" min="4" style="0" width="10.12"/>
    <col collapsed="false" customWidth="true" hidden="false" outlineLevel="0" max="5" min="5" style="0" width="12.9"/>
    <col collapsed="false" customWidth="true" hidden="false" outlineLevel="0" max="6" min="6" style="0" width="19.01"/>
    <col collapsed="false" customWidth="true" hidden="false" outlineLevel="0" max="7" min="7" style="0" width="8.47"/>
    <col collapsed="false" customWidth="true" hidden="false" outlineLevel="0" max="8" min="8" style="0" width="17.37"/>
    <col collapsed="false" customWidth="true" hidden="false" outlineLevel="0" max="9" min="9" style="0" width="10.12"/>
    <col collapsed="false" customWidth="true" hidden="false" outlineLevel="0" max="10" min="10" style="0" width="12.9"/>
    <col collapsed="false" customWidth="true" hidden="false" outlineLevel="0" max="11" min="11" style="0" width="19.01"/>
    <col collapsed="false" customWidth="true" hidden="false" outlineLevel="0" max="12" min="12" style="0" width="8.47"/>
    <col collapsed="false" customWidth="true" hidden="false" outlineLevel="0" max="13" min="13" style="0" width="17.37"/>
    <col collapsed="false" customWidth="true" hidden="false" outlineLevel="0" max="14" min="14" style="0" width="10.12"/>
    <col collapsed="false" customWidth="true" hidden="false" outlineLevel="0" max="15" min="15" style="0" width="12.9"/>
    <col collapsed="false" customWidth="true" hidden="false" outlineLevel="0" max="16" min="16" style="0" width="19.01"/>
    <col collapsed="false" customWidth="true" hidden="false" outlineLevel="0" max="17" min="17" style="0" width="8.47"/>
    <col collapsed="false" customWidth="true" hidden="false" outlineLevel="0" max="18" min="18" style="0" width="17.37"/>
    <col collapsed="false" customWidth="true" hidden="false" outlineLevel="0" max="19" min="19" style="0" width="10.12"/>
    <col collapsed="false" customWidth="true" hidden="false" outlineLevel="0" max="20" min="20" style="0" width="12.9"/>
    <col collapsed="false" customWidth="true" hidden="false" outlineLevel="0" max="21" min="21" style="0" width="19.01"/>
    <col collapsed="false" customWidth="true" hidden="false" outlineLevel="0" max="22" min="22" style="0" width="8.47"/>
    <col collapsed="false" customWidth="true" hidden="false" outlineLevel="0" max="23" min="23" style="0" width="17.37"/>
    <col collapsed="false" customWidth="true" hidden="false" outlineLevel="0" max="24" min="24" style="0" width="10.12"/>
    <col collapsed="false" customWidth="true" hidden="false" outlineLevel="0" max="25" min="25" style="0" width="12.9"/>
    <col collapsed="false" customWidth="true" hidden="false" outlineLevel="0" max="26" min="26" style="0" width="19.01"/>
    <col collapsed="false" customWidth="true" hidden="false" outlineLevel="0" max="27" min="27" style="0" width="8.47"/>
    <col collapsed="false" customWidth="true" hidden="false" outlineLevel="0" max="28" min="28" style="0" width="15.92"/>
    <col collapsed="false" customWidth="true" hidden="false" outlineLevel="0" max="29" min="29" style="0" width="10.12"/>
  </cols>
  <sheetData>
    <row r="1" customFormat="false" ht="22.05" hidden="false" customHeight="true" outlineLevel="0" collapsed="false">
      <c r="A1" s="1" t="s">
        <v>55</v>
      </c>
      <c r="B1" s="2" t="n">
        <v>2021</v>
      </c>
      <c r="C1" s="3" t="s">
        <v>56</v>
      </c>
      <c r="D1" s="3"/>
      <c r="E1" s="65" t="s">
        <v>57</v>
      </c>
      <c r="F1" s="4"/>
      <c r="K1" s="4"/>
      <c r="P1" s="4"/>
      <c r="U1" s="4"/>
      <c r="Z1" s="4"/>
    </row>
    <row r="2" customFormat="false" ht="22.05" hidden="false" customHeight="false" outlineLevel="0" collapsed="false">
      <c r="A2" s="1"/>
      <c r="B2" s="2"/>
      <c r="C2" s="3"/>
      <c r="D2" s="3"/>
      <c r="E2" s="40"/>
      <c r="F2" s="4"/>
      <c r="K2" s="4"/>
      <c r="P2" s="4"/>
      <c r="U2" s="4"/>
      <c r="Z2" s="4"/>
    </row>
    <row r="3" customFormat="false" ht="22.05" hidden="false" customHeight="false" outlineLevel="0" collapsed="false">
      <c r="A3" s="1"/>
      <c r="B3" s="2"/>
      <c r="C3" s="3"/>
      <c r="D3" s="3"/>
      <c r="E3" s="66"/>
      <c r="F3" s="4"/>
      <c r="K3" s="4"/>
      <c r="P3" s="4"/>
      <c r="U3" s="4"/>
      <c r="Z3" s="4"/>
    </row>
    <row r="4" customFormat="false" ht="12.8" hidden="false" customHeight="false" outlineLevel="0" collapsed="false">
      <c r="A4" s="67" t="s">
        <v>58</v>
      </c>
      <c r="B4" s="67"/>
      <c r="C4" s="67"/>
      <c r="D4" s="67"/>
      <c r="F4" s="68" t="s">
        <v>59</v>
      </c>
      <c r="G4" s="68"/>
      <c r="H4" s="68"/>
      <c r="I4" s="68"/>
      <c r="K4" s="69" t="s">
        <v>60</v>
      </c>
      <c r="L4" s="69"/>
      <c r="M4" s="69"/>
      <c r="N4" s="69"/>
      <c r="P4" s="70" t="s">
        <v>61</v>
      </c>
      <c r="Q4" s="70"/>
      <c r="R4" s="70"/>
      <c r="S4" s="70"/>
      <c r="U4" s="71" t="s">
        <v>62</v>
      </c>
      <c r="V4" s="71"/>
      <c r="W4" s="71"/>
      <c r="X4" s="71"/>
      <c r="Z4" s="72" t="s">
        <v>63</v>
      </c>
      <c r="AA4" s="72"/>
      <c r="AB4" s="72"/>
      <c r="AC4" s="72"/>
    </row>
    <row r="5" customFormat="false" ht="12.8" hidden="false" customHeight="false" outlineLevel="0" collapsed="false">
      <c r="A5" s="67"/>
      <c r="B5" s="67"/>
      <c r="C5" s="67"/>
      <c r="D5" s="67"/>
      <c r="F5" s="68"/>
      <c r="G5" s="68"/>
      <c r="H5" s="68"/>
      <c r="I5" s="68"/>
      <c r="K5" s="69"/>
      <c r="L5" s="69"/>
      <c r="M5" s="69"/>
      <c r="N5" s="69"/>
      <c r="P5" s="70"/>
      <c r="Q5" s="70"/>
      <c r="R5" s="70"/>
      <c r="S5" s="70"/>
      <c r="U5" s="71"/>
      <c r="V5" s="71"/>
      <c r="W5" s="71"/>
      <c r="X5" s="71"/>
      <c r="Z5" s="72"/>
      <c r="AA5" s="72"/>
      <c r="AB5" s="72"/>
      <c r="AC5" s="72"/>
    </row>
    <row r="6" customFormat="false" ht="12.8" hidden="false" customHeight="false" outlineLevel="0" collapsed="false">
      <c r="A6" s="73"/>
      <c r="B6" s="74"/>
      <c r="C6" s="73"/>
      <c r="D6" s="74"/>
      <c r="E6" s="74"/>
      <c r="F6" s="73"/>
      <c r="G6" s="74"/>
      <c r="H6" s="73"/>
      <c r="I6" s="74"/>
      <c r="J6" s="74"/>
      <c r="K6" s="73"/>
      <c r="L6" s="74"/>
      <c r="M6" s="73"/>
      <c r="N6" s="74"/>
      <c r="O6" s="74"/>
      <c r="P6" s="73"/>
      <c r="Q6" s="74"/>
      <c r="R6" s="73"/>
      <c r="S6" s="74"/>
      <c r="T6" s="74"/>
      <c r="U6" s="73"/>
      <c r="V6" s="74"/>
      <c r="W6" s="73"/>
      <c r="X6" s="74"/>
      <c r="Z6" s="73"/>
      <c r="AA6" s="74"/>
      <c r="AB6" s="73"/>
      <c r="AC6" s="74"/>
    </row>
    <row r="7" customFormat="false" ht="12.8" hidden="false" customHeight="false" outlineLevel="0" collapsed="false">
      <c r="A7" s="73"/>
      <c r="B7" s="74"/>
      <c r="C7" s="73"/>
      <c r="D7" s="74"/>
      <c r="E7" s="74"/>
      <c r="F7" s="73"/>
      <c r="G7" s="74"/>
      <c r="H7" s="73"/>
      <c r="I7" s="74"/>
      <c r="J7" s="74"/>
      <c r="K7" s="73"/>
      <c r="L7" s="74"/>
      <c r="M7" s="73"/>
      <c r="N7" s="74"/>
      <c r="O7" s="74"/>
      <c r="P7" s="73"/>
      <c r="Q7" s="74"/>
      <c r="R7" s="73"/>
      <c r="S7" s="74"/>
      <c r="T7" s="74"/>
      <c r="U7" s="73"/>
      <c r="V7" s="74"/>
      <c r="W7" s="73"/>
      <c r="X7" s="74"/>
      <c r="Z7" s="73"/>
      <c r="AA7" s="74"/>
      <c r="AB7" s="73"/>
      <c r="AC7" s="74"/>
    </row>
    <row r="8" customFormat="false" ht="12.8" hidden="false" customHeight="false" outlineLevel="0" collapsed="false">
      <c r="A8" s="73"/>
      <c r="B8" s="74"/>
      <c r="C8" s="73"/>
      <c r="D8" s="74"/>
      <c r="E8" s="74"/>
      <c r="F8" s="73"/>
      <c r="G8" s="74"/>
      <c r="H8" s="73"/>
      <c r="I8" s="74"/>
      <c r="J8" s="74"/>
      <c r="K8" s="73"/>
      <c r="L8" s="74"/>
      <c r="M8" s="73"/>
      <c r="N8" s="74"/>
      <c r="O8" s="74"/>
      <c r="P8" s="73"/>
      <c r="Q8" s="74"/>
      <c r="R8" s="73"/>
      <c r="S8" s="74"/>
      <c r="T8" s="74"/>
      <c r="U8" s="73"/>
      <c r="V8" s="74"/>
      <c r="W8" s="73"/>
      <c r="X8" s="74"/>
      <c r="Z8" s="73"/>
      <c r="AA8" s="74"/>
      <c r="AB8" s="73"/>
      <c r="AC8" s="74"/>
    </row>
    <row r="9" customFormat="false" ht="12.8" hidden="false" customHeight="false" outlineLevel="0" collapsed="false">
      <c r="A9" s="73"/>
      <c r="B9" s="74"/>
      <c r="C9" s="73"/>
      <c r="D9" s="74"/>
      <c r="E9" s="74"/>
      <c r="G9" s="74"/>
      <c r="H9" s="73"/>
      <c r="I9" s="74"/>
      <c r="J9" s="74"/>
      <c r="M9" s="73"/>
      <c r="N9" s="74"/>
      <c r="O9" s="74"/>
      <c r="P9" s="73"/>
      <c r="Q9" s="74"/>
      <c r="R9" s="73"/>
      <c r="S9" s="74"/>
      <c r="T9" s="74"/>
      <c r="U9" s="73"/>
      <c r="V9" s="74"/>
      <c r="W9" s="73"/>
      <c r="X9" s="74"/>
      <c r="Z9" s="73"/>
      <c r="AA9" s="74"/>
      <c r="AB9" s="73"/>
      <c r="AC9" s="74"/>
    </row>
    <row r="10" customFormat="false" ht="12.8" hidden="false" customHeight="false" outlineLevel="0" collapsed="false">
      <c r="A10" s="73"/>
      <c r="B10" s="74"/>
      <c r="C10" s="73"/>
      <c r="D10" s="74"/>
      <c r="E10" s="74"/>
      <c r="F10" s="73"/>
      <c r="G10" s="74"/>
      <c r="H10" s="73"/>
      <c r="I10" s="74"/>
      <c r="J10" s="74"/>
      <c r="K10" s="73"/>
      <c r="L10" s="74"/>
      <c r="M10" s="73"/>
      <c r="N10" s="74"/>
      <c r="O10" s="74"/>
      <c r="P10" s="73"/>
      <c r="Q10" s="74"/>
      <c r="R10" s="73"/>
      <c r="S10" s="74"/>
      <c r="T10" s="74"/>
      <c r="U10" s="73"/>
      <c r="V10" s="74"/>
      <c r="W10" s="73"/>
      <c r="X10" s="74"/>
      <c r="Z10" s="73"/>
      <c r="AA10" s="74"/>
      <c r="AB10" s="73"/>
      <c r="AC10" s="74"/>
    </row>
    <row r="11" customFormat="false" ht="12.8" hidden="false" customHeight="false" outlineLevel="0" collapsed="false">
      <c r="A11" s="73"/>
      <c r="B11" s="74"/>
      <c r="C11" s="73"/>
      <c r="D11" s="74"/>
      <c r="E11" s="74"/>
      <c r="F11" s="73"/>
      <c r="G11" s="74"/>
      <c r="H11" s="73"/>
      <c r="I11" s="74"/>
      <c r="J11" s="74"/>
      <c r="K11" s="73"/>
      <c r="L11" s="74"/>
      <c r="M11" s="73"/>
      <c r="N11" s="74"/>
      <c r="O11" s="74"/>
      <c r="P11" s="73"/>
      <c r="Q11" s="74"/>
      <c r="T11" s="74"/>
      <c r="U11" s="73"/>
      <c r="V11" s="74"/>
      <c r="Z11" s="73"/>
      <c r="AA11" s="74"/>
    </row>
    <row r="12" customFormat="false" ht="12.8" hidden="false" customHeight="false" outlineLevel="0" collapsed="false">
      <c r="A12" s="73"/>
      <c r="B12" s="74"/>
      <c r="C12" s="73"/>
      <c r="D12" s="74"/>
      <c r="E12" s="74"/>
      <c r="F12" s="73"/>
      <c r="G12" s="74"/>
      <c r="H12" s="73"/>
      <c r="I12" s="74"/>
      <c r="J12" s="74"/>
      <c r="K12" s="73"/>
      <c r="L12" s="74"/>
      <c r="M12" s="73"/>
      <c r="N12" s="74"/>
      <c r="O12" s="74"/>
      <c r="P12" s="73"/>
      <c r="Q12" s="74"/>
      <c r="R12" s="73"/>
      <c r="S12" s="74"/>
      <c r="T12" s="74"/>
      <c r="U12" s="73"/>
      <c r="V12" s="74"/>
      <c r="W12" s="73"/>
      <c r="X12" s="74"/>
      <c r="Z12" s="73"/>
      <c r="AA12" s="74"/>
      <c r="AB12" s="73"/>
      <c r="AC12" s="74"/>
    </row>
    <row r="13" customFormat="false" ht="12.8" hidden="false" customHeight="false" outlineLevel="0" collapsed="false">
      <c r="A13" s="73"/>
      <c r="B13" s="74"/>
      <c r="C13" s="73"/>
      <c r="D13" s="74"/>
      <c r="E13" s="74"/>
      <c r="F13" s="73"/>
      <c r="G13" s="74"/>
      <c r="H13" s="73"/>
      <c r="I13" s="74"/>
      <c r="J13" s="74"/>
      <c r="K13" s="73"/>
      <c r="L13" s="74"/>
      <c r="M13" s="73"/>
      <c r="N13" s="74"/>
      <c r="O13" s="74"/>
      <c r="P13" s="73"/>
      <c r="Q13" s="74"/>
      <c r="R13" s="73"/>
      <c r="S13" s="74"/>
      <c r="T13" s="74"/>
      <c r="U13" s="73"/>
      <c r="V13" s="74"/>
      <c r="W13" s="73"/>
      <c r="X13" s="74"/>
      <c r="Z13" s="73"/>
      <c r="AA13" s="74"/>
      <c r="AB13" s="73"/>
      <c r="AC13" s="74"/>
    </row>
    <row r="14" customFormat="false" ht="12.8" hidden="false" customHeight="false" outlineLevel="0" collapsed="false">
      <c r="A14" s="73"/>
      <c r="B14" s="74"/>
      <c r="C14" s="73"/>
      <c r="D14" s="74"/>
      <c r="E14" s="74"/>
      <c r="F14" s="73"/>
      <c r="G14" s="74"/>
      <c r="H14" s="73"/>
      <c r="I14" s="74"/>
      <c r="J14" s="74"/>
      <c r="K14" s="73"/>
      <c r="L14" s="74"/>
      <c r="M14" s="73"/>
      <c r="N14" s="74"/>
      <c r="O14" s="74"/>
      <c r="P14" s="73"/>
      <c r="Q14" s="74"/>
      <c r="R14" s="73"/>
      <c r="S14" s="74"/>
      <c r="T14" s="74"/>
      <c r="U14" s="73"/>
      <c r="V14" s="74"/>
      <c r="W14" s="73"/>
      <c r="X14" s="74"/>
      <c r="Z14" s="73"/>
      <c r="AA14" s="74"/>
      <c r="AB14" s="73"/>
      <c r="AC14" s="74"/>
    </row>
    <row r="15" customFormat="false" ht="12.8" hidden="false" customHeight="false" outlineLevel="0" collapsed="false">
      <c r="A15" s="73"/>
      <c r="B15" s="74"/>
      <c r="C15" s="73"/>
      <c r="D15" s="74"/>
      <c r="E15" s="74"/>
      <c r="F15" s="73"/>
      <c r="G15" s="74"/>
      <c r="H15" s="73"/>
      <c r="I15" s="74"/>
      <c r="J15" s="74"/>
      <c r="K15" s="73"/>
      <c r="L15" s="74"/>
      <c r="M15" s="73"/>
      <c r="N15" s="74"/>
      <c r="O15" s="74"/>
      <c r="P15" s="73"/>
      <c r="Q15" s="74"/>
      <c r="R15" s="73"/>
      <c r="S15" s="74"/>
      <c r="T15" s="74"/>
      <c r="U15" s="73"/>
      <c r="V15" s="74"/>
      <c r="W15" s="73"/>
      <c r="X15" s="74"/>
      <c r="Z15" s="73"/>
      <c r="AA15" s="74"/>
      <c r="AB15" s="73"/>
      <c r="AC15" s="74"/>
    </row>
    <row r="16" customFormat="false" ht="12.8" hidden="false" customHeight="false" outlineLevel="0" collapsed="false">
      <c r="A16" s="75" t="s">
        <v>37</v>
      </c>
      <c r="B16" s="75"/>
      <c r="C16" s="76" t="s">
        <v>64</v>
      </c>
      <c r="D16" s="76"/>
      <c r="F16" s="75" t="s">
        <v>37</v>
      </c>
      <c r="G16" s="75"/>
      <c r="H16" s="76" t="s">
        <v>64</v>
      </c>
      <c r="I16" s="76"/>
      <c r="K16" s="75" t="s">
        <v>37</v>
      </c>
      <c r="L16" s="75"/>
      <c r="M16" s="76" t="s">
        <v>64</v>
      </c>
      <c r="N16" s="76"/>
      <c r="P16" s="75" t="s">
        <v>37</v>
      </c>
      <c r="Q16" s="75"/>
      <c r="R16" s="76" t="s">
        <v>64</v>
      </c>
      <c r="S16" s="76"/>
      <c r="U16" s="75" t="s">
        <v>37</v>
      </c>
      <c r="V16" s="75"/>
      <c r="W16" s="76" t="s">
        <v>64</v>
      </c>
      <c r="X16" s="76"/>
      <c r="Z16" s="75" t="s">
        <v>37</v>
      </c>
      <c r="AA16" s="75"/>
      <c r="AB16" s="76" t="s">
        <v>64</v>
      </c>
      <c r="AC16" s="76"/>
    </row>
    <row r="17" customFormat="false" ht="12.8" hidden="false" customHeight="false" outlineLevel="0" collapsed="false">
      <c r="A17" s="73"/>
      <c r="B17" s="74"/>
      <c r="C17" s="73"/>
      <c r="D17" s="74"/>
      <c r="E17" s="74"/>
      <c r="F17" s="73"/>
      <c r="G17" s="74"/>
      <c r="H17" s="73"/>
      <c r="I17" s="74"/>
      <c r="J17" s="74"/>
      <c r="K17" s="73"/>
      <c r="L17" s="74"/>
      <c r="M17" s="73"/>
      <c r="N17" s="74"/>
      <c r="O17" s="74"/>
      <c r="P17" s="73"/>
      <c r="Q17" s="74"/>
      <c r="R17" s="73"/>
      <c r="S17" s="74"/>
      <c r="T17" s="74"/>
      <c r="U17" s="73"/>
      <c r="V17" s="74"/>
      <c r="W17" s="73"/>
      <c r="X17" s="74"/>
      <c r="Z17" s="73"/>
      <c r="AA17" s="74"/>
      <c r="AB17" s="73"/>
      <c r="AC17" s="74"/>
    </row>
    <row r="18" customFormat="false" ht="12.8" hidden="false" customHeight="false" outlineLevel="0" collapsed="false">
      <c r="A18" s="73"/>
      <c r="B18" s="74"/>
      <c r="C18" s="73"/>
      <c r="D18" s="74"/>
      <c r="E18" s="74"/>
      <c r="F18" s="73"/>
      <c r="G18" s="74"/>
      <c r="H18" s="73"/>
      <c r="I18" s="74"/>
      <c r="J18" s="74"/>
      <c r="K18" s="73"/>
      <c r="L18" s="74"/>
      <c r="M18" s="73"/>
      <c r="N18" s="74"/>
      <c r="O18" s="74"/>
      <c r="P18" s="73"/>
      <c r="Q18" s="74"/>
      <c r="R18" s="73"/>
      <c r="S18" s="74"/>
      <c r="T18" s="74"/>
      <c r="U18" s="73"/>
      <c r="V18" s="74"/>
      <c r="W18" s="73"/>
      <c r="X18" s="74"/>
      <c r="Z18" s="73"/>
      <c r="AA18" s="74"/>
      <c r="AB18" s="73"/>
      <c r="AC18" s="74"/>
    </row>
    <row r="19" customFormat="false" ht="12.8" hidden="false" customHeight="false" outlineLevel="0" collapsed="false">
      <c r="A19" s="73"/>
      <c r="B19" s="74"/>
      <c r="C19" s="73"/>
      <c r="D19" s="74"/>
      <c r="E19" s="74"/>
      <c r="F19" s="73"/>
      <c r="G19" s="74"/>
      <c r="H19" s="73"/>
      <c r="I19" s="74"/>
      <c r="J19" s="74"/>
      <c r="K19" s="73"/>
      <c r="L19" s="74"/>
      <c r="M19" s="73"/>
      <c r="N19" s="74"/>
      <c r="O19" s="74"/>
      <c r="P19" s="73"/>
      <c r="Q19" s="74"/>
      <c r="R19" s="73"/>
      <c r="S19" s="74"/>
      <c r="T19" s="74"/>
      <c r="U19" s="73"/>
      <c r="V19" s="74"/>
      <c r="W19" s="73"/>
      <c r="X19" s="74"/>
      <c r="Z19" s="73"/>
      <c r="AA19" s="74"/>
      <c r="AB19" s="73"/>
      <c r="AC19" s="74"/>
    </row>
    <row r="20" customFormat="false" ht="12.8" hidden="false" customHeight="false" outlineLevel="0" collapsed="false">
      <c r="A20" s="73"/>
      <c r="B20" s="74"/>
      <c r="C20" s="73"/>
      <c r="D20" s="74"/>
      <c r="E20" s="74"/>
      <c r="F20" s="73"/>
      <c r="G20" s="74"/>
      <c r="H20" s="73"/>
      <c r="I20" s="74"/>
      <c r="J20" s="74"/>
      <c r="K20" s="73"/>
      <c r="L20" s="74"/>
      <c r="M20" s="73"/>
      <c r="N20" s="74"/>
      <c r="O20" s="74"/>
      <c r="P20" s="73"/>
      <c r="Q20" s="74"/>
      <c r="R20" s="73"/>
      <c r="S20" s="74"/>
      <c r="T20" s="74"/>
      <c r="U20" s="73"/>
      <c r="V20" s="74"/>
      <c r="W20" s="73"/>
      <c r="X20" s="74"/>
      <c r="Z20" s="73"/>
      <c r="AA20" s="74"/>
      <c r="AB20" s="73"/>
      <c r="AC20" s="74"/>
    </row>
    <row r="21" customFormat="false" ht="12.8" hidden="false" customHeight="false" outlineLevel="0" collapsed="false">
      <c r="A21" s="73"/>
      <c r="B21" s="74"/>
      <c r="C21" s="73"/>
      <c r="D21" s="74"/>
      <c r="E21" s="74"/>
      <c r="F21" s="73"/>
      <c r="G21" s="74"/>
      <c r="H21" s="73"/>
      <c r="I21" s="74"/>
      <c r="J21" s="74"/>
      <c r="K21" s="73"/>
      <c r="L21" s="74"/>
      <c r="M21" s="73"/>
      <c r="N21" s="74"/>
      <c r="O21" s="74"/>
      <c r="P21" s="73"/>
      <c r="Q21" s="74"/>
      <c r="R21" s="73"/>
      <c r="S21" s="74"/>
      <c r="T21" s="74"/>
      <c r="U21" s="73"/>
      <c r="V21" s="74"/>
      <c r="W21" s="73"/>
      <c r="X21" s="74"/>
      <c r="Z21" s="73"/>
      <c r="AA21" s="74"/>
      <c r="AB21" s="73"/>
      <c r="AC21" s="74"/>
    </row>
    <row r="22" customFormat="false" ht="12.8" hidden="false" customHeight="false" outlineLevel="0" collapsed="false">
      <c r="A22" s="73"/>
      <c r="B22" s="74"/>
      <c r="C22" s="73"/>
      <c r="D22" s="74"/>
      <c r="E22" s="74"/>
      <c r="F22" s="73"/>
      <c r="G22" s="74"/>
      <c r="H22" s="73"/>
      <c r="I22" s="74"/>
      <c r="J22" s="74"/>
      <c r="K22" s="73"/>
      <c r="L22" s="74"/>
      <c r="M22" s="73"/>
      <c r="N22" s="74"/>
      <c r="O22" s="74"/>
      <c r="P22" s="73"/>
      <c r="Q22" s="74"/>
      <c r="R22" s="73"/>
      <c r="S22" s="74"/>
      <c r="T22" s="74"/>
      <c r="U22" s="73"/>
      <c r="V22" s="74"/>
      <c r="W22" s="73"/>
      <c r="X22" s="74"/>
      <c r="Z22" s="73"/>
      <c r="AA22" s="74"/>
      <c r="AB22" s="73"/>
      <c r="AC22" s="74"/>
    </row>
    <row r="23" customFormat="false" ht="12.8" hidden="false" customHeight="false" outlineLevel="0" collapsed="false">
      <c r="A23" s="73"/>
      <c r="B23" s="74"/>
      <c r="C23" s="73"/>
      <c r="D23" s="74"/>
      <c r="E23" s="74"/>
      <c r="F23" s="73"/>
      <c r="G23" s="74"/>
      <c r="H23" s="73"/>
      <c r="I23" s="74"/>
      <c r="J23" s="74"/>
      <c r="K23" s="73"/>
      <c r="L23" s="74"/>
      <c r="M23" s="73"/>
      <c r="N23" s="74"/>
      <c r="O23" s="74"/>
      <c r="P23" s="73"/>
      <c r="Q23" s="74"/>
      <c r="R23" s="73"/>
      <c r="S23" s="74"/>
      <c r="T23" s="74"/>
      <c r="U23" s="73"/>
      <c r="V23" s="74"/>
      <c r="W23" s="73"/>
      <c r="X23" s="74"/>
      <c r="Z23" s="73"/>
      <c r="AA23" s="74"/>
      <c r="AB23" s="73"/>
      <c r="AC23" s="74"/>
    </row>
    <row r="24" customFormat="false" ht="12.8" hidden="false" customHeight="false" outlineLevel="0" collapsed="false">
      <c r="A24" s="73"/>
      <c r="B24" s="74"/>
      <c r="C24" s="73"/>
      <c r="D24" s="74"/>
      <c r="E24" s="74"/>
      <c r="F24" s="73"/>
      <c r="G24" s="74"/>
      <c r="H24" s="73"/>
      <c r="I24" s="74"/>
      <c r="J24" s="74"/>
      <c r="K24" s="73"/>
      <c r="L24" s="74"/>
      <c r="M24" s="73"/>
      <c r="N24" s="74"/>
      <c r="O24" s="74"/>
      <c r="P24" s="73"/>
      <c r="Q24" s="74"/>
      <c r="R24" s="73"/>
      <c r="S24" s="74"/>
      <c r="T24" s="74"/>
      <c r="U24" s="73"/>
      <c r="V24" s="74"/>
      <c r="W24" s="73"/>
      <c r="X24" s="74"/>
      <c r="Z24" s="73"/>
      <c r="AA24" s="74"/>
      <c r="AB24" s="73"/>
      <c r="AC24" s="74"/>
    </row>
    <row r="25" customFormat="false" ht="12.8" hidden="false" customHeight="false" outlineLevel="0" collapsed="false">
      <c r="A25" s="73"/>
      <c r="B25" s="74"/>
      <c r="C25" s="73"/>
      <c r="D25" s="74"/>
      <c r="E25" s="74"/>
      <c r="F25" s="73"/>
      <c r="G25" s="74"/>
      <c r="H25" s="73"/>
      <c r="I25" s="74"/>
      <c r="J25" s="74"/>
      <c r="K25" s="73"/>
      <c r="L25" s="74"/>
      <c r="M25" s="73"/>
      <c r="N25" s="74"/>
      <c r="O25" s="74"/>
      <c r="P25" s="73"/>
      <c r="Q25" s="74"/>
      <c r="R25" s="73"/>
      <c r="S25" s="74"/>
      <c r="T25" s="74"/>
      <c r="U25" s="73"/>
      <c r="V25" s="74"/>
      <c r="W25" s="73"/>
      <c r="X25" s="74"/>
      <c r="Z25" s="73"/>
      <c r="AA25" s="74"/>
      <c r="AB25" s="73"/>
      <c r="AC25" s="74"/>
    </row>
    <row r="26" customFormat="false" ht="12.8" hidden="false" customHeight="false" outlineLevel="0" collapsed="false">
      <c r="A26" s="73"/>
      <c r="B26" s="74"/>
      <c r="C26" s="73"/>
      <c r="D26" s="74"/>
      <c r="E26" s="74"/>
      <c r="F26" s="73"/>
      <c r="G26" s="74"/>
      <c r="H26" s="73"/>
      <c r="I26" s="74"/>
      <c r="J26" s="74"/>
      <c r="K26" s="73"/>
      <c r="L26" s="74"/>
      <c r="M26" s="73"/>
      <c r="N26" s="74"/>
      <c r="O26" s="74"/>
      <c r="P26" s="73"/>
      <c r="Q26" s="74"/>
      <c r="R26" s="73"/>
      <c r="S26" s="74"/>
      <c r="T26" s="74"/>
      <c r="U26" s="73"/>
      <c r="V26" s="74"/>
      <c r="W26" s="73"/>
      <c r="X26" s="74"/>
      <c r="Z26" s="73"/>
      <c r="AA26" s="74"/>
      <c r="AB26" s="73"/>
      <c r="AC26" s="74"/>
    </row>
    <row r="27" customFormat="false" ht="12.8" hidden="false" customHeight="false" outlineLevel="0" collapsed="false">
      <c r="A27" s="73"/>
      <c r="B27" s="74"/>
      <c r="C27" s="73"/>
      <c r="D27" s="74"/>
      <c r="E27" s="74"/>
      <c r="F27" s="73"/>
      <c r="G27" s="74"/>
      <c r="H27" s="73"/>
      <c r="I27" s="74"/>
      <c r="J27" s="74"/>
      <c r="K27" s="73"/>
      <c r="L27" s="74"/>
      <c r="M27" s="73"/>
      <c r="N27" s="74"/>
      <c r="O27" s="74"/>
      <c r="P27" s="73"/>
      <c r="Q27" s="74"/>
      <c r="R27" s="73"/>
      <c r="S27" s="74"/>
      <c r="T27" s="74"/>
      <c r="U27" s="73"/>
      <c r="V27" s="74"/>
      <c r="W27" s="73"/>
      <c r="X27" s="74"/>
      <c r="Z27" s="73"/>
      <c r="AA27" s="74"/>
      <c r="AB27" s="73"/>
      <c r="AC27" s="74"/>
    </row>
    <row r="28" customFormat="false" ht="12.8" hidden="false" customHeight="false" outlineLevel="0" collapsed="false">
      <c r="A28" s="73"/>
      <c r="B28" s="74"/>
      <c r="C28" s="73"/>
      <c r="D28" s="74"/>
      <c r="E28" s="74"/>
      <c r="F28" s="73"/>
      <c r="G28" s="74"/>
      <c r="H28" s="73"/>
      <c r="I28" s="74"/>
      <c r="J28" s="74"/>
      <c r="K28" s="73"/>
      <c r="L28" s="74"/>
      <c r="M28" s="73"/>
      <c r="N28" s="74"/>
      <c r="O28" s="74"/>
      <c r="P28" s="73"/>
      <c r="Q28" s="74"/>
      <c r="R28" s="73"/>
      <c r="S28" s="74"/>
      <c r="T28" s="74"/>
      <c r="U28" s="73"/>
      <c r="V28" s="74"/>
      <c r="W28" s="73"/>
      <c r="X28" s="74"/>
      <c r="Z28" s="73"/>
      <c r="AA28" s="74"/>
      <c r="AB28" s="73"/>
      <c r="AC28" s="74"/>
    </row>
    <row r="29" customFormat="false" ht="12.8" hidden="false" customHeight="false" outlineLevel="0" collapsed="false">
      <c r="A29" s="73"/>
      <c r="B29" s="74"/>
      <c r="C29" s="73"/>
      <c r="D29" s="74"/>
      <c r="E29" s="74"/>
      <c r="F29" s="73"/>
      <c r="G29" s="74"/>
      <c r="H29" s="73"/>
      <c r="I29" s="74"/>
      <c r="J29" s="74"/>
      <c r="K29" s="73"/>
      <c r="L29" s="74"/>
      <c r="M29" s="73"/>
      <c r="N29" s="74"/>
      <c r="O29" s="74"/>
      <c r="P29" s="73"/>
      <c r="Q29" s="74"/>
      <c r="R29" s="73"/>
      <c r="S29" s="74"/>
      <c r="T29" s="74"/>
      <c r="U29" s="73"/>
      <c r="V29" s="74"/>
      <c r="W29" s="73"/>
      <c r="X29" s="74"/>
      <c r="Z29" s="73"/>
      <c r="AA29" s="74"/>
      <c r="AB29" s="73"/>
      <c r="AC29" s="74"/>
    </row>
    <row r="30" customFormat="false" ht="12.8" hidden="false" customHeight="false" outlineLevel="0" collapsed="false">
      <c r="A30" s="73"/>
      <c r="B30" s="74"/>
      <c r="C30" s="73"/>
      <c r="D30" s="74"/>
      <c r="E30" s="74"/>
      <c r="F30" s="73"/>
      <c r="G30" s="74"/>
      <c r="H30" s="73"/>
      <c r="I30" s="74"/>
      <c r="J30" s="74"/>
      <c r="K30" s="73"/>
      <c r="L30" s="74"/>
      <c r="M30" s="73"/>
      <c r="N30" s="74"/>
      <c r="O30" s="74"/>
      <c r="P30" s="73"/>
      <c r="Q30" s="74"/>
      <c r="R30" s="73"/>
      <c r="S30" s="74"/>
      <c r="T30" s="74"/>
      <c r="U30" s="73"/>
      <c r="V30" s="74"/>
      <c r="W30" s="73"/>
      <c r="X30" s="74"/>
      <c r="Z30" s="73"/>
      <c r="AA30" s="74"/>
      <c r="AB30" s="73"/>
      <c r="AC30" s="74"/>
    </row>
    <row r="31" customFormat="false" ht="12.8" hidden="false" customHeight="false" outlineLevel="0" collapsed="false">
      <c r="A31" s="73"/>
      <c r="B31" s="74"/>
      <c r="C31" s="73"/>
      <c r="D31" s="74"/>
      <c r="E31" s="74"/>
      <c r="F31" s="73"/>
      <c r="G31" s="74"/>
      <c r="H31" s="73"/>
      <c r="I31" s="74"/>
      <c r="J31" s="74"/>
      <c r="K31" s="73"/>
      <c r="L31" s="74"/>
      <c r="M31" s="73"/>
      <c r="N31" s="74"/>
      <c r="O31" s="74"/>
      <c r="P31" s="73"/>
      <c r="Q31" s="74"/>
      <c r="R31" s="73"/>
      <c r="S31" s="74"/>
      <c r="T31" s="74"/>
      <c r="U31" s="73"/>
      <c r="V31" s="74"/>
      <c r="W31" s="73"/>
      <c r="X31" s="74"/>
      <c r="Z31" s="73"/>
      <c r="AA31" s="74"/>
      <c r="AB31" s="73"/>
      <c r="AC31" s="74"/>
    </row>
    <row r="32" customFormat="false" ht="12.8" hidden="false" customHeight="false" outlineLevel="0" collapsed="false">
      <c r="A32" s="73"/>
      <c r="B32" s="73"/>
      <c r="C32" s="73"/>
      <c r="D32" s="73"/>
      <c r="E32" s="73"/>
      <c r="F32" s="73"/>
      <c r="G32" s="73"/>
      <c r="H32" s="73"/>
      <c r="I32" s="73"/>
      <c r="J32" s="73"/>
      <c r="K32" s="73"/>
      <c r="L32" s="73"/>
      <c r="M32" s="73"/>
      <c r="N32" s="73"/>
      <c r="O32" s="73"/>
      <c r="P32" s="73"/>
      <c r="Q32" s="73"/>
      <c r="R32" s="73"/>
      <c r="S32" s="73"/>
      <c r="T32" s="73"/>
      <c r="U32" s="73"/>
      <c r="V32" s="73"/>
      <c r="W32" s="73"/>
      <c r="X32" s="73"/>
      <c r="Z32" s="73"/>
      <c r="AA32" s="73"/>
      <c r="AB32" s="73"/>
      <c r="AC32" s="73"/>
    </row>
    <row r="33" customFormat="false" ht="12.8" hidden="false" customHeight="false" outlineLevel="0" collapsed="false">
      <c r="A33" s="73"/>
      <c r="B33" s="73"/>
      <c r="C33" s="73"/>
      <c r="D33" s="74"/>
      <c r="E33" s="74"/>
      <c r="F33" s="73"/>
      <c r="G33" s="73"/>
      <c r="H33" s="73"/>
      <c r="I33" s="74"/>
      <c r="J33" s="74"/>
      <c r="K33" s="73"/>
      <c r="L33" s="73"/>
      <c r="M33" s="73"/>
      <c r="N33" s="74"/>
      <c r="O33" s="74"/>
      <c r="P33" s="73"/>
      <c r="Q33" s="73"/>
      <c r="R33" s="73"/>
      <c r="S33" s="74"/>
      <c r="T33" s="74"/>
      <c r="U33" s="73"/>
      <c r="V33" s="73"/>
      <c r="W33" s="73"/>
      <c r="X33" s="74"/>
      <c r="Z33" s="73"/>
      <c r="AA33" s="73"/>
      <c r="AB33" s="73"/>
      <c r="AC33" s="74"/>
    </row>
    <row r="34" customFormat="false" ht="12.8" hidden="false" customHeight="false" outlineLevel="0" collapsed="false">
      <c r="A34" s="73"/>
      <c r="B34" s="74"/>
      <c r="C34" s="73"/>
      <c r="D34" s="74"/>
      <c r="E34" s="74"/>
      <c r="F34" s="73"/>
      <c r="G34" s="74"/>
      <c r="H34" s="73"/>
      <c r="I34" s="74"/>
      <c r="J34" s="74"/>
      <c r="K34" s="73"/>
      <c r="L34" s="74"/>
      <c r="M34" s="73"/>
      <c r="N34" s="74"/>
      <c r="O34" s="74"/>
      <c r="P34" s="73"/>
      <c r="Q34" s="74"/>
      <c r="R34" s="73"/>
      <c r="S34" s="74"/>
      <c r="T34" s="74"/>
      <c r="U34" s="73"/>
      <c r="V34" s="74"/>
      <c r="W34" s="73"/>
      <c r="X34" s="74"/>
      <c r="Z34" s="73"/>
      <c r="AA34" s="74"/>
      <c r="AB34" s="73"/>
      <c r="AC34" s="74"/>
    </row>
    <row r="35" customFormat="false" ht="12.8" hidden="false" customHeight="false" outlineLevel="0" collapsed="false">
      <c r="A35" s="73"/>
      <c r="B35" s="74"/>
      <c r="C35" s="73"/>
      <c r="D35" s="74"/>
      <c r="E35" s="74"/>
      <c r="F35" s="73"/>
      <c r="G35" s="74"/>
      <c r="H35" s="73"/>
      <c r="I35" s="74"/>
      <c r="J35" s="74"/>
      <c r="K35" s="73"/>
      <c r="L35" s="74"/>
      <c r="M35" s="73"/>
      <c r="N35" s="74"/>
      <c r="O35" s="74"/>
      <c r="P35" s="73"/>
      <c r="Q35" s="74"/>
      <c r="R35" s="73"/>
      <c r="S35" s="74"/>
      <c r="T35" s="74"/>
      <c r="U35" s="73"/>
      <c r="V35" s="74"/>
      <c r="W35" s="73"/>
      <c r="X35" s="74"/>
      <c r="Z35" s="73"/>
      <c r="AA35" s="74"/>
      <c r="AB35" s="73"/>
      <c r="AC35" s="74"/>
    </row>
    <row r="36" customFormat="false" ht="12.8" hidden="false" customHeight="false" outlineLevel="0" collapsed="false">
      <c r="A36" s="73"/>
      <c r="B36" s="74"/>
      <c r="C36" s="73"/>
      <c r="D36" s="73"/>
      <c r="E36" s="73"/>
      <c r="F36" s="73"/>
      <c r="G36" s="74"/>
      <c r="H36" s="73"/>
      <c r="I36" s="73"/>
      <c r="J36" s="73"/>
      <c r="K36" s="73"/>
      <c r="L36" s="74"/>
      <c r="M36" s="73"/>
      <c r="N36" s="73"/>
      <c r="O36" s="73"/>
      <c r="P36" s="73"/>
      <c r="Q36" s="74"/>
      <c r="R36" s="73"/>
      <c r="S36" s="73"/>
      <c r="T36" s="73"/>
      <c r="U36" s="73"/>
      <c r="V36" s="74"/>
      <c r="W36" s="73"/>
      <c r="X36" s="73"/>
      <c r="Z36" s="73"/>
      <c r="AA36" s="74"/>
      <c r="AB36" s="73"/>
      <c r="AC36" s="73"/>
    </row>
    <row r="37" customFormat="false" ht="12.8" hidden="false" customHeight="false" outlineLevel="0" collapsed="false">
      <c r="A37" s="77" t="s">
        <v>65</v>
      </c>
      <c r="B37" s="78" t="n">
        <f aca="false">SUM(B17:B36)</f>
        <v>0</v>
      </c>
      <c r="C37" s="77" t="s">
        <v>66</v>
      </c>
      <c r="D37" s="78" t="n">
        <f aca="false">SUM(D17:D36)</f>
        <v>0</v>
      </c>
      <c r="E37" s="73"/>
      <c r="F37" s="73"/>
      <c r="G37" s="74"/>
      <c r="H37" s="73"/>
      <c r="I37" s="73"/>
      <c r="J37" s="73"/>
      <c r="K37" s="73"/>
      <c r="L37" s="74"/>
      <c r="M37" s="73"/>
      <c r="N37" s="73"/>
      <c r="O37" s="73"/>
      <c r="P37" s="73"/>
      <c r="Q37" s="74"/>
      <c r="R37" s="73"/>
      <c r="S37" s="73"/>
      <c r="T37" s="73"/>
      <c r="U37" s="73"/>
      <c r="V37" s="74"/>
      <c r="W37" s="73"/>
      <c r="X37" s="73"/>
      <c r="Z37" s="73"/>
      <c r="AA37" s="74"/>
      <c r="AB37" s="73"/>
      <c r="AC37" s="73"/>
    </row>
    <row r="38" customFormat="false" ht="12.8" hidden="false" customHeight="false" outlineLevel="0" collapsed="false">
      <c r="A38" s="30"/>
      <c r="B38" s="79"/>
      <c r="C38" s="20" t="s">
        <v>44</v>
      </c>
      <c r="D38" s="80" t="n">
        <f aca="false">SUM(B37+D37)</f>
        <v>0</v>
      </c>
      <c r="E38" s="80"/>
      <c r="F38" s="30" t="s">
        <v>44</v>
      </c>
      <c r="G38" s="79" t="n">
        <f aca="false">SUM(G17:G36)</f>
        <v>0</v>
      </c>
      <c r="H38" s="20" t="s">
        <v>44</v>
      </c>
      <c r="I38" s="80" t="n">
        <f aca="false">SUM(I17:I36)</f>
        <v>0</v>
      </c>
      <c r="J38" s="80"/>
      <c r="K38" s="30" t="s">
        <v>44</v>
      </c>
      <c r="L38" s="79" t="n">
        <f aca="false">SUM(L17:L36)</f>
        <v>0</v>
      </c>
      <c r="M38" s="20" t="s">
        <v>44</v>
      </c>
      <c r="N38" s="80" t="n">
        <f aca="false">SUM(N17:N36)</f>
        <v>0</v>
      </c>
      <c r="O38" s="80"/>
      <c r="P38" s="30" t="s">
        <v>44</v>
      </c>
      <c r="Q38" s="79" t="n">
        <f aca="false">SUM(Q17:Q36)</f>
        <v>0</v>
      </c>
      <c r="R38" s="20" t="s">
        <v>44</v>
      </c>
      <c r="S38" s="80" t="n">
        <f aca="false">SUM(S17:S36)</f>
        <v>0</v>
      </c>
      <c r="T38" s="80"/>
      <c r="U38" s="30" t="s">
        <v>44</v>
      </c>
      <c r="V38" s="79" t="n">
        <f aca="false">SUM(V17:V36)</f>
        <v>0</v>
      </c>
      <c r="W38" s="20" t="s">
        <v>44</v>
      </c>
      <c r="X38" s="80" t="n">
        <f aca="false">SUM(X17:X36)</f>
        <v>0</v>
      </c>
      <c r="Z38" s="30" t="s">
        <v>44</v>
      </c>
      <c r="AA38" s="79" t="n">
        <f aca="false">SUM(AA17:AA36)</f>
        <v>0</v>
      </c>
      <c r="AB38" s="20" t="s">
        <v>44</v>
      </c>
      <c r="AC38" s="80" t="n">
        <f aca="false">SUM(AC17:AC36)</f>
        <v>0</v>
      </c>
    </row>
    <row r="39" customFormat="false" ht="12.8" hidden="false" customHeight="false" outlineLevel="0" collapsed="false">
      <c r="A39" s="31"/>
      <c r="B39" s="7"/>
      <c r="D39" s="40"/>
      <c r="E39" s="40"/>
      <c r="F39" s="31"/>
      <c r="G39" s="7"/>
      <c r="I39" s="40"/>
      <c r="J39" s="40"/>
      <c r="K39" s="31"/>
      <c r="L39" s="7"/>
      <c r="N39" s="40"/>
      <c r="O39" s="40"/>
      <c r="P39" s="31"/>
      <c r="Q39" s="7"/>
      <c r="S39" s="40"/>
      <c r="T39" s="40"/>
      <c r="U39" s="31"/>
      <c r="V39" s="7"/>
      <c r="X39" s="40"/>
      <c r="Z39" s="31"/>
      <c r="AA39" s="7"/>
      <c r="AC39" s="40"/>
    </row>
    <row r="40" customFormat="false" ht="12.8" hidden="false" customHeight="false" outlineLevel="0" collapsed="false">
      <c r="A40" s="31"/>
      <c r="B40" s="7"/>
      <c r="C40" s="81" t="s">
        <v>47</v>
      </c>
      <c r="D40" s="82" t="n">
        <f aca="false">D38+(SUM(B6:B15))+(SUM(D6:D15))</f>
        <v>0</v>
      </c>
      <c r="E40" s="82"/>
      <c r="F40" s="31"/>
      <c r="G40" s="7"/>
      <c r="H40" s="81" t="s">
        <v>47</v>
      </c>
      <c r="I40" s="82" t="n">
        <f aca="false">I38+G38+(SUM(G6:G15))+(SUM(I6:I15))</f>
        <v>0</v>
      </c>
      <c r="J40" s="82"/>
      <c r="K40" s="31"/>
      <c r="L40" s="7"/>
      <c r="M40" s="81" t="s">
        <v>47</v>
      </c>
      <c r="N40" s="82" t="n">
        <f aca="false">N38+L38+(SUM(L6:L15))+(SUM(N6:N15))</f>
        <v>0</v>
      </c>
      <c r="O40" s="82"/>
      <c r="P40" s="31"/>
      <c r="Q40" s="7"/>
      <c r="R40" s="81" t="s">
        <v>47</v>
      </c>
      <c r="S40" s="82" t="n">
        <f aca="false">S38+Q38+(SUM(Q6:Q15))+(SUM(S6:S15))</f>
        <v>0</v>
      </c>
      <c r="T40" s="82"/>
      <c r="U40" s="31"/>
      <c r="V40" s="7"/>
      <c r="W40" s="81" t="s">
        <v>47</v>
      </c>
      <c r="X40" s="82" t="n">
        <f aca="false">X38+V38+(SUM(V6:V15))+(SUM(X6:X15))</f>
        <v>0</v>
      </c>
      <c r="Z40" s="31"/>
      <c r="AA40" s="7"/>
      <c r="AB40" s="81" t="s">
        <v>47</v>
      </c>
      <c r="AC40" s="82" t="n">
        <f aca="false">AC38+AA38+(SUM(AA6:AA15))+(SUM(AC6:AC15))</f>
        <v>0</v>
      </c>
    </row>
    <row r="41" customFormat="false" ht="12.8" hidden="false" customHeight="false" outlineLevel="0" collapsed="false">
      <c r="A41" s="31"/>
      <c r="C41" s="0" t="s">
        <v>4</v>
      </c>
      <c r="D41" s="23" t="n">
        <f aca="false">'Income Breakdown'!E22</f>
        <v>2555.47833333333</v>
      </c>
      <c r="E41" s="23"/>
      <c r="F41" s="23"/>
      <c r="G41" s="23"/>
      <c r="H41" s="23" t="s">
        <v>4</v>
      </c>
      <c r="I41" s="23" t="n">
        <f aca="false">'Income Breakdown'!E22</f>
        <v>2555.47833333333</v>
      </c>
      <c r="J41" s="23"/>
      <c r="K41" s="31"/>
      <c r="M41" s="0" t="s">
        <v>4</v>
      </c>
      <c r="N41" s="23" t="n">
        <f aca="false">'Income Breakdown'!E22</f>
        <v>2555.47833333333</v>
      </c>
      <c r="O41" s="23"/>
      <c r="P41" s="31"/>
      <c r="R41" s="0" t="s">
        <v>4</v>
      </c>
      <c r="S41" s="23" t="n">
        <f aca="false">'Income Breakdown'!E22</f>
        <v>2555.47833333333</v>
      </c>
      <c r="T41" s="23"/>
      <c r="U41" s="31"/>
      <c r="W41" s="0" t="s">
        <v>4</v>
      </c>
      <c r="X41" s="23" t="n">
        <f aca="false">'Income Breakdown'!E22</f>
        <v>2555.47833333333</v>
      </c>
      <c r="Z41" s="31"/>
      <c r="AB41" s="0" t="s">
        <v>4</v>
      </c>
      <c r="AC41" s="23" t="n">
        <f aca="false">'Income Breakdown'!E22</f>
        <v>2555.47833333333</v>
      </c>
    </row>
    <row r="42" customFormat="false" ht="12.8" hidden="false" customHeight="false" outlineLevel="0" collapsed="false">
      <c r="A42" s="32"/>
      <c r="B42" s="33"/>
      <c r="C42" s="33" t="s">
        <v>67</v>
      </c>
      <c r="D42" s="83" t="n">
        <f aca="false">D41-D40</f>
        <v>2555.47833333333</v>
      </c>
      <c r="E42" s="83"/>
      <c r="F42" s="32"/>
      <c r="G42" s="33"/>
      <c r="H42" s="33" t="s">
        <v>67</v>
      </c>
      <c r="I42" s="83" t="n">
        <f aca="false">I41-I40</f>
        <v>2555.47833333333</v>
      </c>
      <c r="J42" s="83"/>
      <c r="K42" s="32"/>
      <c r="L42" s="33"/>
      <c r="M42" s="33" t="s">
        <v>67</v>
      </c>
      <c r="N42" s="83" t="n">
        <f aca="false">N41-N40</f>
        <v>2555.47833333333</v>
      </c>
      <c r="O42" s="83"/>
      <c r="P42" s="32"/>
      <c r="Q42" s="33"/>
      <c r="R42" s="33" t="s">
        <v>67</v>
      </c>
      <c r="S42" s="83" t="n">
        <f aca="false">S41-S40</f>
        <v>2555.47833333333</v>
      </c>
      <c r="T42" s="83"/>
      <c r="U42" s="32"/>
      <c r="V42" s="33"/>
      <c r="W42" s="33" t="s">
        <v>67</v>
      </c>
      <c r="X42" s="83" t="n">
        <f aca="false">X41-X40</f>
        <v>2555.47833333333</v>
      </c>
      <c r="Z42" s="32"/>
      <c r="AA42" s="33"/>
      <c r="AB42" s="33" t="s">
        <v>67</v>
      </c>
      <c r="AC42" s="83" t="n">
        <f aca="false">AC41-AC40</f>
        <v>2555.47833333333</v>
      </c>
    </row>
    <row r="45" customFormat="false" ht="12.8" hidden="false" customHeight="false" outlineLevel="0" collapsed="false">
      <c r="A45" s="84" t="s">
        <v>68</v>
      </c>
      <c r="B45" s="84"/>
      <c r="C45" s="84"/>
      <c r="D45" s="84"/>
      <c r="F45" s="85" t="s">
        <v>69</v>
      </c>
      <c r="G45" s="85"/>
      <c r="H45" s="85"/>
      <c r="I45" s="85"/>
      <c r="K45" s="86" t="s">
        <v>70</v>
      </c>
      <c r="L45" s="86"/>
      <c r="M45" s="86"/>
      <c r="N45" s="86"/>
      <c r="P45" s="87" t="s">
        <v>71</v>
      </c>
      <c r="Q45" s="87"/>
      <c r="R45" s="87"/>
      <c r="S45" s="87"/>
      <c r="U45" s="88" t="s">
        <v>72</v>
      </c>
      <c r="V45" s="88"/>
      <c r="W45" s="88"/>
      <c r="X45" s="88"/>
      <c r="Z45" s="89" t="s">
        <v>73</v>
      </c>
      <c r="AA45" s="89"/>
      <c r="AB45" s="89"/>
      <c r="AC45" s="89"/>
    </row>
    <row r="46" customFormat="false" ht="12.8" hidden="false" customHeight="false" outlineLevel="0" collapsed="false">
      <c r="A46" s="84"/>
      <c r="B46" s="84"/>
      <c r="C46" s="84"/>
      <c r="D46" s="84"/>
      <c r="F46" s="85"/>
      <c r="G46" s="85"/>
      <c r="H46" s="85"/>
      <c r="I46" s="85"/>
      <c r="K46" s="86"/>
      <c r="L46" s="86"/>
      <c r="M46" s="86"/>
      <c r="N46" s="86"/>
      <c r="P46" s="87"/>
      <c r="Q46" s="87"/>
      <c r="R46" s="87"/>
      <c r="S46" s="87"/>
      <c r="U46" s="88"/>
      <c r="V46" s="88"/>
      <c r="W46" s="88"/>
      <c r="X46" s="88"/>
      <c r="Z46" s="89"/>
      <c r="AA46" s="89"/>
      <c r="AB46" s="89"/>
      <c r="AC46" s="89"/>
    </row>
    <row r="47" customFormat="false" ht="12.8" hidden="false" customHeight="false" outlineLevel="0" collapsed="false">
      <c r="A47" s="73"/>
      <c r="B47" s="74"/>
      <c r="C47" s="73"/>
      <c r="D47" s="74"/>
      <c r="E47" s="74"/>
      <c r="F47" s="73"/>
      <c r="G47" s="74"/>
      <c r="H47" s="73"/>
      <c r="I47" s="74"/>
      <c r="J47" s="74"/>
      <c r="K47" s="73"/>
      <c r="L47" s="74"/>
      <c r="M47" s="73"/>
      <c r="N47" s="74"/>
      <c r="O47" s="74"/>
      <c r="P47" s="73"/>
      <c r="Q47" s="74"/>
      <c r="R47" s="73"/>
      <c r="S47" s="74"/>
      <c r="T47" s="74"/>
      <c r="U47" s="73"/>
      <c r="V47" s="74"/>
      <c r="W47" s="73"/>
      <c r="X47" s="74"/>
      <c r="Z47" s="73"/>
      <c r="AA47" s="74"/>
      <c r="AB47" s="73"/>
      <c r="AC47" s="74"/>
    </row>
    <row r="48" customFormat="false" ht="12.8" hidden="false" customHeight="false" outlineLevel="0" collapsed="false">
      <c r="A48" s="73"/>
      <c r="B48" s="74"/>
      <c r="C48" s="73"/>
      <c r="D48" s="74"/>
      <c r="E48" s="74"/>
      <c r="F48" s="73"/>
      <c r="G48" s="74"/>
      <c r="H48" s="73"/>
      <c r="I48" s="74"/>
      <c r="J48" s="74"/>
      <c r="K48" s="73"/>
      <c r="L48" s="74"/>
      <c r="M48" s="73"/>
      <c r="N48" s="74"/>
      <c r="O48" s="74"/>
      <c r="P48" s="73"/>
      <c r="Q48" s="74"/>
      <c r="R48" s="73"/>
      <c r="S48" s="74"/>
      <c r="T48" s="74"/>
      <c r="U48" s="73"/>
      <c r="V48" s="74"/>
      <c r="W48" s="73"/>
      <c r="X48" s="74"/>
      <c r="Z48" s="73"/>
      <c r="AA48" s="74"/>
      <c r="AB48" s="73"/>
      <c r="AC48" s="74"/>
    </row>
    <row r="49" customFormat="false" ht="12.8" hidden="false" customHeight="false" outlineLevel="0" collapsed="false">
      <c r="A49" s="73"/>
      <c r="B49" s="74"/>
      <c r="C49" s="73"/>
      <c r="D49" s="74"/>
      <c r="E49" s="74"/>
      <c r="F49" s="73"/>
      <c r="G49" s="74"/>
      <c r="J49" s="74"/>
      <c r="K49" s="73"/>
      <c r="L49" s="74"/>
      <c r="M49" s="73"/>
      <c r="N49" s="74"/>
      <c r="O49" s="74"/>
      <c r="P49" s="73"/>
      <c r="Q49" s="74"/>
      <c r="R49" s="73"/>
      <c r="S49" s="74"/>
      <c r="T49" s="74"/>
      <c r="U49" s="73"/>
      <c r="V49" s="74"/>
      <c r="W49" s="73"/>
      <c r="X49" s="74"/>
      <c r="Z49" s="73"/>
      <c r="AA49" s="74"/>
      <c r="AB49" s="73"/>
      <c r="AC49" s="74"/>
    </row>
    <row r="50" customFormat="false" ht="12.8" hidden="false" customHeight="false" outlineLevel="0" collapsed="false">
      <c r="A50" s="73"/>
      <c r="B50" s="74"/>
      <c r="C50" s="73"/>
      <c r="D50" s="74"/>
      <c r="E50" s="74"/>
      <c r="F50" s="73"/>
      <c r="G50" s="74"/>
      <c r="H50" s="73"/>
      <c r="I50" s="74"/>
      <c r="J50" s="74"/>
      <c r="K50" s="73"/>
      <c r="L50" s="74"/>
      <c r="M50" s="73"/>
      <c r="N50" s="74"/>
      <c r="O50" s="74"/>
      <c r="P50" s="73"/>
      <c r="Q50" s="74"/>
      <c r="R50" s="73"/>
      <c r="S50" s="74"/>
      <c r="T50" s="74"/>
      <c r="U50" s="73"/>
      <c r="V50" s="74"/>
      <c r="W50" s="73"/>
      <c r="X50" s="74"/>
      <c r="Z50" s="73"/>
      <c r="AA50" s="74"/>
      <c r="AB50" s="73"/>
      <c r="AC50" s="74"/>
    </row>
    <row r="51" customFormat="false" ht="12.8" hidden="false" customHeight="false" outlineLevel="0" collapsed="false">
      <c r="A51" s="73"/>
      <c r="B51" s="74"/>
      <c r="C51" s="73"/>
      <c r="D51" s="74"/>
      <c r="E51" s="74"/>
      <c r="F51" s="73"/>
      <c r="G51" s="74"/>
      <c r="H51" s="73"/>
      <c r="I51" s="74"/>
      <c r="J51" s="74"/>
      <c r="K51" s="73"/>
      <c r="L51" s="74"/>
      <c r="M51" s="73"/>
      <c r="N51" s="74"/>
      <c r="O51" s="74"/>
      <c r="P51" s="73"/>
      <c r="Q51" s="74"/>
      <c r="R51" s="73"/>
      <c r="S51" s="74"/>
      <c r="T51" s="74"/>
      <c r="U51" s="73"/>
      <c r="V51" s="74"/>
      <c r="W51" s="73"/>
      <c r="X51" s="74"/>
      <c r="Z51" s="73"/>
      <c r="AA51" s="74"/>
      <c r="AB51" s="73"/>
      <c r="AC51" s="74"/>
    </row>
    <row r="52" customFormat="false" ht="12.8" hidden="false" customHeight="false" outlineLevel="0" collapsed="false">
      <c r="A52" s="73"/>
      <c r="B52" s="74"/>
      <c r="E52" s="74"/>
      <c r="F52" s="73"/>
      <c r="G52" s="74"/>
      <c r="J52" s="74"/>
      <c r="K52" s="73"/>
      <c r="L52" s="74"/>
      <c r="O52" s="74"/>
      <c r="P52" s="73"/>
      <c r="Q52" s="74"/>
      <c r="T52" s="74"/>
      <c r="U52" s="73"/>
      <c r="V52" s="74"/>
      <c r="Z52" s="73"/>
      <c r="AA52" s="74"/>
    </row>
    <row r="53" customFormat="false" ht="12.8" hidden="false" customHeight="false" outlineLevel="0" collapsed="false">
      <c r="A53" s="73"/>
      <c r="B53" s="74"/>
      <c r="C53" s="73"/>
      <c r="D53" s="74"/>
      <c r="E53" s="74"/>
      <c r="F53" s="73"/>
      <c r="G53" s="74"/>
      <c r="H53" s="73"/>
      <c r="I53" s="74"/>
      <c r="J53" s="74"/>
      <c r="K53" s="73"/>
      <c r="L53" s="74"/>
      <c r="M53" s="73"/>
      <c r="N53" s="74"/>
      <c r="O53" s="74"/>
      <c r="P53" s="73"/>
      <c r="Q53" s="74"/>
      <c r="R53" s="73"/>
      <c r="S53" s="74"/>
      <c r="T53" s="74"/>
      <c r="U53" s="73"/>
      <c r="V53" s="74"/>
      <c r="W53" s="73"/>
      <c r="X53" s="74"/>
      <c r="Z53" s="73"/>
      <c r="AA53" s="74"/>
      <c r="AB53" s="73"/>
      <c r="AC53" s="74"/>
    </row>
    <row r="54" customFormat="false" ht="12.8" hidden="false" customHeight="false" outlineLevel="0" collapsed="false">
      <c r="A54" s="73"/>
      <c r="B54" s="74"/>
      <c r="C54" s="73"/>
      <c r="D54" s="74"/>
      <c r="E54" s="74"/>
      <c r="H54" s="73"/>
      <c r="I54" s="74"/>
      <c r="J54" s="74"/>
      <c r="K54" s="73"/>
      <c r="L54" s="74"/>
      <c r="M54" s="73"/>
      <c r="N54" s="74"/>
      <c r="O54" s="74"/>
      <c r="P54" s="73"/>
      <c r="Q54" s="74"/>
      <c r="R54" s="73"/>
      <c r="S54" s="74"/>
      <c r="T54" s="74"/>
      <c r="U54" s="73"/>
      <c r="V54" s="74"/>
      <c r="W54" s="73"/>
      <c r="X54" s="74"/>
      <c r="Z54" s="73"/>
      <c r="AA54" s="74"/>
      <c r="AB54" s="73"/>
      <c r="AC54" s="74"/>
    </row>
    <row r="55" customFormat="false" ht="12.8" hidden="false" customHeight="false" outlineLevel="0" collapsed="false">
      <c r="A55" s="73"/>
      <c r="B55" s="74"/>
      <c r="C55" s="73"/>
      <c r="D55" s="74"/>
      <c r="E55" s="74"/>
      <c r="F55" s="73"/>
      <c r="G55" s="74"/>
      <c r="H55" s="73"/>
      <c r="I55" s="74"/>
      <c r="J55" s="74"/>
      <c r="K55" s="73"/>
      <c r="L55" s="74"/>
      <c r="M55" s="73"/>
      <c r="N55" s="74"/>
      <c r="O55" s="74"/>
      <c r="P55" s="73"/>
      <c r="Q55" s="74"/>
      <c r="R55" s="73"/>
      <c r="S55" s="74"/>
      <c r="T55" s="74"/>
      <c r="U55" s="73"/>
      <c r="V55" s="74"/>
      <c r="W55" s="73"/>
      <c r="X55" s="74"/>
      <c r="Z55" s="73"/>
      <c r="AA55" s="74"/>
      <c r="AB55" s="73"/>
      <c r="AC55" s="74"/>
    </row>
    <row r="56" customFormat="false" ht="12.8" hidden="false" customHeight="false" outlineLevel="0" collapsed="false">
      <c r="A56" s="73"/>
      <c r="B56" s="74"/>
      <c r="C56" s="73"/>
      <c r="D56" s="74"/>
      <c r="E56" s="74"/>
      <c r="F56" s="73"/>
      <c r="G56" s="74"/>
      <c r="H56" s="73"/>
      <c r="I56" s="74"/>
      <c r="J56" s="74"/>
      <c r="K56" s="73"/>
      <c r="L56" s="74"/>
      <c r="M56" s="73"/>
      <c r="N56" s="74"/>
      <c r="O56" s="74"/>
      <c r="P56" s="73"/>
      <c r="Q56" s="74"/>
      <c r="R56" s="73"/>
      <c r="S56" s="74"/>
      <c r="T56" s="74"/>
      <c r="U56" s="73"/>
      <c r="V56" s="74"/>
      <c r="W56" s="73"/>
      <c r="X56" s="74"/>
      <c r="Z56" s="73"/>
      <c r="AA56" s="74"/>
      <c r="AB56" s="73"/>
      <c r="AC56" s="74"/>
    </row>
    <row r="57" customFormat="false" ht="12.8" hidden="false" customHeight="false" outlineLevel="0" collapsed="false">
      <c r="A57" s="75" t="s">
        <v>37</v>
      </c>
      <c r="B57" s="75"/>
      <c r="C57" s="76" t="s">
        <v>64</v>
      </c>
      <c r="D57" s="76"/>
      <c r="F57" s="75" t="s">
        <v>37</v>
      </c>
      <c r="G57" s="75"/>
      <c r="H57" s="76" t="s">
        <v>64</v>
      </c>
      <c r="I57" s="76"/>
      <c r="K57" s="75" t="s">
        <v>37</v>
      </c>
      <c r="L57" s="75"/>
      <c r="M57" s="76" t="s">
        <v>64</v>
      </c>
      <c r="N57" s="76"/>
      <c r="P57" s="75" t="s">
        <v>37</v>
      </c>
      <c r="Q57" s="75"/>
      <c r="R57" s="76" t="s">
        <v>64</v>
      </c>
      <c r="S57" s="76"/>
      <c r="U57" s="75" t="s">
        <v>37</v>
      </c>
      <c r="V57" s="75"/>
      <c r="W57" s="76" t="s">
        <v>64</v>
      </c>
      <c r="X57" s="76"/>
      <c r="Z57" s="75" t="s">
        <v>37</v>
      </c>
      <c r="AA57" s="75"/>
      <c r="AB57" s="76" t="s">
        <v>64</v>
      </c>
      <c r="AC57" s="76"/>
    </row>
    <row r="58" customFormat="false" ht="12.8" hidden="false" customHeight="false" outlineLevel="0" collapsed="false">
      <c r="A58" s="73"/>
      <c r="B58" s="74"/>
      <c r="C58" s="73"/>
      <c r="D58" s="74"/>
      <c r="E58" s="74"/>
      <c r="F58" s="73"/>
      <c r="G58" s="74"/>
      <c r="H58" s="73"/>
      <c r="I58" s="74"/>
      <c r="J58" s="74"/>
      <c r="K58" s="73"/>
      <c r="L58" s="74"/>
      <c r="M58" s="73"/>
      <c r="N58" s="74"/>
      <c r="O58" s="74"/>
      <c r="P58" s="73"/>
      <c r="Q58" s="74"/>
      <c r="R58" s="73"/>
      <c r="S58" s="74"/>
      <c r="T58" s="74"/>
      <c r="U58" s="73"/>
      <c r="V58" s="74"/>
      <c r="W58" s="73"/>
      <c r="X58" s="74"/>
      <c r="Z58" s="73"/>
      <c r="AA58" s="74"/>
      <c r="AB58" s="73"/>
      <c r="AC58" s="74"/>
    </row>
    <row r="59" customFormat="false" ht="12.8" hidden="false" customHeight="false" outlineLevel="0" collapsed="false">
      <c r="A59" s="73"/>
      <c r="B59" s="74"/>
      <c r="C59" s="73"/>
      <c r="D59" s="74"/>
      <c r="E59" s="74"/>
      <c r="F59" s="73"/>
      <c r="G59" s="74"/>
      <c r="H59" s="73"/>
      <c r="I59" s="74"/>
      <c r="J59" s="74"/>
      <c r="K59" s="73"/>
      <c r="L59" s="74"/>
      <c r="M59" s="73"/>
      <c r="N59" s="74"/>
      <c r="O59" s="74"/>
      <c r="P59" s="73"/>
      <c r="Q59" s="74"/>
      <c r="R59" s="73"/>
      <c r="S59" s="74"/>
      <c r="T59" s="74"/>
      <c r="U59" s="73"/>
      <c r="V59" s="74"/>
      <c r="W59" s="73"/>
      <c r="X59" s="74"/>
      <c r="Z59" s="73"/>
      <c r="AA59" s="74"/>
      <c r="AB59" s="73"/>
      <c r="AC59" s="74"/>
    </row>
    <row r="60" customFormat="false" ht="12.8" hidden="false" customHeight="false" outlineLevel="0" collapsed="false">
      <c r="A60" s="73"/>
      <c r="B60" s="74"/>
      <c r="C60" s="73"/>
      <c r="D60" s="74"/>
      <c r="E60" s="74"/>
      <c r="F60" s="73"/>
      <c r="G60" s="74"/>
      <c r="H60" s="73"/>
      <c r="I60" s="74"/>
      <c r="J60" s="74"/>
      <c r="K60" s="73"/>
      <c r="L60" s="74"/>
      <c r="M60" s="73"/>
      <c r="N60" s="74"/>
      <c r="O60" s="74"/>
      <c r="P60" s="73"/>
      <c r="Q60" s="74"/>
      <c r="R60" s="73"/>
      <c r="S60" s="74"/>
      <c r="T60" s="74"/>
      <c r="U60" s="73"/>
      <c r="V60" s="74"/>
      <c r="W60" s="73"/>
      <c r="X60" s="74"/>
      <c r="Z60" s="73"/>
      <c r="AA60" s="74"/>
      <c r="AB60" s="73"/>
      <c r="AC60" s="74"/>
    </row>
    <row r="61" customFormat="false" ht="12.8" hidden="false" customHeight="false" outlineLevel="0" collapsed="false">
      <c r="A61" s="73"/>
      <c r="B61" s="74"/>
      <c r="C61" s="73"/>
      <c r="D61" s="74"/>
      <c r="E61" s="74"/>
      <c r="F61" s="73"/>
      <c r="G61" s="74"/>
      <c r="H61" s="73"/>
      <c r="I61" s="74"/>
      <c r="J61" s="74"/>
      <c r="K61" s="73"/>
      <c r="L61" s="74"/>
      <c r="M61" s="73"/>
      <c r="N61" s="74"/>
      <c r="O61" s="74"/>
      <c r="P61" s="73"/>
      <c r="Q61" s="74"/>
      <c r="R61" s="73"/>
      <c r="S61" s="74"/>
      <c r="T61" s="74"/>
      <c r="U61" s="73"/>
      <c r="V61" s="74"/>
      <c r="W61" s="73"/>
      <c r="X61" s="74"/>
      <c r="Z61" s="73"/>
      <c r="AA61" s="74"/>
      <c r="AB61" s="73"/>
      <c r="AC61" s="74"/>
    </row>
    <row r="62" customFormat="false" ht="12.8" hidden="false" customHeight="false" outlineLevel="0" collapsed="false">
      <c r="A62" s="73"/>
      <c r="B62" s="74"/>
      <c r="C62" s="73"/>
      <c r="D62" s="74"/>
      <c r="E62" s="74"/>
      <c r="G62" s="74"/>
      <c r="H62" s="73"/>
      <c r="I62" s="74"/>
      <c r="J62" s="74"/>
      <c r="K62" s="73"/>
      <c r="L62" s="74"/>
      <c r="M62" s="73"/>
      <c r="N62" s="74"/>
      <c r="O62" s="74"/>
      <c r="P62" s="73"/>
      <c r="Q62" s="74"/>
      <c r="R62" s="73"/>
      <c r="S62" s="74"/>
      <c r="T62" s="74"/>
      <c r="U62" s="73"/>
      <c r="V62" s="74"/>
      <c r="W62" s="73"/>
      <c r="X62" s="74"/>
      <c r="Z62" s="73"/>
      <c r="AA62" s="74"/>
      <c r="AB62" s="73"/>
      <c r="AC62" s="74"/>
    </row>
    <row r="63" customFormat="false" ht="12.8" hidden="false" customHeight="false" outlineLevel="0" collapsed="false">
      <c r="A63" s="73"/>
      <c r="B63" s="74"/>
      <c r="C63" s="73"/>
      <c r="D63" s="74"/>
      <c r="E63" s="74"/>
      <c r="F63" s="73"/>
      <c r="G63" s="74"/>
      <c r="H63" s="73"/>
      <c r="I63" s="74"/>
      <c r="J63" s="74"/>
      <c r="K63" s="73"/>
      <c r="L63" s="74"/>
      <c r="M63" s="73"/>
      <c r="N63" s="74"/>
      <c r="O63" s="74"/>
      <c r="P63" s="73"/>
      <c r="Q63" s="74"/>
      <c r="R63" s="73"/>
      <c r="S63" s="74"/>
      <c r="T63" s="74"/>
      <c r="U63" s="73"/>
      <c r="V63" s="74"/>
      <c r="W63" s="73"/>
      <c r="X63" s="74"/>
      <c r="Z63" s="73"/>
      <c r="AA63" s="74"/>
      <c r="AB63" s="73"/>
      <c r="AC63" s="74"/>
    </row>
    <row r="64" customFormat="false" ht="12.8" hidden="false" customHeight="false" outlineLevel="0" collapsed="false">
      <c r="A64" s="73"/>
      <c r="B64" s="74"/>
      <c r="C64" s="73"/>
      <c r="D64" s="74"/>
      <c r="E64" s="74"/>
      <c r="G64" s="74"/>
      <c r="H64" s="73"/>
      <c r="I64" s="74"/>
      <c r="J64" s="74"/>
      <c r="K64" s="73"/>
      <c r="L64" s="74"/>
      <c r="M64" s="73"/>
      <c r="N64" s="74"/>
      <c r="O64" s="74"/>
      <c r="P64" s="73"/>
      <c r="Q64" s="74"/>
      <c r="R64" s="73"/>
      <c r="S64" s="74"/>
      <c r="T64" s="74"/>
      <c r="U64" s="73"/>
      <c r="V64" s="74"/>
      <c r="W64" s="73"/>
      <c r="X64" s="74"/>
      <c r="Z64" s="73"/>
      <c r="AA64" s="74"/>
      <c r="AB64" s="73"/>
      <c r="AC64" s="74"/>
    </row>
    <row r="65" customFormat="false" ht="12.8" hidden="false" customHeight="false" outlineLevel="0" collapsed="false">
      <c r="A65" s="73"/>
      <c r="B65" s="74"/>
      <c r="C65" s="73"/>
      <c r="D65" s="74"/>
      <c r="E65" s="74"/>
      <c r="F65" s="73"/>
      <c r="G65" s="74"/>
      <c r="H65" s="73"/>
      <c r="I65" s="74"/>
      <c r="J65" s="74"/>
      <c r="K65" s="73"/>
      <c r="L65" s="74"/>
      <c r="M65" s="73"/>
      <c r="N65" s="74"/>
      <c r="O65" s="74"/>
      <c r="P65" s="73"/>
      <c r="Q65" s="74"/>
      <c r="R65" s="73"/>
      <c r="S65" s="74"/>
      <c r="T65" s="74"/>
      <c r="U65" s="73"/>
      <c r="V65" s="74"/>
      <c r="W65" s="73"/>
      <c r="X65" s="74"/>
      <c r="Z65" s="73"/>
      <c r="AA65" s="74"/>
      <c r="AB65" s="73"/>
      <c r="AC65" s="74"/>
    </row>
    <row r="66" customFormat="false" ht="12.8" hidden="false" customHeight="false" outlineLevel="0" collapsed="false">
      <c r="A66" s="73"/>
      <c r="B66" s="74"/>
      <c r="C66" s="73"/>
      <c r="D66" s="74"/>
      <c r="E66" s="74"/>
      <c r="F66" s="73"/>
      <c r="G66" s="74"/>
      <c r="H66" s="73"/>
      <c r="I66" s="74"/>
      <c r="J66" s="74"/>
      <c r="K66" s="73"/>
      <c r="L66" s="74"/>
      <c r="M66" s="73"/>
      <c r="N66" s="74"/>
      <c r="O66" s="74"/>
      <c r="P66" s="73"/>
      <c r="Q66" s="74"/>
      <c r="R66" s="73"/>
      <c r="S66" s="74"/>
      <c r="T66" s="74"/>
      <c r="U66" s="73"/>
      <c r="V66" s="74"/>
      <c r="W66" s="73"/>
      <c r="X66" s="74"/>
      <c r="Z66" s="73"/>
      <c r="AA66" s="74"/>
      <c r="AB66" s="73"/>
      <c r="AC66" s="74"/>
    </row>
    <row r="67" customFormat="false" ht="12.8" hidden="false" customHeight="false" outlineLevel="0" collapsed="false">
      <c r="A67" s="73"/>
      <c r="B67" s="74"/>
      <c r="C67" s="73"/>
      <c r="D67" s="74"/>
      <c r="E67" s="74"/>
      <c r="F67" s="73"/>
      <c r="G67" s="74"/>
      <c r="H67" s="73"/>
      <c r="I67" s="74"/>
      <c r="J67" s="74"/>
      <c r="K67" s="73"/>
      <c r="L67" s="74"/>
      <c r="M67" s="73"/>
      <c r="N67" s="74"/>
      <c r="O67" s="74"/>
      <c r="P67" s="73"/>
      <c r="Q67" s="74"/>
      <c r="R67" s="73"/>
      <c r="S67" s="74"/>
      <c r="T67" s="74"/>
      <c r="U67" s="73"/>
      <c r="V67" s="74"/>
      <c r="W67" s="73"/>
      <c r="X67" s="74"/>
      <c r="Z67" s="73"/>
      <c r="AA67" s="74"/>
      <c r="AB67" s="73"/>
      <c r="AC67" s="74"/>
    </row>
    <row r="68" customFormat="false" ht="12.8" hidden="false" customHeight="false" outlineLevel="0" collapsed="false">
      <c r="A68" s="73"/>
      <c r="B68" s="74"/>
      <c r="C68" s="73"/>
      <c r="D68" s="74"/>
      <c r="E68" s="74"/>
      <c r="F68" s="73"/>
      <c r="G68" s="74"/>
      <c r="H68" s="73"/>
      <c r="I68" s="74"/>
      <c r="J68" s="74"/>
      <c r="K68" s="73"/>
      <c r="L68" s="74"/>
      <c r="M68" s="73"/>
      <c r="N68" s="74"/>
      <c r="O68" s="74"/>
      <c r="P68" s="73"/>
      <c r="Q68" s="74"/>
      <c r="R68" s="73"/>
      <c r="S68" s="74"/>
      <c r="T68" s="74"/>
      <c r="U68" s="73"/>
      <c r="V68" s="74"/>
      <c r="W68" s="73"/>
      <c r="X68" s="74"/>
      <c r="Z68" s="73"/>
      <c r="AA68" s="74"/>
      <c r="AB68" s="73"/>
      <c r="AC68" s="74"/>
    </row>
    <row r="69" customFormat="false" ht="12.8" hidden="false" customHeight="false" outlineLevel="0" collapsed="false">
      <c r="A69" s="73"/>
      <c r="B69" s="74"/>
      <c r="C69" s="73"/>
      <c r="D69" s="74"/>
      <c r="E69" s="74"/>
      <c r="F69" s="73"/>
      <c r="G69" s="74"/>
      <c r="H69" s="73"/>
      <c r="I69" s="74"/>
      <c r="J69" s="74"/>
      <c r="K69" s="73"/>
      <c r="L69" s="74"/>
      <c r="M69" s="73"/>
      <c r="N69" s="74"/>
      <c r="O69" s="74"/>
      <c r="P69" s="73"/>
      <c r="Q69" s="74"/>
      <c r="R69" s="73"/>
      <c r="S69" s="74"/>
      <c r="T69" s="74"/>
      <c r="U69" s="73"/>
      <c r="V69" s="74"/>
      <c r="W69" s="73"/>
      <c r="X69" s="74"/>
      <c r="Z69" s="73"/>
      <c r="AA69" s="74"/>
      <c r="AB69" s="73"/>
      <c r="AC69" s="74"/>
    </row>
    <row r="70" customFormat="false" ht="12.8" hidden="false" customHeight="false" outlineLevel="0" collapsed="false">
      <c r="A70" s="73"/>
      <c r="B70" s="74"/>
      <c r="C70" s="73"/>
      <c r="D70" s="74"/>
      <c r="E70" s="74"/>
      <c r="F70" s="73"/>
      <c r="G70" s="74"/>
      <c r="H70" s="73"/>
      <c r="I70" s="74"/>
      <c r="J70" s="74"/>
      <c r="K70" s="73"/>
      <c r="L70" s="74"/>
      <c r="M70" s="73"/>
      <c r="N70" s="74"/>
      <c r="O70" s="74"/>
      <c r="P70" s="73"/>
      <c r="Q70" s="74"/>
      <c r="R70" s="73"/>
      <c r="S70" s="74"/>
      <c r="T70" s="74"/>
      <c r="U70" s="73"/>
      <c r="V70" s="74"/>
      <c r="W70" s="73"/>
      <c r="X70" s="74"/>
      <c r="Z70" s="73"/>
      <c r="AA70" s="74"/>
      <c r="AB70" s="73"/>
      <c r="AC70" s="74"/>
    </row>
    <row r="71" customFormat="false" ht="12.8" hidden="false" customHeight="false" outlineLevel="0" collapsed="false">
      <c r="A71" s="73"/>
      <c r="B71" s="74"/>
      <c r="C71" s="73"/>
      <c r="D71" s="74"/>
      <c r="E71" s="74"/>
      <c r="F71" s="73"/>
      <c r="G71" s="74"/>
      <c r="H71" s="73"/>
      <c r="I71" s="74"/>
      <c r="J71" s="74"/>
      <c r="K71" s="73"/>
      <c r="L71" s="74"/>
      <c r="M71" s="73"/>
      <c r="N71" s="74"/>
      <c r="O71" s="74"/>
      <c r="P71" s="73"/>
      <c r="Q71" s="74"/>
      <c r="R71" s="73"/>
      <c r="S71" s="74"/>
      <c r="T71" s="74"/>
      <c r="U71" s="73"/>
      <c r="V71" s="74"/>
      <c r="W71" s="73"/>
      <c r="X71" s="74"/>
      <c r="Z71" s="73"/>
      <c r="AA71" s="74"/>
      <c r="AB71" s="73"/>
      <c r="AC71" s="74"/>
    </row>
    <row r="72" customFormat="false" ht="12.8" hidden="false" customHeight="false" outlineLevel="0" collapsed="false">
      <c r="A72" s="73"/>
      <c r="B72" s="74"/>
      <c r="C72" s="73"/>
      <c r="D72" s="74"/>
      <c r="E72" s="74"/>
      <c r="F72" s="73"/>
      <c r="G72" s="74"/>
      <c r="H72" s="73"/>
      <c r="I72" s="74"/>
      <c r="J72" s="74"/>
      <c r="K72" s="73"/>
      <c r="L72" s="74"/>
      <c r="M72" s="73"/>
      <c r="N72" s="74"/>
      <c r="O72" s="74"/>
      <c r="P72" s="73"/>
      <c r="Q72" s="74"/>
      <c r="R72" s="73"/>
      <c r="S72" s="74"/>
      <c r="T72" s="74"/>
      <c r="U72" s="73"/>
      <c r="V72" s="74"/>
      <c r="W72" s="73"/>
      <c r="X72" s="74"/>
      <c r="Z72" s="73"/>
      <c r="AA72" s="74"/>
      <c r="AB72" s="73"/>
      <c r="AC72" s="74"/>
    </row>
    <row r="73" customFormat="false" ht="12.8" hidden="false" customHeight="false" outlineLevel="0" collapsed="false">
      <c r="A73" s="73"/>
      <c r="B73" s="73"/>
      <c r="C73" s="73"/>
      <c r="D73" s="73"/>
      <c r="E73" s="73"/>
      <c r="F73" s="73"/>
      <c r="G73" s="74"/>
      <c r="I73" s="74"/>
      <c r="J73" s="73"/>
      <c r="K73" s="73"/>
      <c r="L73" s="73"/>
      <c r="M73" s="73"/>
      <c r="N73" s="73"/>
      <c r="O73" s="73"/>
      <c r="P73" s="73"/>
      <c r="Q73" s="73"/>
      <c r="R73" s="73"/>
      <c r="S73" s="73"/>
      <c r="T73" s="73"/>
      <c r="U73" s="73"/>
      <c r="V73" s="73"/>
      <c r="W73" s="73"/>
      <c r="X73" s="73"/>
      <c r="Z73" s="73"/>
      <c r="AA73" s="73"/>
      <c r="AB73" s="73"/>
      <c r="AC73" s="73"/>
    </row>
    <row r="74" customFormat="false" ht="12.8" hidden="false" customHeight="false" outlineLevel="0" collapsed="false">
      <c r="A74" s="73"/>
      <c r="B74" s="73"/>
      <c r="C74" s="73"/>
      <c r="D74" s="74"/>
      <c r="E74" s="74"/>
      <c r="F74" s="73"/>
      <c r="G74" s="74"/>
      <c r="I74" s="74"/>
      <c r="J74" s="74"/>
      <c r="K74" s="73"/>
      <c r="L74" s="73"/>
      <c r="M74" s="73"/>
      <c r="N74" s="74"/>
      <c r="O74" s="74"/>
      <c r="P74" s="73"/>
      <c r="Q74" s="73"/>
      <c r="R74" s="73"/>
      <c r="S74" s="74"/>
      <c r="T74" s="74"/>
      <c r="U74" s="73"/>
      <c r="V74" s="73"/>
      <c r="W74" s="73"/>
      <c r="X74" s="74"/>
      <c r="Z74" s="73"/>
      <c r="AA74" s="73"/>
      <c r="AB74" s="73"/>
      <c r="AC74" s="74"/>
    </row>
    <row r="75" customFormat="false" ht="12.8" hidden="false" customHeight="false" outlineLevel="0" collapsed="false">
      <c r="A75" s="73"/>
      <c r="B75" s="74"/>
      <c r="C75" s="73"/>
      <c r="D75" s="74"/>
      <c r="E75" s="74"/>
      <c r="F75" s="73"/>
      <c r="G75" s="74"/>
      <c r="I75" s="74"/>
      <c r="J75" s="74"/>
      <c r="K75" s="73"/>
      <c r="L75" s="74"/>
      <c r="M75" s="73"/>
      <c r="N75" s="74"/>
      <c r="O75" s="74"/>
      <c r="P75" s="73"/>
      <c r="Q75" s="74"/>
      <c r="R75" s="73"/>
      <c r="S75" s="74"/>
      <c r="T75" s="74"/>
      <c r="U75" s="73"/>
      <c r="V75" s="74"/>
      <c r="W75" s="73"/>
      <c r="X75" s="74"/>
      <c r="Z75" s="73"/>
      <c r="AA75" s="74"/>
      <c r="AB75" s="73"/>
      <c r="AC75" s="74"/>
    </row>
    <row r="76" customFormat="false" ht="12.8" hidden="false" customHeight="false" outlineLevel="0" collapsed="false">
      <c r="A76" s="73"/>
      <c r="B76" s="74"/>
      <c r="C76" s="73"/>
      <c r="D76" s="74"/>
      <c r="E76" s="74"/>
      <c r="F76" s="73"/>
      <c r="G76" s="74"/>
      <c r="J76" s="74"/>
      <c r="K76" s="73"/>
      <c r="L76" s="74"/>
      <c r="M76" s="73"/>
      <c r="N76" s="74"/>
      <c r="O76" s="74"/>
      <c r="P76" s="73"/>
      <c r="Q76" s="74"/>
      <c r="R76" s="73"/>
      <c r="S76" s="74"/>
      <c r="T76" s="74"/>
      <c r="U76" s="73"/>
      <c r="V76" s="74"/>
      <c r="W76" s="73"/>
      <c r="X76" s="74"/>
      <c r="Z76" s="73"/>
      <c r="AA76" s="74"/>
      <c r="AB76" s="73"/>
      <c r="AC76" s="74"/>
    </row>
    <row r="77" customFormat="false" ht="12.8" hidden="false" customHeight="false" outlineLevel="0" collapsed="false">
      <c r="A77" s="73"/>
      <c r="B77" s="74"/>
      <c r="C77" s="73"/>
      <c r="D77" s="73"/>
      <c r="E77" s="73"/>
      <c r="F77" s="73"/>
      <c r="G77" s="74"/>
      <c r="J77" s="73"/>
      <c r="K77" s="73"/>
      <c r="L77" s="74"/>
      <c r="M77" s="73"/>
      <c r="N77" s="73"/>
      <c r="O77" s="73"/>
      <c r="P77" s="73"/>
      <c r="Q77" s="74"/>
      <c r="R77" s="73"/>
      <c r="S77" s="73"/>
      <c r="T77" s="73"/>
      <c r="U77" s="73"/>
      <c r="V77" s="74"/>
      <c r="W77" s="73"/>
      <c r="X77" s="73"/>
      <c r="Z77" s="73"/>
      <c r="AA77" s="74"/>
      <c r="AB77" s="73"/>
      <c r="AC77" s="73"/>
    </row>
    <row r="78" customFormat="false" ht="12.8" hidden="false" customHeight="false" outlineLevel="0" collapsed="false">
      <c r="A78" s="30" t="s">
        <v>44</v>
      </c>
      <c r="B78" s="79" t="n">
        <f aca="false">SUM(B58:B77)</f>
        <v>0</v>
      </c>
      <c r="C78" s="20" t="s">
        <v>44</v>
      </c>
      <c r="D78" s="80" t="n">
        <f aca="false">SUM(D58:D77)</f>
        <v>0</v>
      </c>
      <c r="E78" s="80"/>
      <c r="F78" s="30" t="s">
        <v>44</v>
      </c>
      <c r="G78" s="79" t="n">
        <f aca="false">SUM(G58:G77)</f>
        <v>0</v>
      </c>
      <c r="H78" s="20" t="s">
        <v>44</v>
      </c>
      <c r="I78" s="80" t="n">
        <f aca="false">SUM(I58:I77)</f>
        <v>0</v>
      </c>
      <c r="J78" s="80"/>
      <c r="K78" s="30" t="s">
        <v>44</v>
      </c>
      <c r="L78" s="79" t="n">
        <f aca="false">SUM(L58:L77)</f>
        <v>0</v>
      </c>
      <c r="M78" s="20" t="s">
        <v>44</v>
      </c>
      <c r="N78" s="80" t="n">
        <f aca="false">SUM(N58:N77)</f>
        <v>0</v>
      </c>
      <c r="O78" s="80"/>
      <c r="P78" s="30" t="s">
        <v>44</v>
      </c>
      <c r="Q78" s="79" t="n">
        <f aca="false">SUM(Q58:Q77)</f>
        <v>0</v>
      </c>
      <c r="R78" s="20" t="s">
        <v>44</v>
      </c>
      <c r="S78" s="80" t="n">
        <f aca="false">SUM(S58:S77)</f>
        <v>0</v>
      </c>
      <c r="T78" s="80"/>
      <c r="U78" s="30" t="s">
        <v>44</v>
      </c>
      <c r="V78" s="79" t="n">
        <f aca="false">SUM(V58:V77)</f>
        <v>0</v>
      </c>
      <c r="W78" s="20" t="s">
        <v>44</v>
      </c>
      <c r="X78" s="80" t="n">
        <f aca="false">SUM(X58:X77)</f>
        <v>0</v>
      </c>
      <c r="Z78" s="30" t="s">
        <v>44</v>
      </c>
      <c r="AA78" s="79" t="n">
        <f aca="false">SUM(AA58:AA77)</f>
        <v>0</v>
      </c>
      <c r="AB78" s="20" t="s">
        <v>44</v>
      </c>
      <c r="AC78" s="80" t="n">
        <f aca="false">SUM(AC58:AC77)</f>
        <v>0</v>
      </c>
    </row>
    <row r="79" customFormat="false" ht="12.8" hidden="false" customHeight="false" outlineLevel="0" collapsed="false">
      <c r="A79" s="31"/>
      <c r="B79" s="7"/>
      <c r="D79" s="40"/>
      <c r="E79" s="40"/>
      <c r="F79" s="31"/>
      <c r="G79" s="7"/>
      <c r="I79" s="40"/>
      <c r="J79" s="40"/>
      <c r="K79" s="31"/>
      <c r="L79" s="7"/>
      <c r="N79" s="40"/>
      <c r="O79" s="40"/>
      <c r="P79" s="31"/>
      <c r="Q79" s="7"/>
      <c r="S79" s="40"/>
      <c r="T79" s="40"/>
      <c r="U79" s="31"/>
      <c r="V79" s="7"/>
      <c r="X79" s="40"/>
      <c r="Z79" s="31"/>
      <c r="AA79" s="7"/>
      <c r="AC79" s="40"/>
    </row>
    <row r="80" customFormat="false" ht="12.8" hidden="false" customHeight="false" outlineLevel="0" collapsed="false">
      <c r="A80" s="31"/>
      <c r="B80" s="7"/>
      <c r="C80" s="81" t="s">
        <v>47</v>
      </c>
      <c r="D80" s="82" t="n">
        <f aca="false">D78+B78+(SUM(B47:B56))+(SUM(D47:D56))</f>
        <v>0</v>
      </c>
      <c r="E80" s="82"/>
      <c r="F80" s="31"/>
      <c r="G80" s="7"/>
      <c r="H80" s="81" t="s">
        <v>47</v>
      </c>
      <c r="I80" s="82" t="n">
        <f aca="false">I78+G78+(SUM(G47:G56))+(SUM(I47:I56))</f>
        <v>0</v>
      </c>
      <c r="J80" s="82"/>
      <c r="K80" s="31"/>
      <c r="L80" s="7"/>
      <c r="M80" s="81" t="s">
        <v>47</v>
      </c>
      <c r="N80" s="82" t="n">
        <f aca="false">N78+L78+(SUM(L47:L56))+(SUM(N47:N56))</f>
        <v>0</v>
      </c>
      <c r="O80" s="82"/>
      <c r="P80" s="31"/>
      <c r="Q80" s="7"/>
      <c r="R80" s="81" t="s">
        <v>47</v>
      </c>
      <c r="S80" s="82" t="n">
        <f aca="false">S78+Q78+(SUM(Q47:Q56))+(SUM(S47:S56))</f>
        <v>0</v>
      </c>
      <c r="T80" s="82"/>
      <c r="U80" s="31"/>
      <c r="V80" s="7"/>
      <c r="W80" s="81" t="s">
        <v>47</v>
      </c>
      <c r="X80" s="82" t="n">
        <f aca="false">X78+V78+(SUM(V47:V56))+(SUM(X47:X56))</f>
        <v>0</v>
      </c>
      <c r="Z80" s="31"/>
      <c r="AA80" s="7"/>
      <c r="AB80" s="81" t="s">
        <v>47</v>
      </c>
      <c r="AC80" s="82" t="n">
        <f aca="false">AC78+AA78+(SUM(AA47:AA56))+(SUM(AC47:AC56))</f>
        <v>0</v>
      </c>
    </row>
    <row r="81" customFormat="false" ht="12.8" hidden="false" customHeight="false" outlineLevel="0" collapsed="false">
      <c r="A81" s="31"/>
      <c r="C81" s="0" t="s">
        <v>4</v>
      </c>
      <c r="D81" s="23" t="n">
        <f aca="false">'Income Breakdown'!E22</f>
        <v>2555.47833333333</v>
      </c>
      <c r="E81" s="23"/>
      <c r="F81" s="31"/>
      <c r="H81" s="0" t="s">
        <v>4</v>
      </c>
      <c r="I81" s="23" t="n">
        <f aca="false">'Income Breakdown'!E22</f>
        <v>2555.47833333333</v>
      </c>
      <c r="J81" s="23"/>
      <c r="K81" s="31"/>
      <c r="M81" s="0" t="s">
        <v>4</v>
      </c>
      <c r="N81" s="23" t="n">
        <f aca="false">'Income Breakdown'!E22</f>
        <v>2555.47833333333</v>
      </c>
      <c r="O81" s="23"/>
      <c r="P81" s="31"/>
      <c r="R81" s="0" t="s">
        <v>4</v>
      </c>
      <c r="S81" s="23" t="n">
        <f aca="false">'Income Breakdown'!E22</f>
        <v>2555.47833333333</v>
      </c>
      <c r="T81" s="23"/>
      <c r="U81" s="31"/>
      <c r="W81" s="0" t="s">
        <v>4</v>
      </c>
      <c r="X81" s="23" t="n">
        <f aca="false">'Income Breakdown'!E22</f>
        <v>2555.47833333333</v>
      </c>
      <c r="Z81" s="31"/>
      <c r="AB81" s="0" t="s">
        <v>4</v>
      </c>
      <c r="AC81" s="23" t="n">
        <f aca="false">'Income Breakdown'!E22</f>
        <v>2555.47833333333</v>
      </c>
    </row>
    <row r="82" customFormat="false" ht="12.8" hidden="false" customHeight="false" outlineLevel="0" collapsed="false">
      <c r="A82" s="32"/>
      <c r="B82" s="33"/>
      <c r="C82" s="33" t="s">
        <v>67</v>
      </c>
      <c r="D82" s="83" t="n">
        <f aca="false">D81-D80</f>
        <v>2555.47833333333</v>
      </c>
      <c r="E82" s="83"/>
      <c r="F82" s="32"/>
      <c r="G82" s="33"/>
      <c r="H82" s="33" t="s">
        <v>67</v>
      </c>
      <c r="I82" s="83" t="n">
        <f aca="false">I81-I80</f>
        <v>2555.47833333333</v>
      </c>
      <c r="J82" s="83"/>
      <c r="K82" s="32"/>
      <c r="L82" s="33"/>
      <c r="M82" s="33" t="s">
        <v>67</v>
      </c>
      <c r="N82" s="83" t="n">
        <f aca="false">N81-N80</f>
        <v>2555.47833333333</v>
      </c>
      <c r="O82" s="83"/>
      <c r="P82" s="32"/>
      <c r="Q82" s="33"/>
      <c r="R82" s="33" t="s">
        <v>67</v>
      </c>
      <c r="S82" s="83" t="n">
        <f aca="false">S81-S80</f>
        <v>2555.47833333333</v>
      </c>
      <c r="T82" s="83"/>
      <c r="U82" s="32"/>
      <c r="V82" s="33"/>
      <c r="W82" s="33" t="s">
        <v>67</v>
      </c>
      <c r="X82" s="83" t="n">
        <f aca="false">X81-X80</f>
        <v>2555.47833333333</v>
      </c>
      <c r="Z82" s="32"/>
      <c r="AA82" s="33"/>
      <c r="AB82" s="33" t="s">
        <v>67</v>
      </c>
      <c r="AC82" s="83" t="n">
        <f aca="false">AC81-AC80</f>
        <v>2555.47833333333</v>
      </c>
    </row>
  </sheetData>
  <mergeCells count="39">
    <mergeCell ref="A1:A3"/>
    <mergeCell ref="B1:B3"/>
    <mergeCell ref="C1:D3"/>
    <mergeCell ref="A4:D5"/>
    <mergeCell ref="F4:I5"/>
    <mergeCell ref="K4:N5"/>
    <mergeCell ref="P4:S5"/>
    <mergeCell ref="U4:X5"/>
    <mergeCell ref="Z4:AC5"/>
    <mergeCell ref="A16:B16"/>
    <mergeCell ref="C16:D16"/>
    <mergeCell ref="F16:G16"/>
    <mergeCell ref="H16:I16"/>
    <mergeCell ref="K16:L16"/>
    <mergeCell ref="M16:N16"/>
    <mergeCell ref="P16:Q16"/>
    <mergeCell ref="R16:S16"/>
    <mergeCell ref="U16:V16"/>
    <mergeCell ref="W16:X16"/>
    <mergeCell ref="Z16:AA16"/>
    <mergeCell ref="AB16:AC16"/>
    <mergeCell ref="A45:D46"/>
    <mergeCell ref="F45:I46"/>
    <mergeCell ref="K45:N46"/>
    <mergeCell ref="P45:S46"/>
    <mergeCell ref="U45:X46"/>
    <mergeCell ref="Z45:AC46"/>
    <mergeCell ref="A57:B57"/>
    <mergeCell ref="C57:D57"/>
    <mergeCell ref="F57:G57"/>
    <mergeCell ref="H57:I57"/>
    <mergeCell ref="K57:L57"/>
    <mergeCell ref="M57:N57"/>
    <mergeCell ref="P57:Q57"/>
    <mergeCell ref="R57:S57"/>
    <mergeCell ref="U57:V57"/>
    <mergeCell ref="W57:X57"/>
    <mergeCell ref="Z57:AA57"/>
    <mergeCell ref="AB57:AC57"/>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6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9" activeCellId="0" sqref="C9"/>
    </sheetView>
  </sheetViews>
  <sheetFormatPr defaultColWidth="11.60546875" defaultRowHeight="12.8" zeroHeight="false" outlineLevelRow="0" outlineLevelCol="0"/>
  <cols>
    <col collapsed="false" customWidth="true" hidden="false" outlineLevel="0" max="2" min="1" style="0" width="19.15"/>
  </cols>
  <sheetData>
    <row r="1" customFormat="false" ht="22.05" hidden="false" customHeight="true" outlineLevel="0" collapsed="false">
      <c r="A1" s="1" t="s">
        <v>74</v>
      </c>
      <c r="B1" s="2" t="n">
        <v>2021</v>
      </c>
      <c r="C1" s="3" t="s">
        <v>75</v>
      </c>
      <c r="D1" s="3"/>
      <c r="E1" s="3"/>
      <c r="F1" s="3"/>
      <c r="G1" s="0" t="s">
        <v>76</v>
      </c>
      <c r="K1" s="4"/>
      <c r="P1" s="4"/>
      <c r="U1" s="4"/>
      <c r="Z1" s="4"/>
    </row>
    <row r="2" customFormat="false" ht="22.05" hidden="false" customHeight="false" outlineLevel="0" collapsed="false">
      <c r="A2" s="1"/>
      <c r="B2" s="2"/>
      <c r="C2" s="3"/>
      <c r="D2" s="3"/>
      <c r="E2" s="3"/>
      <c r="F2" s="3"/>
      <c r="G2" s="0" t="s">
        <v>77</v>
      </c>
      <c r="K2" s="4"/>
      <c r="P2" s="4"/>
      <c r="U2" s="4"/>
      <c r="Z2" s="4"/>
    </row>
    <row r="3" customFormat="false" ht="22.05" hidden="false" customHeight="false" outlineLevel="0" collapsed="false">
      <c r="A3" s="1"/>
      <c r="B3" s="2"/>
      <c r="C3" s="3"/>
      <c r="D3" s="3"/>
      <c r="E3" s="3"/>
      <c r="F3" s="3"/>
      <c r="K3" s="4"/>
      <c r="P3" s="4"/>
      <c r="U3" s="4"/>
      <c r="Z3" s="4"/>
    </row>
    <row r="4" customFormat="false" ht="19.7" hidden="false" customHeight="false" outlineLevel="0" collapsed="false">
      <c r="A4" s="5" t="s">
        <v>74</v>
      </c>
      <c r="B4" s="5"/>
      <c r="C4" s="5"/>
      <c r="D4" s="5"/>
      <c r="E4" s="90" t="s">
        <v>78</v>
      </c>
      <c r="F4" s="90"/>
      <c r="G4" s="90"/>
      <c r="H4" s="90"/>
      <c r="I4" s="90"/>
      <c r="J4" s="90"/>
      <c r="K4" s="90"/>
    </row>
    <row r="5" customFormat="false" ht="12.8" hidden="false" customHeight="false" outlineLevel="0" collapsed="false">
      <c r="A5" s="91"/>
      <c r="B5" s="91"/>
      <c r="C5" s="91"/>
      <c r="D5" s="91"/>
      <c r="E5" s="31"/>
      <c r="K5" s="40"/>
    </row>
    <row r="6" customFormat="false" ht="12.8" hidden="false" customHeight="false" outlineLevel="0" collapsed="false">
      <c r="A6" s="92" t="s">
        <v>79</v>
      </c>
      <c r="B6" s="92" t="s">
        <v>79</v>
      </c>
      <c r="C6" s="93"/>
      <c r="D6" s="93"/>
      <c r="E6" s="32" t="s">
        <v>80</v>
      </c>
      <c r="F6" s="33" t="s">
        <v>81</v>
      </c>
      <c r="G6" s="33" t="s">
        <v>82</v>
      </c>
      <c r="H6" s="33" t="s">
        <v>83</v>
      </c>
      <c r="I6" s="33" t="s">
        <v>84</v>
      </c>
      <c r="J6" s="33" t="s">
        <v>85</v>
      </c>
      <c r="K6" s="66" t="s">
        <v>86</v>
      </c>
    </row>
    <row r="7" customFormat="false" ht="12.8" hidden="false" customHeight="false" outlineLevel="0" collapsed="false">
      <c r="A7" s="94" t="s">
        <v>87</v>
      </c>
      <c r="B7" s="94"/>
      <c r="C7" s="95" t="n">
        <v>250000</v>
      </c>
      <c r="D7" s="95"/>
      <c r="E7" s="96" t="n">
        <v>45658</v>
      </c>
      <c r="F7" s="73" t="n">
        <v>0</v>
      </c>
      <c r="G7" s="74" t="n">
        <f aca="false">IF($C$15&lt;K7+(K7*($C$11/$C$13)),$C$15,K7+(K7*($C$11/$C$13)))</f>
        <v>1463.6654893942</v>
      </c>
      <c r="H7" s="74" t="n">
        <f aca="false">K7*$C$11/$C$13</f>
        <v>1283.33333333333</v>
      </c>
      <c r="I7" s="74" t="n">
        <f aca="false">G7-H7</f>
        <v>180.332156060869</v>
      </c>
      <c r="J7" s="73"/>
      <c r="K7" s="74" t="n">
        <f aca="false">C10</f>
        <v>220000</v>
      </c>
      <c r="L7" s="7"/>
    </row>
    <row r="8" customFormat="false" ht="12.8" hidden="false" customHeight="false" outlineLevel="0" collapsed="false">
      <c r="A8" s="94" t="s">
        <v>88</v>
      </c>
      <c r="B8" s="94"/>
      <c r="C8" s="95" t="n">
        <v>30000</v>
      </c>
      <c r="D8" s="95"/>
      <c r="E8" s="96" t="n">
        <v>45689</v>
      </c>
      <c r="F8" s="73" t="n">
        <v>1</v>
      </c>
      <c r="G8" s="74" t="n">
        <f aca="false">IF($C$15&lt;K8+(K8*($C$11/$C$13)),$C$15,K8+(K8*($C$11/$C$13)))</f>
        <v>1463.6654893942</v>
      </c>
      <c r="H8" s="74" t="n">
        <f aca="false">K8*$C$11/$C$13</f>
        <v>1282.28139575631</v>
      </c>
      <c r="I8" s="74" t="n">
        <f aca="false">G8-H8</f>
        <v>181.384093637891</v>
      </c>
      <c r="J8" s="73"/>
      <c r="K8" s="74" t="n">
        <f aca="false">K7-I7-J7</f>
        <v>219819.667843939</v>
      </c>
    </row>
    <row r="9" customFormat="false" ht="12.8" hidden="false" customHeight="false" outlineLevel="0" collapsed="false">
      <c r="A9" s="94" t="s">
        <v>89</v>
      </c>
      <c r="B9" s="94"/>
      <c r="C9" s="97" t="n">
        <f aca="false">C8/C7</f>
        <v>0.12</v>
      </c>
      <c r="D9" s="97"/>
      <c r="E9" s="96" t="n">
        <v>45717</v>
      </c>
      <c r="F9" s="73" t="n">
        <v>2</v>
      </c>
      <c r="G9" s="74" t="n">
        <f aca="false">IF($C$15&lt;K9+(K9*($C$11/$C$13)),$C$15,K9+(K9*($C$11/$C$13)))</f>
        <v>1463.6654893942</v>
      </c>
      <c r="H9" s="74" t="n">
        <f aca="false">K9*$C$11/$C$13</f>
        <v>1281.22332187676</v>
      </c>
      <c r="I9" s="74" t="n">
        <f aca="false">G9-H9</f>
        <v>182.442167517446</v>
      </c>
      <c r="J9" s="73"/>
      <c r="K9" s="74" t="n">
        <f aca="false">K8-I8-J8</f>
        <v>219638.283750301</v>
      </c>
    </row>
    <row r="10" customFormat="false" ht="12.8" hidden="false" customHeight="false" outlineLevel="0" collapsed="false">
      <c r="A10" s="94" t="s">
        <v>90</v>
      </c>
      <c r="B10" s="94"/>
      <c r="C10" s="95" t="n">
        <f aca="false">C7-C8</f>
        <v>220000</v>
      </c>
      <c r="D10" s="95"/>
      <c r="E10" s="96" t="n">
        <v>45748</v>
      </c>
      <c r="F10" s="73" t="n">
        <v>3</v>
      </c>
      <c r="G10" s="74" t="n">
        <f aca="false">IF($C$15&lt;K10+(K10*($C$11/$C$13)),$C$15,K10+(K10*($C$11/$C$13)))</f>
        <v>1463.6654893942</v>
      </c>
      <c r="H10" s="74" t="n">
        <f aca="false">K10*$C$11/$C$13</f>
        <v>1280.15907589957</v>
      </c>
      <c r="I10" s="74" t="n">
        <f aca="false">G10-H10</f>
        <v>183.50641349463</v>
      </c>
      <c r="J10" s="73"/>
      <c r="K10" s="74" t="n">
        <f aca="false">K9-I9-J9</f>
        <v>219455.841582784</v>
      </c>
    </row>
    <row r="11" customFormat="false" ht="12.8" hidden="false" customHeight="false" outlineLevel="0" collapsed="false">
      <c r="A11" s="94" t="s">
        <v>91</v>
      </c>
      <c r="B11" s="94"/>
      <c r="C11" s="97" t="n">
        <v>0.07</v>
      </c>
      <c r="D11" s="97"/>
      <c r="E11" s="96" t="n">
        <v>45778</v>
      </c>
      <c r="F11" s="73" t="n">
        <v>4</v>
      </c>
      <c r="G11" s="74" t="n">
        <f aca="false">IF($C$15&lt;K11+(K11*($C$11/$C$13)),$C$15,K11+(K11*($C$11/$C$13)))</f>
        <v>1463.6654893942</v>
      </c>
      <c r="H11" s="74" t="n">
        <f aca="false">K11*$C$11/$C$13</f>
        <v>1279.08862182085</v>
      </c>
      <c r="I11" s="74" t="n">
        <f aca="false">G11-H11</f>
        <v>184.576867573349</v>
      </c>
      <c r="J11" s="73"/>
      <c r="K11" s="74" t="n">
        <f aca="false">K10-I10-J10</f>
        <v>219272.335169289</v>
      </c>
    </row>
    <row r="12" customFormat="false" ht="12.8" hidden="false" customHeight="false" outlineLevel="0" collapsed="false">
      <c r="A12" s="94" t="s">
        <v>92</v>
      </c>
      <c r="B12" s="94"/>
      <c r="C12" s="98" t="n">
        <v>30</v>
      </c>
      <c r="D12" s="98"/>
      <c r="E12" s="96" t="n">
        <v>45809</v>
      </c>
      <c r="F12" s="73" t="n">
        <v>5</v>
      </c>
      <c r="G12" s="74" t="n">
        <f aca="false">IF($C$15&lt;K12+(K12*($C$11/$C$13)),$C$15,K12+(K12*($C$11/$C$13)))</f>
        <v>1463.6654893942</v>
      </c>
      <c r="H12" s="74" t="n">
        <f aca="false">K12*$C$11/$C$13</f>
        <v>1278.01192342668</v>
      </c>
      <c r="I12" s="74" t="n">
        <f aca="false">G12-H12</f>
        <v>185.653565967527</v>
      </c>
      <c r="J12" s="73"/>
      <c r="K12" s="74" t="n">
        <f aca="false">K11-I11-J11</f>
        <v>219087.758301716</v>
      </c>
    </row>
    <row r="13" customFormat="false" ht="12.8" hidden="false" customHeight="false" outlineLevel="0" collapsed="false">
      <c r="A13" s="94" t="s">
        <v>93</v>
      </c>
      <c r="B13" s="94"/>
      <c r="C13" s="98" t="n">
        <v>12</v>
      </c>
      <c r="D13" s="98"/>
      <c r="E13" s="96" t="n">
        <v>45839</v>
      </c>
      <c r="F13" s="73" t="n">
        <v>6</v>
      </c>
      <c r="G13" s="74" t="n">
        <f aca="false">IF($C$15&lt;K13+(K13*($C$11/$C$13)),$C$15,K13+(K13*($C$11/$C$13)))</f>
        <v>1463.6654893942</v>
      </c>
      <c r="H13" s="74" t="n">
        <f aca="false">K13*$C$11/$C$13</f>
        <v>1276.92894429187</v>
      </c>
      <c r="I13" s="74" t="n">
        <f aca="false">G13-H13</f>
        <v>186.736545102338</v>
      </c>
      <c r="J13" s="73"/>
      <c r="K13" s="74" t="n">
        <f aca="false">K12-I12-J12</f>
        <v>218902.104735748</v>
      </c>
    </row>
    <row r="14" customFormat="false" ht="12.8" hidden="false" customHeight="false" outlineLevel="0" collapsed="false">
      <c r="A14" s="94" t="s">
        <v>94</v>
      </c>
      <c r="B14" s="94"/>
      <c r="C14" s="98" t="n">
        <f aca="false">C13*C12</f>
        <v>360</v>
      </c>
      <c r="D14" s="98"/>
      <c r="E14" s="96" t="n">
        <v>45870</v>
      </c>
      <c r="F14" s="73" t="n">
        <v>7</v>
      </c>
      <c r="G14" s="74" t="n">
        <f aca="false">IF($C$15&lt;K14+(K14*($C$11/$C$13)),$C$15,K14+(K14*($C$11/$C$13)))</f>
        <v>1463.6654893942</v>
      </c>
      <c r="H14" s="74" t="n">
        <f aca="false">K14*$C$11/$C$13</f>
        <v>1275.83964777877</v>
      </c>
      <c r="I14" s="74" t="n">
        <f aca="false">G14-H14</f>
        <v>187.825841615435</v>
      </c>
      <c r="J14" s="73"/>
      <c r="K14" s="74" t="n">
        <f aca="false">K13-I13-J13</f>
        <v>218715.368190646</v>
      </c>
    </row>
    <row r="15" customFormat="false" ht="13" hidden="false" customHeight="false" outlineLevel="0" collapsed="false">
      <c r="A15" s="94" t="s">
        <v>95</v>
      </c>
      <c r="B15" s="94"/>
      <c r="C15" s="99" t="n">
        <f aca="false">-PMT(C11/C13,C14,C10,0)</f>
        <v>1463.6654893942</v>
      </c>
      <c r="D15" s="99"/>
      <c r="E15" s="96" t="n">
        <v>45901</v>
      </c>
      <c r="F15" s="73" t="n">
        <v>8</v>
      </c>
      <c r="G15" s="74" t="n">
        <f aca="false">IF($C$15&lt;K15+(K15*($C$11/$C$13)),$C$15,K15+(K15*($C$11/$C$13)))</f>
        <v>1463.6654893942</v>
      </c>
      <c r="H15" s="74" t="n">
        <f aca="false">K15*$C$11/$C$13</f>
        <v>1274.74399703601</v>
      </c>
      <c r="I15" s="74" t="n">
        <f aca="false">G15-H15</f>
        <v>188.921492358191</v>
      </c>
      <c r="J15" s="73"/>
      <c r="K15" s="74" t="n">
        <f aca="false">K14-I14-J14</f>
        <v>218527.54234903</v>
      </c>
    </row>
    <row r="16" customFormat="false" ht="12.8" hidden="false" customHeight="false" outlineLevel="0" collapsed="false">
      <c r="A16" s="94" t="s">
        <v>96</v>
      </c>
      <c r="B16" s="94"/>
      <c r="C16" s="95" t="n">
        <f aca="false">C14*C15</f>
        <v>526919.576181913</v>
      </c>
      <c r="D16" s="95"/>
      <c r="E16" s="96" t="n">
        <v>45931</v>
      </c>
      <c r="F16" s="73" t="n">
        <v>9</v>
      </c>
      <c r="G16" s="74" t="n">
        <f aca="false">IF($C$15&lt;K16+(K16*($C$11/$C$13)),$C$15,K16+(K16*($C$11/$C$13)))</f>
        <v>1463.6654893942</v>
      </c>
      <c r="H16" s="74" t="n">
        <f aca="false">K16*$C$11/$C$13</f>
        <v>1273.64195499726</v>
      </c>
      <c r="I16" s="74" t="n">
        <f aca="false">G16-H16</f>
        <v>190.023534396948</v>
      </c>
      <c r="J16" s="73"/>
      <c r="K16" s="74" t="n">
        <f aca="false">K15-I15-J15</f>
        <v>218338.620856672</v>
      </c>
    </row>
    <row r="17" customFormat="false" ht="12.8" hidden="false" customHeight="false" outlineLevel="0" collapsed="false">
      <c r="A17" s="100" t="s">
        <v>97</v>
      </c>
      <c r="B17" s="100"/>
      <c r="C17" s="101" t="n">
        <f aca="false">C16-C10</f>
        <v>306919.576181913</v>
      </c>
      <c r="D17" s="101"/>
      <c r="E17" s="96" t="n">
        <v>45962</v>
      </c>
      <c r="F17" s="73" t="n">
        <v>10</v>
      </c>
      <c r="G17" s="74" t="n">
        <f aca="false">IF($C$15&lt;K17+(K17*($C$11/$C$13)),$C$15,K17+(K17*($C$11/$C$13)))</f>
        <v>1463.6654893942</v>
      </c>
      <c r="H17" s="74" t="n">
        <f aca="false">K17*$C$11/$C$13</f>
        <v>1272.53348437994</v>
      </c>
      <c r="I17" s="74" t="n">
        <f aca="false">G17-H17</f>
        <v>191.132005014263</v>
      </c>
      <c r="J17" s="73"/>
      <c r="K17" s="74" t="n">
        <f aca="false">K16-I16-J16</f>
        <v>218148.597322275</v>
      </c>
    </row>
    <row r="18" customFormat="false" ht="12.8" hidden="false" customHeight="false" outlineLevel="0" collapsed="false">
      <c r="E18" s="96" t="n">
        <v>45992</v>
      </c>
      <c r="F18" s="73" t="n">
        <v>11</v>
      </c>
      <c r="G18" s="74" t="n">
        <f aca="false">IF($C$15&lt;K18+(K18*($C$11/$C$13)),$C$15,K18+(K18*($C$11/$C$13)))</f>
        <v>1463.6654893942</v>
      </c>
      <c r="H18" s="74" t="n">
        <f aca="false">K18*$C$11/$C$13</f>
        <v>1271.41854768402</v>
      </c>
      <c r="I18" s="74" t="n">
        <f aca="false">G18-H18</f>
        <v>192.24694171018</v>
      </c>
      <c r="J18" s="73"/>
      <c r="K18" s="74" t="n">
        <f aca="false">K17-I17-J17</f>
        <v>217957.465317261</v>
      </c>
    </row>
    <row r="19" customFormat="false" ht="12.8" hidden="false" customHeight="false" outlineLevel="0" collapsed="false">
      <c r="E19" s="96" t="n">
        <v>46023</v>
      </c>
      <c r="F19" s="73" t="n">
        <v>12</v>
      </c>
      <c r="G19" s="74" t="n">
        <f aca="false">IF($C$15&lt;K19+(K19*($C$11/$C$13)),$C$15,K19+(K19*($C$11/$C$13)))</f>
        <v>1463.6654893942</v>
      </c>
      <c r="H19" s="74" t="n">
        <f aca="false">K19*$C$11/$C$13</f>
        <v>1270.29710719071</v>
      </c>
      <c r="I19" s="74" t="n">
        <f aca="false">G19-H19</f>
        <v>193.368382203489</v>
      </c>
      <c r="J19" s="73"/>
      <c r="K19" s="74" t="n">
        <f aca="false">K18-I18-J18</f>
        <v>217765.218375551</v>
      </c>
    </row>
    <row r="20" customFormat="false" ht="12.8" hidden="false" customHeight="false" outlineLevel="0" collapsed="false">
      <c r="A20" s="92" t="s">
        <v>98</v>
      </c>
      <c r="B20" s="92"/>
      <c r="C20" s="20"/>
      <c r="D20" s="65"/>
      <c r="E20" s="96" t="n">
        <v>46054</v>
      </c>
      <c r="F20" s="73" t="n">
        <v>13</v>
      </c>
      <c r="G20" s="74" t="n">
        <f aca="false">IF($C$15&lt;K20+(K20*($C$11/$C$13)),$C$15,K20+(K20*($C$11/$C$13)))</f>
        <v>1463.6654893942</v>
      </c>
      <c r="H20" s="74" t="n">
        <f aca="false">K20*$C$11/$C$13</f>
        <v>1269.16912496119</v>
      </c>
      <c r="I20" s="74" t="n">
        <f aca="false">G20-H20</f>
        <v>194.496364433009</v>
      </c>
      <c r="J20" s="73"/>
      <c r="K20" s="74" t="n">
        <f aca="false">K19-I19-J19</f>
        <v>217571.849993347</v>
      </c>
    </row>
    <row r="21" customFormat="false" ht="12.8" hidden="false" customHeight="false" outlineLevel="0" collapsed="false">
      <c r="A21" s="31" t="s">
        <v>99</v>
      </c>
      <c r="D21" s="23" t="n">
        <f aca="false">C15*0.037</f>
        <v>54.1556231075855</v>
      </c>
      <c r="E21" s="96" t="n">
        <v>46082</v>
      </c>
      <c r="F21" s="73" t="n">
        <v>14</v>
      </c>
      <c r="G21" s="74" t="n">
        <f aca="false">IF($C$15&lt;K21+(K21*($C$11/$C$13)),$C$15,K21+(K21*($C$11/$C$13)))</f>
        <v>1463.6654893942</v>
      </c>
      <c r="H21" s="74" t="n">
        <f aca="false">K21*$C$11/$C$13</f>
        <v>1268.03456283533</v>
      </c>
      <c r="I21" s="74" t="n">
        <f aca="false">G21-H21</f>
        <v>195.630926558868</v>
      </c>
      <c r="J21" s="73"/>
      <c r="K21" s="74" t="n">
        <f aca="false">K20-I20-J20</f>
        <v>217377.353628914</v>
      </c>
    </row>
    <row r="22" customFormat="false" ht="12.8" hidden="false" customHeight="false" outlineLevel="0" collapsed="false">
      <c r="A22" s="31" t="s">
        <v>100</v>
      </c>
      <c r="C22" s="102" t="n">
        <v>0.0058</v>
      </c>
      <c r="D22" s="23" t="n">
        <f aca="false">(C10*C22)/12</f>
        <v>106.333333333333</v>
      </c>
      <c r="E22" s="96" t="n">
        <v>46113</v>
      </c>
      <c r="F22" s="73" t="n">
        <v>15</v>
      </c>
      <c r="G22" s="74" t="n">
        <f aca="false">IF($C$15&lt;K22+(K22*($C$11/$C$13)),$C$15,K22+(K22*($C$11/$C$13)))</f>
        <v>1463.6654893942</v>
      </c>
      <c r="H22" s="74" t="n">
        <f aca="false">K22*$C$11/$C$13</f>
        <v>1266.89338243041</v>
      </c>
      <c r="I22" s="74" t="n">
        <f aca="false">G22-H22</f>
        <v>196.772106963795</v>
      </c>
      <c r="J22" s="73"/>
      <c r="K22" s="74" t="n">
        <f aca="false">K21-I21-J21</f>
        <v>217181.722702356</v>
      </c>
    </row>
    <row r="23" customFormat="false" ht="12.8" hidden="false" customHeight="false" outlineLevel="0" collapsed="false">
      <c r="A23" s="31" t="s">
        <v>101</v>
      </c>
      <c r="D23" s="40" t="n">
        <f aca="false">3136.08/12</f>
        <v>261.34</v>
      </c>
      <c r="E23" s="96" t="n">
        <v>46143</v>
      </c>
      <c r="F23" s="73" t="n">
        <v>16</v>
      </c>
      <c r="G23" s="74" t="n">
        <f aca="false">IF($C$15&lt;K23+(K23*($C$11/$C$13)),$C$15,K23+(K23*($C$11/$C$13)))</f>
        <v>1463.6654893942</v>
      </c>
      <c r="H23" s="74" t="n">
        <f aca="false">K23*$C$11/$C$13</f>
        <v>1265.74554513979</v>
      </c>
      <c r="I23" s="74" t="n">
        <f aca="false">G23-H23</f>
        <v>197.919944254417</v>
      </c>
      <c r="J23" s="73"/>
      <c r="K23" s="74" t="n">
        <f aca="false">K22-I22-J22</f>
        <v>216984.950595392</v>
      </c>
    </row>
    <row r="24" customFormat="false" ht="12.8" hidden="false" customHeight="false" outlineLevel="0" collapsed="false">
      <c r="A24" s="103" t="s">
        <v>102</v>
      </c>
      <c r="B24" s="104"/>
      <c r="C24" s="104"/>
      <c r="D24" s="105" t="n">
        <f aca="false">C15+D21+D22+D23</f>
        <v>1885.49444583512</v>
      </c>
      <c r="E24" s="96" t="n">
        <v>46174</v>
      </c>
      <c r="F24" s="73" t="n">
        <v>17</v>
      </c>
      <c r="G24" s="74" t="n">
        <f aca="false">IF($C$15&lt;K24+(K24*($C$11/$C$13)),$C$15,K24+(K24*($C$11/$C$13)))</f>
        <v>1463.6654893942</v>
      </c>
      <c r="H24" s="74" t="n">
        <f aca="false">K24*$C$11/$C$13</f>
        <v>1264.59101213163</v>
      </c>
      <c r="I24" s="74" t="n">
        <f aca="false">G24-H24</f>
        <v>199.074477262568</v>
      </c>
      <c r="J24" s="73"/>
      <c r="K24" s="74" t="n">
        <f aca="false">K23-I23-J23</f>
        <v>216787.030651137</v>
      </c>
    </row>
    <row r="25" customFormat="false" ht="12.8" hidden="false" customHeight="false" outlineLevel="0" collapsed="false">
      <c r="E25" s="96" t="n">
        <v>46204</v>
      </c>
      <c r="F25" s="73" t="n">
        <v>18</v>
      </c>
      <c r="G25" s="74" t="n">
        <f aca="false">IF($C$15&lt;K25+(K25*($C$11/$C$13)),$C$15,K25+(K25*($C$11/$C$13)))</f>
        <v>1463.6654893942</v>
      </c>
      <c r="H25" s="74" t="n">
        <f aca="false">K25*$C$11/$C$13</f>
        <v>1263.4297443476</v>
      </c>
      <c r="I25" s="74" t="n">
        <f aca="false">G25-H25</f>
        <v>200.2357450466</v>
      </c>
      <c r="J25" s="73"/>
      <c r="K25" s="74" t="n">
        <f aca="false">K24-I24-J24</f>
        <v>216587.956173875</v>
      </c>
    </row>
    <row r="26" customFormat="false" ht="12.8" hidden="false" customHeight="false" outlineLevel="0" collapsed="false">
      <c r="A26" s="0" t="s">
        <v>103</v>
      </c>
      <c r="D26" s="7" t="n">
        <f aca="false">C7*0.04</f>
        <v>10000</v>
      </c>
      <c r="E26" s="96" t="n">
        <v>46235</v>
      </c>
      <c r="F26" s="73" t="n">
        <v>19</v>
      </c>
      <c r="G26" s="74" t="n">
        <f aca="false">IF($C$15&lt;K26+(K26*($C$11/$C$13)),$C$15,K26+(K26*($C$11/$C$13)))</f>
        <v>1463.6654893942</v>
      </c>
      <c r="H26" s="74" t="n">
        <f aca="false">K26*$C$11/$C$13</f>
        <v>1262.2617025015</v>
      </c>
      <c r="I26" s="74" t="n">
        <f aca="false">G26-H26</f>
        <v>201.403786892705</v>
      </c>
      <c r="J26" s="73"/>
      <c r="K26" s="74" t="n">
        <f aca="false">K25-I25-J25</f>
        <v>216387.720428828</v>
      </c>
    </row>
    <row r="27" customFormat="false" ht="12.8" hidden="false" customHeight="false" outlineLevel="0" collapsed="false">
      <c r="A27" s="0" t="s">
        <v>104</v>
      </c>
      <c r="D27" s="7" t="n">
        <f aca="false">D26+C8</f>
        <v>40000</v>
      </c>
      <c r="E27" s="96" t="n">
        <v>46266</v>
      </c>
      <c r="F27" s="73" t="n">
        <v>20</v>
      </c>
      <c r="G27" s="74" t="n">
        <f aca="false">IF($C$15&lt;K27+(K27*($C$11/$C$13)),$C$15,K27+(K27*($C$11/$C$13)))</f>
        <v>1463.6654893942</v>
      </c>
      <c r="H27" s="74" t="n">
        <f aca="false">K27*$C$11/$C$13</f>
        <v>1261.08684707796</v>
      </c>
      <c r="I27" s="74" t="n">
        <f aca="false">G27-H27</f>
        <v>202.578642316246</v>
      </c>
      <c r="J27" s="73"/>
      <c r="K27" s="74" t="n">
        <f aca="false">K26-I26-J26</f>
        <v>216186.316641935</v>
      </c>
    </row>
    <row r="28" customFormat="false" ht="12.8" hidden="false" customHeight="false" outlineLevel="0" collapsed="false">
      <c r="E28" s="96" t="n">
        <v>46296</v>
      </c>
      <c r="F28" s="73" t="n">
        <v>21</v>
      </c>
      <c r="G28" s="74" t="n">
        <f aca="false">IF($C$15&lt;K28+(K28*($C$11/$C$13)),$C$15,K28+(K28*($C$11/$C$13)))</f>
        <v>1463.6654893942</v>
      </c>
      <c r="H28" s="74" t="n">
        <f aca="false">K28*$C$11/$C$13</f>
        <v>1259.90513833111</v>
      </c>
      <c r="I28" s="74" t="n">
        <f aca="false">G28-H28</f>
        <v>203.76035106309</v>
      </c>
      <c r="J28" s="73"/>
      <c r="K28" s="74" t="n">
        <f aca="false">K27-I27-J27</f>
        <v>215983.737999619</v>
      </c>
    </row>
    <row r="29" customFormat="false" ht="12.8" hidden="false" customHeight="false" outlineLevel="0" collapsed="false">
      <c r="E29" s="96" t="n">
        <v>46327</v>
      </c>
      <c r="F29" s="73" t="n">
        <v>22</v>
      </c>
      <c r="G29" s="74" t="n">
        <f aca="false">IF($C$15&lt;K29+(K29*($C$11/$C$13)),$C$15,K29+(K29*($C$11/$C$13)))</f>
        <v>1463.6654893942</v>
      </c>
      <c r="H29" s="74" t="n">
        <f aca="false">K29*$C$11/$C$13</f>
        <v>1258.71653628324</v>
      </c>
      <c r="I29" s="74" t="n">
        <f aca="false">G29-H29</f>
        <v>204.948953110959</v>
      </c>
      <c r="J29" s="73"/>
      <c r="K29" s="74" t="n">
        <f aca="false">K28-I28-J28</f>
        <v>215779.977648556</v>
      </c>
    </row>
    <row r="30" customFormat="false" ht="12.8" hidden="false" customHeight="false" outlineLevel="0" collapsed="false">
      <c r="D30" s="7"/>
      <c r="E30" s="96" t="n">
        <v>46357</v>
      </c>
      <c r="F30" s="73" t="n">
        <v>23</v>
      </c>
      <c r="G30" s="74" t="n">
        <f aca="false">IF($C$15&lt;K30+(K30*($C$11/$C$13)),$C$15,K30+(K30*($C$11/$C$13)))</f>
        <v>1463.6654893942</v>
      </c>
      <c r="H30" s="74" t="n">
        <f aca="false">K30*$C$11/$C$13</f>
        <v>1257.52100072343</v>
      </c>
      <c r="I30" s="74" t="n">
        <f aca="false">G30-H30</f>
        <v>206.144488670772</v>
      </c>
      <c r="J30" s="73"/>
      <c r="K30" s="74" t="n">
        <f aca="false">K29-I29-J29</f>
        <v>215575.028695445</v>
      </c>
    </row>
    <row r="31" customFormat="false" ht="12.8" hidden="false" customHeight="false" outlineLevel="0" collapsed="false">
      <c r="E31" s="96" t="n">
        <v>46388</v>
      </c>
      <c r="F31" s="73" t="n">
        <v>24</v>
      </c>
      <c r="G31" s="74" t="n">
        <f aca="false">IF($C$15&lt;K31+(K31*($C$11/$C$13)),$C$15,K31+(K31*($C$11/$C$13)))</f>
        <v>1463.6654893942</v>
      </c>
      <c r="H31" s="74" t="n">
        <f aca="false">K31*$C$11/$C$13</f>
        <v>1256.31849120618</v>
      </c>
      <c r="I31" s="74" t="n">
        <f aca="false">G31-H31</f>
        <v>207.346998188019</v>
      </c>
      <c r="J31" s="73"/>
      <c r="K31" s="74" t="n">
        <f aca="false">K30-I30-J30</f>
        <v>215368.884206774</v>
      </c>
    </row>
    <row r="32" customFormat="false" ht="12.8" hidden="false" customHeight="false" outlineLevel="0" collapsed="false">
      <c r="E32" s="96" t="n">
        <v>46419</v>
      </c>
      <c r="F32" s="73" t="n">
        <v>25</v>
      </c>
      <c r="G32" s="74" t="n">
        <f aca="false">IF($C$15&lt;K32+(K32*($C$11/$C$13)),$C$15,K32+(K32*($C$11/$C$13)))</f>
        <v>1463.6654893942</v>
      </c>
      <c r="H32" s="74" t="n">
        <f aca="false">K32*$C$11/$C$13</f>
        <v>1255.10896705009</v>
      </c>
      <c r="I32" s="74" t="n">
        <f aca="false">G32-H32</f>
        <v>208.556522344115</v>
      </c>
      <c r="J32" s="73"/>
      <c r="K32" s="74" t="n">
        <f aca="false">K31-I31-J31</f>
        <v>215161.537208586</v>
      </c>
    </row>
    <row r="33" customFormat="false" ht="12.8" hidden="false" customHeight="false" outlineLevel="0" collapsed="false">
      <c r="E33" s="96" t="n">
        <v>46447</v>
      </c>
      <c r="F33" s="73" t="n">
        <v>26</v>
      </c>
      <c r="G33" s="74" t="n">
        <f aca="false">IF($C$15&lt;K33+(K33*($C$11/$C$13)),$C$15,K33+(K33*($C$11/$C$13)))</f>
        <v>1463.6654893942</v>
      </c>
      <c r="H33" s="74" t="n">
        <f aca="false">K33*$C$11/$C$13</f>
        <v>1253.89238733641</v>
      </c>
      <c r="I33" s="74" t="n">
        <f aca="false">G33-H33</f>
        <v>209.773102057789</v>
      </c>
      <c r="J33" s="73"/>
      <c r="K33" s="74" t="n">
        <f aca="false">K32-I32-J32</f>
        <v>214952.980686242</v>
      </c>
    </row>
    <row r="34" customFormat="false" ht="12.8" hidden="false" customHeight="false" outlineLevel="0" collapsed="false">
      <c r="E34" s="96" t="n">
        <v>46478</v>
      </c>
      <c r="F34" s="73" t="n">
        <v>27</v>
      </c>
      <c r="G34" s="74" t="n">
        <f aca="false">IF($C$15&lt;K34+(K34*($C$11/$C$13)),$C$15,K34+(K34*($C$11/$C$13)))</f>
        <v>1463.6654893942</v>
      </c>
      <c r="H34" s="74" t="n">
        <f aca="false">K34*$C$11/$C$13</f>
        <v>1252.66871090774</v>
      </c>
      <c r="I34" s="74" t="n">
        <f aca="false">G34-H34</f>
        <v>210.99677848646</v>
      </c>
      <c r="J34" s="73"/>
      <c r="K34" s="74" t="n">
        <f aca="false">K33-I33-J33</f>
        <v>214743.207584184</v>
      </c>
    </row>
    <row r="35" customFormat="false" ht="12.8" hidden="false" customHeight="false" outlineLevel="0" collapsed="false">
      <c r="E35" s="96" t="n">
        <v>46508</v>
      </c>
      <c r="F35" s="73" t="n">
        <v>28</v>
      </c>
      <c r="G35" s="74" t="n">
        <f aca="false">IF($C$15&lt;K35+(K35*($C$11/$C$13)),$C$15,K35+(K35*($C$11/$C$13)))</f>
        <v>1463.6654893942</v>
      </c>
      <c r="H35" s="74" t="n">
        <f aca="false">K35*$C$11/$C$13</f>
        <v>1251.43789636657</v>
      </c>
      <c r="I35" s="74" t="n">
        <f aca="false">G35-H35</f>
        <v>212.227593027631</v>
      </c>
      <c r="J35" s="73"/>
      <c r="K35" s="74" t="n">
        <f aca="false">K34-I34-J34</f>
        <v>214532.210805698</v>
      </c>
    </row>
    <row r="36" customFormat="false" ht="12.8" hidden="false" customHeight="false" outlineLevel="0" collapsed="false">
      <c r="E36" s="96" t="n">
        <v>46539</v>
      </c>
      <c r="F36" s="73" t="n">
        <v>29</v>
      </c>
      <c r="G36" s="74" t="n">
        <f aca="false">IF($C$15&lt;K36+(K36*($C$11/$C$13)),$C$15,K36+(K36*($C$11/$C$13)))</f>
        <v>1463.6654893942</v>
      </c>
      <c r="H36" s="74" t="n">
        <f aca="false">K36*$C$11/$C$13</f>
        <v>1250.19990207391</v>
      </c>
      <c r="I36" s="74" t="n">
        <f aca="false">G36-H36</f>
        <v>213.465587320292</v>
      </c>
      <c r="J36" s="73"/>
      <c r="K36" s="74" t="n">
        <f aca="false">K35-I35-J35</f>
        <v>214319.98321267</v>
      </c>
    </row>
    <row r="37" customFormat="false" ht="12.8" hidden="false" customHeight="false" outlineLevel="0" collapsed="false">
      <c r="E37" s="96" t="n">
        <v>46569</v>
      </c>
      <c r="F37" s="73" t="n">
        <v>30</v>
      </c>
      <c r="G37" s="74" t="n">
        <f aca="false">IF($C$15&lt;K37+(K37*($C$11/$C$13)),$C$15,K37+(K37*($C$11/$C$13)))</f>
        <v>1463.6654893942</v>
      </c>
      <c r="H37" s="74" t="n">
        <f aca="false">K37*$C$11/$C$13</f>
        <v>1248.95468614788</v>
      </c>
      <c r="I37" s="74" t="n">
        <f aca="false">G37-H37</f>
        <v>214.710803246327</v>
      </c>
      <c r="J37" s="73"/>
      <c r="K37" s="74" t="n">
        <f aca="false">K36-I36-J36</f>
        <v>214106.51762535</v>
      </c>
    </row>
    <row r="38" customFormat="false" ht="12.8" hidden="false" customHeight="false" outlineLevel="0" collapsed="false">
      <c r="E38" s="96" t="n">
        <v>46600</v>
      </c>
      <c r="F38" s="73" t="n">
        <v>31</v>
      </c>
      <c r="G38" s="74" t="n">
        <f aca="false">IF($C$15&lt;K38+(K38*($C$11/$C$13)),$C$15,K38+(K38*($C$11/$C$13)))</f>
        <v>1463.6654893942</v>
      </c>
      <c r="H38" s="74" t="n">
        <f aca="false">K38*$C$11/$C$13</f>
        <v>1247.70220646227</v>
      </c>
      <c r="I38" s="74" t="n">
        <f aca="false">G38-H38</f>
        <v>215.963282931931</v>
      </c>
      <c r="J38" s="73"/>
      <c r="K38" s="74" t="n">
        <f aca="false">K37-I37-J37</f>
        <v>213891.806822104</v>
      </c>
    </row>
    <row r="39" customFormat="false" ht="12.8" hidden="false" customHeight="false" outlineLevel="0" collapsed="false">
      <c r="E39" s="96" t="n">
        <v>46631</v>
      </c>
      <c r="F39" s="73" t="n">
        <v>32</v>
      </c>
      <c r="G39" s="74" t="n">
        <f aca="false">IF($C$15&lt;K39+(K39*($C$11/$C$13)),$C$15,K39+(K39*($C$11/$C$13)))</f>
        <v>1463.6654893942</v>
      </c>
      <c r="H39" s="74" t="n">
        <f aca="false">K39*$C$11/$C$13</f>
        <v>1246.44242064517</v>
      </c>
      <c r="I39" s="74" t="n">
        <f aca="false">G39-H39</f>
        <v>217.223068749034</v>
      </c>
      <c r="J39" s="73"/>
      <c r="K39" s="74" t="n">
        <f aca="false">K38-I38-J38</f>
        <v>213675.843539172</v>
      </c>
    </row>
    <row r="40" customFormat="false" ht="12.8" hidden="false" customHeight="false" outlineLevel="0" collapsed="false">
      <c r="E40" s="96" t="n">
        <v>46661</v>
      </c>
      <c r="F40" s="73" t="n">
        <v>33</v>
      </c>
      <c r="G40" s="74" t="n">
        <f aca="false">IF($C$15&lt;K40+(K40*($C$11/$C$13)),$C$15,K40+(K40*($C$11/$C$13)))</f>
        <v>1463.6654893942</v>
      </c>
      <c r="H40" s="74" t="n">
        <f aca="false">K40*$C$11/$C$13</f>
        <v>1245.17528607747</v>
      </c>
      <c r="I40" s="74" t="n">
        <f aca="false">G40-H40</f>
        <v>218.490203316737</v>
      </c>
      <c r="J40" s="73"/>
      <c r="K40" s="74" t="n">
        <f aca="false">K39-I39-J39</f>
        <v>213458.620470423</v>
      </c>
    </row>
    <row r="41" customFormat="false" ht="12.8" hidden="false" customHeight="false" outlineLevel="0" collapsed="false">
      <c r="E41" s="96" t="n">
        <v>46692</v>
      </c>
      <c r="F41" s="73" t="n">
        <v>34</v>
      </c>
      <c r="G41" s="74" t="n">
        <f aca="false">IF($C$15&lt;K41+(K41*($C$11/$C$13)),$C$15,K41+(K41*($C$11/$C$13)))</f>
        <v>1463.6654893942</v>
      </c>
      <c r="H41" s="74" t="n">
        <f aca="false">K41*$C$11/$C$13</f>
        <v>1243.90075989145</v>
      </c>
      <c r="I41" s="74" t="n">
        <f aca="false">G41-H41</f>
        <v>219.764729502751</v>
      </c>
      <c r="J41" s="73"/>
      <c r="K41" s="74" t="n">
        <f aca="false">K40-I40-J40</f>
        <v>213240.130267106</v>
      </c>
    </row>
    <row r="42" customFormat="false" ht="12.8" hidden="false" customHeight="false" outlineLevel="0" collapsed="false">
      <c r="E42" s="96" t="n">
        <v>46722</v>
      </c>
      <c r="F42" s="73" t="n">
        <v>35</v>
      </c>
      <c r="G42" s="74" t="n">
        <f aca="false">IF($C$15&lt;K42+(K42*($C$11/$C$13)),$C$15,K42+(K42*($C$11/$C$13)))</f>
        <v>1463.6654893942</v>
      </c>
      <c r="H42" s="74" t="n">
        <f aca="false">K42*$C$11/$C$13</f>
        <v>1242.61879896935</v>
      </c>
      <c r="I42" s="74" t="n">
        <f aca="false">G42-H42</f>
        <v>221.04669042485</v>
      </c>
      <c r="J42" s="73"/>
      <c r="K42" s="74" t="n">
        <f aca="false">K41-I41-J41</f>
        <v>213020.365537603</v>
      </c>
    </row>
    <row r="43" customFormat="false" ht="12.8" hidden="false" customHeight="false" outlineLevel="0" collapsed="false">
      <c r="E43" s="96" t="n">
        <v>46753</v>
      </c>
      <c r="F43" s="73" t="n">
        <v>36</v>
      </c>
      <c r="G43" s="74" t="n">
        <f aca="false">IF($C$15&lt;K43+(K43*($C$11/$C$13)),$C$15,K43+(K43*($C$11/$C$13)))</f>
        <v>1463.6654893942</v>
      </c>
      <c r="H43" s="74" t="n">
        <f aca="false">K43*$C$11/$C$13</f>
        <v>1241.32935994187</v>
      </c>
      <c r="I43" s="74" t="n">
        <f aca="false">G43-H43</f>
        <v>222.336129452329</v>
      </c>
      <c r="J43" s="73"/>
      <c r="K43" s="74" t="n">
        <f aca="false">K42-I42-J42</f>
        <v>212799.318847178</v>
      </c>
    </row>
    <row r="44" customFormat="false" ht="12.8" hidden="false" customHeight="false" outlineLevel="0" collapsed="false">
      <c r="E44" s="96" t="n">
        <v>46784</v>
      </c>
      <c r="F44" s="73" t="n">
        <v>37</v>
      </c>
      <c r="G44" s="74" t="n">
        <f aca="false">IF($C$15&lt;K44+(K44*($C$11/$C$13)),$C$15,K44+(K44*($C$11/$C$13)))</f>
        <v>1463.6654893942</v>
      </c>
      <c r="H44" s="74" t="n">
        <f aca="false">K44*$C$11/$C$13</f>
        <v>1240.03239918674</v>
      </c>
      <c r="I44" s="74" t="n">
        <f aca="false">G44-H44</f>
        <v>223.633090207467</v>
      </c>
      <c r="J44" s="73"/>
      <c r="K44" s="74" t="n">
        <f aca="false">K43-I43-J43</f>
        <v>212576.982717726</v>
      </c>
    </row>
    <row r="45" customFormat="false" ht="12.8" hidden="false" customHeight="false" outlineLevel="0" collapsed="false">
      <c r="E45" s="96" t="n">
        <v>46813</v>
      </c>
      <c r="F45" s="73" t="n">
        <v>38</v>
      </c>
      <c r="G45" s="74" t="n">
        <f aca="false">IF($C$15&lt;K45+(K45*($C$11/$C$13)),$C$15,K45+(K45*($C$11/$C$13)))</f>
        <v>1463.6654893942</v>
      </c>
      <c r="H45" s="74" t="n">
        <f aca="false">K45*$C$11/$C$13</f>
        <v>1238.72787282719</v>
      </c>
      <c r="I45" s="74" t="n">
        <f aca="false">G45-H45</f>
        <v>224.937616567011</v>
      </c>
      <c r="J45" s="73"/>
      <c r="K45" s="74" t="n">
        <f aca="false">K44-I44-J44</f>
        <v>212353.349627519</v>
      </c>
    </row>
    <row r="46" customFormat="false" ht="12.8" hidden="false" customHeight="false" outlineLevel="0" collapsed="false">
      <c r="E46" s="96" t="n">
        <v>46844</v>
      </c>
      <c r="F46" s="73" t="n">
        <v>39</v>
      </c>
      <c r="G46" s="74" t="n">
        <f aca="false">IF($C$15&lt;K46+(K46*($C$11/$C$13)),$C$15,K46+(K46*($C$11/$C$13)))</f>
        <v>1463.6654893942</v>
      </c>
      <c r="H46" s="74" t="n">
        <f aca="false">K46*$C$11/$C$13</f>
        <v>1237.41573673055</v>
      </c>
      <c r="I46" s="74" t="n">
        <f aca="false">G46-H46</f>
        <v>226.249752663652</v>
      </c>
      <c r="J46" s="73"/>
      <c r="K46" s="74" t="n">
        <f aca="false">K45-I45-J45</f>
        <v>212128.412010952</v>
      </c>
    </row>
    <row r="47" customFormat="false" ht="12.8" hidden="false" customHeight="false" outlineLevel="0" collapsed="false">
      <c r="E47" s="96" t="n">
        <v>46874</v>
      </c>
      <c r="F47" s="73" t="n">
        <v>40</v>
      </c>
      <c r="G47" s="74" t="n">
        <f aca="false">IF($C$15&lt;K47+(K47*($C$11/$C$13)),$C$15,K47+(K47*($C$11/$C$13)))</f>
        <v>1463.6654893942</v>
      </c>
      <c r="H47" s="74" t="n">
        <f aca="false">K47*$C$11/$C$13</f>
        <v>1236.09594650668</v>
      </c>
      <c r="I47" s="74" t="n">
        <f aca="false">G47-H47</f>
        <v>227.569542887523</v>
      </c>
      <c r="J47" s="73"/>
      <c r="K47" s="74" t="n">
        <f aca="false">K46-I46-J46</f>
        <v>211902.162258288</v>
      </c>
    </row>
    <row r="48" customFormat="false" ht="12.8" hidden="false" customHeight="false" outlineLevel="0" collapsed="false">
      <c r="E48" s="96" t="n">
        <v>46905</v>
      </c>
      <c r="F48" s="73" t="n">
        <v>41</v>
      </c>
      <c r="G48" s="74" t="n">
        <f aca="false">IF($C$15&lt;K48+(K48*($C$11/$C$13)),$C$15,K48+(K48*($C$11/$C$13)))</f>
        <v>1463.6654893942</v>
      </c>
      <c r="H48" s="74" t="n">
        <f aca="false">K48*$C$11/$C$13</f>
        <v>1234.7684575065</v>
      </c>
      <c r="I48" s="74" t="n">
        <f aca="false">G48-H48</f>
        <v>228.8970318877</v>
      </c>
      <c r="J48" s="73"/>
      <c r="K48" s="74" t="n">
        <f aca="false">K47-I47-J47</f>
        <v>211674.5927154</v>
      </c>
    </row>
    <row r="49" customFormat="false" ht="12.8" hidden="false" customHeight="false" outlineLevel="0" collapsed="false">
      <c r="E49" s="96" t="n">
        <v>46935</v>
      </c>
      <c r="F49" s="73" t="n">
        <v>42</v>
      </c>
      <c r="G49" s="74" t="n">
        <f aca="false">IF($C$15&lt;K49+(K49*($C$11/$C$13)),$C$15,K49+(K49*($C$11/$C$13)))</f>
        <v>1463.6654893942</v>
      </c>
      <c r="H49" s="74" t="n">
        <f aca="false">K49*$C$11/$C$13</f>
        <v>1233.43322482049</v>
      </c>
      <c r="I49" s="74" t="n">
        <f aca="false">G49-H49</f>
        <v>230.232264573712</v>
      </c>
      <c r="J49" s="73"/>
      <c r="K49" s="74" t="n">
        <f aca="false">K48-I48-J48</f>
        <v>211445.695683513</v>
      </c>
    </row>
    <row r="50" customFormat="false" ht="12.8" hidden="false" customHeight="false" outlineLevel="0" collapsed="false">
      <c r="E50" s="96" t="n">
        <v>46966</v>
      </c>
      <c r="F50" s="73" t="n">
        <v>43</v>
      </c>
      <c r="G50" s="74" t="n">
        <f aca="false">IF($C$15&lt;K50+(K50*($C$11/$C$13)),$C$15,K50+(K50*($C$11/$C$13)))</f>
        <v>1463.6654893942</v>
      </c>
      <c r="H50" s="74" t="n">
        <f aca="false">K50*$C$11/$C$13</f>
        <v>1232.09020327714</v>
      </c>
      <c r="I50" s="74" t="n">
        <f aca="false">G50-H50</f>
        <v>231.575286117058</v>
      </c>
      <c r="J50" s="73"/>
      <c r="K50" s="74" t="n">
        <f aca="false">K49-I49-J49</f>
        <v>211215.463418939</v>
      </c>
    </row>
    <row r="51" customFormat="false" ht="12.8" hidden="false" customHeight="false" outlineLevel="0" collapsed="false">
      <c r="E51" s="96" t="n">
        <v>46997</v>
      </c>
      <c r="F51" s="73" t="n">
        <v>44</v>
      </c>
      <c r="G51" s="74" t="n">
        <f aca="false">IF($C$15&lt;K51+(K51*($C$11/$C$13)),$C$15,K51+(K51*($C$11/$C$13)))</f>
        <v>1463.6654893942</v>
      </c>
      <c r="H51" s="74" t="n">
        <f aca="false">K51*$C$11/$C$13</f>
        <v>1230.73934744146</v>
      </c>
      <c r="I51" s="74" t="n">
        <f aca="false">G51-H51</f>
        <v>232.926141952741</v>
      </c>
      <c r="J51" s="73"/>
      <c r="K51" s="74" t="n">
        <f aca="false">K50-I50-J50</f>
        <v>210983.888132822</v>
      </c>
    </row>
    <row r="52" customFormat="false" ht="12.8" hidden="false" customHeight="false" outlineLevel="0" collapsed="false">
      <c r="E52" s="96" t="n">
        <v>47027</v>
      </c>
      <c r="F52" s="73" t="n">
        <v>45</v>
      </c>
      <c r="G52" s="74" t="n">
        <f aca="false">IF($C$15&lt;K52+(K52*($C$11/$C$13)),$C$15,K52+(K52*($C$11/$C$13)))</f>
        <v>1463.6654893942</v>
      </c>
      <c r="H52" s="74" t="n">
        <f aca="false">K52*$C$11/$C$13</f>
        <v>1229.3806116134</v>
      </c>
      <c r="I52" s="74" t="n">
        <f aca="false">G52-H52</f>
        <v>234.284877780799</v>
      </c>
      <c r="J52" s="73"/>
      <c r="K52" s="74" t="n">
        <f aca="false">K51-I51-J51</f>
        <v>210750.961990869</v>
      </c>
    </row>
    <row r="53" customFormat="false" ht="12.8" hidden="false" customHeight="false" outlineLevel="0" collapsed="false">
      <c r="E53" s="96" t="n">
        <v>47058</v>
      </c>
      <c r="F53" s="73" t="n">
        <v>46</v>
      </c>
      <c r="G53" s="74" t="n">
        <f aca="false">IF($C$15&lt;K53+(K53*($C$11/$C$13)),$C$15,K53+(K53*($C$11/$C$13)))</f>
        <v>1463.6654893942</v>
      </c>
      <c r="H53" s="74" t="n">
        <f aca="false">K53*$C$11/$C$13</f>
        <v>1228.01394982635</v>
      </c>
      <c r="I53" s="74" t="n">
        <f aca="false">G53-H53</f>
        <v>235.651539567854</v>
      </c>
      <c r="J53" s="73"/>
      <c r="K53" s="74" t="n">
        <f aca="false">K52-I52-J52</f>
        <v>210516.677113088</v>
      </c>
    </row>
    <row r="54" customFormat="false" ht="12.8" hidden="false" customHeight="false" outlineLevel="0" collapsed="false">
      <c r="E54" s="96" t="n">
        <v>47088</v>
      </c>
      <c r="F54" s="73" t="n">
        <v>47</v>
      </c>
      <c r="G54" s="74" t="n">
        <f aca="false">IF($C$15&lt;K54+(K54*($C$11/$C$13)),$C$15,K54+(K54*($C$11/$C$13)))</f>
        <v>1463.6654893942</v>
      </c>
      <c r="H54" s="74" t="n">
        <f aca="false">K54*$C$11/$C$13</f>
        <v>1226.63931584554</v>
      </c>
      <c r="I54" s="74" t="n">
        <f aca="false">G54-H54</f>
        <v>237.026173548666</v>
      </c>
      <c r="J54" s="73"/>
      <c r="K54" s="74" t="n">
        <f aca="false">K53-I53-J53</f>
        <v>210281.025573521</v>
      </c>
    </row>
    <row r="55" customFormat="false" ht="12.8" hidden="false" customHeight="false" outlineLevel="0" collapsed="false">
      <c r="E55" s="96" t="n">
        <v>47119</v>
      </c>
      <c r="F55" s="73" t="n">
        <v>48</v>
      </c>
      <c r="G55" s="74" t="n">
        <f aca="false">IF($C$15&lt;K55+(K55*($C$11/$C$13)),$C$15,K55+(K55*($C$11/$C$13)))</f>
        <v>1463.6654893942</v>
      </c>
      <c r="H55" s="74" t="n">
        <f aca="false">K55*$C$11/$C$13</f>
        <v>1225.2566631665</v>
      </c>
      <c r="I55" s="74" t="n">
        <f aca="false">G55-H55</f>
        <v>238.4088262277</v>
      </c>
      <c r="J55" s="73"/>
      <c r="K55" s="74" t="n">
        <f aca="false">K54-I54-J54</f>
        <v>210043.999399972</v>
      </c>
    </row>
    <row r="56" customFormat="false" ht="12.8" hidden="false" customHeight="false" outlineLevel="0" collapsed="false">
      <c r="E56" s="96" t="n">
        <v>47150</v>
      </c>
      <c r="F56" s="73" t="n">
        <v>49</v>
      </c>
      <c r="G56" s="74" t="n">
        <f aca="false">IF($C$15&lt;K56+(K56*($C$11/$C$13)),$C$15,K56+(K56*($C$11/$C$13)))</f>
        <v>1463.6654893942</v>
      </c>
      <c r="H56" s="74" t="n">
        <f aca="false">K56*$C$11/$C$13</f>
        <v>1223.86594501351</v>
      </c>
      <c r="I56" s="74" t="n">
        <f aca="false">G56-H56</f>
        <v>239.799544380695</v>
      </c>
      <c r="J56" s="73"/>
      <c r="K56" s="74" t="n">
        <f aca="false">K55-I55-J55</f>
        <v>209805.590573744</v>
      </c>
    </row>
    <row r="57" customFormat="false" ht="12.8" hidden="false" customHeight="false" outlineLevel="0" collapsed="false">
      <c r="E57" s="96" t="n">
        <v>47178</v>
      </c>
      <c r="F57" s="73" t="n">
        <v>50</v>
      </c>
      <c r="G57" s="74" t="n">
        <f aca="false">IF($C$15&lt;K57+(K57*($C$11/$C$13)),$C$15,K57+(K57*($C$11/$C$13)))</f>
        <v>1463.6654893942</v>
      </c>
      <c r="H57" s="74" t="n">
        <f aca="false">K57*$C$11/$C$13</f>
        <v>1222.46711433795</v>
      </c>
      <c r="I57" s="74" t="n">
        <f aca="false">G57-H57</f>
        <v>241.198375056249</v>
      </c>
      <c r="J57" s="73"/>
      <c r="K57" s="74" t="n">
        <f aca="false">K56-I56-J56</f>
        <v>209565.791029363</v>
      </c>
    </row>
    <row r="58" customFormat="false" ht="12.8" hidden="false" customHeight="false" outlineLevel="0" collapsed="false">
      <c r="E58" s="96" t="n">
        <v>47209</v>
      </c>
      <c r="F58" s="73" t="n">
        <v>51</v>
      </c>
      <c r="G58" s="74" t="n">
        <f aca="false">IF($C$15&lt;K58+(K58*($C$11/$C$13)),$C$15,K58+(K58*($C$11/$C$13)))</f>
        <v>1463.6654893942</v>
      </c>
      <c r="H58" s="74" t="n">
        <f aca="false">K58*$C$11/$C$13</f>
        <v>1221.06012381679</v>
      </c>
      <c r="I58" s="74" t="n">
        <f aca="false">G58-H58</f>
        <v>242.60536557741</v>
      </c>
      <c r="J58" s="73"/>
      <c r="K58" s="74" t="n">
        <f aca="false">K57-I57-J57</f>
        <v>209324.592654307</v>
      </c>
    </row>
    <row r="59" customFormat="false" ht="12.8" hidden="false" customHeight="false" outlineLevel="0" collapsed="false">
      <c r="E59" s="96" t="n">
        <v>47239</v>
      </c>
      <c r="F59" s="73" t="n">
        <v>52</v>
      </c>
      <c r="G59" s="74" t="n">
        <f aca="false">IF($C$15&lt;K59+(K59*($C$11/$C$13)),$C$15,K59+(K59*($C$11/$C$13)))</f>
        <v>1463.6654893942</v>
      </c>
      <c r="H59" s="74" t="n">
        <f aca="false">K59*$C$11/$C$13</f>
        <v>1219.64492585092</v>
      </c>
      <c r="I59" s="74" t="n">
        <f aca="false">G59-H59</f>
        <v>244.020563543279</v>
      </c>
      <c r="J59" s="73"/>
      <c r="K59" s="74" t="n">
        <f aca="false">K58-I58-J58</f>
        <v>209081.98728873</v>
      </c>
    </row>
    <row r="60" customFormat="false" ht="12.8" hidden="false" customHeight="false" outlineLevel="0" collapsed="false">
      <c r="E60" s="96" t="n">
        <v>47270</v>
      </c>
      <c r="F60" s="73" t="n">
        <v>53</v>
      </c>
      <c r="G60" s="74" t="n">
        <f aca="false">IF($C$15&lt;K60+(K60*($C$11/$C$13)),$C$15,K60+(K60*($C$11/$C$13)))</f>
        <v>1463.6654893942</v>
      </c>
      <c r="H60" s="74" t="n">
        <f aca="false">K60*$C$11/$C$13</f>
        <v>1218.22147256359</v>
      </c>
      <c r="I60" s="74" t="n">
        <f aca="false">G60-H60</f>
        <v>245.444016830614</v>
      </c>
      <c r="J60" s="73"/>
      <c r="K60" s="74" t="n">
        <f aca="false">K59-I59-J59</f>
        <v>208837.966725187</v>
      </c>
    </row>
    <row r="61" customFormat="false" ht="12.8" hidden="false" customHeight="false" outlineLevel="0" collapsed="false">
      <c r="E61" s="96" t="n">
        <v>47300</v>
      </c>
      <c r="F61" s="73" t="n">
        <v>54</v>
      </c>
      <c r="G61" s="74" t="n">
        <f aca="false">IF($C$15&lt;K61+(K61*($C$11/$C$13)),$C$15,K61+(K61*($C$11/$C$13)))</f>
        <v>1463.6654893942</v>
      </c>
      <c r="H61" s="74" t="n">
        <f aca="false">K61*$C$11/$C$13</f>
        <v>1216.78971579874</v>
      </c>
      <c r="I61" s="74" t="n">
        <f aca="false">G61-H61</f>
        <v>246.87577359546</v>
      </c>
      <c r="J61" s="73"/>
      <c r="K61" s="74" t="n">
        <f aca="false">K60-I60-J60</f>
        <v>208592.522708356</v>
      </c>
    </row>
    <row r="62" customFormat="false" ht="12.8" hidden="false" customHeight="false" outlineLevel="0" collapsed="false">
      <c r="E62" s="96" t="n">
        <v>47331</v>
      </c>
      <c r="F62" s="73" t="n">
        <v>55</v>
      </c>
      <c r="G62" s="74" t="n">
        <f aca="false">IF($C$15&lt;K62+(K62*($C$11/$C$13)),$C$15,K62+(K62*($C$11/$C$13)))</f>
        <v>1463.6654893942</v>
      </c>
      <c r="H62" s="74" t="n">
        <f aca="false">K62*$C$11/$C$13</f>
        <v>1215.34960711944</v>
      </c>
      <c r="I62" s="74" t="n">
        <f aca="false">G62-H62</f>
        <v>248.315882274767</v>
      </c>
      <c r="J62" s="73"/>
      <c r="K62" s="74" t="n">
        <f aca="false">K61-I61-J61</f>
        <v>208345.64693476</v>
      </c>
    </row>
    <row r="63" customFormat="false" ht="12.8" hidden="false" customHeight="false" outlineLevel="0" collapsed="false">
      <c r="E63" s="96" t="n">
        <v>47362</v>
      </c>
      <c r="F63" s="73" t="n">
        <v>56</v>
      </c>
      <c r="G63" s="74" t="n">
        <f aca="false">IF($C$15&lt;K63+(K63*($C$11/$C$13)),$C$15,K63+(K63*($C$11/$C$13)))</f>
        <v>1463.6654893942</v>
      </c>
      <c r="H63" s="74" t="n">
        <f aca="false">K63*$C$11/$C$13</f>
        <v>1213.90109780617</v>
      </c>
      <c r="I63" s="74" t="n">
        <f aca="false">G63-H63</f>
        <v>249.764391588036</v>
      </c>
      <c r="J63" s="73"/>
      <c r="K63" s="74" t="n">
        <f aca="false">K62-I62-J62</f>
        <v>208097.331052486</v>
      </c>
    </row>
    <row r="64" customFormat="false" ht="12.8" hidden="false" customHeight="false" outlineLevel="0" collapsed="false">
      <c r="E64" s="96" t="n">
        <v>47392</v>
      </c>
      <c r="F64" s="73" t="n">
        <v>57</v>
      </c>
      <c r="G64" s="74" t="n">
        <f aca="false">IF($C$15&lt;K64+(K64*($C$11/$C$13)),$C$15,K64+(K64*($C$11/$C$13)))</f>
        <v>1463.6654893942</v>
      </c>
      <c r="H64" s="74" t="n">
        <f aca="false">K64*$C$11/$C$13</f>
        <v>1212.44413885524</v>
      </c>
      <c r="I64" s="74" t="n">
        <f aca="false">G64-H64</f>
        <v>251.221350538966</v>
      </c>
      <c r="J64" s="73"/>
      <c r="K64" s="74" t="n">
        <f aca="false">K63-I63-J63</f>
        <v>207847.566660898</v>
      </c>
    </row>
    <row r="65" customFormat="false" ht="12.8" hidden="false" customHeight="false" outlineLevel="0" collapsed="false">
      <c r="E65" s="96" t="n">
        <v>47423</v>
      </c>
      <c r="F65" s="73" t="n">
        <v>58</v>
      </c>
      <c r="G65" s="74" t="n">
        <f aca="false">IF($C$15&lt;K65+(K65*($C$11/$C$13)),$C$15,K65+(K65*($C$11/$C$13)))</f>
        <v>1463.6654893942</v>
      </c>
      <c r="H65" s="74" t="n">
        <f aca="false">K65*$C$11/$C$13</f>
        <v>1210.97868097709</v>
      </c>
      <c r="I65" s="74" t="n">
        <f aca="false">G65-H65</f>
        <v>252.68680841711</v>
      </c>
      <c r="J65" s="73"/>
      <c r="K65" s="74" t="n">
        <f aca="false">K64-I64-J64</f>
        <v>207596.345310359</v>
      </c>
    </row>
    <row r="66" customFormat="false" ht="12.8" hidden="false" customHeight="false" outlineLevel="0" collapsed="false">
      <c r="E66" s="96" t="n">
        <v>47453</v>
      </c>
      <c r="F66" s="73" t="n">
        <v>59</v>
      </c>
      <c r="G66" s="74" t="n">
        <f aca="false">IF($C$15&lt;K66+(K66*($C$11/$C$13)),$C$15,K66+(K66*($C$11/$C$13)))</f>
        <v>1463.6654893942</v>
      </c>
      <c r="H66" s="74" t="n">
        <f aca="false">K66*$C$11/$C$13</f>
        <v>1209.50467459466</v>
      </c>
      <c r="I66" s="74" t="n">
        <f aca="false">G66-H66</f>
        <v>254.160814799543</v>
      </c>
      <c r="J66" s="73"/>
      <c r="K66" s="74" t="n">
        <f aca="false">K65-I65-J65</f>
        <v>207343.658501942</v>
      </c>
    </row>
    <row r="67" customFormat="false" ht="12.8" hidden="false" customHeight="false" outlineLevel="0" collapsed="false">
      <c r="E67" s="96" t="n">
        <v>47484</v>
      </c>
      <c r="F67" s="73" t="n">
        <v>60</v>
      </c>
      <c r="G67" s="74" t="n">
        <f aca="false">IF($C$15&lt;K67+(K67*($C$11/$C$13)),$C$15,K67+(K67*($C$11/$C$13)))</f>
        <v>1463.6654893942</v>
      </c>
      <c r="H67" s="74" t="n">
        <f aca="false">K67*$C$11/$C$13</f>
        <v>1208.02206984166</v>
      </c>
      <c r="I67" s="74" t="n">
        <f aca="false">G67-H67</f>
        <v>255.643419552541</v>
      </c>
      <c r="J67" s="73"/>
      <c r="K67" s="74" t="n">
        <f aca="false">K66-I66-J66</f>
        <v>207089.497687142</v>
      </c>
    </row>
    <row r="68" customFormat="false" ht="12.8" hidden="false" customHeight="false" outlineLevel="0" collapsed="false">
      <c r="E68" s="96" t="n">
        <v>47515</v>
      </c>
      <c r="F68" s="73" t="n">
        <v>61</v>
      </c>
      <c r="G68" s="74" t="n">
        <f aca="false">IF($C$15&lt;K68+(K68*($C$11/$C$13)),$C$15,K68+(K68*($C$11/$C$13)))</f>
        <v>1463.6654893942</v>
      </c>
      <c r="H68" s="74" t="n">
        <f aca="false">K68*$C$11/$C$13</f>
        <v>1206.53081656094</v>
      </c>
      <c r="I68" s="74" t="n">
        <f aca="false">G68-H68</f>
        <v>257.134672833264</v>
      </c>
      <c r="J68" s="73"/>
      <c r="K68" s="74" t="n">
        <f aca="false">K67-I67-J67</f>
        <v>206833.85426759</v>
      </c>
    </row>
    <row r="69" customFormat="false" ht="12.8" hidden="false" customHeight="false" outlineLevel="0" collapsed="false">
      <c r="E69" s="96" t="n">
        <v>47543</v>
      </c>
      <c r="F69" s="73" t="n">
        <v>62</v>
      </c>
      <c r="G69" s="74" t="n">
        <f aca="false">IF($C$15&lt;K69+(K69*($C$11/$C$13)),$C$15,K69+(K69*($C$11/$C$13)))</f>
        <v>1463.6654893942</v>
      </c>
      <c r="H69" s="74" t="n">
        <f aca="false">K69*$C$11/$C$13</f>
        <v>1205.03086430275</v>
      </c>
      <c r="I69" s="74" t="n">
        <f aca="false">G69-H69</f>
        <v>258.634625091458</v>
      </c>
      <c r="J69" s="73"/>
      <c r="K69" s="74" t="n">
        <f aca="false">K68-I68-J68</f>
        <v>206576.719594756</v>
      </c>
    </row>
    <row r="70" customFormat="false" ht="12.8" hidden="false" customHeight="false" outlineLevel="0" collapsed="false">
      <c r="E70" s="96" t="n">
        <v>47574</v>
      </c>
      <c r="F70" s="73" t="n">
        <v>63</v>
      </c>
      <c r="G70" s="74" t="n">
        <f aca="false">IF($C$15&lt;K70+(K70*($C$11/$C$13)),$C$15,K70+(K70*($C$11/$C$13)))</f>
        <v>1463.6654893942</v>
      </c>
      <c r="H70" s="74" t="n">
        <f aca="false">K70*$C$11/$C$13</f>
        <v>1203.52216232304</v>
      </c>
      <c r="I70" s="74" t="n">
        <f aca="false">G70-H70</f>
        <v>260.143327071158</v>
      </c>
      <c r="J70" s="73"/>
      <c r="K70" s="74" t="n">
        <f aca="false">K69-I69-J69</f>
        <v>206318.084969665</v>
      </c>
    </row>
    <row r="71" customFormat="false" ht="12.8" hidden="false" customHeight="false" outlineLevel="0" collapsed="false">
      <c r="E71" s="96" t="n">
        <v>47604</v>
      </c>
      <c r="F71" s="73" t="n">
        <v>64</v>
      </c>
      <c r="G71" s="74" t="n">
        <f aca="false">IF($C$15&lt;K71+(K71*($C$11/$C$13)),$C$15,K71+(K71*($C$11/$C$13)))</f>
        <v>1463.6654893942</v>
      </c>
      <c r="H71" s="74" t="n">
        <f aca="false">K71*$C$11/$C$13</f>
        <v>1202.0046595818</v>
      </c>
      <c r="I71" s="74" t="n">
        <f aca="false">G71-H71</f>
        <v>261.660829812406</v>
      </c>
      <c r="J71" s="73"/>
      <c r="K71" s="74" t="n">
        <f aca="false">K70-I70-J70</f>
        <v>206057.941642594</v>
      </c>
    </row>
    <row r="72" customFormat="false" ht="12.8" hidden="false" customHeight="false" outlineLevel="0" collapsed="false">
      <c r="E72" s="96" t="n">
        <v>47635</v>
      </c>
      <c r="F72" s="73" t="n">
        <v>65</v>
      </c>
      <c r="G72" s="74" t="n">
        <f aca="false">IF($C$15&lt;K72+(K72*($C$11/$C$13)),$C$15,K72+(K72*($C$11/$C$13)))</f>
        <v>1463.6654893942</v>
      </c>
      <c r="H72" s="74" t="n">
        <f aca="false">K72*$C$11/$C$13</f>
        <v>1200.47830474122</v>
      </c>
      <c r="I72" s="74" t="n">
        <f aca="false">G72-H72</f>
        <v>263.187184652979</v>
      </c>
      <c r="J72" s="73"/>
      <c r="K72" s="74" t="n">
        <f aca="false">K71-I71-J71</f>
        <v>205796.280812781</v>
      </c>
    </row>
    <row r="73" customFormat="false" ht="12.8" hidden="false" customHeight="false" outlineLevel="0" collapsed="false">
      <c r="E73" s="96" t="n">
        <v>47665</v>
      </c>
      <c r="F73" s="73" t="n">
        <v>66</v>
      </c>
      <c r="G73" s="74" t="n">
        <f aca="false">IF($C$15&lt;K73+(K73*($C$11/$C$13)),$C$15,K73+(K73*($C$11/$C$13)))</f>
        <v>1463.6654893942</v>
      </c>
      <c r="H73" s="74" t="n">
        <f aca="false">K73*$C$11/$C$13</f>
        <v>1198.94304616408</v>
      </c>
      <c r="I73" s="74" t="n">
        <f aca="false">G73-H73</f>
        <v>264.722443230121</v>
      </c>
      <c r="J73" s="73"/>
      <c r="K73" s="74" t="n">
        <f aca="false">K72-I72-J72</f>
        <v>205533.093628128</v>
      </c>
    </row>
    <row r="74" customFormat="false" ht="12.8" hidden="false" customHeight="false" outlineLevel="0" collapsed="false">
      <c r="E74" s="96" t="n">
        <v>47696</v>
      </c>
      <c r="F74" s="73" t="n">
        <v>67</v>
      </c>
      <c r="G74" s="74" t="n">
        <f aca="false">IF($C$15&lt;K74+(K74*($C$11/$C$13)),$C$15,K74+(K74*($C$11/$C$13)))</f>
        <v>1463.6654893942</v>
      </c>
      <c r="H74" s="74" t="n">
        <f aca="false">K74*$C$11/$C$13</f>
        <v>1197.39883191191</v>
      </c>
      <c r="I74" s="74" t="n">
        <f aca="false">G74-H74</f>
        <v>266.266657482297</v>
      </c>
      <c r="J74" s="73"/>
      <c r="K74" s="74" t="n">
        <f aca="false">K73-I73-J73</f>
        <v>205268.371184898</v>
      </c>
    </row>
    <row r="75" customFormat="false" ht="12.8" hidden="false" customHeight="false" outlineLevel="0" collapsed="false">
      <c r="E75" s="96" t="n">
        <v>47727</v>
      </c>
      <c r="F75" s="73" t="n">
        <v>68</v>
      </c>
      <c r="G75" s="74" t="n">
        <f aca="false">IF($C$15&lt;K75+(K75*($C$11/$C$13)),$C$15,K75+(K75*($C$11/$C$13)))</f>
        <v>1463.6654893942</v>
      </c>
      <c r="H75" s="74" t="n">
        <f aca="false">K75*$C$11/$C$13</f>
        <v>1195.84560974326</v>
      </c>
      <c r="I75" s="74" t="n">
        <f aca="false">G75-H75</f>
        <v>267.819879650944</v>
      </c>
      <c r="J75" s="73"/>
      <c r="K75" s="74" t="n">
        <f aca="false">K74-I74-J74</f>
        <v>205002.104527416</v>
      </c>
    </row>
    <row r="76" customFormat="false" ht="12.8" hidden="false" customHeight="false" outlineLevel="0" collapsed="false">
      <c r="E76" s="96" t="n">
        <v>47757</v>
      </c>
      <c r="F76" s="73" t="n">
        <v>69</v>
      </c>
      <c r="G76" s="74" t="n">
        <f aca="false">IF($C$15&lt;K76+(K76*($C$11/$C$13)),$C$15,K76+(K76*($C$11/$C$13)))</f>
        <v>1463.6654893942</v>
      </c>
      <c r="H76" s="74" t="n">
        <f aca="false">K76*$C$11/$C$13</f>
        <v>1194.28332711196</v>
      </c>
      <c r="I76" s="74" t="n">
        <f aca="false">G76-H76</f>
        <v>269.382162282241</v>
      </c>
      <c r="J76" s="73"/>
      <c r="K76" s="74" t="n">
        <f aca="false">K75-I75-J75</f>
        <v>204734.284647765</v>
      </c>
    </row>
    <row r="77" customFormat="false" ht="12.8" hidden="false" customHeight="false" outlineLevel="0" collapsed="false">
      <c r="E77" s="96" t="n">
        <v>47788</v>
      </c>
      <c r="F77" s="73" t="n">
        <v>70</v>
      </c>
      <c r="G77" s="74" t="n">
        <f aca="false">IF($C$15&lt;K77+(K77*($C$11/$C$13)),$C$15,K77+(K77*($C$11/$C$13)))</f>
        <v>1463.6654893942</v>
      </c>
      <c r="H77" s="74" t="n">
        <f aca="false">K77*$C$11/$C$13</f>
        <v>1192.71193116532</v>
      </c>
      <c r="I77" s="74" t="n">
        <f aca="false">G77-H77</f>
        <v>270.953558228887</v>
      </c>
      <c r="J77" s="73"/>
      <c r="K77" s="74" t="n">
        <f aca="false">K76-I76-J76</f>
        <v>204464.902485483</v>
      </c>
    </row>
    <row r="78" customFormat="false" ht="12.8" hidden="false" customHeight="false" outlineLevel="0" collapsed="false">
      <c r="E78" s="96" t="n">
        <v>47818</v>
      </c>
      <c r="F78" s="73" t="n">
        <v>71</v>
      </c>
      <c r="G78" s="74" t="n">
        <f aca="false">IF($C$15&lt;K78+(K78*($C$11/$C$13)),$C$15,K78+(K78*($C$11/$C$13)))</f>
        <v>1463.6654893942</v>
      </c>
      <c r="H78" s="74" t="n">
        <f aca="false">K78*$C$11/$C$13</f>
        <v>1191.13136874231</v>
      </c>
      <c r="I78" s="74" t="n">
        <f aca="false">G78-H78</f>
        <v>272.534120651889</v>
      </c>
      <c r="J78" s="73"/>
      <c r="K78" s="74" t="n">
        <f aca="false">K77-I77-J77</f>
        <v>204193.948927254</v>
      </c>
    </row>
    <row r="79" customFormat="false" ht="12.8" hidden="false" customHeight="false" outlineLevel="0" collapsed="false">
      <c r="E79" s="96" t="n">
        <v>47849</v>
      </c>
      <c r="F79" s="73" t="n">
        <v>72</v>
      </c>
      <c r="G79" s="74" t="n">
        <f aca="false">IF($C$15&lt;K79+(K79*($C$11/$C$13)),$C$15,K79+(K79*($C$11/$C$13)))</f>
        <v>1463.6654893942</v>
      </c>
      <c r="H79" s="74" t="n">
        <f aca="false">K79*$C$11/$C$13</f>
        <v>1189.54158637184</v>
      </c>
      <c r="I79" s="74" t="n">
        <f aca="false">G79-H79</f>
        <v>274.123903022358</v>
      </c>
      <c r="J79" s="73"/>
      <c r="K79" s="74" t="n">
        <f aca="false">K78-I78-J78</f>
        <v>203921.414806602</v>
      </c>
    </row>
    <row r="80" customFormat="false" ht="12.8" hidden="false" customHeight="false" outlineLevel="0" collapsed="false">
      <c r="E80" s="96" t="n">
        <v>47880</v>
      </c>
      <c r="F80" s="73" t="n">
        <v>73</v>
      </c>
      <c r="G80" s="74" t="n">
        <f aca="false">IF($C$15&lt;K80+(K80*($C$11/$C$13)),$C$15,K80+(K80*($C$11/$C$13)))</f>
        <v>1463.6654893942</v>
      </c>
      <c r="H80" s="74" t="n">
        <f aca="false">K80*$C$11/$C$13</f>
        <v>1187.94253027088</v>
      </c>
      <c r="I80" s="74" t="n">
        <f aca="false">G80-H80</f>
        <v>275.722959123322</v>
      </c>
      <c r="J80" s="73"/>
      <c r="K80" s="74" t="n">
        <f aca="false">K79-I79-J79</f>
        <v>203647.290903579</v>
      </c>
    </row>
    <row r="81" customFormat="false" ht="12.8" hidden="false" customHeight="false" outlineLevel="0" collapsed="false">
      <c r="E81" s="96" t="n">
        <v>47908</v>
      </c>
      <c r="F81" s="73" t="n">
        <v>74</v>
      </c>
      <c r="G81" s="74" t="n">
        <f aca="false">IF($C$15&lt;K81+(K81*($C$11/$C$13)),$C$15,K81+(K81*($C$11/$C$13)))</f>
        <v>1463.6654893942</v>
      </c>
      <c r="H81" s="74" t="n">
        <f aca="false">K81*$C$11/$C$13</f>
        <v>1186.33414634266</v>
      </c>
      <c r="I81" s="74" t="n">
        <f aca="false">G81-H81</f>
        <v>277.331343051542</v>
      </c>
      <c r="J81" s="73"/>
      <c r="K81" s="74" t="n">
        <f aca="false">K80-I80-J80</f>
        <v>203371.567944456</v>
      </c>
    </row>
    <row r="82" customFormat="false" ht="12.8" hidden="false" customHeight="false" outlineLevel="0" collapsed="false">
      <c r="E82" s="96" t="n">
        <v>47939</v>
      </c>
      <c r="F82" s="73" t="n">
        <v>75</v>
      </c>
      <c r="G82" s="74" t="n">
        <f aca="false">IF($C$15&lt;K82+(K82*($C$11/$C$13)),$C$15,K82+(K82*($C$11/$C$13)))</f>
        <v>1463.6654893942</v>
      </c>
      <c r="H82" s="74" t="n">
        <f aca="false">K82*$C$11/$C$13</f>
        <v>1184.71638017486</v>
      </c>
      <c r="I82" s="74" t="n">
        <f aca="false">G82-H82</f>
        <v>278.949109219342</v>
      </c>
      <c r="J82" s="73"/>
      <c r="K82" s="74" t="n">
        <f aca="false">K81-I81-J81</f>
        <v>203094.236601405</v>
      </c>
    </row>
    <row r="83" customFormat="false" ht="12.8" hidden="false" customHeight="false" outlineLevel="0" collapsed="false">
      <c r="E83" s="96" t="n">
        <v>47969</v>
      </c>
      <c r="F83" s="73" t="n">
        <v>76</v>
      </c>
      <c r="G83" s="74" t="n">
        <f aca="false">IF($C$15&lt;K83+(K83*($C$11/$C$13)),$C$15,K83+(K83*($C$11/$C$13)))</f>
        <v>1463.6654893942</v>
      </c>
      <c r="H83" s="74" t="n">
        <f aca="false">K83*$C$11/$C$13</f>
        <v>1183.08917703775</v>
      </c>
      <c r="I83" s="74" t="n">
        <f aca="false">G83-H83</f>
        <v>280.576312356455</v>
      </c>
      <c r="J83" s="73"/>
      <c r="K83" s="74" t="n">
        <f aca="false">K82-I82-J82</f>
        <v>202815.287492185</v>
      </c>
    </row>
    <row r="84" customFormat="false" ht="12.8" hidden="false" customHeight="false" outlineLevel="0" collapsed="false">
      <c r="E84" s="96" t="n">
        <v>48000</v>
      </c>
      <c r="F84" s="73" t="n">
        <v>77</v>
      </c>
      <c r="G84" s="74" t="n">
        <f aca="false">IF($C$15&lt;K84+(K84*($C$11/$C$13)),$C$15,K84+(K84*($C$11/$C$13)))</f>
        <v>1463.6654893942</v>
      </c>
      <c r="H84" s="74" t="n">
        <f aca="false">K84*$C$11/$C$13</f>
        <v>1181.45248188233</v>
      </c>
      <c r="I84" s="74" t="n">
        <f aca="false">G84-H84</f>
        <v>282.213007511868</v>
      </c>
      <c r="J84" s="73"/>
      <c r="K84" s="74" t="n">
        <f aca="false">K83-I83-J83</f>
        <v>202534.711179829</v>
      </c>
    </row>
    <row r="85" customFormat="false" ht="12.8" hidden="false" customHeight="false" outlineLevel="0" collapsed="false">
      <c r="E85" s="96" t="n">
        <v>48030</v>
      </c>
      <c r="F85" s="73" t="n">
        <v>78</v>
      </c>
      <c r="G85" s="74" t="n">
        <f aca="false">IF($C$15&lt;K85+(K85*($C$11/$C$13)),$C$15,K85+(K85*($C$11/$C$13)))</f>
        <v>1463.6654893942</v>
      </c>
      <c r="H85" s="74" t="n">
        <f aca="false">K85*$C$11/$C$13</f>
        <v>1179.80623933852</v>
      </c>
      <c r="I85" s="74" t="n">
        <f aca="false">G85-H85</f>
        <v>283.859250055687</v>
      </c>
      <c r="J85" s="73"/>
      <c r="K85" s="74" t="n">
        <f aca="false">K84-I84-J84</f>
        <v>202252.498172317</v>
      </c>
    </row>
    <row r="86" customFormat="false" ht="12.8" hidden="false" customHeight="false" outlineLevel="0" collapsed="false">
      <c r="E86" s="96" t="n">
        <v>48061</v>
      </c>
      <c r="F86" s="73" t="n">
        <v>79</v>
      </c>
      <c r="G86" s="74" t="n">
        <f aca="false">IF($C$15&lt;K86+(K86*($C$11/$C$13)),$C$15,K86+(K86*($C$11/$C$13)))</f>
        <v>1463.6654893942</v>
      </c>
      <c r="H86" s="74" t="n">
        <f aca="false">K86*$C$11/$C$13</f>
        <v>1178.15039371319</v>
      </c>
      <c r="I86" s="74" t="n">
        <f aca="false">G86-H86</f>
        <v>285.515095681012</v>
      </c>
      <c r="J86" s="73"/>
      <c r="K86" s="74" t="n">
        <f aca="false">K85-I85-J85</f>
        <v>201968.638922261</v>
      </c>
    </row>
    <row r="87" customFormat="false" ht="12.8" hidden="false" customHeight="false" outlineLevel="0" collapsed="false">
      <c r="E87" s="96" t="n">
        <v>48092</v>
      </c>
      <c r="F87" s="73" t="n">
        <v>80</v>
      </c>
      <c r="G87" s="74" t="n">
        <f aca="false">IF($C$15&lt;K87+(K87*($C$11/$C$13)),$C$15,K87+(K87*($C$11/$C$13)))</f>
        <v>1463.6654893942</v>
      </c>
      <c r="H87" s="74" t="n">
        <f aca="false">K87*$C$11/$C$13</f>
        <v>1176.48488898839</v>
      </c>
      <c r="I87" s="74" t="n">
        <f aca="false">G87-H87</f>
        <v>287.180600405818</v>
      </c>
      <c r="J87" s="73"/>
      <c r="K87" s="74" t="n">
        <f aca="false">K86-I86-J86</f>
        <v>201683.12382658</v>
      </c>
    </row>
    <row r="88" customFormat="false" ht="12.8" hidden="false" customHeight="false" outlineLevel="0" collapsed="false">
      <c r="E88" s="96" t="n">
        <v>48122</v>
      </c>
      <c r="F88" s="73" t="n">
        <v>81</v>
      </c>
      <c r="G88" s="74" t="n">
        <f aca="false">IF($C$15&lt;K88+(K88*($C$11/$C$13)),$C$15,K88+(K88*($C$11/$C$13)))</f>
        <v>1463.6654893942</v>
      </c>
      <c r="H88" s="74" t="n">
        <f aca="false">K88*$C$11/$C$13</f>
        <v>1174.80966881935</v>
      </c>
      <c r="I88" s="74" t="n">
        <f aca="false">G88-H88</f>
        <v>288.855820574852</v>
      </c>
      <c r="J88" s="73"/>
      <c r="K88" s="74" t="n">
        <f aca="false">K87-I87-J87</f>
        <v>201395.943226174</v>
      </c>
    </row>
    <row r="89" customFormat="false" ht="12.8" hidden="false" customHeight="false" outlineLevel="0" collapsed="false">
      <c r="E89" s="96" t="n">
        <v>48153</v>
      </c>
      <c r="F89" s="73" t="n">
        <v>82</v>
      </c>
      <c r="G89" s="74" t="n">
        <f aca="false">IF($C$15&lt;K89+(K89*($C$11/$C$13)),$C$15,K89+(K89*($C$11/$C$13)))</f>
        <v>1463.6654893942</v>
      </c>
      <c r="H89" s="74" t="n">
        <f aca="false">K89*$C$11/$C$13</f>
        <v>1173.12467653266</v>
      </c>
      <c r="I89" s="74" t="n">
        <f aca="false">G89-H89</f>
        <v>290.540812861538</v>
      </c>
      <c r="J89" s="73"/>
      <c r="K89" s="74" t="n">
        <f aca="false">K88-I88-J88</f>
        <v>201107.0874056</v>
      </c>
    </row>
    <row r="90" customFormat="false" ht="12.8" hidden="false" customHeight="false" outlineLevel="0" collapsed="false">
      <c r="E90" s="96" t="n">
        <v>48183</v>
      </c>
      <c r="F90" s="73" t="n">
        <v>83</v>
      </c>
      <c r="G90" s="74" t="n">
        <f aca="false">IF($C$15&lt;K90+(K90*($C$11/$C$13)),$C$15,K90+(K90*($C$11/$C$13)))</f>
        <v>1463.6654893942</v>
      </c>
      <c r="H90" s="74" t="n">
        <f aca="false">K90*$C$11/$C$13</f>
        <v>1171.42985512431</v>
      </c>
      <c r="I90" s="74" t="n">
        <f aca="false">G90-H90</f>
        <v>292.235634269897</v>
      </c>
      <c r="J90" s="73"/>
      <c r="K90" s="74" t="n">
        <f aca="false">K89-I89-J89</f>
        <v>200816.546592738</v>
      </c>
    </row>
    <row r="91" customFormat="false" ht="12.8" hidden="false" customHeight="false" outlineLevel="0" collapsed="false">
      <c r="E91" s="96" t="n">
        <v>48214</v>
      </c>
      <c r="F91" s="73" t="n">
        <v>84</v>
      </c>
      <c r="G91" s="74" t="n">
        <f aca="false">IF($C$15&lt;K91+(K91*($C$11/$C$13)),$C$15,K91+(K91*($C$11/$C$13)))</f>
        <v>1463.6654893942</v>
      </c>
      <c r="H91" s="74" t="n">
        <f aca="false">K91*$C$11/$C$13</f>
        <v>1169.72514725773</v>
      </c>
      <c r="I91" s="74" t="n">
        <f aca="false">G91-H91</f>
        <v>293.940342136472</v>
      </c>
      <c r="J91" s="73"/>
      <c r="K91" s="74" t="n">
        <f aca="false">K90-I90-J90</f>
        <v>200524.310958468</v>
      </c>
    </row>
    <row r="92" customFormat="false" ht="12.8" hidden="false" customHeight="false" outlineLevel="0" collapsed="false">
      <c r="E92" s="96" t="n">
        <v>48245</v>
      </c>
      <c r="F92" s="73" t="n">
        <v>85</v>
      </c>
      <c r="G92" s="74" t="n">
        <f aca="false">IF($C$15&lt;K92+(K92*($C$11/$C$13)),$C$15,K92+(K92*($C$11/$C$13)))</f>
        <v>1463.6654893942</v>
      </c>
      <c r="H92" s="74" t="n">
        <f aca="false">K92*$C$11/$C$13</f>
        <v>1168.01049526194</v>
      </c>
      <c r="I92" s="74" t="n">
        <f aca="false">G92-H92</f>
        <v>295.654994132268</v>
      </c>
      <c r="J92" s="73"/>
      <c r="K92" s="74" t="n">
        <f aca="false">K91-I91-J91</f>
        <v>200230.370616332</v>
      </c>
    </row>
    <row r="93" customFormat="false" ht="12.8" hidden="false" customHeight="false" outlineLevel="0" collapsed="false">
      <c r="E93" s="96" t="n">
        <v>48274</v>
      </c>
      <c r="F93" s="73" t="n">
        <v>86</v>
      </c>
      <c r="G93" s="74" t="n">
        <f aca="false">IF($C$15&lt;K93+(K93*($C$11/$C$13)),$C$15,K93+(K93*($C$11/$C$13)))</f>
        <v>1463.6654893942</v>
      </c>
      <c r="H93" s="74" t="n">
        <f aca="false">K93*$C$11/$C$13</f>
        <v>1166.2858411295</v>
      </c>
      <c r="I93" s="74" t="n">
        <f aca="false">G93-H93</f>
        <v>297.379648264706</v>
      </c>
      <c r="J93" s="73"/>
      <c r="K93" s="74" t="n">
        <f aca="false">K92-I92-J92</f>
        <v>199934.715622199</v>
      </c>
    </row>
    <row r="94" customFormat="false" ht="12.8" hidden="false" customHeight="false" outlineLevel="0" collapsed="false">
      <c r="E94" s="96" t="n">
        <v>48305</v>
      </c>
      <c r="F94" s="73" t="n">
        <v>87</v>
      </c>
      <c r="G94" s="74" t="n">
        <f aca="false">IF($C$15&lt;K94+(K94*($C$11/$C$13)),$C$15,K94+(K94*($C$11/$C$13)))</f>
        <v>1463.6654893942</v>
      </c>
      <c r="H94" s="74" t="n">
        <f aca="false">K94*$C$11/$C$13</f>
        <v>1164.55112651462</v>
      </c>
      <c r="I94" s="74" t="n">
        <f aca="false">G94-H94</f>
        <v>299.114362879583</v>
      </c>
      <c r="J94" s="73"/>
      <c r="K94" s="74" t="n">
        <f aca="false">K93-I93-J93</f>
        <v>199637.335973935</v>
      </c>
    </row>
    <row r="95" customFormat="false" ht="12.8" hidden="false" customHeight="false" outlineLevel="0" collapsed="false">
      <c r="E95" s="96" t="n">
        <v>48335</v>
      </c>
      <c r="F95" s="73" t="n">
        <v>88</v>
      </c>
      <c r="G95" s="74" t="n">
        <f aca="false">IF($C$15&lt;K95+(K95*($C$11/$C$13)),$C$15,K95+(K95*($C$11/$C$13)))</f>
        <v>1463.6654893942</v>
      </c>
      <c r="H95" s="74" t="n">
        <f aca="false">K95*$C$11/$C$13</f>
        <v>1162.80629273116</v>
      </c>
      <c r="I95" s="74" t="n">
        <f aca="false">G95-H95</f>
        <v>300.859196663047</v>
      </c>
      <c r="J95" s="73"/>
      <c r="K95" s="74" t="n">
        <f aca="false">K94-I94-J94</f>
        <v>199338.221611055</v>
      </c>
    </row>
    <row r="96" customFormat="false" ht="12.8" hidden="false" customHeight="false" outlineLevel="0" collapsed="false">
      <c r="E96" s="96" t="n">
        <v>48366</v>
      </c>
      <c r="F96" s="73" t="n">
        <v>89</v>
      </c>
      <c r="G96" s="74" t="n">
        <f aca="false">IF($C$15&lt;K96+(K96*($C$11/$C$13)),$C$15,K96+(K96*($C$11/$C$13)))</f>
        <v>1463.6654893942</v>
      </c>
      <c r="H96" s="74" t="n">
        <f aca="false">K96*$C$11/$C$13</f>
        <v>1161.05128075062</v>
      </c>
      <c r="I96" s="74" t="n">
        <f aca="false">G96-H96</f>
        <v>302.614208643582</v>
      </c>
      <c r="J96" s="73"/>
      <c r="K96" s="74" t="n">
        <f aca="false">K95-I95-J95</f>
        <v>199037.362414392</v>
      </c>
    </row>
    <row r="97" customFormat="false" ht="12.8" hidden="false" customHeight="false" outlineLevel="0" collapsed="false">
      <c r="E97" s="96" t="n">
        <v>48396</v>
      </c>
      <c r="F97" s="73" t="n">
        <v>90</v>
      </c>
      <c r="G97" s="74" t="n">
        <f aca="false">IF($C$15&lt;K97+(K97*($C$11/$C$13)),$C$15,K97+(K97*($C$11/$C$13)))</f>
        <v>1463.6654893942</v>
      </c>
      <c r="H97" s="74" t="n">
        <f aca="false">K97*$C$11/$C$13</f>
        <v>1159.2860312002</v>
      </c>
      <c r="I97" s="74" t="n">
        <f aca="false">G97-H97</f>
        <v>304.379458194003</v>
      </c>
      <c r="J97" s="73"/>
      <c r="K97" s="74" t="n">
        <f aca="false">K96-I96-J96</f>
        <v>198734.748205749</v>
      </c>
    </row>
    <row r="98" customFormat="false" ht="12.8" hidden="false" customHeight="false" outlineLevel="0" collapsed="false">
      <c r="E98" s="96" t="n">
        <v>48427</v>
      </c>
      <c r="F98" s="73" t="n">
        <v>91</v>
      </c>
      <c r="G98" s="74" t="n">
        <f aca="false">IF($C$15&lt;K98+(K98*($C$11/$C$13)),$C$15,K98+(K98*($C$11/$C$13)))</f>
        <v>1463.6654893942</v>
      </c>
      <c r="H98" s="74" t="n">
        <f aca="false">K98*$C$11/$C$13</f>
        <v>1157.51048436073</v>
      </c>
      <c r="I98" s="74" t="n">
        <f aca="false">G98-H98</f>
        <v>306.155005033468</v>
      </c>
      <c r="J98" s="73"/>
      <c r="K98" s="74" t="n">
        <f aca="false">K97-I97-J97</f>
        <v>198430.368747555</v>
      </c>
    </row>
    <row r="99" customFormat="false" ht="12.8" hidden="false" customHeight="false" outlineLevel="0" collapsed="false">
      <c r="E99" s="96" t="n">
        <v>48458</v>
      </c>
      <c r="F99" s="73" t="n">
        <v>92</v>
      </c>
      <c r="G99" s="74" t="n">
        <f aca="false">IF($C$15&lt;K99+(K99*($C$11/$C$13)),$C$15,K99+(K99*($C$11/$C$13)))</f>
        <v>1463.6654893942</v>
      </c>
      <c r="H99" s="74" t="n">
        <f aca="false">K99*$C$11/$C$13</f>
        <v>1155.72458016471</v>
      </c>
      <c r="I99" s="74" t="n">
        <f aca="false">G99-H99</f>
        <v>307.940909229497</v>
      </c>
      <c r="J99" s="73"/>
      <c r="K99" s="74" t="n">
        <f aca="false">K98-I98-J98</f>
        <v>198124.213742521</v>
      </c>
    </row>
    <row r="100" customFormat="false" ht="12.8" hidden="false" customHeight="false" outlineLevel="0" collapsed="false">
      <c r="E100" s="96" t="n">
        <v>48488</v>
      </c>
      <c r="F100" s="73" t="n">
        <v>93</v>
      </c>
      <c r="G100" s="74" t="n">
        <f aca="false">IF($C$15&lt;K100+(K100*($C$11/$C$13)),$C$15,K100+(K100*($C$11/$C$13)))</f>
        <v>1463.6654893942</v>
      </c>
      <c r="H100" s="74" t="n">
        <f aca="false">K100*$C$11/$C$13</f>
        <v>1153.9282581942</v>
      </c>
      <c r="I100" s="74" t="n">
        <f aca="false">G100-H100</f>
        <v>309.737231200002</v>
      </c>
      <c r="J100" s="73"/>
      <c r="K100" s="74" t="n">
        <f aca="false">K99-I99-J99</f>
        <v>197816.272833292</v>
      </c>
    </row>
    <row r="101" customFormat="false" ht="12.8" hidden="false" customHeight="false" outlineLevel="0" collapsed="false">
      <c r="E101" s="96" t="n">
        <v>48519</v>
      </c>
      <c r="F101" s="73" t="n">
        <v>94</v>
      </c>
      <c r="G101" s="74" t="n">
        <f aca="false">IF($C$15&lt;K101+(K101*($C$11/$C$13)),$C$15,K101+(K101*($C$11/$C$13)))</f>
        <v>1463.6654893942</v>
      </c>
      <c r="H101" s="74" t="n">
        <f aca="false">K101*$C$11/$C$13</f>
        <v>1152.12145767887</v>
      </c>
      <c r="I101" s="74" t="n">
        <f aca="false">G101-H101</f>
        <v>311.544031715335</v>
      </c>
      <c r="J101" s="73"/>
      <c r="K101" s="74" t="n">
        <f aca="false">K100-I100-J100</f>
        <v>197506.535602092</v>
      </c>
    </row>
    <row r="102" customFormat="false" ht="12.8" hidden="false" customHeight="false" outlineLevel="0" collapsed="false">
      <c r="E102" s="96" t="n">
        <v>48549</v>
      </c>
      <c r="F102" s="73" t="n">
        <v>95</v>
      </c>
      <c r="G102" s="74" t="n">
        <f aca="false">IF($C$15&lt;K102+(K102*($C$11/$C$13)),$C$15,K102+(K102*($C$11/$C$13)))</f>
        <v>1463.6654893942</v>
      </c>
      <c r="H102" s="74" t="n">
        <f aca="false">K102*$C$11/$C$13</f>
        <v>1150.30411749386</v>
      </c>
      <c r="I102" s="74" t="n">
        <f aca="false">G102-H102</f>
        <v>313.361371900341</v>
      </c>
      <c r="J102" s="73"/>
      <c r="K102" s="74" t="n">
        <f aca="false">K101-I101-J101</f>
        <v>197194.991570376</v>
      </c>
    </row>
    <row r="103" customFormat="false" ht="12.8" hidden="false" customHeight="false" outlineLevel="0" collapsed="false">
      <c r="E103" s="96" t="n">
        <v>48580</v>
      </c>
      <c r="F103" s="73" t="n">
        <v>96</v>
      </c>
      <c r="G103" s="74" t="n">
        <f aca="false">IF($C$15&lt;K103+(K103*($C$11/$C$13)),$C$15,K103+(K103*($C$11/$C$13)))</f>
        <v>1463.6654893942</v>
      </c>
      <c r="H103" s="74" t="n">
        <f aca="false">K103*$C$11/$C$13</f>
        <v>1148.47617615778</v>
      </c>
      <c r="I103" s="74" t="n">
        <f aca="false">G103-H103</f>
        <v>315.189313236427</v>
      </c>
      <c r="J103" s="73"/>
      <c r="K103" s="74" t="n">
        <f aca="false">K102-I102-J102</f>
        <v>196881.630198476</v>
      </c>
    </row>
    <row r="104" customFormat="false" ht="12.8" hidden="false" customHeight="false" outlineLevel="0" collapsed="false">
      <c r="E104" s="96" t="n">
        <v>48611</v>
      </c>
      <c r="F104" s="73" t="n">
        <v>97</v>
      </c>
      <c r="G104" s="74" t="n">
        <f aca="false">IF($C$15&lt;K104+(K104*($C$11/$C$13)),$C$15,K104+(K104*($C$11/$C$13)))</f>
        <v>1463.6654893942</v>
      </c>
      <c r="H104" s="74" t="n">
        <f aca="false">K104*$C$11/$C$13</f>
        <v>1146.63757183056</v>
      </c>
      <c r="I104" s="74" t="n">
        <f aca="false">G104-H104</f>
        <v>317.027917563639</v>
      </c>
      <c r="J104" s="73"/>
      <c r="K104" s="74" t="n">
        <f aca="false">K103-I103-J103</f>
        <v>196566.440885239</v>
      </c>
    </row>
    <row r="105" customFormat="false" ht="12.8" hidden="false" customHeight="false" outlineLevel="0" collapsed="false">
      <c r="E105" s="96" t="n">
        <v>48639</v>
      </c>
      <c r="F105" s="73" t="n">
        <v>98</v>
      </c>
      <c r="G105" s="74" t="n">
        <f aca="false">IF($C$15&lt;K105+(K105*($C$11/$C$13)),$C$15,K105+(K105*($C$11/$C$13)))</f>
        <v>1463.6654893942</v>
      </c>
      <c r="H105" s="74" t="n">
        <f aca="false">K105*$C$11/$C$13</f>
        <v>1144.78824231144</v>
      </c>
      <c r="I105" s="74" t="n">
        <f aca="false">G105-H105</f>
        <v>318.87724708276</v>
      </c>
      <c r="J105" s="73"/>
      <c r="K105" s="74" t="n">
        <f aca="false">K104-I104-J104</f>
        <v>196249.412967676</v>
      </c>
    </row>
    <row r="106" customFormat="false" ht="12.8" hidden="false" customHeight="false" outlineLevel="0" collapsed="false">
      <c r="E106" s="96" t="n">
        <v>48670</v>
      </c>
      <c r="F106" s="73" t="n">
        <v>99</v>
      </c>
      <c r="G106" s="74" t="n">
        <f aca="false">IF($C$15&lt;K106+(K106*($C$11/$C$13)),$C$15,K106+(K106*($C$11/$C$13)))</f>
        <v>1463.6654893942</v>
      </c>
      <c r="H106" s="74" t="n">
        <f aca="false">K106*$C$11/$C$13</f>
        <v>1142.92812503679</v>
      </c>
      <c r="I106" s="74" t="n">
        <f aca="false">G106-H106</f>
        <v>320.73736435741</v>
      </c>
      <c r="J106" s="73"/>
      <c r="K106" s="74" t="n">
        <f aca="false">K105-I105-J105</f>
        <v>195930.535720593</v>
      </c>
    </row>
    <row r="107" customFormat="false" ht="12.8" hidden="false" customHeight="false" outlineLevel="0" collapsed="false">
      <c r="E107" s="96" t="n">
        <v>48700</v>
      </c>
      <c r="F107" s="73" t="n">
        <v>100</v>
      </c>
      <c r="G107" s="74" t="n">
        <f aca="false">IF($C$15&lt;K107+(K107*($C$11/$C$13)),$C$15,K107+(K107*($C$11/$C$13)))</f>
        <v>1463.6654893942</v>
      </c>
      <c r="H107" s="74" t="n">
        <f aca="false">K107*$C$11/$C$13</f>
        <v>1141.05715707804</v>
      </c>
      <c r="I107" s="74" t="n">
        <f aca="false">G107-H107</f>
        <v>322.608332316162</v>
      </c>
      <c r="J107" s="73"/>
      <c r="K107" s="74" t="n">
        <f aca="false">K106-I106-J106</f>
        <v>195609.798356236</v>
      </c>
    </row>
    <row r="108" customFormat="false" ht="12.8" hidden="false" customHeight="false" outlineLevel="0" collapsed="false">
      <c r="E108" s="96" t="n">
        <v>48731</v>
      </c>
      <c r="F108" s="73" t="n">
        <v>101</v>
      </c>
      <c r="G108" s="74" t="n">
        <f aca="false">IF($C$15&lt;K108+(K108*($C$11/$C$13)),$C$15,K108+(K108*($C$11/$C$13)))</f>
        <v>1463.6654893942</v>
      </c>
      <c r="H108" s="74" t="n">
        <f aca="false">K108*$C$11/$C$13</f>
        <v>1139.17527513953</v>
      </c>
      <c r="I108" s="74" t="n">
        <f aca="false">G108-H108</f>
        <v>324.490214254673</v>
      </c>
      <c r="J108" s="73"/>
      <c r="K108" s="74" t="n">
        <f aca="false">K107-I107-J107</f>
        <v>195287.190023919</v>
      </c>
    </row>
    <row r="109" customFormat="false" ht="12.8" hidden="false" customHeight="false" outlineLevel="0" collapsed="false">
      <c r="E109" s="96" t="n">
        <v>48761</v>
      </c>
      <c r="F109" s="73" t="n">
        <v>102</v>
      </c>
      <c r="G109" s="74" t="n">
        <f aca="false">IF($C$15&lt;K109+(K109*($C$11/$C$13)),$C$15,K109+(K109*($C$11/$C$13)))</f>
        <v>1463.6654893942</v>
      </c>
      <c r="H109" s="74" t="n">
        <f aca="false">K109*$C$11/$C$13</f>
        <v>1137.28241555638</v>
      </c>
      <c r="I109" s="74" t="n">
        <f aca="false">G109-H109</f>
        <v>326.383073837825</v>
      </c>
      <c r="J109" s="73"/>
      <c r="K109" s="74" t="n">
        <f aca="false">K108-I108-J108</f>
        <v>194962.699809665</v>
      </c>
    </row>
    <row r="110" customFormat="false" ht="12.8" hidden="false" customHeight="false" outlineLevel="0" collapsed="false">
      <c r="E110" s="96" t="n">
        <v>48792</v>
      </c>
      <c r="F110" s="73" t="n">
        <v>103</v>
      </c>
      <c r="G110" s="74" t="n">
        <f aca="false">IF($C$15&lt;K110+(K110*($C$11/$C$13)),$C$15,K110+(K110*($C$11/$C$13)))</f>
        <v>1463.6654893942</v>
      </c>
      <c r="H110" s="74" t="n">
        <f aca="false">K110*$C$11/$C$13</f>
        <v>1135.37851429232</v>
      </c>
      <c r="I110" s="74" t="n">
        <f aca="false">G110-H110</f>
        <v>328.286975101879</v>
      </c>
      <c r="J110" s="73"/>
      <c r="K110" s="74" t="n">
        <f aca="false">K109-I109-J109</f>
        <v>194636.316735827</v>
      </c>
    </row>
    <row r="111" customFormat="false" ht="12.8" hidden="false" customHeight="false" outlineLevel="0" collapsed="false">
      <c r="E111" s="96" t="n">
        <v>48823</v>
      </c>
      <c r="F111" s="73" t="n">
        <v>104</v>
      </c>
      <c r="G111" s="74" t="n">
        <f aca="false">IF($C$15&lt;K111+(K111*($C$11/$C$13)),$C$15,K111+(K111*($C$11/$C$13)))</f>
        <v>1463.6654893942</v>
      </c>
      <c r="H111" s="74" t="n">
        <f aca="false">K111*$C$11/$C$13</f>
        <v>1133.46350693756</v>
      </c>
      <c r="I111" s="74" t="n">
        <f aca="false">G111-H111</f>
        <v>330.20198245664</v>
      </c>
      <c r="J111" s="73"/>
      <c r="K111" s="74" t="n">
        <f aca="false">K110-I110-J110</f>
        <v>194308.029760725</v>
      </c>
    </row>
    <row r="112" customFormat="false" ht="12.8" hidden="false" customHeight="false" outlineLevel="0" collapsed="false">
      <c r="E112" s="96" t="n">
        <v>48853</v>
      </c>
      <c r="F112" s="73" t="n">
        <v>105</v>
      </c>
      <c r="G112" s="74" t="n">
        <f aca="false">IF($C$15&lt;K112+(K112*($C$11/$C$13)),$C$15,K112+(K112*($C$11/$C$13)))</f>
        <v>1463.6654893942</v>
      </c>
      <c r="H112" s="74" t="n">
        <f aca="false">K112*$C$11/$C$13</f>
        <v>1131.53732870657</v>
      </c>
      <c r="I112" s="74" t="n">
        <f aca="false">G112-H112</f>
        <v>332.128160687637</v>
      </c>
      <c r="J112" s="73"/>
      <c r="K112" s="74" t="n">
        <f aca="false">K111-I111-J111</f>
        <v>193977.827778268</v>
      </c>
    </row>
    <row r="113" customFormat="false" ht="12.8" hidden="false" customHeight="false" outlineLevel="0" collapsed="false">
      <c r="E113" s="96" t="n">
        <v>48884</v>
      </c>
      <c r="F113" s="73" t="n">
        <v>106</v>
      </c>
      <c r="G113" s="74" t="n">
        <f aca="false">IF($C$15&lt;K113+(K113*($C$11/$C$13)),$C$15,K113+(K113*($C$11/$C$13)))</f>
        <v>1463.6654893942</v>
      </c>
      <c r="H113" s="74" t="n">
        <f aca="false">K113*$C$11/$C$13</f>
        <v>1129.59991443589</v>
      </c>
      <c r="I113" s="74" t="n">
        <f aca="false">G113-H113</f>
        <v>334.065574958315</v>
      </c>
      <c r="J113" s="73"/>
      <c r="K113" s="74" t="n">
        <f aca="false">K112-I112-J112</f>
        <v>193645.699617581</v>
      </c>
    </row>
    <row r="114" customFormat="false" ht="12.8" hidden="false" customHeight="false" outlineLevel="0" collapsed="false">
      <c r="E114" s="96" t="n">
        <v>48914</v>
      </c>
      <c r="F114" s="73" t="n">
        <v>107</v>
      </c>
      <c r="G114" s="74" t="n">
        <f aca="false">IF($C$15&lt;K114+(K114*($C$11/$C$13)),$C$15,K114+(K114*($C$11/$C$13)))</f>
        <v>1463.6654893942</v>
      </c>
      <c r="H114" s="74" t="n">
        <f aca="false">K114*$C$11/$C$13</f>
        <v>1127.65119858196</v>
      </c>
      <c r="I114" s="74" t="n">
        <f aca="false">G114-H114</f>
        <v>336.014290812238</v>
      </c>
      <c r="J114" s="73"/>
      <c r="K114" s="74" t="n">
        <f aca="false">K113-I113-J113</f>
        <v>193311.634042622</v>
      </c>
    </row>
    <row r="115" customFormat="false" ht="12.8" hidden="false" customHeight="false" outlineLevel="0" collapsed="false">
      <c r="E115" s="96" t="n">
        <v>48945</v>
      </c>
      <c r="F115" s="73" t="n">
        <v>108</v>
      </c>
      <c r="G115" s="74" t="n">
        <f aca="false">IF($C$15&lt;K115+(K115*($C$11/$C$13)),$C$15,K115+(K115*($C$11/$C$13)))</f>
        <v>1463.6654893942</v>
      </c>
      <c r="H115" s="74" t="n">
        <f aca="false">K115*$C$11/$C$13</f>
        <v>1125.69111521889</v>
      </c>
      <c r="I115" s="74" t="n">
        <f aca="false">G115-H115</f>
        <v>337.97437417531</v>
      </c>
      <c r="J115" s="73"/>
      <c r="K115" s="74" t="n">
        <f aca="false">K114-I114-J114</f>
        <v>192975.61975181</v>
      </c>
    </row>
    <row r="116" customFormat="false" ht="12.8" hidden="false" customHeight="false" outlineLevel="0" collapsed="false">
      <c r="E116" s="96" t="n">
        <v>48976</v>
      </c>
      <c r="F116" s="73" t="n">
        <v>109</v>
      </c>
      <c r="G116" s="74" t="n">
        <f aca="false">IF($C$15&lt;K116+(K116*($C$11/$C$13)),$C$15,K116+(K116*($C$11/$C$13)))</f>
        <v>1463.6654893942</v>
      </c>
      <c r="H116" s="74" t="n">
        <f aca="false">K116*$C$11/$C$13</f>
        <v>1123.7195980362</v>
      </c>
      <c r="I116" s="74" t="n">
        <f aca="false">G116-H116</f>
        <v>339.945891357999</v>
      </c>
      <c r="J116" s="73"/>
      <c r="K116" s="74" t="n">
        <f aca="false">K115-I115-J115</f>
        <v>192637.645377635</v>
      </c>
    </row>
    <row r="117" customFormat="false" ht="12.8" hidden="false" customHeight="false" outlineLevel="0" collapsed="false">
      <c r="E117" s="96" t="n">
        <v>49004</v>
      </c>
      <c r="F117" s="73" t="n">
        <v>110</v>
      </c>
      <c r="G117" s="74" t="n">
        <f aca="false">IF($C$15&lt;K117+(K117*($C$11/$C$13)),$C$15,K117+(K117*($C$11/$C$13)))</f>
        <v>1463.6654893942</v>
      </c>
      <c r="H117" s="74" t="n">
        <f aca="false">K117*$C$11/$C$13</f>
        <v>1121.73658033662</v>
      </c>
      <c r="I117" s="74" t="n">
        <f aca="false">G117-H117</f>
        <v>341.928909057587</v>
      </c>
      <c r="J117" s="73"/>
      <c r="K117" s="74" t="n">
        <f aca="false">K116-I116-J116</f>
        <v>192297.699486277</v>
      </c>
    </row>
    <row r="118" customFormat="false" ht="12.8" hidden="false" customHeight="false" outlineLevel="0" collapsed="false">
      <c r="E118" s="96" t="n">
        <v>49035</v>
      </c>
      <c r="F118" s="73" t="n">
        <v>111</v>
      </c>
      <c r="G118" s="74" t="n">
        <f aca="false">IF($C$15&lt;K118+(K118*($C$11/$C$13)),$C$15,K118+(K118*($C$11/$C$13)))</f>
        <v>1463.6654893942</v>
      </c>
      <c r="H118" s="74" t="n">
        <f aca="false">K118*$C$11/$C$13</f>
        <v>1119.74199503378</v>
      </c>
      <c r="I118" s="74" t="n">
        <f aca="false">G118-H118</f>
        <v>343.923494360423</v>
      </c>
      <c r="J118" s="73"/>
      <c r="K118" s="74" t="n">
        <f aca="false">K117-I117-J117</f>
        <v>191955.770577219</v>
      </c>
    </row>
    <row r="119" customFormat="false" ht="12.8" hidden="false" customHeight="false" outlineLevel="0" collapsed="false">
      <c r="E119" s="96" t="n">
        <v>49065</v>
      </c>
      <c r="F119" s="73" t="n">
        <v>112</v>
      </c>
      <c r="G119" s="74" t="n">
        <f aca="false">IF($C$15&lt;K119+(K119*($C$11/$C$13)),$C$15,K119+(K119*($C$11/$C$13)))</f>
        <v>1463.6654893942</v>
      </c>
      <c r="H119" s="74" t="n">
        <f aca="false">K119*$C$11/$C$13</f>
        <v>1117.73577465001</v>
      </c>
      <c r="I119" s="74" t="n">
        <f aca="false">G119-H119</f>
        <v>345.929714744192</v>
      </c>
      <c r="J119" s="73"/>
      <c r="K119" s="74" t="n">
        <f aca="false">K118-I118-J118</f>
        <v>191611.847082859</v>
      </c>
    </row>
    <row r="120" customFormat="false" ht="12.8" hidden="false" customHeight="false" outlineLevel="0" collapsed="false">
      <c r="E120" s="96" t="n">
        <v>49096</v>
      </c>
      <c r="F120" s="73" t="n">
        <v>113</v>
      </c>
      <c r="G120" s="74" t="n">
        <f aca="false">IF($C$15&lt;K120+(K120*($C$11/$C$13)),$C$15,K120+(K120*($C$11/$C$13)))</f>
        <v>1463.6654893942</v>
      </c>
      <c r="H120" s="74" t="n">
        <f aca="false">K120*$C$11/$C$13</f>
        <v>1115.717851314</v>
      </c>
      <c r="I120" s="74" t="n">
        <f aca="false">G120-H120</f>
        <v>347.9476380802</v>
      </c>
      <c r="J120" s="73"/>
      <c r="K120" s="74" t="n">
        <f aca="false">K119-I119-J119</f>
        <v>191265.917368115</v>
      </c>
    </row>
    <row r="121" customFormat="false" ht="12.8" hidden="false" customHeight="false" outlineLevel="0" collapsed="false">
      <c r="E121" s="96" t="n">
        <v>49126</v>
      </c>
      <c r="F121" s="73" t="n">
        <v>114</v>
      </c>
      <c r="G121" s="74" t="n">
        <f aca="false">IF($C$15&lt;K121+(K121*($C$11/$C$13)),$C$15,K121+(K121*($C$11/$C$13)))</f>
        <v>1463.6654893942</v>
      </c>
      <c r="H121" s="74" t="n">
        <f aca="false">K121*$C$11/$C$13</f>
        <v>1113.68815675854</v>
      </c>
      <c r="I121" s="74" t="n">
        <f aca="false">G121-H121</f>
        <v>349.977332635667</v>
      </c>
      <c r="J121" s="73"/>
      <c r="K121" s="74" t="n">
        <f aca="false">K120-I120-J120</f>
        <v>190917.969730035</v>
      </c>
    </row>
    <row r="122" customFormat="false" ht="12.8" hidden="false" customHeight="false" outlineLevel="0" collapsed="false">
      <c r="E122" s="96" t="n">
        <v>49157</v>
      </c>
      <c r="F122" s="73" t="n">
        <v>115</v>
      </c>
      <c r="G122" s="74" t="n">
        <f aca="false">IF($C$15&lt;K122+(K122*($C$11/$C$13)),$C$15,K122+(K122*($C$11/$C$13)))</f>
        <v>1463.6654893942</v>
      </c>
      <c r="H122" s="74" t="n">
        <f aca="false">K122*$C$11/$C$13</f>
        <v>1111.64662231816</v>
      </c>
      <c r="I122" s="74" t="n">
        <f aca="false">G122-H122</f>
        <v>352.018867076042</v>
      </c>
      <c r="J122" s="73"/>
      <c r="K122" s="74" t="n">
        <f aca="false">K121-I121-J121</f>
        <v>190567.992397399</v>
      </c>
    </row>
    <row r="123" customFormat="false" ht="12.8" hidden="false" customHeight="false" outlineLevel="0" collapsed="false">
      <c r="E123" s="96" t="n">
        <v>49188</v>
      </c>
      <c r="F123" s="73" t="n">
        <v>116</v>
      </c>
      <c r="G123" s="74" t="n">
        <f aca="false">IF($C$15&lt;K123+(K123*($C$11/$C$13)),$C$15,K123+(K123*($C$11/$C$13)))</f>
        <v>1463.6654893942</v>
      </c>
      <c r="H123" s="74" t="n">
        <f aca="false">K123*$C$11/$C$13</f>
        <v>1109.59317892688</v>
      </c>
      <c r="I123" s="74" t="n">
        <f aca="false">G123-H123</f>
        <v>354.072310467319</v>
      </c>
      <c r="J123" s="73"/>
      <c r="K123" s="74" t="n">
        <f aca="false">K122-I122-J122</f>
        <v>190215.973530323</v>
      </c>
    </row>
    <row r="124" customFormat="false" ht="12.8" hidden="false" customHeight="false" outlineLevel="0" collapsed="false">
      <c r="E124" s="96" t="n">
        <v>49218</v>
      </c>
      <c r="F124" s="73" t="n">
        <v>117</v>
      </c>
      <c r="G124" s="74" t="n">
        <f aca="false">IF($C$15&lt;K124+(K124*($C$11/$C$13)),$C$15,K124+(K124*($C$11/$C$13)))</f>
        <v>1463.6654893942</v>
      </c>
      <c r="H124" s="74" t="n">
        <f aca="false">K124*$C$11/$C$13</f>
        <v>1107.52775711582</v>
      </c>
      <c r="I124" s="74" t="n">
        <f aca="false">G124-H124</f>
        <v>356.137732278379</v>
      </c>
      <c r="J124" s="73"/>
      <c r="K124" s="74" t="n">
        <f aca="false">K123-I123-J123</f>
        <v>189861.901219856</v>
      </c>
    </row>
    <row r="125" customFormat="false" ht="12.8" hidden="false" customHeight="false" outlineLevel="0" collapsed="false">
      <c r="E125" s="96" t="n">
        <v>49249</v>
      </c>
      <c r="F125" s="73" t="n">
        <v>118</v>
      </c>
      <c r="G125" s="74" t="n">
        <f aca="false">IF($C$15&lt;K125+(K125*($C$11/$C$13)),$C$15,K125+(K125*($C$11/$C$13)))</f>
        <v>1463.6654893942</v>
      </c>
      <c r="H125" s="74" t="n">
        <f aca="false">K125*$C$11/$C$13</f>
        <v>1105.45028701087</v>
      </c>
      <c r="I125" s="74" t="n">
        <f aca="false">G125-H125</f>
        <v>358.215202383336</v>
      </c>
      <c r="J125" s="73"/>
      <c r="K125" s="74" t="n">
        <f aca="false">K124-I124-J124</f>
        <v>189505.763487577</v>
      </c>
    </row>
    <row r="126" customFormat="false" ht="12.8" hidden="false" customHeight="false" outlineLevel="0" collapsed="false">
      <c r="E126" s="96" t="n">
        <v>49279</v>
      </c>
      <c r="F126" s="73" t="n">
        <v>119</v>
      </c>
      <c r="G126" s="74" t="n">
        <f aca="false">IF($C$15&lt;K126+(K126*($C$11/$C$13)),$C$15,K126+(K126*($C$11/$C$13)))</f>
        <v>1463.6654893942</v>
      </c>
      <c r="H126" s="74" t="n">
        <f aca="false">K126*$C$11/$C$13</f>
        <v>1103.3606983303</v>
      </c>
      <c r="I126" s="74" t="n">
        <f aca="false">G126-H126</f>
        <v>360.304791063905</v>
      </c>
      <c r="J126" s="73"/>
      <c r="K126" s="74" t="n">
        <f aca="false">K125-I125-J125</f>
        <v>189147.548285194</v>
      </c>
    </row>
    <row r="127" customFormat="false" ht="12.8" hidden="false" customHeight="false" outlineLevel="0" collapsed="false">
      <c r="E127" s="96" t="n">
        <v>49310</v>
      </c>
      <c r="F127" s="73" t="n">
        <v>120</v>
      </c>
      <c r="G127" s="74" t="n">
        <f aca="false">IF($C$15&lt;K127+(K127*($C$11/$C$13)),$C$15,K127+(K127*($C$11/$C$13)))</f>
        <v>1463.6654893942</v>
      </c>
      <c r="H127" s="74" t="n">
        <f aca="false">K127*$C$11/$C$13</f>
        <v>1101.25892038242</v>
      </c>
      <c r="I127" s="74" t="n">
        <f aca="false">G127-H127</f>
        <v>362.406569011778</v>
      </c>
      <c r="J127" s="73"/>
      <c r="K127" s="74" t="n">
        <f aca="false">K126-I126-J126</f>
        <v>188787.24349413</v>
      </c>
    </row>
    <row r="128" customFormat="false" ht="12.8" hidden="false" customHeight="false" outlineLevel="0" collapsed="false">
      <c r="E128" s="96" t="n">
        <v>49341</v>
      </c>
      <c r="F128" s="73" t="n">
        <v>121</v>
      </c>
      <c r="G128" s="74" t="n">
        <f aca="false">IF($C$15&lt;K128+(K128*($C$11/$C$13)),$C$15,K128+(K128*($C$11/$C$13)))</f>
        <v>1463.6654893942</v>
      </c>
      <c r="H128" s="74" t="n">
        <f aca="false">K128*$C$11/$C$13</f>
        <v>1099.14488206319</v>
      </c>
      <c r="I128" s="74" t="n">
        <f aca="false">G128-H128</f>
        <v>364.520607331013</v>
      </c>
      <c r="J128" s="73"/>
      <c r="K128" s="74" t="n">
        <f aca="false">K127-I127-J127</f>
        <v>188424.836925118</v>
      </c>
    </row>
    <row r="129" customFormat="false" ht="12.8" hidden="false" customHeight="false" outlineLevel="0" collapsed="false">
      <c r="E129" s="96" t="n">
        <v>49369</v>
      </c>
      <c r="F129" s="73" t="n">
        <v>122</v>
      </c>
      <c r="G129" s="74" t="n">
        <f aca="false">IF($C$15&lt;K129+(K129*($C$11/$C$13)),$C$15,K129+(K129*($C$11/$C$13)))</f>
        <v>1463.6654893942</v>
      </c>
      <c r="H129" s="74" t="n">
        <f aca="false">K129*$C$11/$C$13</f>
        <v>1097.01851185376</v>
      </c>
      <c r="I129" s="74" t="n">
        <f aca="false">G129-H129</f>
        <v>366.646977540444</v>
      </c>
      <c r="J129" s="73"/>
      <c r="K129" s="74" t="n">
        <f aca="false">K128-I128-J128</f>
        <v>188060.316317787</v>
      </c>
    </row>
    <row r="130" customFormat="false" ht="12.8" hidden="false" customHeight="false" outlineLevel="0" collapsed="false">
      <c r="E130" s="96" t="n">
        <v>49400</v>
      </c>
      <c r="F130" s="73" t="n">
        <v>123</v>
      </c>
      <c r="G130" s="74" t="n">
        <f aca="false">IF($C$15&lt;K130+(K130*($C$11/$C$13)),$C$15,K130+(K130*($C$11/$C$13)))</f>
        <v>1463.6654893942</v>
      </c>
      <c r="H130" s="74" t="n">
        <f aca="false">K130*$C$11/$C$13</f>
        <v>1094.87973781811</v>
      </c>
      <c r="I130" s="74" t="n">
        <f aca="false">G130-H130</f>
        <v>368.785751576097</v>
      </c>
      <c r="J130" s="73"/>
      <c r="K130" s="74" t="n">
        <f aca="false">K129-I129-J129</f>
        <v>187693.669340247</v>
      </c>
    </row>
    <row r="131" customFormat="false" ht="12.8" hidden="false" customHeight="false" outlineLevel="0" collapsed="false">
      <c r="E131" s="96" t="n">
        <v>49430</v>
      </c>
      <c r="F131" s="73" t="n">
        <v>124</v>
      </c>
      <c r="G131" s="74" t="n">
        <f aca="false">IF($C$15&lt;K131+(K131*($C$11/$C$13)),$C$15,K131+(K131*($C$11/$C$13)))</f>
        <v>1463.6654893942</v>
      </c>
      <c r="H131" s="74" t="n">
        <f aca="false">K131*$C$11/$C$13</f>
        <v>1092.72848760058</v>
      </c>
      <c r="I131" s="74" t="n">
        <f aca="false">G131-H131</f>
        <v>370.937001793624</v>
      </c>
      <c r="J131" s="73"/>
      <c r="K131" s="74" t="n">
        <f aca="false">K130-I130-J130</f>
        <v>187324.883588671</v>
      </c>
    </row>
    <row r="132" customFormat="false" ht="12.8" hidden="false" customHeight="false" outlineLevel="0" collapsed="false">
      <c r="E132" s="96" t="n">
        <v>49461</v>
      </c>
      <c r="F132" s="73" t="n">
        <v>125</v>
      </c>
      <c r="G132" s="74" t="n">
        <f aca="false">IF($C$15&lt;K132+(K132*($C$11/$C$13)),$C$15,K132+(K132*($C$11/$C$13)))</f>
        <v>1463.6654893942</v>
      </c>
      <c r="H132" s="74" t="n">
        <f aca="false">K132*$C$11/$C$13</f>
        <v>1090.56468842345</v>
      </c>
      <c r="I132" s="74" t="n">
        <f aca="false">G132-H132</f>
        <v>373.100800970754</v>
      </c>
      <c r="J132" s="73"/>
      <c r="K132" s="74" t="n">
        <f aca="false">K131-I131-J131</f>
        <v>186953.946586877</v>
      </c>
    </row>
    <row r="133" customFormat="false" ht="12.8" hidden="false" customHeight="false" outlineLevel="0" collapsed="false">
      <c r="E133" s="96" t="n">
        <v>49491</v>
      </c>
      <c r="F133" s="73" t="n">
        <v>126</v>
      </c>
      <c r="G133" s="74" t="n">
        <f aca="false">IF($C$15&lt;K133+(K133*($C$11/$C$13)),$C$15,K133+(K133*($C$11/$C$13)))</f>
        <v>1463.6654893942</v>
      </c>
      <c r="H133" s="74" t="n">
        <f aca="false">K133*$C$11/$C$13</f>
        <v>1088.38826708445</v>
      </c>
      <c r="I133" s="74" t="n">
        <f aca="false">G133-H133</f>
        <v>375.27722230975</v>
      </c>
      <c r="J133" s="73"/>
      <c r="K133" s="74" t="n">
        <f aca="false">K132-I132-J132</f>
        <v>186580.845785906</v>
      </c>
    </row>
    <row r="134" customFormat="false" ht="12.8" hidden="false" customHeight="false" outlineLevel="0" collapsed="false">
      <c r="E134" s="96" t="n">
        <v>49522</v>
      </c>
      <c r="F134" s="73" t="n">
        <v>127</v>
      </c>
      <c r="G134" s="74" t="n">
        <f aca="false">IF($C$15&lt;K134+(K134*($C$11/$C$13)),$C$15,K134+(K134*($C$11/$C$13)))</f>
        <v>1463.6654893942</v>
      </c>
      <c r="H134" s="74" t="n">
        <f aca="false">K134*$C$11/$C$13</f>
        <v>1086.19914995431</v>
      </c>
      <c r="I134" s="74" t="n">
        <f aca="false">G134-H134</f>
        <v>377.46633943989</v>
      </c>
      <c r="J134" s="73"/>
      <c r="K134" s="74" t="n">
        <f aca="false">K133-I133-J133</f>
        <v>186205.568563596</v>
      </c>
    </row>
    <row r="135" customFormat="false" ht="12.8" hidden="false" customHeight="false" outlineLevel="0" collapsed="false">
      <c r="E135" s="96" t="n">
        <v>49553</v>
      </c>
      <c r="F135" s="73" t="n">
        <v>128</v>
      </c>
      <c r="G135" s="74" t="n">
        <f aca="false">IF($C$15&lt;K135+(K135*($C$11/$C$13)),$C$15,K135+(K135*($C$11/$C$13)))</f>
        <v>1463.6654893942</v>
      </c>
      <c r="H135" s="74" t="n">
        <f aca="false">K135*$C$11/$C$13</f>
        <v>1083.99726297425</v>
      </c>
      <c r="I135" s="74" t="n">
        <f aca="false">G135-H135</f>
        <v>379.668226419956</v>
      </c>
      <c r="J135" s="73"/>
      <c r="K135" s="74" t="n">
        <f aca="false">K134-I134-J134</f>
        <v>185828.102224157</v>
      </c>
    </row>
    <row r="136" customFormat="false" ht="12.8" hidden="false" customHeight="false" outlineLevel="0" collapsed="false">
      <c r="E136" s="96" t="n">
        <v>49583</v>
      </c>
      <c r="F136" s="73" t="n">
        <v>129</v>
      </c>
      <c r="G136" s="74" t="n">
        <f aca="false">IF($C$15&lt;K136+(K136*($C$11/$C$13)),$C$15,K136+(K136*($C$11/$C$13)))</f>
        <v>1463.6654893942</v>
      </c>
      <c r="H136" s="74" t="n">
        <f aca="false">K136*$C$11/$C$13</f>
        <v>1081.78253165346</v>
      </c>
      <c r="I136" s="74" t="n">
        <f aca="false">G136-H136</f>
        <v>381.882957740739</v>
      </c>
      <c r="J136" s="73"/>
      <c r="K136" s="74" t="n">
        <f aca="false">K135-I135-J135</f>
        <v>185448.433997737</v>
      </c>
    </row>
    <row r="137" customFormat="false" ht="12.8" hidden="false" customHeight="false" outlineLevel="0" collapsed="false">
      <c r="E137" s="96" t="n">
        <v>49614</v>
      </c>
      <c r="F137" s="73" t="n">
        <v>130</v>
      </c>
      <c r="G137" s="74" t="n">
        <f aca="false">IF($C$15&lt;K137+(K137*($C$11/$C$13)),$C$15,K137+(K137*($C$11/$C$13)))</f>
        <v>1463.6654893942</v>
      </c>
      <c r="H137" s="74" t="n">
        <f aca="false">K137*$C$11/$C$13</f>
        <v>1079.55488106664</v>
      </c>
      <c r="I137" s="74" t="n">
        <f aca="false">G137-H137</f>
        <v>384.11060832756</v>
      </c>
      <c r="J137" s="73"/>
      <c r="K137" s="74" t="n">
        <f aca="false">K136-I136-J136</f>
        <v>185066.551039996</v>
      </c>
    </row>
    <row r="138" customFormat="false" ht="12.8" hidden="false" customHeight="false" outlineLevel="0" collapsed="false">
      <c r="E138" s="96" t="n">
        <v>49644</v>
      </c>
      <c r="F138" s="73" t="n">
        <v>131</v>
      </c>
      <c r="G138" s="74" t="n">
        <f aca="false">IF($C$15&lt;K138+(K138*($C$11/$C$13)),$C$15,K138+(K138*($C$11/$C$13)))</f>
        <v>1463.6654893942</v>
      </c>
      <c r="H138" s="74" t="n">
        <f aca="false">K138*$C$11/$C$13</f>
        <v>1077.3142358514</v>
      </c>
      <c r="I138" s="74" t="n">
        <f aca="false">G138-H138</f>
        <v>386.351253542804</v>
      </c>
      <c r="J138" s="73"/>
      <c r="K138" s="74" t="n">
        <f aca="false">K137-I137-J137</f>
        <v>184682.440431668</v>
      </c>
    </row>
    <row r="139" customFormat="false" ht="12.8" hidden="false" customHeight="false" outlineLevel="0" collapsed="false">
      <c r="E139" s="96" t="n">
        <v>49675</v>
      </c>
      <c r="F139" s="73" t="n">
        <v>132</v>
      </c>
      <c r="G139" s="74" t="n">
        <f aca="false">IF($C$15&lt;K139+(K139*($C$11/$C$13)),$C$15,K139+(K139*($C$11/$C$13)))</f>
        <v>1463.6654893942</v>
      </c>
      <c r="H139" s="74" t="n">
        <f aca="false">K139*$C$11/$C$13</f>
        <v>1075.06052020573</v>
      </c>
      <c r="I139" s="74" t="n">
        <f aca="false">G139-H139</f>
        <v>388.60496918847</v>
      </c>
      <c r="J139" s="73"/>
      <c r="K139" s="74" t="n">
        <f aca="false">K138-I138-J138</f>
        <v>184296.089178126</v>
      </c>
    </row>
    <row r="140" customFormat="false" ht="12.8" hidden="false" customHeight="false" outlineLevel="0" collapsed="false">
      <c r="E140" s="96" t="n">
        <v>49706</v>
      </c>
      <c r="F140" s="73" t="n">
        <v>133</v>
      </c>
      <c r="G140" s="74" t="n">
        <f aca="false">IF($C$15&lt;K140+(K140*($C$11/$C$13)),$C$15,K140+(K140*($C$11/$C$13)))</f>
        <v>1463.6654893942</v>
      </c>
      <c r="H140" s="74" t="n">
        <f aca="false">K140*$C$11/$C$13</f>
        <v>1072.79365788547</v>
      </c>
      <c r="I140" s="74" t="n">
        <f aca="false">G140-H140</f>
        <v>390.871831508736</v>
      </c>
      <c r="J140" s="73"/>
      <c r="K140" s="74" t="n">
        <f aca="false">K139-I139-J139</f>
        <v>183907.484208937</v>
      </c>
    </row>
    <row r="141" customFormat="false" ht="12.8" hidden="false" customHeight="false" outlineLevel="0" collapsed="false">
      <c r="E141" s="96" t="n">
        <v>49735</v>
      </c>
      <c r="F141" s="73" t="n">
        <v>134</v>
      </c>
      <c r="G141" s="74" t="n">
        <f aca="false">IF($C$15&lt;K141+(K141*($C$11/$C$13)),$C$15,K141+(K141*($C$11/$C$13)))</f>
        <v>1463.6654893942</v>
      </c>
      <c r="H141" s="74" t="n">
        <f aca="false">K141*$C$11/$C$13</f>
        <v>1070.51357220167</v>
      </c>
      <c r="I141" s="74" t="n">
        <f aca="false">G141-H141</f>
        <v>393.151917192537</v>
      </c>
      <c r="J141" s="73"/>
      <c r="K141" s="74" t="n">
        <f aca="false">K140-I140-J140</f>
        <v>183516.612377428</v>
      </c>
    </row>
    <row r="142" customFormat="false" ht="12.8" hidden="false" customHeight="false" outlineLevel="0" collapsed="false">
      <c r="E142" s="96" t="n">
        <v>49766</v>
      </c>
      <c r="F142" s="73" t="n">
        <v>135</v>
      </c>
      <c r="G142" s="74" t="n">
        <f aca="false">IF($C$15&lt;K142+(K142*($C$11/$C$13)),$C$15,K142+(K142*($C$11/$C$13)))</f>
        <v>1463.6654893942</v>
      </c>
      <c r="H142" s="74" t="n">
        <f aca="false">K142*$C$11/$C$13</f>
        <v>1068.22018601804</v>
      </c>
      <c r="I142" s="74" t="n">
        <f aca="false">G142-H142</f>
        <v>395.445303376161</v>
      </c>
      <c r="J142" s="73"/>
      <c r="K142" s="74" t="n">
        <f aca="false">K141-I141-J141</f>
        <v>183123.460460236</v>
      </c>
    </row>
    <row r="143" customFormat="false" ht="12.8" hidden="false" customHeight="false" outlineLevel="0" collapsed="false">
      <c r="E143" s="96" t="n">
        <v>49796</v>
      </c>
      <c r="F143" s="73" t="n">
        <v>136</v>
      </c>
      <c r="G143" s="74" t="n">
        <f aca="false">IF($C$15&lt;K143+(K143*($C$11/$C$13)),$C$15,K143+(K143*($C$11/$C$13)))</f>
        <v>1463.6654893942</v>
      </c>
      <c r="H143" s="74" t="n">
        <f aca="false">K143*$C$11/$C$13</f>
        <v>1065.91342174835</v>
      </c>
      <c r="I143" s="74" t="n">
        <f aca="false">G143-H143</f>
        <v>397.752067645855</v>
      </c>
      <c r="J143" s="73"/>
      <c r="K143" s="74" t="n">
        <f aca="false">K142-I142-J142</f>
        <v>182728.01515686</v>
      </c>
    </row>
    <row r="144" customFormat="false" ht="12.8" hidden="false" customHeight="false" outlineLevel="0" collapsed="false">
      <c r="E144" s="96" t="n">
        <v>49827</v>
      </c>
      <c r="F144" s="73" t="n">
        <v>137</v>
      </c>
      <c r="G144" s="74" t="n">
        <f aca="false">IF($C$15&lt;K144+(K144*($C$11/$C$13)),$C$15,K144+(K144*($C$11/$C$13)))</f>
        <v>1463.6654893942</v>
      </c>
      <c r="H144" s="74" t="n">
        <f aca="false">K144*$C$11/$C$13</f>
        <v>1063.59320135375</v>
      </c>
      <c r="I144" s="74" t="n">
        <f aca="false">G144-H144</f>
        <v>400.072288040456</v>
      </c>
      <c r="J144" s="73"/>
      <c r="K144" s="74" t="n">
        <f aca="false">K143-I143-J143</f>
        <v>182330.263089214</v>
      </c>
    </row>
    <row r="145" customFormat="false" ht="12.8" hidden="false" customHeight="false" outlineLevel="0" collapsed="false">
      <c r="E145" s="96" t="n">
        <v>49857</v>
      </c>
      <c r="F145" s="73" t="n">
        <v>138</v>
      </c>
      <c r="G145" s="74" t="n">
        <f aca="false">IF($C$15&lt;K145+(K145*($C$11/$C$13)),$C$15,K145+(K145*($C$11/$C$13)))</f>
        <v>1463.6654893942</v>
      </c>
      <c r="H145" s="74" t="n">
        <f aca="false">K145*$C$11/$C$13</f>
        <v>1061.25944634018</v>
      </c>
      <c r="I145" s="74" t="n">
        <f aca="false">G145-H145</f>
        <v>402.406043054025</v>
      </c>
      <c r="J145" s="73"/>
      <c r="K145" s="74" t="n">
        <f aca="false">K144-I144-J144</f>
        <v>181930.190801173</v>
      </c>
    </row>
    <row r="146" customFormat="false" ht="12.8" hidden="false" customHeight="false" outlineLevel="0" collapsed="false">
      <c r="E146" s="96" t="n">
        <v>49888</v>
      </c>
      <c r="F146" s="73" t="n">
        <v>139</v>
      </c>
      <c r="G146" s="74" t="n">
        <f aca="false">IF($C$15&lt;K146+(K146*($C$11/$C$13)),$C$15,K146+(K146*($C$11/$C$13)))</f>
        <v>1463.6654893942</v>
      </c>
      <c r="H146" s="74" t="n">
        <f aca="false">K146*$C$11/$C$13</f>
        <v>1058.9120777557</v>
      </c>
      <c r="I146" s="74" t="n">
        <f aca="false">G146-H146</f>
        <v>404.753411638507</v>
      </c>
      <c r="J146" s="73"/>
      <c r="K146" s="74" t="n">
        <f aca="false">K145-I145-J145</f>
        <v>181527.784758119</v>
      </c>
    </row>
    <row r="147" customFormat="false" ht="12.8" hidden="false" customHeight="false" outlineLevel="0" collapsed="false">
      <c r="E147" s="96" t="n">
        <v>49919</v>
      </c>
      <c r="F147" s="73" t="n">
        <v>140</v>
      </c>
      <c r="G147" s="74" t="n">
        <f aca="false">IF($C$15&lt;K147+(K147*($C$11/$C$13)),$C$15,K147+(K147*($C$11/$C$13)))</f>
        <v>1463.6654893942</v>
      </c>
      <c r="H147" s="74" t="n">
        <f aca="false">K147*$C$11/$C$13</f>
        <v>1056.5510161878</v>
      </c>
      <c r="I147" s="74" t="n">
        <f aca="false">G147-H147</f>
        <v>407.114473206398</v>
      </c>
      <c r="J147" s="73"/>
      <c r="K147" s="74" t="n">
        <f aca="false">K146-I146-J146</f>
        <v>181123.031346481</v>
      </c>
    </row>
    <row r="148" customFormat="false" ht="12.8" hidden="false" customHeight="false" outlineLevel="0" collapsed="false">
      <c r="E148" s="96" t="n">
        <v>49949</v>
      </c>
      <c r="F148" s="73" t="n">
        <v>141</v>
      </c>
      <c r="G148" s="74" t="n">
        <f aca="false">IF($C$15&lt;K148+(K148*($C$11/$C$13)),$C$15,K148+(K148*($C$11/$C$13)))</f>
        <v>1463.6654893942</v>
      </c>
      <c r="H148" s="74" t="n">
        <f aca="false">K148*$C$11/$C$13</f>
        <v>1054.17618176077</v>
      </c>
      <c r="I148" s="74" t="n">
        <f aca="false">G148-H148</f>
        <v>409.489307633435</v>
      </c>
      <c r="J148" s="73"/>
      <c r="K148" s="74" t="n">
        <f aca="false">K147-I147-J147</f>
        <v>180715.916873274</v>
      </c>
    </row>
    <row r="149" customFormat="false" ht="12.8" hidden="false" customHeight="false" outlineLevel="0" collapsed="false">
      <c r="E149" s="96" t="n">
        <v>49980</v>
      </c>
      <c r="F149" s="73" t="n">
        <v>142</v>
      </c>
      <c r="G149" s="74" t="n">
        <f aca="false">IF($C$15&lt;K149+(K149*($C$11/$C$13)),$C$15,K149+(K149*($C$11/$C$13)))</f>
        <v>1463.6654893942</v>
      </c>
      <c r="H149" s="74" t="n">
        <f aca="false">K149*$C$11/$C$13</f>
        <v>1051.78749413291</v>
      </c>
      <c r="I149" s="74" t="n">
        <f aca="false">G149-H149</f>
        <v>411.877995261297</v>
      </c>
      <c r="J149" s="73"/>
      <c r="K149" s="74" t="n">
        <f aca="false">K148-I148-J148</f>
        <v>180306.427565641</v>
      </c>
    </row>
    <row r="150" customFormat="false" ht="12.8" hidden="false" customHeight="false" outlineLevel="0" collapsed="false">
      <c r="E150" s="96" t="n">
        <v>50010</v>
      </c>
      <c r="F150" s="73" t="n">
        <v>143</v>
      </c>
      <c r="G150" s="74" t="n">
        <f aca="false">IF($C$15&lt;K150+(K150*($C$11/$C$13)),$C$15,K150+(K150*($C$11/$C$13)))</f>
        <v>1463.6654893942</v>
      </c>
      <c r="H150" s="74" t="n">
        <f aca="false">K150*$C$11/$C$13</f>
        <v>1049.38487249388</v>
      </c>
      <c r="I150" s="74" t="n">
        <f aca="false">G150-H150</f>
        <v>414.280616900321</v>
      </c>
      <c r="J150" s="73"/>
      <c r="K150" s="74" t="n">
        <f aca="false">K149-I149-J149</f>
        <v>179894.54957038</v>
      </c>
    </row>
    <row r="151" customFormat="false" ht="12.8" hidden="false" customHeight="false" outlineLevel="0" collapsed="false">
      <c r="E151" s="96" t="n">
        <v>50041</v>
      </c>
      <c r="F151" s="73" t="n">
        <v>144</v>
      </c>
      <c r="G151" s="74" t="n">
        <f aca="false">IF($C$15&lt;K151+(K151*($C$11/$C$13)),$C$15,K151+(K151*($C$11/$C$13)))</f>
        <v>1463.6654893942</v>
      </c>
      <c r="H151" s="74" t="n">
        <f aca="false">K151*$C$11/$C$13</f>
        <v>1046.96823556196</v>
      </c>
      <c r="I151" s="74" t="n">
        <f aca="false">G151-H151</f>
        <v>416.69725383224</v>
      </c>
      <c r="J151" s="73"/>
      <c r="K151" s="74" t="n">
        <f aca="false">K150-I150-J150</f>
        <v>179480.268953479</v>
      </c>
    </row>
    <row r="152" customFormat="false" ht="12.8" hidden="false" customHeight="false" outlineLevel="0" collapsed="false">
      <c r="E152" s="96" t="n">
        <v>50072</v>
      </c>
      <c r="F152" s="73" t="n">
        <v>145</v>
      </c>
      <c r="G152" s="74" t="n">
        <f aca="false">IF($C$15&lt;K152+(K152*($C$11/$C$13)),$C$15,K152+(K152*($C$11/$C$13)))</f>
        <v>1463.6654893942</v>
      </c>
      <c r="H152" s="74" t="n">
        <f aca="false">K152*$C$11/$C$13</f>
        <v>1044.53750158127</v>
      </c>
      <c r="I152" s="74" t="n">
        <f aca="false">G152-H152</f>
        <v>419.127987812928</v>
      </c>
      <c r="J152" s="73"/>
      <c r="K152" s="74" t="n">
        <f aca="false">K151-I151-J151</f>
        <v>179063.571699647</v>
      </c>
    </row>
    <row r="153" customFormat="false" ht="12.8" hidden="false" customHeight="false" outlineLevel="0" collapsed="false">
      <c r="E153" s="96" t="n">
        <v>50100</v>
      </c>
      <c r="F153" s="73" t="n">
        <v>146</v>
      </c>
      <c r="G153" s="74" t="n">
        <f aca="false">IF($C$15&lt;K153+(K153*($C$11/$C$13)),$C$15,K153+(K153*($C$11/$C$13)))</f>
        <v>1463.6654893942</v>
      </c>
      <c r="H153" s="74" t="n">
        <f aca="false">K153*$C$11/$C$13</f>
        <v>1042.09258831903</v>
      </c>
      <c r="I153" s="74" t="n">
        <f aca="false">G153-H153</f>
        <v>421.57290107517</v>
      </c>
      <c r="J153" s="73"/>
      <c r="K153" s="74" t="n">
        <f aca="false">K152-I152-J152</f>
        <v>178644.443711834</v>
      </c>
    </row>
    <row r="154" customFormat="false" ht="12.8" hidden="false" customHeight="false" outlineLevel="0" collapsed="false">
      <c r="E154" s="96" t="n">
        <v>50131</v>
      </c>
      <c r="F154" s="73" t="n">
        <v>147</v>
      </c>
      <c r="G154" s="74" t="n">
        <f aca="false">IF($C$15&lt;K154+(K154*($C$11/$C$13)),$C$15,K154+(K154*($C$11/$C$13)))</f>
        <v>1463.6654893942</v>
      </c>
      <c r="H154" s="74" t="n">
        <f aca="false">K154*$C$11/$C$13</f>
        <v>1039.63341306276</v>
      </c>
      <c r="I154" s="74" t="n">
        <f aca="false">G154-H154</f>
        <v>424.032076331442</v>
      </c>
      <c r="J154" s="73"/>
      <c r="K154" s="74" t="n">
        <f aca="false">K153-I153-J153</f>
        <v>178222.870810759</v>
      </c>
    </row>
    <row r="155" customFormat="false" ht="12.8" hidden="false" customHeight="false" outlineLevel="0" collapsed="false">
      <c r="E155" s="96" t="n">
        <v>50161</v>
      </c>
      <c r="F155" s="73" t="n">
        <v>148</v>
      </c>
      <c r="G155" s="74" t="n">
        <f aca="false">IF($C$15&lt;K155+(K155*($C$11/$C$13)),$C$15,K155+(K155*($C$11/$C$13)))</f>
        <v>1463.6654893942</v>
      </c>
      <c r="H155" s="74" t="n">
        <f aca="false">K155*$C$11/$C$13</f>
        <v>1037.15989261749</v>
      </c>
      <c r="I155" s="74" t="n">
        <f aca="false">G155-H155</f>
        <v>426.505596776709</v>
      </c>
      <c r="J155" s="73"/>
      <c r="K155" s="74" t="n">
        <f aca="false">K154-I154-J154</f>
        <v>177798.838734428</v>
      </c>
    </row>
    <row r="156" customFormat="false" ht="12.8" hidden="false" customHeight="false" outlineLevel="0" collapsed="false">
      <c r="E156" s="96" t="n">
        <v>50192</v>
      </c>
      <c r="F156" s="73" t="n">
        <v>149</v>
      </c>
      <c r="G156" s="74" t="n">
        <f aca="false">IF($C$15&lt;K156+(K156*($C$11/$C$13)),$C$15,K156+(K156*($C$11/$C$13)))</f>
        <v>1463.6654893942</v>
      </c>
      <c r="H156" s="74" t="n">
        <f aca="false">K156*$C$11/$C$13</f>
        <v>1034.67194330296</v>
      </c>
      <c r="I156" s="74" t="n">
        <f aca="false">G156-H156</f>
        <v>428.99354609124</v>
      </c>
      <c r="J156" s="73"/>
      <c r="K156" s="74" t="n">
        <f aca="false">K155-I155-J155</f>
        <v>177372.333137651</v>
      </c>
    </row>
    <row r="157" customFormat="false" ht="12.8" hidden="false" customHeight="false" outlineLevel="0" collapsed="false">
      <c r="E157" s="96" t="n">
        <v>50222</v>
      </c>
      <c r="F157" s="73" t="n">
        <v>150</v>
      </c>
      <c r="G157" s="74" t="n">
        <f aca="false">IF($C$15&lt;K157+(K157*($C$11/$C$13)),$C$15,K157+(K157*($C$11/$C$13)))</f>
        <v>1463.6654893942</v>
      </c>
      <c r="H157" s="74" t="n">
        <f aca="false">K157*$C$11/$C$13</f>
        <v>1032.16948095076</v>
      </c>
      <c r="I157" s="74" t="n">
        <f aca="false">G157-H157</f>
        <v>431.496008443439</v>
      </c>
      <c r="J157" s="73"/>
      <c r="K157" s="74" t="n">
        <f aca="false">K156-I156-J156</f>
        <v>176943.33959156</v>
      </c>
    </row>
    <row r="158" customFormat="false" ht="12.8" hidden="false" customHeight="false" outlineLevel="0" collapsed="false">
      <c r="E158" s="96" t="n">
        <v>50253</v>
      </c>
      <c r="F158" s="73" t="n">
        <v>151</v>
      </c>
      <c r="G158" s="74" t="n">
        <f aca="false">IF($C$15&lt;K158+(K158*($C$11/$C$13)),$C$15,K158+(K158*($C$11/$C$13)))</f>
        <v>1463.6654893942</v>
      </c>
      <c r="H158" s="74" t="n">
        <f aca="false">K158*$C$11/$C$13</f>
        <v>1029.65242090151</v>
      </c>
      <c r="I158" s="74" t="n">
        <f aca="false">G158-H158</f>
        <v>434.013068492692</v>
      </c>
      <c r="J158" s="73"/>
      <c r="K158" s="74" t="n">
        <f aca="false">K157-I157-J157</f>
        <v>176511.843583116</v>
      </c>
    </row>
    <row r="159" customFormat="false" ht="12.8" hidden="false" customHeight="false" outlineLevel="0" collapsed="false">
      <c r="E159" s="96" t="n">
        <v>50284</v>
      </c>
      <c r="F159" s="73" t="n">
        <v>152</v>
      </c>
      <c r="G159" s="74" t="n">
        <f aca="false">IF($C$15&lt;K159+(K159*($C$11/$C$13)),$C$15,K159+(K159*($C$11/$C$13)))</f>
        <v>1463.6654893942</v>
      </c>
      <c r="H159" s="74" t="n">
        <f aca="false">K159*$C$11/$C$13</f>
        <v>1027.12067800197</v>
      </c>
      <c r="I159" s="74" t="n">
        <f aca="false">G159-H159</f>
        <v>436.544811392233</v>
      </c>
      <c r="J159" s="73"/>
      <c r="K159" s="74" t="n">
        <f aca="false">K158-I158-J158</f>
        <v>176077.830514623</v>
      </c>
    </row>
    <row r="160" customFormat="false" ht="12.8" hidden="false" customHeight="false" outlineLevel="0" collapsed="false">
      <c r="E160" s="96" t="n">
        <v>50314</v>
      </c>
      <c r="F160" s="73" t="n">
        <v>153</v>
      </c>
      <c r="G160" s="74" t="n">
        <f aca="false">IF($C$15&lt;K160+(K160*($C$11/$C$13)),$C$15,K160+(K160*($C$11/$C$13)))</f>
        <v>1463.6654893942</v>
      </c>
      <c r="H160" s="74" t="n">
        <f aca="false">K160*$C$11/$C$13</f>
        <v>1024.57416660218</v>
      </c>
      <c r="I160" s="74" t="n">
        <f aca="false">G160-H160</f>
        <v>439.091322792021</v>
      </c>
      <c r="J160" s="73"/>
      <c r="K160" s="74" t="n">
        <f aca="false">K159-I159-J159</f>
        <v>175641.285703231</v>
      </c>
    </row>
    <row r="161" customFormat="false" ht="12.8" hidden="false" customHeight="false" outlineLevel="0" collapsed="false">
      <c r="E161" s="96" t="n">
        <v>50345</v>
      </c>
      <c r="F161" s="73" t="n">
        <v>154</v>
      </c>
      <c r="G161" s="74" t="n">
        <f aca="false">IF($C$15&lt;K161+(K161*($C$11/$C$13)),$C$15,K161+(K161*($C$11/$C$13)))</f>
        <v>1463.6654893942</v>
      </c>
      <c r="H161" s="74" t="n">
        <f aca="false">K161*$C$11/$C$13</f>
        <v>1022.01280055256</v>
      </c>
      <c r="I161" s="74" t="n">
        <f aca="false">G161-H161</f>
        <v>441.652688841641</v>
      </c>
      <c r="J161" s="73"/>
      <c r="K161" s="74" t="n">
        <f aca="false">K160-I160-J160</f>
        <v>175202.194380439</v>
      </c>
    </row>
    <row r="162" customFormat="false" ht="12.8" hidden="false" customHeight="false" outlineLevel="0" collapsed="false">
      <c r="E162" s="96" t="n">
        <v>50375</v>
      </c>
      <c r="F162" s="73" t="n">
        <v>155</v>
      </c>
      <c r="G162" s="74" t="n">
        <f aca="false">IF($C$15&lt;K162+(K162*($C$11/$C$13)),$C$15,K162+(K162*($C$11/$C$13)))</f>
        <v>1463.6654893942</v>
      </c>
      <c r="H162" s="74" t="n">
        <f aca="false">K162*$C$11/$C$13</f>
        <v>1019.43649320099</v>
      </c>
      <c r="I162" s="74" t="n">
        <f aca="false">G162-H162</f>
        <v>444.228996193217</v>
      </c>
      <c r="J162" s="73"/>
      <c r="K162" s="74" t="n">
        <f aca="false">K161-I161-J161</f>
        <v>174760.541691598</v>
      </c>
    </row>
    <row r="163" customFormat="false" ht="12.8" hidden="false" customHeight="false" outlineLevel="0" collapsed="false">
      <c r="E163" s="96" t="n">
        <v>50406</v>
      </c>
      <c r="F163" s="73" t="n">
        <v>156</v>
      </c>
      <c r="G163" s="74" t="n">
        <f aca="false">IF($C$15&lt;K163+(K163*($C$11/$C$13)),$C$15,K163+(K163*($C$11/$C$13)))</f>
        <v>1463.6654893942</v>
      </c>
      <c r="H163" s="74" t="n">
        <f aca="false">K163*$C$11/$C$13</f>
        <v>1016.84515738986</v>
      </c>
      <c r="I163" s="74" t="n">
        <f aca="false">G163-H163</f>
        <v>446.820332004344</v>
      </c>
      <c r="J163" s="73"/>
      <c r="K163" s="74" t="n">
        <f aca="false">K162-I162-J162</f>
        <v>174316.312695404</v>
      </c>
    </row>
    <row r="164" customFormat="false" ht="12.8" hidden="false" customHeight="false" outlineLevel="0" collapsed="false">
      <c r="E164" s="96" t="n">
        <v>50437</v>
      </c>
      <c r="F164" s="73" t="n">
        <v>157</v>
      </c>
      <c r="G164" s="74" t="n">
        <f aca="false">IF($C$15&lt;K164+(K164*($C$11/$C$13)),$C$15,K164+(K164*($C$11/$C$13)))</f>
        <v>1463.6654893942</v>
      </c>
      <c r="H164" s="74" t="n">
        <f aca="false">K164*$C$11/$C$13</f>
        <v>1014.23870545317</v>
      </c>
      <c r="I164" s="74" t="n">
        <f aca="false">G164-H164</f>
        <v>449.426783941036</v>
      </c>
      <c r="J164" s="73"/>
      <c r="K164" s="74" t="n">
        <f aca="false">K163-I163-J163</f>
        <v>173869.4923634</v>
      </c>
    </row>
    <row r="165" customFormat="false" ht="12.8" hidden="false" customHeight="false" outlineLevel="0" collapsed="false">
      <c r="E165" s="96" t="n">
        <v>50465</v>
      </c>
      <c r="F165" s="73" t="n">
        <v>158</v>
      </c>
      <c r="G165" s="74" t="n">
        <f aca="false">IF($C$15&lt;K165+(K165*($C$11/$C$13)),$C$15,K165+(K165*($C$11/$C$13)))</f>
        <v>1463.6654893942</v>
      </c>
      <c r="H165" s="74" t="n">
        <f aca="false">K165*$C$11/$C$13</f>
        <v>1011.61704921351</v>
      </c>
      <c r="I165" s="74" t="n">
        <f aca="false">G165-H165</f>
        <v>452.048440180692</v>
      </c>
      <c r="J165" s="73"/>
      <c r="K165" s="74" t="n">
        <f aca="false">K164-I164-J164</f>
        <v>173420.065579459</v>
      </c>
    </row>
    <row r="166" customFormat="false" ht="12.8" hidden="false" customHeight="false" outlineLevel="0" collapsed="false">
      <c r="E166" s="96" t="n">
        <v>50496</v>
      </c>
      <c r="F166" s="73" t="n">
        <v>159</v>
      </c>
      <c r="G166" s="74" t="n">
        <f aca="false">IF($C$15&lt;K166+(K166*($C$11/$C$13)),$C$15,K166+(K166*($C$11/$C$13)))</f>
        <v>1463.6654893942</v>
      </c>
      <c r="H166" s="74" t="n">
        <f aca="false">K166*$C$11/$C$13</f>
        <v>1008.98009997912</v>
      </c>
      <c r="I166" s="74" t="n">
        <f aca="false">G166-H166</f>
        <v>454.68538941508</v>
      </c>
      <c r="J166" s="73"/>
      <c r="K166" s="74" t="n">
        <f aca="false">K165-I165-J165</f>
        <v>172968.017139278</v>
      </c>
    </row>
    <row r="167" customFormat="false" ht="12.8" hidden="false" customHeight="false" outlineLevel="0" collapsed="false">
      <c r="E167" s="96" t="n">
        <v>50526</v>
      </c>
      <c r="F167" s="73" t="n">
        <v>160</v>
      </c>
      <c r="G167" s="74" t="n">
        <f aca="false">IF($C$15&lt;K167+(K167*($C$11/$C$13)),$C$15,K167+(K167*($C$11/$C$13)))</f>
        <v>1463.6654893942</v>
      </c>
      <c r="H167" s="74" t="n">
        <f aca="false">K167*$C$11/$C$13</f>
        <v>1006.32776854087</v>
      </c>
      <c r="I167" s="74" t="n">
        <f aca="false">G167-H167</f>
        <v>457.337720853334</v>
      </c>
      <c r="J167" s="73"/>
      <c r="K167" s="74" t="n">
        <f aca="false">K166-I166-J166</f>
        <v>172513.331749863</v>
      </c>
    </row>
    <row r="168" customFormat="false" ht="12.8" hidden="false" customHeight="false" outlineLevel="0" collapsed="false">
      <c r="E168" s="96" t="n">
        <v>50557</v>
      </c>
      <c r="F168" s="73" t="n">
        <v>161</v>
      </c>
      <c r="G168" s="74" t="n">
        <f aca="false">IF($C$15&lt;K168+(K168*($C$11/$C$13)),$C$15,K168+(K168*($C$11/$C$13)))</f>
        <v>1463.6654893942</v>
      </c>
      <c r="H168" s="74" t="n">
        <f aca="false">K168*$C$11/$C$13</f>
        <v>1003.65996516922</v>
      </c>
      <c r="I168" s="74" t="n">
        <f aca="false">G168-H168</f>
        <v>460.005524224979</v>
      </c>
      <c r="J168" s="73"/>
      <c r="K168" s="74" t="n">
        <f aca="false">K167-I167-J167</f>
        <v>172055.99402901</v>
      </c>
    </row>
    <row r="169" customFormat="false" ht="12.8" hidden="false" customHeight="false" outlineLevel="0" collapsed="false">
      <c r="E169" s="96" t="n">
        <v>50587</v>
      </c>
      <c r="F169" s="73" t="n">
        <v>162</v>
      </c>
      <c r="G169" s="74" t="n">
        <f aca="false">IF($C$15&lt;K169+(K169*($C$11/$C$13)),$C$15,K169+(K169*($C$11/$C$13)))</f>
        <v>1463.6654893942</v>
      </c>
      <c r="H169" s="74" t="n">
        <f aca="false">K169*$C$11/$C$13</f>
        <v>1000.97659961125</v>
      </c>
      <c r="I169" s="74" t="n">
        <f aca="false">G169-H169</f>
        <v>462.688889782958</v>
      </c>
      <c r="J169" s="73"/>
      <c r="K169" s="74" t="n">
        <f aca="false">K168-I168-J168</f>
        <v>171595.988504785</v>
      </c>
    </row>
    <row r="170" customFormat="false" ht="12.8" hidden="false" customHeight="false" outlineLevel="0" collapsed="false">
      <c r="E170" s="96" t="n">
        <v>50618</v>
      </c>
      <c r="F170" s="73" t="n">
        <v>163</v>
      </c>
      <c r="G170" s="74" t="n">
        <f aca="false">IF($C$15&lt;K170+(K170*($C$11/$C$13)),$C$15,K170+(K170*($C$11/$C$13)))</f>
        <v>1463.6654893942</v>
      </c>
      <c r="H170" s="74" t="n">
        <f aca="false">K170*$C$11/$C$13</f>
        <v>998.277581087511</v>
      </c>
      <c r="I170" s="74" t="n">
        <f aca="false">G170-H170</f>
        <v>465.387908306692</v>
      </c>
      <c r="J170" s="73"/>
      <c r="K170" s="74" t="n">
        <f aca="false">K169-I169-J169</f>
        <v>171133.299615002</v>
      </c>
    </row>
    <row r="171" customFormat="false" ht="12.8" hidden="false" customHeight="false" outlineLevel="0" collapsed="false">
      <c r="E171" s="96" t="n">
        <v>50649</v>
      </c>
      <c r="F171" s="73" t="n">
        <v>164</v>
      </c>
      <c r="G171" s="74" t="n">
        <f aca="false">IF($C$15&lt;K171+(K171*($C$11/$C$13)),$C$15,K171+(K171*($C$11/$C$13)))</f>
        <v>1463.6654893942</v>
      </c>
      <c r="H171" s="74" t="n">
        <f aca="false">K171*$C$11/$C$13</f>
        <v>995.562818289055</v>
      </c>
      <c r="I171" s="74" t="n">
        <f aca="false">G171-H171</f>
        <v>468.102671105147</v>
      </c>
      <c r="J171" s="73"/>
      <c r="K171" s="74" t="n">
        <f aca="false">K170-I170-J170</f>
        <v>170667.911706695</v>
      </c>
    </row>
    <row r="172" customFormat="false" ht="12.8" hidden="false" customHeight="false" outlineLevel="0" collapsed="false">
      <c r="E172" s="96" t="n">
        <v>50679</v>
      </c>
      <c r="F172" s="73" t="n">
        <v>165</v>
      </c>
      <c r="G172" s="74" t="n">
        <f aca="false">IF($C$15&lt;K172+(K172*($C$11/$C$13)),$C$15,K172+(K172*($C$11/$C$13)))</f>
        <v>1463.6654893942</v>
      </c>
      <c r="H172" s="74" t="n">
        <f aca="false">K172*$C$11/$C$13</f>
        <v>992.832219374275</v>
      </c>
      <c r="I172" s="74" t="n">
        <f aca="false">G172-H172</f>
        <v>470.833270019928</v>
      </c>
      <c r="J172" s="73"/>
      <c r="K172" s="74" t="n">
        <f aca="false">K171-I171-J171</f>
        <v>170199.80903559</v>
      </c>
    </row>
    <row r="173" customFormat="false" ht="12.8" hidden="false" customHeight="false" outlineLevel="0" collapsed="false">
      <c r="E173" s="96" t="n">
        <v>50710</v>
      </c>
      <c r="F173" s="73" t="n">
        <v>166</v>
      </c>
      <c r="G173" s="74" t="n">
        <f aca="false">IF($C$15&lt;K173+(K173*($C$11/$C$13)),$C$15,K173+(K173*($C$11/$C$13)))</f>
        <v>1463.6654893942</v>
      </c>
      <c r="H173" s="74" t="n">
        <f aca="false">K173*$C$11/$C$13</f>
        <v>990.085691965826</v>
      </c>
      <c r="I173" s="74" t="n">
        <f aca="false">G173-H173</f>
        <v>473.579797428377</v>
      </c>
      <c r="J173" s="73"/>
      <c r="K173" s="74" t="n">
        <f aca="false">K172-I172-J172</f>
        <v>169728.97576557</v>
      </c>
    </row>
    <row r="174" customFormat="false" ht="12.8" hidden="false" customHeight="false" outlineLevel="0" collapsed="false">
      <c r="E174" s="96" t="n">
        <v>50740</v>
      </c>
      <c r="F174" s="73" t="n">
        <v>167</v>
      </c>
      <c r="G174" s="74" t="n">
        <f aca="false">IF($C$15&lt;K174+(K174*($C$11/$C$13)),$C$15,K174+(K174*($C$11/$C$13)))</f>
        <v>1463.6654893942</v>
      </c>
      <c r="H174" s="74" t="n">
        <f aca="false">K174*$C$11/$C$13</f>
        <v>987.323143147494</v>
      </c>
      <c r="I174" s="74" t="n">
        <f aca="false">G174-H174</f>
        <v>476.342346246709</v>
      </c>
      <c r="J174" s="73"/>
      <c r="K174" s="74" t="n">
        <f aca="false">K173-I173-J173</f>
        <v>169255.395968142</v>
      </c>
    </row>
    <row r="175" customFormat="false" ht="12.8" hidden="false" customHeight="false" outlineLevel="0" collapsed="false">
      <c r="E175" s="96" t="n">
        <v>50771</v>
      </c>
      <c r="F175" s="73" t="n">
        <v>168</v>
      </c>
      <c r="G175" s="74" t="n">
        <f aca="false">IF($C$15&lt;K175+(K175*($C$11/$C$13)),$C$15,K175+(K175*($C$11/$C$13)))</f>
        <v>1463.6654893942</v>
      </c>
      <c r="H175" s="74" t="n">
        <f aca="false">K175*$C$11/$C$13</f>
        <v>984.544479461054</v>
      </c>
      <c r="I175" s="74" t="n">
        <f aca="false">G175-H175</f>
        <v>479.121009933148</v>
      </c>
      <c r="J175" s="73"/>
      <c r="K175" s="74" t="n">
        <f aca="false">K174-I174-J174</f>
        <v>168779.053621895</v>
      </c>
    </row>
    <row r="176" customFormat="false" ht="12.8" hidden="false" customHeight="false" outlineLevel="0" collapsed="false">
      <c r="E176" s="96" t="n">
        <v>50802</v>
      </c>
      <c r="F176" s="73" t="n">
        <v>169</v>
      </c>
      <c r="G176" s="74" t="n">
        <f aca="false">IF($C$15&lt;K176+(K176*($C$11/$C$13)),$C$15,K176+(K176*($C$11/$C$13)))</f>
        <v>1463.6654893942</v>
      </c>
      <c r="H176" s="74" t="n">
        <f aca="false">K176*$C$11/$C$13</f>
        <v>981.749606903111</v>
      </c>
      <c r="I176" s="74" t="n">
        <f aca="false">G176-H176</f>
        <v>481.915882491092</v>
      </c>
      <c r="J176" s="73"/>
      <c r="K176" s="74" t="n">
        <f aca="false">K175-I175-J175</f>
        <v>168299.932611962</v>
      </c>
    </row>
    <row r="177" customFormat="false" ht="12.8" hidden="false" customHeight="false" outlineLevel="0" collapsed="false">
      <c r="E177" s="96" t="n">
        <v>50830</v>
      </c>
      <c r="F177" s="73" t="n">
        <v>170</v>
      </c>
      <c r="G177" s="74" t="n">
        <f aca="false">IF($C$15&lt;K177+(K177*($C$11/$C$13)),$C$15,K177+(K177*($C$11/$C$13)))</f>
        <v>1463.6654893942</v>
      </c>
      <c r="H177" s="74" t="n">
        <f aca="false">K177*$C$11/$C$13</f>
        <v>978.938430921913</v>
      </c>
      <c r="I177" s="74" t="n">
        <f aca="false">G177-H177</f>
        <v>484.72705847229</v>
      </c>
      <c r="J177" s="73"/>
      <c r="K177" s="74" t="n">
        <f aca="false">K176-I176-J176</f>
        <v>167818.016729471</v>
      </c>
    </row>
    <row r="178" customFormat="false" ht="12.8" hidden="false" customHeight="false" outlineLevel="0" collapsed="false">
      <c r="E178" s="96" t="n">
        <v>50861</v>
      </c>
      <c r="F178" s="73" t="n">
        <v>171</v>
      </c>
      <c r="G178" s="74" t="n">
        <f aca="false">IF($C$15&lt;K178+(K178*($C$11/$C$13)),$C$15,K178+(K178*($C$11/$C$13)))</f>
        <v>1463.6654893942</v>
      </c>
      <c r="H178" s="74" t="n">
        <f aca="false">K178*$C$11/$C$13</f>
        <v>976.110856414158</v>
      </c>
      <c r="I178" s="74" t="n">
        <f aca="false">G178-H178</f>
        <v>487.554632980045</v>
      </c>
      <c r="J178" s="73"/>
      <c r="K178" s="74" t="n">
        <f aca="false">K177-I177-J177</f>
        <v>167333.289670999</v>
      </c>
    </row>
    <row r="179" customFormat="false" ht="12.8" hidden="false" customHeight="false" outlineLevel="0" collapsed="false">
      <c r="E179" s="96" t="n">
        <v>50891</v>
      </c>
      <c r="F179" s="73" t="n">
        <v>172</v>
      </c>
      <c r="G179" s="74" t="n">
        <f aca="false">IF($C$15&lt;K179+(K179*($C$11/$C$13)),$C$15,K179+(K179*($C$11/$C$13)))</f>
        <v>1463.6654893942</v>
      </c>
      <c r="H179" s="74" t="n">
        <f aca="false">K179*$C$11/$C$13</f>
        <v>973.266787721774</v>
      </c>
      <c r="I179" s="74" t="n">
        <f aca="false">G179-H179</f>
        <v>490.398701672429</v>
      </c>
      <c r="J179" s="73"/>
      <c r="K179" s="74" t="n">
        <f aca="false">K178-I178-J178</f>
        <v>166845.735038018</v>
      </c>
    </row>
    <row r="180" customFormat="false" ht="12.8" hidden="false" customHeight="false" outlineLevel="0" collapsed="false">
      <c r="E180" s="96" t="n">
        <v>50922</v>
      </c>
      <c r="F180" s="73" t="n">
        <v>173</v>
      </c>
      <c r="G180" s="74" t="n">
        <f aca="false">IF($C$15&lt;K180+(K180*($C$11/$C$13)),$C$15,K180+(K180*($C$11/$C$13)))</f>
        <v>1463.6654893942</v>
      </c>
      <c r="H180" s="74" t="n">
        <f aca="false">K180*$C$11/$C$13</f>
        <v>970.406128628685</v>
      </c>
      <c r="I180" s="74" t="n">
        <f aca="false">G180-H180</f>
        <v>493.259360765518</v>
      </c>
      <c r="J180" s="73"/>
      <c r="K180" s="74" t="n">
        <f aca="false">K179-I179-J179</f>
        <v>166355.336336346</v>
      </c>
    </row>
    <row r="181" customFormat="false" ht="12.8" hidden="false" customHeight="false" outlineLevel="0" collapsed="false">
      <c r="E181" s="96" t="n">
        <v>50952</v>
      </c>
      <c r="F181" s="73" t="n">
        <v>174</v>
      </c>
      <c r="G181" s="74" t="n">
        <f aca="false">IF($C$15&lt;K181+(K181*($C$11/$C$13)),$C$15,K181+(K181*($C$11/$C$13)))</f>
        <v>1463.6654893942</v>
      </c>
      <c r="H181" s="74" t="n">
        <f aca="false">K181*$C$11/$C$13</f>
        <v>967.528782357553</v>
      </c>
      <c r="I181" s="74" t="n">
        <f aca="false">G181-H181</f>
        <v>496.13670703665</v>
      </c>
      <c r="J181" s="73"/>
      <c r="K181" s="74" t="n">
        <f aca="false">K180-I180-J180</f>
        <v>165862.076975581</v>
      </c>
    </row>
    <row r="182" customFormat="false" ht="12.8" hidden="false" customHeight="false" outlineLevel="0" collapsed="false">
      <c r="E182" s="96" t="n">
        <v>50983</v>
      </c>
      <c r="F182" s="73" t="n">
        <v>175</v>
      </c>
      <c r="G182" s="74" t="n">
        <f aca="false">IF($C$15&lt;K182+(K182*($C$11/$C$13)),$C$15,K182+(K182*($C$11/$C$13)))</f>
        <v>1463.6654893942</v>
      </c>
      <c r="H182" s="74" t="n">
        <f aca="false">K182*$C$11/$C$13</f>
        <v>964.634651566506</v>
      </c>
      <c r="I182" s="74" t="n">
        <f aca="false">G182-H182</f>
        <v>499.030837827697</v>
      </c>
      <c r="J182" s="73"/>
      <c r="K182" s="74" t="n">
        <f aca="false">K181-I181-J181</f>
        <v>165365.940268544</v>
      </c>
    </row>
    <row r="183" customFormat="false" ht="12.8" hidden="false" customHeight="false" outlineLevel="0" collapsed="false">
      <c r="E183" s="96" t="n">
        <v>51014</v>
      </c>
      <c r="F183" s="73" t="n">
        <v>176</v>
      </c>
      <c r="G183" s="74" t="n">
        <f aca="false">IF($C$15&lt;K183+(K183*($C$11/$C$13)),$C$15,K183+(K183*($C$11/$C$13)))</f>
        <v>1463.6654893942</v>
      </c>
      <c r="H183" s="74" t="n">
        <f aca="false">K183*$C$11/$C$13</f>
        <v>961.723638345844</v>
      </c>
      <c r="I183" s="74" t="n">
        <f aca="false">G183-H183</f>
        <v>501.941851048358</v>
      </c>
      <c r="J183" s="73"/>
      <c r="K183" s="74" t="n">
        <f aca="false">K182-I182-J182</f>
        <v>164866.909430716</v>
      </c>
    </row>
    <row r="184" customFormat="false" ht="12.8" hidden="false" customHeight="false" outlineLevel="0" collapsed="false">
      <c r="E184" s="96" t="n">
        <v>51044</v>
      </c>
      <c r="F184" s="73" t="n">
        <v>177</v>
      </c>
      <c r="G184" s="74" t="n">
        <f aca="false">IF($C$15&lt;K184+(K184*($C$11/$C$13)),$C$15,K184+(K184*($C$11/$C$13)))</f>
        <v>1463.6654893942</v>
      </c>
      <c r="H184" s="74" t="n">
        <f aca="false">K184*$C$11/$C$13</f>
        <v>958.795644214729</v>
      </c>
      <c r="I184" s="74" t="n">
        <f aca="false">G184-H184</f>
        <v>504.869845179474</v>
      </c>
      <c r="J184" s="73"/>
      <c r="K184" s="74" t="n">
        <f aca="false">K183-I183-J183</f>
        <v>164364.967579668</v>
      </c>
    </row>
    <row r="185" customFormat="false" ht="12.8" hidden="false" customHeight="false" outlineLevel="0" collapsed="false">
      <c r="E185" s="96" t="n">
        <v>51075</v>
      </c>
      <c r="F185" s="73" t="n">
        <v>178</v>
      </c>
      <c r="G185" s="74" t="n">
        <f aca="false">IF($C$15&lt;K185+(K185*($C$11/$C$13)),$C$15,K185+(K185*($C$11/$C$13)))</f>
        <v>1463.6654893942</v>
      </c>
      <c r="H185" s="74" t="n">
        <f aca="false">K185*$C$11/$C$13</f>
        <v>955.850570117849</v>
      </c>
      <c r="I185" s="74" t="n">
        <f aca="false">G185-H185</f>
        <v>507.814919276354</v>
      </c>
      <c r="J185" s="73"/>
      <c r="K185" s="74" t="n">
        <f aca="false">K184-I184-J184</f>
        <v>163860.097734488</v>
      </c>
    </row>
    <row r="186" customFormat="false" ht="12.8" hidden="false" customHeight="false" outlineLevel="0" collapsed="false">
      <c r="E186" s="96" t="n">
        <v>51105</v>
      </c>
      <c r="F186" s="73" t="n">
        <v>179</v>
      </c>
      <c r="G186" s="74" t="n">
        <f aca="false">IF($C$15&lt;K186+(K186*($C$11/$C$13)),$C$15,K186+(K186*($C$11/$C$13)))</f>
        <v>1463.6654893942</v>
      </c>
      <c r="H186" s="74" t="n">
        <f aca="false">K186*$C$11/$C$13</f>
        <v>952.88831642207</v>
      </c>
      <c r="I186" s="74" t="n">
        <f aca="false">G186-H186</f>
        <v>510.777172972133</v>
      </c>
      <c r="J186" s="73"/>
      <c r="K186" s="74" t="n">
        <f aca="false">K185-I185-J185</f>
        <v>163352.282815212</v>
      </c>
    </row>
    <row r="187" customFormat="false" ht="12.8" hidden="false" customHeight="false" outlineLevel="0" collapsed="false">
      <c r="E187" s="96" t="n">
        <v>51136</v>
      </c>
      <c r="F187" s="73" t="n">
        <v>180</v>
      </c>
      <c r="G187" s="74" t="n">
        <f aca="false">IF($C$15&lt;K187+(K187*($C$11/$C$13)),$C$15,K187+(K187*($C$11/$C$13)))</f>
        <v>1463.6654893942</v>
      </c>
      <c r="H187" s="74" t="n">
        <f aca="false">K187*$C$11/$C$13</f>
        <v>949.908782913066</v>
      </c>
      <c r="I187" s="74" t="n">
        <f aca="false">G187-H187</f>
        <v>513.756706481137</v>
      </c>
      <c r="J187" s="73"/>
      <c r="K187" s="74" t="n">
        <f aca="false">K186-I186-J186</f>
        <v>162841.50564224</v>
      </c>
    </row>
    <row r="188" customFormat="false" ht="12.8" hidden="false" customHeight="false" outlineLevel="0" collapsed="false">
      <c r="E188" s="96" t="n">
        <v>51167</v>
      </c>
      <c r="F188" s="73" t="n">
        <v>181</v>
      </c>
      <c r="G188" s="74" t="n">
        <f aca="false">IF($C$15&lt;K188+(K188*($C$11/$C$13)),$C$15,K188+(K188*($C$11/$C$13)))</f>
        <v>1463.6654893942</v>
      </c>
      <c r="H188" s="74" t="n">
        <f aca="false">K188*$C$11/$C$13</f>
        <v>946.911868791926</v>
      </c>
      <c r="I188" s="74" t="n">
        <f aca="false">G188-H188</f>
        <v>516.753620602277</v>
      </c>
      <c r="J188" s="73"/>
      <c r="K188" s="74" t="n">
        <f aca="false">K187-I187-J187</f>
        <v>162327.748935759</v>
      </c>
    </row>
    <row r="189" customFormat="false" ht="12.8" hidden="false" customHeight="false" outlineLevel="0" collapsed="false">
      <c r="E189" s="96" t="n">
        <v>51196</v>
      </c>
      <c r="F189" s="73" t="n">
        <v>182</v>
      </c>
      <c r="G189" s="74" t="n">
        <f aca="false">IF($C$15&lt;K189+(K189*($C$11/$C$13)),$C$15,K189+(K189*($C$11/$C$13)))</f>
        <v>1463.6654893942</v>
      </c>
      <c r="H189" s="74" t="n">
        <f aca="false">K189*$C$11/$C$13</f>
        <v>943.897472671746</v>
      </c>
      <c r="I189" s="74" t="n">
        <f aca="false">G189-H189</f>
        <v>519.768016722457</v>
      </c>
      <c r="J189" s="73"/>
      <c r="K189" s="74" t="n">
        <f aca="false">K188-I188-J188</f>
        <v>161810.995315156</v>
      </c>
    </row>
    <row r="190" customFormat="false" ht="12.8" hidden="false" customHeight="false" outlineLevel="0" collapsed="false">
      <c r="E190" s="96" t="n">
        <v>51227</v>
      </c>
      <c r="F190" s="73" t="n">
        <v>183</v>
      </c>
      <c r="G190" s="74" t="n">
        <f aca="false">IF($C$15&lt;K190+(K190*($C$11/$C$13)),$C$15,K190+(K190*($C$11/$C$13)))</f>
        <v>1463.6654893942</v>
      </c>
      <c r="H190" s="74" t="n">
        <f aca="false">K190*$C$11/$C$13</f>
        <v>940.865492574198</v>
      </c>
      <c r="I190" s="74" t="n">
        <f aca="false">G190-H190</f>
        <v>522.799996820005</v>
      </c>
      <c r="J190" s="73"/>
      <c r="K190" s="74" t="n">
        <f aca="false">K189-I189-J189</f>
        <v>161291.227298434</v>
      </c>
    </row>
    <row r="191" customFormat="false" ht="12.8" hidden="false" customHeight="false" outlineLevel="0" collapsed="false">
      <c r="E191" s="96" t="n">
        <v>51257</v>
      </c>
      <c r="F191" s="73" t="n">
        <v>184</v>
      </c>
      <c r="G191" s="74" t="n">
        <f aca="false">IF($C$15&lt;K191+(K191*($C$11/$C$13)),$C$15,K191+(K191*($C$11/$C$13)))</f>
        <v>1463.6654893942</v>
      </c>
      <c r="H191" s="74" t="n">
        <f aca="false">K191*$C$11/$C$13</f>
        <v>937.815825926081</v>
      </c>
      <c r="I191" s="74" t="n">
        <f aca="false">G191-H191</f>
        <v>525.849663468121</v>
      </c>
      <c r="J191" s="73"/>
      <c r="K191" s="74" t="n">
        <f aca="false">K190-I190-J190</f>
        <v>160768.427301614</v>
      </c>
    </row>
    <row r="192" customFormat="false" ht="12.8" hidden="false" customHeight="false" outlineLevel="0" collapsed="false">
      <c r="E192" s="96" t="n">
        <v>51288</v>
      </c>
      <c r="F192" s="73" t="n">
        <v>185</v>
      </c>
      <c r="G192" s="74" t="n">
        <f aca="false">IF($C$15&lt;K192+(K192*($C$11/$C$13)),$C$15,K192+(K192*($C$11/$C$13)))</f>
        <v>1463.6654893942</v>
      </c>
      <c r="H192" s="74" t="n">
        <f aca="false">K192*$C$11/$C$13</f>
        <v>934.748369555851</v>
      </c>
      <c r="I192" s="74" t="n">
        <f aca="false">G192-H192</f>
        <v>528.917119838352</v>
      </c>
      <c r="J192" s="73"/>
      <c r="K192" s="74" t="n">
        <f aca="false">K191-I191-J191</f>
        <v>160242.577638146</v>
      </c>
    </row>
    <row r="193" customFormat="false" ht="12.8" hidden="false" customHeight="false" outlineLevel="0" collapsed="false">
      <c r="E193" s="96" t="n">
        <v>51318</v>
      </c>
      <c r="F193" s="73" t="n">
        <v>186</v>
      </c>
      <c r="G193" s="74" t="n">
        <f aca="false">IF($C$15&lt;K193+(K193*($C$11/$C$13)),$C$15,K193+(K193*($C$11/$C$13)))</f>
        <v>1463.6654893942</v>
      </c>
      <c r="H193" s="74" t="n">
        <f aca="false">K193*$C$11/$C$13</f>
        <v>931.663019690127</v>
      </c>
      <c r="I193" s="74" t="n">
        <f aca="false">G193-H193</f>
        <v>532.002469704076</v>
      </c>
      <c r="J193" s="73"/>
      <c r="K193" s="74" t="n">
        <f aca="false">K192-I192-J192</f>
        <v>159713.660518307</v>
      </c>
    </row>
    <row r="194" customFormat="false" ht="12.8" hidden="false" customHeight="false" outlineLevel="0" collapsed="false">
      <c r="E194" s="96" t="n">
        <v>51349</v>
      </c>
      <c r="F194" s="73" t="n">
        <v>187</v>
      </c>
      <c r="G194" s="74" t="n">
        <f aca="false">IF($C$15&lt;K194+(K194*($C$11/$C$13)),$C$15,K194+(K194*($C$11/$C$13)))</f>
        <v>1463.6654893942</v>
      </c>
      <c r="H194" s="74" t="n">
        <f aca="false">K194*$C$11/$C$13</f>
        <v>928.559671950186</v>
      </c>
      <c r="I194" s="74" t="n">
        <f aca="false">G194-H194</f>
        <v>535.105817444016</v>
      </c>
      <c r="J194" s="73"/>
      <c r="K194" s="74" t="n">
        <f aca="false">K193-I193-J193</f>
        <v>159181.658048603</v>
      </c>
    </row>
    <row r="195" customFormat="false" ht="12.8" hidden="false" customHeight="false" outlineLevel="0" collapsed="false">
      <c r="E195" s="96" t="n">
        <v>51380</v>
      </c>
      <c r="F195" s="73" t="n">
        <v>188</v>
      </c>
      <c r="G195" s="74" t="n">
        <f aca="false">IF($C$15&lt;K195+(K195*($C$11/$C$13)),$C$15,K195+(K195*($C$11/$C$13)))</f>
        <v>1463.6654893942</v>
      </c>
      <c r="H195" s="74" t="n">
        <f aca="false">K195*$C$11/$C$13</f>
        <v>925.43822134843</v>
      </c>
      <c r="I195" s="74" t="n">
        <f aca="false">G195-H195</f>
        <v>538.227268045773</v>
      </c>
      <c r="J195" s="73"/>
      <c r="K195" s="74" t="n">
        <f aca="false">K194-I194-J194</f>
        <v>158646.552231159</v>
      </c>
    </row>
    <row r="196" customFormat="false" ht="12.8" hidden="false" customHeight="false" outlineLevel="0" collapsed="false">
      <c r="E196" s="96" t="n">
        <v>51410</v>
      </c>
      <c r="F196" s="73" t="n">
        <v>189</v>
      </c>
      <c r="G196" s="74" t="n">
        <f aca="false">IF($C$15&lt;K196+(K196*($C$11/$C$13)),$C$15,K196+(K196*($C$11/$C$13)))</f>
        <v>1463.6654893942</v>
      </c>
      <c r="H196" s="74" t="n">
        <f aca="false">K196*$C$11/$C$13</f>
        <v>922.29856228483</v>
      </c>
      <c r="I196" s="74" t="n">
        <f aca="false">G196-H196</f>
        <v>541.366927109373</v>
      </c>
      <c r="J196" s="73"/>
      <c r="K196" s="74" t="n">
        <f aca="false">K195-I195-J195</f>
        <v>158108.324963114</v>
      </c>
    </row>
    <row r="197" customFormat="false" ht="12.8" hidden="false" customHeight="false" outlineLevel="0" collapsed="false">
      <c r="E197" s="96" t="n">
        <v>51441</v>
      </c>
      <c r="F197" s="73" t="n">
        <v>190</v>
      </c>
      <c r="G197" s="74" t="n">
        <f aca="false">IF($C$15&lt;K197+(K197*($C$11/$C$13)),$C$15,K197+(K197*($C$11/$C$13)))</f>
        <v>1463.6654893942</v>
      </c>
      <c r="H197" s="74" t="n">
        <f aca="false">K197*$C$11/$C$13</f>
        <v>919.140588543358</v>
      </c>
      <c r="I197" s="74" t="n">
        <f aca="false">G197-H197</f>
        <v>544.524900850845</v>
      </c>
      <c r="J197" s="73"/>
      <c r="K197" s="74" t="n">
        <f aca="false">K196-I196-J196</f>
        <v>157566.958036004</v>
      </c>
    </row>
    <row r="198" customFormat="false" ht="12.8" hidden="false" customHeight="false" outlineLevel="0" collapsed="false">
      <c r="E198" s="96" t="n">
        <v>51471</v>
      </c>
      <c r="F198" s="73" t="n">
        <v>191</v>
      </c>
      <c r="G198" s="74" t="n">
        <f aca="false">IF($C$15&lt;K198+(K198*($C$11/$C$13)),$C$15,K198+(K198*($C$11/$C$13)))</f>
        <v>1463.6654893942</v>
      </c>
      <c r="H198" s="74" t="n">
        <f aca="false">K198*$C$11/$C$13</f>
        <v>915.964193288395</v>
      </c>
      <c r="I198" s="74" t="n">
        <f aca="false">G198-H198</f>
        <v>547.701296105808</v>
      </c>
      <c r="J198" s="73"/>
      <c r="K198" s="74" t="n">
        <f aca="false">K197-I197-J197</f>
        <v>157022.433135153</v>
      </c>
    </row>
    <row r="199" customFormat="false" ht="12.8" hidden="false" customHeight="false" outlineLevel="0" collapsed="false">
      <c r="E199" s="96" t="n">
        <v>51502</v>
      </c>
      <c r="F199" s="73" t="n">
        <v>192</v>
      </c>
      <c r="G199" s="74" t="n">
        <f aca="false">IF($C$15&lt;K199+(K199*($C$11/$C$13)),$C$15,K199+(K199*($C$11/$C$13)))</f>
        <v>1463.6654893942</v>
      </c>
      <c r="H199" s="74" t="n">
        <f aca="false">K199*$C$11/$C$13</f>
        <v>912.769269061111</v>
      </c>
      <c r="I199" s="74" t="n">
        <f aca="false">G199-H199</f>
        <v>550.896220333092</v>
      </c>
      <c r="J199" s="73"/>
      <c r="K199" s="74" t="n">
        <f aca="false">K198-I198-J198</f>
        <v>156474.731839048</v>
      </c>
    </row>
    <row r="200" customFormat="false" ht="12.8" hidden="false" customHeight="false" outlineLevel="0" collapsed="false">
      <c r="E200" s="96" t="n">
        <v>51533</v>
      </c>
      <c r="F200" s="73" t="n">
        <v>193</v>
      </c>
      <c r="G200" s="74" t="n">
        <f aca="false">IF($C$15&lt;K200+(K200*($C$11/$C$13)),$C$15,K200+(K200*($C$11/$C$13)))</f>
        <v>1463.6654893942</v>
      </c>
      <c r="H200" s="74" t="n">
        <f aca="false">K200*$C$11/$C$13</f>
        <v>909.555707775835</v>
      </c>
      <c r="I200" s="74" t="n">
        <f aca="false">G200-H200</f>
        <v>554.109781618368</v>
      </c>
      <c r="J200" s="73"/>
      <c r="K200" s="74" t="n">
        <f aca="false">K199-I199-J199</f>
        <v>155923.835618715</v>
      </c>
    </row>
    <row r="201" customFormat="false" ht="12.8" hidden="false" customHeight="false" outlineLevel="0" collapsed="false">
      <c r="E201" s="96" t="n">
        <v>51561</v>
      </c>
      <c r="F201" s="73" t="n">
        <v>194</v>
      </c>
      <c r="G201" s="74" t="n">
        <f aca="false">IF($C$15&lt;K201+(K201*($C$11/$C$13)),$C$15,K201+(K201*($C$11/$C$13)))</f>
        <v>1463.6654893942</v>
      </c>
      <c r="H201" s="74" t="n">
        <f aca="false">K201*$C$11/$C$13</f>
        <v>906.323400716394</v>
      </c>
      <c r="I201" s="74" t="n">
        <f aca="false">G201-H201</f>
        <v>557.342088677809</v>
      </c>
      <c r="J201" s="73"/>
      <c r="K201" s="74" t="n">
        <f aca="false">K200-I200-J200</f>
        <v>155369.725837096</v>
      </c>
    </row>
    <row r="202" customFormat="false" ht="12.8" hidden="false" customHeight="false" outlineLevel="0" collapsed="false">
      <c r="E202" s="96" t="n">
        <v>51592</v>
      </c>
      <c r="F202" s="73" t="n">
        <v>195</v>
      </c>
      <c r="G202" s="74" t="n">
        <f aca="false">IF($C$15&lt;K202+(K202*($C$11/$C$13)),$C$15,K202+(K202*($C$11/$C$13)))</f>
        <v>1463.6654893942</v>
      </c>
      <c r="H202" s="74" t="n">
        <f aca="false">K202*$C$11/$C$13</f>
        <v>903.07223853244</v>
      </c>
      <c r="I202" s="74" t="n">
        <f aca="false">G202-H202</f>
        <v>560.593250861762</v>
      </c>
      <c r="J202" s="73"/>
      <c r="K202" s="74" t="n">
        <f aca="false">K201-I201-J201</f>
        <v>154812.383748418</v>
      </c>
    </row>
    <row r="203" customFormat="false" ht="12.8" hidden="false" customHeight="false" outlineLevel="0" collapsed="false">
      <c r="E203" s="96" t="n">
        <v>51622</v>
      </c>
      <c r="F203" s="73" t="n">
        <v>196</v>
      </c>
      <c r="G203" s="74" t="n">
        <f aca="false">IF($C$15&lt;K203+(K203*($C$11/$C$13)),$C$15,K203+(K203*($C$11/$C$13)))</f>
        <v>1463.6654893942</v>
      </c>
      <c r="H203" s="74" t="n">
        <f aca="false">K203*$C$11/$C$13</f>
        <v>899.802111235747</v>
      </c>
      <c r="I203" s="74" t="n">
        <f aca="false">G203-H203</f>
        <v>563.863378158456</v>
      </c>
      <c r="J203" s="73"/>
      <c r="K203" s="74" t="n">
        <f aca="false">K202-I202-J202</f>
        <v>154251.790497557</v>
      </c>
    </row>
    <row r="204" customFormat="false" ht="12.8" hidden="false" customHeight="false" outlineLevel="0" collapsed="false">
      <c r="E204" s="96" t="n">
        <v>51653</v>
      </c>
      <c r="F204" s="73" t="n">
        <v>197</v>
      </c>
      <c r="G204" s="74" t="n">
        <f aca="false">IF($C$15&lt;K204+(K204*($C$11/$C$13)),$C$15,K204+(K204*($C$11/$C$13)))</f>
        <v>1463.6654893942</v>
      </c>
      <c r="H204" s="74" t="n">
        <f aca="false">K204*$C$11/$C$13</f>
        <v>896.512908196489</v>
      </c>
      <c r="I204" s="74" t="n">
        <f aca="false">G204-H204</f>
        <v>567.152581197714</v>
      </c>
      <c r="J204" s="73"/>
      <c r="K204" s="74" t="n">
        <f aca="false">K203-I203-J203</f>
        <v>153687.927119398</v>
      </c>
    </row>
    <row r="205" customFormat="false" ht="12.8" hidden="false" customHeight="false" outlineLevel="0" collapsed="false">
      <c r="E205" s="96" t="n">
        <v>51683</v>
      </c>
      <c r="F205" s="73" t="n">
        <v>198</v>
      </c>
      <c r="G205" s="74" t="n">
        <f aca="false">IF($C$15&lt;K205+(K205*($C$11/$C$13)),$C$15,K205+(K205*($C$11/$C$13)))</f>
        <v>1463.6654893942</v>
      </c>
      <c r="H205" s="74" t="n">
        <f aca="false">K205*$C$11/$C$13</f>
        <v>893.204518139502</v>
      </c>
      <c r="I205" s="74" t="n">
        <f aca="false">G205-H205</f>
        <v>570.4609712547</v>
      </c>
      <c r="J205" s="73"/>
      <c r="K205" s="74" t="n">
        <f aca="false">K204-I204-J204</f>
        <v>153120.7745382</v>
      </c>
    </row>
    <row r="206" customFormat="false" ht="12.8" hidden="false" customHeight="false" outlineLevel="0" collapsed="false">
      <c r="E206" s="96" t="n">
        <v>51714</v>
      </c>
      <c r="F206" s="73" t="n">
        <v>199</v>
      </c>
      <c r="G206" s="74" t="n">
        <f aca="false">IF($C$15&lt;K206+(K206*($C$11/$C$13)),$C$15,K206+(K206*($C$11/$C$13)))</f>
        <v>1463.6654893942</v>
      </c>
      <c r="H206" s="74" t="n">
        <f aca="false">K206*$C$11/$C$13</f>
        <v>889.876829140517</v>
      </c>
      <c r="I206" s="74" t="n">
        <f aca="false">G206-H206</f>
        <v>573.788660253686</v>
      </c>
      <c r="J206" s="73"/>
      <c r="K206" s="74" t="n">
        <f aca="false">K205-I205-J205</f>
        <v>152550.313566946</v>
      </c>
    </row>
    <row r="207" customFormat="false" ht="12.8" hidden="false" customHeight="false" outlineLevel="0" collapsed="false">
      <c r="E207" s="96" t="n">
        <v>51745</v>
      </c>
      <c r="F207" s="73" t="n">
        <v>200</v>
      </c>
      <c r="G207" s="74" t="n">
        <f aca="false">IF($C$15&lt;K207+(K207*($C$11/$C$13)),$C$15,K207+(K207*($C$11/$C$13)))</f>
        <v>1463.6654893942</v>
      </c>
      <c r="H207" s="74" t="n">
        <f aca="false">K207*$C$11/$C$13</f>
        <v>886.52972862237</v>
      </c>
      <c r="I207" s="74" t="n">
        <f aca="false">G207-H207</f>
        <v>577.135760771833</v>
      </c>
      <c r="J207" s="73"/>
      <c r="K207" s="74" t="n">
        <f aca="false">K206-I206-J206</f>
        <v>151976.524906692</v>
      </c>
    </row>
    <row r="208" customFormat="false" ht="12.8" hidden="false" customHeight="false" outlineLevel="0" collapsed="false">
      <c r="E208" s="96" t="n">
        <v>51775</v>
      </c>
      <c r="F208" s="73" t="n">
        <v>201</v>
      </c>
      <c r="G208" s="74" t="n">
        <f aca="false">IF($C$15&lt;K208+(K208*($C$11/$C$13)),$C$15,K208+(K208*($C$11/$C$13)))</f>
        <v>1463.6654893942</v>
      </c>
      <c r="H208" s="74" t="n">
        <f aca="false">K208*$C$11/$C$13</f>
        <v>883.163103351201</v>
      </c>
      <c r="I208" s="74" t="n">
        <f aca="false">G208-H208</f>
        <v>580.502386043002</v>
      </c>
      <c r="J208" s="73"/>
      <c r="K208" s="74" t="n">
        <f aca="false">K207-I207-J207</f>
        <v>151399.38914592</v>
      </c>
    </row>
    <row r="209" customFormat="false" ht="12.8" hidden="false" customHeight="false" outlineLevel="0" collapsed="false">
      <c r="E209" s="96" t="n">
        <v>51806</v>
      </c>
      <c r="F209" s="73" t="n">
        <v>202</v>
      </c>
      <c r="G209" s="74" t="n">
        <f aca="false">IF($C$15&lt;K209+(K209*($C$11/$C$13)),$C$15,K209+(K209*($C$11/$C$13)))</f>
        <v>1463.6654893942</v>
      </c>
      <c r="H209" s="74" t="n">
        <f aca="false">K209*$C$11/$C$13</f>
        <v>879.776839432617</v>
      </c>
      <c r="I209" s="74" t="n">
        <f aca="false">G209-H209</f>
        <v>583.888649961586</v>
      </c>
      <c r="J209" s="73"/>
      <c r="K209" s="74" t="n">
        <f aca="false">K208-I208-J208</f>
        <v>150818.886759877</v>
      </c>
    </row>
    <row r="210" customFormat="false" ht="12.8" hidden="false" customHeight="false" outlineLevel="0" collapsed="false">
      <c r="E210" s="96" t="n">
        <v>51836</v>
      </c>
      <c r="F210" s="73" t="n">
        <v>203</v>
      </c>
      <c r="G210" s="74" t="n">
        <f aca="false">IF($C$15&lt;K210+(K210*($C$11/$C$13)),$C$15,K210+(K210*($C$11/$C$13)))</f>
        <v>1463.6654893942</v>
      </c>
      <c r="H210" s="74" t="n">
        <f aca="false">K210*$C$11/$C$13</f>
        <v>876.370822307841</v>
      </c>
      <c r="I210" s="74" t="n">
        <f aca="false">G210-H210</f>
        <v>587.294667086362</v>
      </c>
      <c r="J210" s="73"/>
      <c r="K210" s="74" t="n">
        <f aca="false">K209-I209-J209</f>
        <v>150234.998109916</v>
      </c>
    </row>
    <row r="211" customFormat="false" ht="12.8" hidden="false" customHeight="false" outlineLevel="0" collapsed="false">
      <c r="E211" s="96" t="n">
        <v>51867</v>
      </c>
      <c r="F211" s="73" t="n">
        <v>204</v>
      </c>
      <c r="G211" s="74" t="n">
        <f aca="false">IF($C$15&lt;K211+(K211*($C$11/$C$13)),$C$15,K211+(K211*($C$11/$C$13)))</f>
        <v>1463.6654893942</v>
      </c>
      <c r="H211" s="74" t="n">
        <f aca="false">K211*$C$11/$C$13</f>
        <v>872.944936749837</v>
      </c>
      <c r="I211" s="74" t="n">
        <f aca="false">G211-H211</f>
        <v>590.720552644366</v>
      </c>
      <c r="J211" s="73"/>
      <c r="K211" s="74" t="n">
        <f aca="false">K210-I210-J210</f>
        <v>149647.703442829</v>
      </c>
    </row>
    <row r="212" customFormat="false" ht="12.8" hidden="false" customHeight="false" outlineLevel="0" collapsed="false">
      <c r="E212" s="96" t="n">
        <v>51898</v>
      </c>
      <c r="F212" s="73" t="n">
        <v>205</v>
      </c>
      <c r="G212" s="74" t="n">
        <f aca="false">IF($C$15&lt;K212+(K212*($C$11/$C$13)),$C$15,K212+(K212*($C$11/$C$13)))</f>
        <v>1463.6654893942</v>
      </c>
      <c r="H212" s="74" t="n">
        <f aca="false">K212*$C$11/$C$13</f>
        <v>869.499066859412</v>
      </c>
      <c r="I212" s="74" t="n">
        <f aca="false">G212-H212</f>
        <v>594.166422534791</v>
      </c>
      <c r="J212" s="73"/>
      <c r="K212" s="74" t="n">
        <f aca="false">K211-I211-J211</f>
        <v>149056.982890185</v>
      </c>
    </row>
    <row r="213" customFormat="false" ht="12.8" hidden="false" customHeight="false" outlineLevel="0" collapsed="false">
      <c r="E213" s="96" t="n">
        <v>51926</v>
      </c>
      <c r="F213" s="73" t="n">
        <v>206</v>
      </c>
      <c r="G213" s="74" t="n">
        <f aca="false">IF($C$15&lt;K213+(K213*($C$11/$C$13)),$C$15,K213+(K213*($C$11/$C$13)))</f>
        <v>1463.6654893942</v>
      </c>
      <c r="H213" s="74" t="n">
        <f aca="false">K213*$C$11/$C$13</f>
        <v>866.033096061292</v>
      </c>
      <c r="I213" s="74" t="n">
        <f aca="false">G213-H213</f>
        <v>597.632393332911</v>
      </c>
      <c r="J213" s="73"/>
      <c r="K213" s="74" t="n">
        <f aca="false">K212-I212-J212</f>
        <v>148462.81646765</v>
      </c>
    </row>
    <row r="214" customFormat="false" ht="12.8" hidden="false" customHeight="false" outlineLevel="0" collapsed="false">
      <c r="E214" s="96" t="n">
        <v>51957</v>
      </c>
      <c r="F214" s="73" t="n">
        <v>207</v>
      </c>
      <c r="G214" s="74" t="n">
        <f aca="false">IF($C$15&lt;K214+(K214*($C$11/$C$13)),$C$15,K214+(K214*($C$11/$C$13)))</f>
        <v>1463.6654893942</v>
      </c>
      <c r="H214" s="74" t="n">
        <f aca="false">K214*$C$11/$C$13</f>
        <v>862.546907100183</v>
      </c>
      <c r="I214" s="74" t="n">
        <f aca="false">G214-H214</f>
        <v>601.118582294019</v>
      </c>
      <c r="J214" s="73"/>
      <c r="K214" s="74" t="n">
        <f aca="false">K213-I213-J213</f>
        <v>147865.184074317</v>
      </c>
    </row>
    <row r="215" customFormat="false" ht="12.8" hidden="false" customHeight="false" outlineLevel="0" collapsed="false">
      <c r="E215" s="96" t="n">
        <v>51987</v>
      </c>
      <c r="F215" s="73" t="n">
        <v>208</v>
      </c>
      <c r="G215" s="74" t="n">
        <f aca="false">IF($C$15&lt;K215+(K215*($C$11/$C$13)),$C$15,K215+(K215*($C$11/$C$13)))</f>
        <v>1463.6654893942</v>
      </c>
      <c r="H215" s="74" t="n">
        <f aca="false">K215*$C$11/$C$13</f>
        <v>859.040382036802</v>
      </c>
      <c r="I215" s="74" t="n">
        <f aca="false">G215-H215</f>
        <v>604.625107357401</v>
      </c>
      <c r="J215" s="73"/>
      <c r="K215" s="74" t="n">
        <f aca="false">K214-I214-J214</f>
        <v>147264.065492023</v>
      </c>
    </row>
    <row r="216" customFormat="false" ht="12.8" hidden="false" customHeight="false" outlineLevel="0" collapsed="false">
      <c r="E216" s="96" t="n">
        <v>52018</v>
      </c>
      <c r="F216" s="73" t="n">
        <v>209</v>
      </c>
      <c r="G216" s="74" t="n">
        <f aca="false">IF($C$15&lt;K216+(K216*($C$11/$C$13)),$C$15,K216+(K216*($C$11/$C$13)))</f>
        <v>1463.6654893942</v>
      </c>
      <c r="H216" s="74" t="n">
        <f aca="false">K216*$C$11/$C$13</f>
        <v>855.513402243883</v>
      </c>
      <c r="I216" s="74" t="n">
        <f aca="false">G216-H216</f>
        <v>608.152087150319</v>
      </c>
      <c r="J216" s="73"/>
      <c r="K216" s="74" t="n">
        <f aca="false">K215-I215-J215</f>
        <v>146659.440384666</v>
      </c>
    </row>
    <row r="217" customFormat="false" ht="12.8" hidden="false" customHeight="false" outlineLevel="0" collapsed="false">
      <c r="E217" s="96" t="n">
        <v>52048</v>
      </c>
      <c r="F217" s="73" t="n">
        <v>210</v>
      </c>
      <c r="G217" s="74" t="n">
        <f aca="false">IF($C$15&lt;K217+(K217*($C$11/$C$13)),$C$15,K217+(K217*($C$11/$C$13)))</f>
        <v>1463.6654893942</v>
      </c>
      <c r="H217" s="74" t="n">
        <f aca="false">K217*$C$11/$C$13</f>
        <v>851.965848402173</v>
      </c>
      <c r="I217" s="74" t="n">
        <f aca="false">G217-H217</f>
        <v>611.699640992029</v>
      </c>
      <c r="J217" s="73"/>
      <c r="K217" s="74" t="n">
        <f aca="false">K216-I216-J216</f>
        <v>146051.288297515</v>
      </c>
    </row>
    <row r="218" customFormat="false" ht="12.8" hidden="false" customHeight="false" outlineLevel="0" collapsed="false">
      <c r="E218" s="96" t="n">
        <v>52079</v>
      </c>
      <c r="F218" s="73" t="n">
        <v>211</v>
      </c>
      <c r="G218" s="74" t="n">
        <f aca="false">IF($C$15&lt;K218+(K218*($C$11/$C$13)),$C$15,K218+(K218*($C$11/$C$13)))</f>
        <v>1463.6654893942</v>
      </c>
      <c r="H218" s="74" t="n">
        <f aca="false">K218*$C$11/$C$13</f>
        <v>848.397600496387</v>
      </c>
      <c r="I218" s="74" t="n">
        <f aca="false">G218-H218</f>
        <v>615.267888897816</v>
      </c>
      <c r="J218" s="73"/>
      <c r="K218" s="74" t="n">
        <f aca="false">K217-I217-J217</f>
        <v>145439.588656523</v>
      </c>
    </row>
    <row r="219" customFormat="false" ht="12.8" hidden="false" customHeight="false" outlineLevel="0" collapsed="false">
      <c r="E219" s="96" t="n">
        <v>52110</v>
      </c>
      <c r="F219" s="73" t="n">
        <v>212</v>
      </c>
      <c r="G219" s="74" t="n">
        <f aca="false">IF($C$15&lt;K219+(K219*($C$11/$C$13)),$C$15,K219+(K219*($C$11/$C$13)))</f>
        <v>1463.6654893942</v>
      </c>
      <c r="H219" s="74" t="n">
        <f aca="false">K219*$C$11/$C$13</f>
        <v>844.808537811149</v>
      </c>
      <c r="I219" s="74" t="n">
        <f aca="false">G219-H219</f>
        <v>618.856951583054</v>
      </c>
      <c r="J219" s="73"/>
      <c r="K219" s="74" t="n">
        <f aca="false">K218-I218-J218</f>
        <v>144824.320767626</v>
      </c>
    </row>
    <row r="220" customFormat="false" ht="12.8" hidden="false" customHeight="false" outlineLevel="0" collapsed="false">
      <c r="E220" s="96" t="n">
        <v>52140</v>
      </c>
      <c r="F220" s="73" t="n">
        <v>213</v>
      </c>
      <c r="G220" s="74" t="n">
        <f aca="false">IF($C$15&lt;K220+(K220*($C$11/$C$13)),$C$15,K220+(K220*($C$11/$C$13)))</f>
        <v>1463.6654893942</v>
      </c>
      <c r="H220" s="74" t="n">
        <f aca="false">K220*$C$11/$C$13</f>
        <v>841.198538926915</v>
      </c>
      <c r="I220" s="74" t="n">
        <f aca="false">G220-H220</f>
        <v>622.466950467288</v>
      </c>
      <c r="J220" s="73"/>
      <c r="K220" s="74" t="n">
        <f aca="false">K219-I219-J219</f>
        <v>144205.463816043</v>
      </c>
    </row>
    <row r="221" customFormat="false" ht="12.8" hidden="false" customHeight="false" outlineLevel="0" collapsed="false">
      <c r="E221" s="96" t="n">
        <v>52171</v>
      </c>
      <c r="F221" s="73" t="n">
        <v>214</v>
      </c>
      <c r="G221" s="74" t="n">
        <f aca="false">IF($C$15&lt;K221+(K221*($C$11/$C$13)),$C$15,K221+(K221*($C$11/$C$13)))</f>
        <v>1463.6654893942</v>
      </c>
      <c r="H221" s="74" t="n">
        <f aca="false">K221*$C$11/$C$13</f>
        <v>837.567481715855</v>
      </c>
      <c r="I221" s="74" t="n">
        <f aca="false">G221-H221</f>
        <v>626.098007678347</v>
      </c>
      <c r="J221" s="73"/>
      <c r="K221" s="74" t="n">
        <f aca="false">K220-I220-J220</f>
        <v>143582.996865575</v>
      </c>
    </row>
    <row r="222" customFormat="false" ht="12.8" hidden="false" customHeight="false" outlineLevel="0" collapsed="false">
      <c r="E222" s="96" t="n">
        <v>52201</v>
      </c>
      <c r="F222" s="73" t="n">
        <v>215</v>
      </c>
      <c r="G222" s="74" t="n">
        <f aca="false">IF($C$15&lt;K222+(K222*($C$11/$C$13)),$C$15,K222+(K222*($C$11/$C$13)))</f>
        <v>1463.6654893942</v>
      </c>
      <c r="H222" s="74" t="n">
        <f aca="false">K222*$C$11/$C$13</f>
        <v>833.915243337732</v>
      </c>
      <c r="I222" s="74" t="n">
        <f aca="false">G222-H222</f>
        <v>629.750246056471</v>
      </c>
      <c r="J222" s="73"/>
      <c r="K222" s="74" t="n">
        <f aca="false">K221-I221-J221</f>
        <v>142956.898857897</v>
      </c>
    </row>
    <row r="223" customFormat="false" ht="12.8" hidden="false" customHeight="false" outlineLevel="0" collapsed="false">
      <c r="E223" s="96" t="n">
        <v>52232</v>
      </c>
      <c r="F223" s="73" t="n">
        <v>216</v>
      </c>
      <c r="G223" s="74" t="n">
        <f aca="false">IF($C$15&lt;K223+(K223*($C$11/$C$13)),$C$15,K223+(K223*($C$11/$C$13)))</f>
        <v>1463.6654893942</v>
      </c>
      <c r="H223" s="74" t="n">
        <f aca="false">K223*$C$11/$C$13</f>
        <v>830.241700235736</v>
      </c>
      <c r="I223" s="74" t="n">
        <f aca="false">G223-H223</f>
        <v>633.423789158467</v>
      </c>
      <c r="J223" s="73"/>
      <c r="K223" s="74" t="n">
        <f aca="false">K222-I222-J222</f>
        <v>142327.14861184</v>
      </c>
    </row>
    <row r="224" customFormat="false" ht="12.8" hidden="false" customHeight="false" outlineLevel="0" collapsed="false">
      <c r="E224" s="96" t="n">
        <v>52263</v>
      </c>
      <c r="F224" s="73" t="n">
        <v>217</v>
      </c>
      <c r="G224" s="74" t="n">
        <f aca="false">IF($C$15&lt;K224+(K224*($C$11/$C$13)),$C$15,K224+(K224*($C$11/$C$13)))</f>
        <v>1463.6654893942</v>
      </c>
      <c r="H224" s="74" t="n">
        <f aca="false">K224*$C$11/$C$13</f>
        <v>826.546728132311</v>
      </c>
      <c r="I224" s="74" t="n">
        <f aca="false">G224-H224</f>
        <v>637.118761261891</v>
      </c>
      <c r="J224" s="73"/>
      <c r="K224" s="74" t="n">
        <f aca="false">K223-I223-J223</f>
        <v>141693.724822682</v>
      </c>
    </row>
    <row r="225" customFormat="false" ht="12.8" hidden="false" customHeight="false" outlineLevel="0" collapsed="false">
      <c r="E225" s="96" t="n">
        <v>52291</v>
      </c>
      <c r="F225" s="73" t="n">
        <v>218</v>
      </c>
      <c r="G225" s="74" t="n">
        <f aca="false">IF($C$15&lt;K225+(K225*($C$11/$C$13)),$C$15,K225+(K225*($C$11/$C$13)))</f>
        <v>1463.6654893942</v>
      </c>
      <c r="H225" s="74" t="n">
        <f aca="false">K225*$C$11/$C$13</f>
        <v>822.83020202495</v>
      </c>
      <c r="I225" s="74" t="n">
        <f aca="false">G225-H225</f>
        <v>640.835287369252</v>
      </c>
      <c r="J225" s="73"/>
      <c r="K225" s="74" t="n">
        <f aca="false">K224-I224-J224</f>
        <v>141056.60606142</v>
      </c>
    </row>
    <row r="226" customFormat="false" ht="12.8" hidden="false" customHeight="false" outlineLevel="0" collapsed="false">
      <c r="E226" s="96" t="n">
        <v>52322</v>
      </c>
      <c r="F226" s="73" t="n">
        <v>219</v>
      </c>
      <c r="G226" s="74" t="n">
        <f aca="false">IF($C$15&lt;K226+(K226*($C$11/$C$13)),$C$15,K226+(K226*($C$11/$C$13)))</f>
        <v>1463.6654893942</v>
      </c>
      <c r="H226" s="74" t="n">
        <f aca="false">K226*$C$11/$C$13</f>
        <v>819.091996181963</v>
      </c>
      <c r="I226" s="74" t="n">
        <f aca="false">G226-H226</f>
        <v>644.57349321224</v>
      </c>
      <c r="J226" s="73"/>
      <c r="K226" s="74" t="n">
        <f aca="false">K225-I225-J225</f>
        <v>140415.770774051</v>
      </c>
    </row>
    <row r="227" customFormat="false" ht="12.8" hidden="false" customHeight="false" outlineLevel="0" collapsed="false">
      <c r="E227" s="96" t="n">
        <v>52352</v>
      </c>
      <c r="F227" s="73" t="n">
        <v>220</v>
      </c>
      <c r="G227" s="74" t="n">
        <f aca="false">IF($C$15&lt;K227+(K227*($C$11/$C$13)),$C$15,K227+(K227*($C$11/$C$13)))</f>
        <v>1463.6654893942</v>
      </c>
      <c r="H227" s="74" t="n">
        <f aca="false">K227*$C$11/$C$13</f>
        <v>815.331984138225</v>
      </c>
      <c r="I227" s="74" t="n">
        <f aca="false">G227-H227</f>
        <v>648.333505255978</v>
      </c>
      <c r="J227" s="73"/>
      <c r="K227" s="74" t="n">
        <f aca="false">K226-I226-J226</f>
        <v>139771.197280839</v>
      </c>
    </row>
    <row r="228" customFormat="false" ht="12.8" hidden="false" customHeight="false" outlineLevel="0" collapsed="false">
      <c r="E228" s="96" t="n">
        <v>52383</v>
      </c>
      <c r="F228" s="73" t="n">
        <v>221</v>
      </c>
      <c r="G228" s="74" t="n">
        <f aca="false">IF($C$15&lt;K228+(K228*($C$11/$C$13)),$C$15,K228+(K228*($C$11/$C$13)))</f>
        <v>1463.6654893942</v>
      </c>
      <c r="H228" s="74" t="n">
        <f aca="false">K228*$C$11/$C$13</f>
        <v>811.550038690898</v>
      </c>
      <c r="I228" s="74" t="n">
        <f aca="false">G228-H228</f>
        <v>652.115450703304</v>
      </c>
      <c r="J228" s="73"/>
      <c r="K228" s="74" t="n">
        <f aca="false">K227-I227-J227</f>
        <v>139122.863775583</v>
      </c>
    </row>
    <row r="229" customFormat="false" ht="12.8" hidden="false" customHeight="false" outlineLevel="0" collapsed="false">
      <c r="E229" s="96" t="n">
        <v>52413</v>
      </c>
      <c r="F229" s="73" t="n">
        <v>222</v>
      </c>
      <c r="G229" s="74" t="n">
        <f aca="false">IF($C$15&lt;K229+(K229*($C$11/$C$13)),$C$15,K229+(K229*($C$11/$C$13)))</f>
        <v>1463.6654893942</v>
      </c>
      <c r="H229" s="74" t="n">
        <f aca="false">K229*$C$11/$C$13</f>
        <v>807.746031895129</v>
      </c>
      <c r="I229" s="74" t="n">
        <f aca="false">G229-H229</f>
        <v>655.919457499074</v>
      </c>
      <c r="J229" s="73"/>
      <c r="K229" s="74" t="n">
        <f aca="false">K228-I228-J228</f>
        <v>138470.748324879</v>
      </c>
    </row>
    <row r="230" customFormat="false" ht="12.8" hidden="false" customHeight="false" outlineLevel="0" collapsed="false">
      <c r="E230" s="96" t="n">
        <v>52444</v>
      </c>
      <c r="F230" s="73" t="n">
        <v>223</v>
      </c>
      <c r="G230" s="74" t="n">
        <f aca="false">IF($C$15&lt;K230+(K230*($C$11/$C$13)),$C$15,K230+(K230*($C$11/$C$13)))</f>
        <v>1463.6654893942</v>
      </c>
      <c r="H230" s="74" t="n">
        <f aca="false">K230*$C$11/$C$13</f>
        <v>803.919835059718</v>
      </c>
      <c r="I230" s="74" t="n">
        <f aca="false">G230-H230</f>
        <v>659.745654334485</v>
      </c>
      <c r="J230" s="73"/>
      <c r="K230" s="74" t="n">
        <f aca="false">K229-I229-J229</f>
        <v>137814.82886738</v>
      </c>
    </row>
    <row r="231" customFormat="false" ht="12.8" hidden="false" customHeight="false" outlineLevel="0" collapsed="false">
      <c r="E231" s="96" t="n">
        <v>52475</v>
      </c>
      <c r="F231" s="73" t="n">
        <v>224</v>
      </c>
      <c r="G231" s="74" t="n">
        <f aca="false">IF($C$15&lt;K231+(K231*($C$11/$C$13)),$C$15,K231+(K231*($C$11/$C$13)))</f>
        <v>1463.6654893942</v>
      </c>
      <c r="H231" s="74" t="n">
        <f aca="false">K231*$C$11/$C$13</f>
        <v>800.071318742767</v>
      </c>
      <c r="I231" s="74" t="n">
        <f aca="false">G231-H231</f>
        <v>663.594170651436</v>
      </c>
      <c r="J231" s="73"/>
      <c r="K231" s="74" t="n">
        <f aca="false">K230-I230-J230</f>
        <v>137155.083213046</v>
      </c>
    </row>
    <row r="232" customFormat="false" ht="12.8" hidden="false" customHeight="false" outlineLevel="0" collapsed="false">
      <c r="E232" s="96" t="n">
        <v>52505</v>
      </c>
      <c r="F232" s="73" t="n">
        <v>225</v>
      </c>
      <c r="G232" s="74" t="n">
        <f aca="false">IF($C$15&lt;K232+(K232*($C$11/$C$13)),$C$15,K232+(K232*($C$11/$C$13)))</f>
        <v>1463.6654893942</v>
      </c>
      <c r="H232" s="74" t="n">
        <f aca="false">K232*$C$11/$C$13</f>
        <v>796.2003527473</v>
      </c>
      <c r="I232" s="74" t="n">
        <f aca="false">G232-H232</f>
        <v>667.465136646903</v>
      </c>
      <c r="J232" s="73"/>
      <c r="K232" s="74" t="n">
        <f aca="false">K231-I231-J231</f>
        <v>136491.489042394</v>
      </c>
    </row>
    <row r="233" customFormat="false" ht="12.8" hidden="false" customHeight="false" outlineLevel="0" collapsed="false">
      <c r="E233" s="96" t="n">
        <v>52536</v>
      </c>
      <c r="F233" s="73" t="n">
        <v>226</v>
      </c>
      <c r="G233" s="74" t="n">
        <f aca="false">IF($C$15&lt;K233+(K233*($C$11/$C$13)),$C$15,K233+(K233*($C$11/$C$13)))</f>
        <v>1463.6654893942</v>
      </c>
      <c r="H233" s="74" t="n">
        <f aca="false">K233*$C$11/$C$13</f>
        <v>792.30680611686</v>
      </c>
      <c r="I233" s="74" t="n">
        <f aca="false">G233-H233</f>
        <v>671.358683277343</v>
      </c>
      <c r="J233" s="73"/>
      <c r="K233" s="74" t="n">
        <f aca="false">K232-I232-J232</f>
        <v>135824.023905747</v>
      </c>
    </row>
    <row r="234" customFormat="false" ht="12.8" hidden="false" customHeight="false" outlineLevel="0" collapsed="false">
      <c r="E234" s="96" t="n">
        <v>52566</v>
      </c>
      <c r="F234" s="73" t="n">
        <v>227</v>
      </c>
      <c r="G234" s="74" t="n">
        <f aca="false">IF($C$15&lt;K234+(K234*($C$11/$C$13)),$C$15,K234+(K234*($C$11/$C$13)))</f>
        <v>1463.6654893942</v>
      </c>
      <c r="H234" s="74" t="n">
        <f aca="false">K234*$C$11/$C$13</f>
        <v>788.390547131075</v>
      </c>
      <c r="I234" s="74" t="n">
        <f aca="false">G234-H234</f>
        <v>675.274942263128</v>
      </c>
      <c r="J234" s="73"/>
      <c r="K234" s="74" t="n">
        <f aca="false">K233-I233-J233</f>
        <v>135152.66522247</v>
      </c>
    </row>
    <row r="235" customFormat="false" ht="12.8" hidden="false" customHeight="false" outlineLevel="0" collapsed="false">
      <c r="E235" s="96" t="n">
        <v>52597</v>
      </c>
      <c r="F235" s="73" t="n">
        <v>228</v>
      </c>
      <c r="G235" s="74" t="n">
        <f aca="false">IF($C$15&lt;K235+(K235*($C$11/$C$13)),$C$15,K235+(K235*($C$11/$C$13)))</f>
        <v>1463.6654893942</v>
      </c>
      <c r="H235" s="74" t="n">
        <f aca="false">K235*$C$11/$C$13</f>
        <v>784.451443301207</v>
      </c>
      <c r="I235" s="74" t="n">
        <f aca="false">G235-H235</f>
        <v>679.214046092996</v>
      </c>
      <c r="J235" s="73"/>
      <c r="K235" s="74" t="n">
        <f aca="false">K234-I234-J234</f>
        <v>134477.390280207</v>
      </c>
    </row>
    <row r="236" customFormat="false" ht="12.8" hidden="false" customHeight="false" outlineLevel="0" collapsed="false">
      <c r="E236" s="96" t="n">
        <v>52628</v>
      </c>
      <c r="F236" s="73" t="n">
        <v>229</v>
      </c>
      <c r="G236" s="74" t="n">
        <f aca="false">IF($C$15&lt;K236+(K236*($C$11/$C$13)),$C$15,K236+(K236*($C$11/$C$13)))</f>
        <v>1463.6654893942</v>
      </c>
      <c r="H236" s="74" t="n">
        <f aca="false">K236*$C$11/$C$13</f>
        <v>780.489361365665</v>
      </c>
      <c r="I236" s="74" t="n">
        <f aca="false">G236-H236</f>
        <v>683.176128028538</v>
      </c>
      <c r="J236" s="73"/>
      <c r="K236" s="74" t="n">
        <f aca="false">K235-I235-J235</f>
        <v>133798.176234114</v>
      </c>
    </row>
    <row r="237" customFormat="false" ht="12.8" hidden="false" customHeight="false" outlineLevel="0" collapsed="false">
      <c r="E237" s="96" t="n">
        <v>52657</v>
      </c>
      <c r="F237" s="73" t="n">
        <v>230</v>
      </c>
      <c r="G237" s="74" t="n">
        <f aca="false">IF($C$15&lt;K237+(K237*($C$11/$C$13)),$C$15,K237+(K237*($C$11/$C$13)))</f>
        <v>1463.6654893942</v>
      </c>
      <c r="H237" s="74" t="n">
        <f aca="false">K237*$C$11/$C$13</f>
        <v>776.504167285498</v>
      </c>
      <c r="I237" s="74" t="n">
        <f aca="false">G237-H237</f>
        <v>687.161322108705</v>
      </c>
      <c r="J237" s="73"/>
      <c r="K237" s="74" t="n">
        <f aca="false">K236-I236-J236</f>
        <v>133115.000106085</v>
      </c>
    </row>
    <row r="238" customFormat="false" ht="12.8" hidden="false" customHeight="false" outlineLevel="0" collapsed="false">
      <c r="E238" s="96" t="n">
        <v>52688</v>
      </c>
      <c r="F238" s="73" t="n">
        <v>231</v>
      </c>
      <c r="G238" s="74" t="n">
        <f aca="false">IF($C$15&lt;K238+(K238*($C$11/$C$13)),$C$15,K238+(K238*($C$11/$C$13)))</f>
        <v>1463.6654893942</v>
      </c>
      <c r="H238" s="74" t="n">
        <f aca="false">K238*$C$11/$C$13</f>
        <v>772.495726239864</v>
      </c>
      <c r="I238" s="74" t="n">
        <f aca="false">G238-H238</f>
        <v>691.169763154339</v>
      </c>
      <c r="J238" s="73"/>
      <c r="K238" s="74" t="n">
        <f aca="false">K237-I237-J237</f>
        <v>132427.838783977</v>
      </c>
    </row>
    <row r="239" customFormat="false" ht="12.8" hidden="false" customHeight="false" outlineLevel="0" collapsed="false">
      <c r="E239" s="96" t="n">
        <v>52718</v>
      </c>
      <c r="F239" s="73" t="n">
        <v>232</v>
      </c>
      <c r="G239" s="74" t="n">
        <f aca="false">IF($C$15&lt;K239+(K239*($C$11/$C$13)),$C$15,K239+(K239*($C$11/$C$13)))</f>
        <v>1463.6654893942</v>
      </c>
      <c r="H239" s="74" t="n">
        <f aca="false">K239*$C$11/$C$13</f>
        <v>768.463902621464</v>
      </c>
      <c r="I239" s="74" t="n">
        <f aca="false">G239-H239</f>
        <v>695.201586772739</v>
      </c>
      <c r="J239" s="73"/>
      <c r="K239" s="74" t="n">
        <f aca="false">K238-I238-J238</f>
        <v>131736.669020822</v>
      </c>
    </row>
    <row r="240" customFormat="false" ht="12.8" hidden="false" customHeight="false" outlineLevel="0" collapsed="false">
      <c r="E240" s="96" t="n">
        <v>52749</v>
      </c>
      <c r="F240" s="73" t="n">
        <v>233</v>
      </c>
      <c r="G240" s="74" t="n">
        <f aca="false">IF($C$15&lt;K240+(K240*($C$11/$C$13)),$C$15,K240+(K240*($C$11/$C$13)))</f>
        <v>1463.6654893942</v>
      </c>
      <c r="H240" s="74" t="n">
        <f aca="false">K240*$C$11/$C$13</f>
        <v>764.408560031956</v>
      </c>
      <c r="I240" s="74" t="n">
        <f aca="false">G240-H240</f>
        <v>699.256929362247</v>
      </c>
      <c r="J240" s="73"/>
      <c r="K240" s="74" t="n">
        <f aca="false">K239-I239-J239</f>
        <v>131041.46743405</v>
      </c>
    </row>
    <row r="241" customFormat="false" ht="12.8" hidden="false" customHeight="false" outlineLevel="0" collapsed="false">
      <c r="E241" s="96" t="n">
        <v>52779</v>
      </c>
      <c r="F241" s="73" t="n">
        <v>234</v>
      </c>
      <c r="G241" s="74" t="n">
        <f aca="false">IF($C$15&lt;K241+(K241*($C$11/$C$13)),$C$15,K241+(K241*($C$11/$C$13)))</f>
        <v>1463.6654893942</v>
      </c>
      <c r="H241" s="74" t="n">
        <f aca="false">K241*$C$11/$C$13</f>
        <v>760.329561277343</v>
      </c>
      <c r="I241" s="74" t="n">
        <f aca="false">G241-H241</f>
        <v>703.33592811686</v>
      </c>
      <c r="J241" s="73"/>
      <c r="K241" s="74" t="n">
        <f aca="false">K240-I240-J240</f>
        <v>130342.210504687</v>
      </c>
    </row>
    <row r="242" customFormat="false" ht="12.8" hidden="false" customHeight="false" outlineLevel="0" collapsed="false">
      <c r="E242" s="96" t="n">
        <v>52810</v>
      </c>
      <c r="F242" s="73" t="n">
        <v>235</v>
      </c>
      <c r="G242" s="74" t="n">
        <f aca="false">IF($C$15&lt;K242+(K242*($C$11/$C$13)),$C$15,K242+(K242*($C$11/$C$13)))</f>
        <v>1463.6654893942</v>
      </c>
      <c r="H242" s="74" t="n">
        <f aca="false">K242*$C$11/$C$13</f>
        <v>756.226768363328</v>
      </c>
      <c r="I242" s="74" t="n">
        <f aca="false">G242-H242</f>
        <v>707.438721030875</v>
      </c>
      <c r="J242" s="73"/>
      <c r="K242" s="74" t="n">
        <f aca="false">K241-I241-J241</f>
        <v>129638.87457657</v>
      </c>
    </row>
    <row r="243" customFormat="false" ht="12.8" hidden="false" customHeight="false" outlineLevel="0" collapsed="false">
      <c r="E243" s="96" t="n">
        <v>52841</v>
      </c>
      <c r="F243" s="73" t="n">
        <v>236</v>
      </c>
      <c r="G243" s="74" t="n">
        <f aca="false">IF($C$15&lt;K243+(K243*($C$11/$C$13)),$C$15,K243+(K243*($C$11/$C$13)))</f>
        <v>1463.6654893942</v>
      </c>
      <c r="H243" s="74" t="n">
        <f aca="false">K243*$C$11/$C$13</f>
        <v>752.100042490648</v>
      </c>
      <c r="I243" s="74" t="n">
        <f aca="false">G243-H243</f>
        <v>711.565446903555</v>
      </c>
      <c r="J243" s="73"/>
      <c r="K243" s="74" t="n">
        <f aca="false">K242-I242-J242</f>
        <v>128931.43585554</v>
      </c>
    </row>
    <row r="244" customFormat="false" ht="12.8" hidden="false" customHeight="false" outlineLevel="0" collapsed="false">
      <c r="E244" s="96" t="n">
        <v>52871</v>
      </c>
      <c r="F244" s="73" t="n">
        <v>237</v>
      </c>
      <c r="G244" s="74" t="n">
        <f aca="false">IF($C$15&lt;K244+(K244*($C$11/$C$13)),$C$15,K244+(K244*($C$11/$C$13)))</f>
        <v>1463.6654893942</v>
      </c>
      <c r="H244" s="74" t="n">
        <f aca="false">K244*$C$11/$C$13</f>
        <v>747.949244050377</v>
      </c>
      <c r="I244" s="74" t="n">
        <f aca="false">G244-H244</f>
        <v>715.716245343826</v>
      </c>
      <c r="J244" s="73"/>
      <c r="K244" s="74" t="n">
        <f aca="false">K243-I243-J243</f>
        <v>128219.870408636</v>
      </c>
    </row>
    <row r="245" customFormat="false" ht="12.8" hidden="false" customHeight="false" outlineLevel="0" collapsed="false">
      <c r="E245" s="96" t="n">
        <v>52902</v>
      </c>
      <c r="F245" s="73" t="n">
        <v>238</v>
      </c>
      <c r="G245" s="74" t="n">
        <f aca="false">IF($C$15&lt;K245+(K245*($C$11/$C$13)),$C$15,K245+(K245*($C$11/$C$13)))</f>
        <v>1463.6654893942</v>
      </c>
      <c r="H245" s="74" t="n">
        <f aca="false">K245*$C$11/$C$13</f>
        <v>743.774232619205</v>
      </c>
      <c r="I245" s="74" t="n">
        <f aca="false">G245-H245</f>
        <v>719.891256774998</v>
      </c>
      <c r="J245" s="73"/>
      <c r="K245" s="74" t="n">
        <f aca="false">K244-I244-J244</f>
        <v>127504.154163292</v>
      </c>
    </row>
    <row r="246" customFormat="false" ht="12.8" hidden="false" customHeight="false" outlineLevel="0" collapsed="false">
      <c r="E246" s="96" t="n">
        <v>52932</v>
      </c>
      <c r="F246" s="73" t="n">
        <v>239</v>
      </c>
      <c r="G246" s="74" t="n">
        <f aca="false">IF($C$15&lt;K246+(K246*($C$11/$C$13)),$C$15,K246+(K246*($C$11/$C$13)))</f>
        <v>1463.6654893942</v>
      </c>
      <c r="H246" s="74" t="n">
        <f aca="false">K246*$C$11/$C$13</f>
        <v>739.574866954684</v>
      </c>
      <c r="I246" s="74" t="n">
        <f aca="false">G246-H246</f>
        <v>724.090622439519</v>
      </c>
      <c r="J246" s="73"/>
      <c r="K246" s="74" t="n">
        <f aca="false">K245-I245-J245</f>
        <v>126784.262906517</v>
      </c>
    </row>
    <row r="247" customFormat="false" ht="12.8" hidden="false" customHeight="false" outlineLevel="0" collapsed="false">
      <c r="E247" s="96" t="n">
        <v>52963</v>
      </c>
      <c r="F247" s="73" t="n">
        <v>240</v>
      </c>
      <c r="G247" s="74" t="n">
        <f aca="false">IF($C$15&lt;K247+(K247*($C$11/$C$13)),$C$15,K247+(K247*($C$11/$C$13)))</f>
        <v>1463.6654893942</v>
      </c>
      <c r="H247" s="74" t="n">
        <f aca="false">K247*$C$11/$C$13</f>
        <v>735.351004990453</v>
      </c>
      <c r="I247" s="74" t="n">
        <f aca="false">G247-H247</f>
        <v>728.31448440375</v>
      </c>
      <c r="J247" s="73"/>
      <c r="K247" s="74" t="n">
        <f aca="false">K246-I246-J246</f>
        <v>126060.172284078</v>
      </c>
    </row>
    <row r="248" customFormat="false" ht="12.8" hidden="false" customHeight="false" outlineLevel="0" collapsed="false">
      <c r="E248" s="96" t="n">
        <v>52994</v>
      </c>
      <c r="F248" s="73" t="n">
        <v>241</v>
      </c>
      <c r="G248" s="74" t="n">
        <f aca="false">IF($C$15&lt;K248+(K248*($C$11/$C$13)),$C$15,K248+(K248*($C$11/$C$13)))</f>
        <v>1463.6654893942</v>
      </c>
      <c r="H248" s="74" t="n">
        <f aca="false">K248*$C$11/$C$13</f>
        <v>731.102503831431</v>
      </c>
      <c r="I248" s="74" t="n">
        <f aca="false">G248-H248</f>
        <v>732.562985562771</v>
      </c>
      <c r="J248" s="73"/>
      <c r="K248" s="74" t="n">
        <f aca="false">K247-I247-J247</f>
        <v>125331.857799674</v>
      </c>
    </row>
    <row r="249" customFormat="false" ht="12.8" hidden="false" customHeight="false" outlineLevel="0" collapsed="false">
      <c r="E249" s="96" t="n">
        <v>53022</v>
      </c>
      <c r="F249" s="73" t="n">
        <v>242</v>
      </c>
      <c r="G249" s="74" t="n">
        <f aca="false">IF($C$15&lt;K249+(K249*($C$11/$C$13)),$C$15,K249+(K249*($C$11/$C$13)))</f>
        <v>1463.6654893942</v>
      </c>
      <c r="H249" s="74" t="n">
        <f aca="false">K249*$C$11/$C$13</f>
        <v>726.829219748982</v>
      </c>
      <c r="I249" s="74" t="n">
        <f aca="false">G249-H249</f>
        <v>736.836269645221</v>
      </c>
      <c r="J249" s="73"/>
      <c r="K249" s="74" t="n">
        <f aca="false">K248-I248-J248</f>
        <v>124599.294814111</v>
      </c>
    </row>
    <row r="250" customFormat="false" ht="12.8" hidden="false" customHeight="false" outlineLevel="0" collapsed="false">
      <c r="E250" s="96" t="n">
        <v>53053</v>
      </c>
      <c r="F250" s="73" t="n">
        <v>243</v>
      </c>
      <c r="G250" s="74" t="n">
        <f aca="false">IF($C$15&lt;K250+(K250*($C$11/$C$13)),$C$15,K250+(K250*($C$11/$C$13)))</f>
        <v>1463.6654893942</v>
      </c>
      <c r="H250" s="74" t="n">
        <f aca="false">K250*$C$11/$C$13</f>
        <v>722.531008176051</v>
      </c>
      <c r="I250" s="74" t="n">
        <f aca="false">G250-H250</f>
        <v>741.134481218151</v>
      </c>
      <c r="J250" s="73"/>
      <c r="K250" s="74" t="n">
        <f aca="false">K249-I249-J249</f>
        <v>123862.458544466</v>
      </c>
    </row>
    <row r="251" customFormat="false" ht="12.8" hidden="false" customHeight="false" outlineLevel="0" collapsed="false">
      <c r="E251" s="96" t="n">
        <v>53083</v>
      </c>
      <c r="F251" s="73" t="n">
        <v>244</v>
      </c>
      <c r="G251" s="74" t="n">
        <f aca="false">IF($C$15&lt;K251+(K251*($C$11/$C$13)),$C$15,K251+(K251*($C$11/$C$13)))</f>
        <v>1463.6654893942</v>
      </c>
      <c r="H251" s="74" t="n">
        <f aca="false">K251*$C$11/$C$13</f>
        <v>718.207723702279</v>
      </c>
      <c r="I251" s="74" t="n">
        <f aca="false">G251-H251</f>
        <v>745.457765691924</v>
      </c>
      <c r="J251" s="73"/>
      <c r="K251" s="74" t="n">
        <f aca="false">K250-I250-J250</f>
        <v>123121.324063248</v>
      </c>
    </row>
    <row r="252" customFormat="false" ht="12.8" hidden="false" customHeight="false" outlineLevel="0" collapsed="false">
      <c r="E252" s="96" t="n">
        <v>53114</v>
      </c>
      <c r="F252" s="73" t="n">
        <v>245</v>
      </c>
      <c r="G252" s="74" t="n">
        <f aca="false">IF($C$15&lt;K252+(K252*($C$11/$C$13)),$C$15,K252+(K252*($C$11/$C$13)))</f>
        <v>1463.6654893942</v>
      </c>
      <c r="H252" s="74" t="n">
        <f aca="false">K252*$C$11/$C$13</f>
        <v>713.859220069076</v>
      </c>
      <c r="I252" s="74" t="n">
        <f aca="false">G252-H252</f>
        <v>749.806269325127</v>
      </c>
      <c r="J252" s="73"/>
      <c r="K252" s="74" t="n">
        <f aca="false">K251-I251-J251</f>
        <v>122375.866297556</v>
      </c>
    </row>
    <row r="253" customFormat="false" ht="12.8" hidden="false" customHeight="false" outlineLevel="0" collapsed="false">
      <c r="E253" s="96" t="n">
        <v>53144</v>
      </c>
      <c r="F253" s="73" t="n">
        <v>246</v>
      </c>
      <c r="G253" s="74" t="n">
        <f aca="false">IF($C$15&lt;K253+(K253*($C$11/$C$13)),$C$15,K253+(K253*($C$11/$C$13)))</f>
        <v>1463.6654893942</v>
      </c>
      <c r="H253" s="74" t="n">
        <f aca="false">K253*$C$11/$C$13</f>
        <v>709.485350164679</v>
      </c>
      <c r="I253" s="74" t="n">
        <f aca="false">G253-H253</f>
        <v>754.180139229523</v>
      </c>
      <c r="J253" s="73"/>
      <c r="K253" s="74" t="n">
        <f aca="false">K252-I252-J252</f>
        <v>121626.060028231</v>
      </c>
    </row>
    <row r="254" customFormat="false" ht="12.8" hidden="false" customHeight="false" outlineLevel="0" collapsed="false">
      <c r="E254" s="96" t="n">
        <v>53175</v>
      </c>
      <c r="F254" s="73" t="n">
        <v>247</v>
      </c>
      <c r="G254" s="74" t="n">
        <f aca="false">IF($C$15&lt;K254+(K254*($C$11/$C$13)),$C$15,K254+(K254*($C$11/$C$13)))</f>
        <v>1463.6654893942</v>
      </c>
      <c r="H254" s="74" t="n">
        <f aca="false">K254*$C$11/$C$13</f>
        <v>705.085966019174</v>
      </c>
      <c r="I254" s="74" t="n">
        <f aca="false">G254-H254</f>
        <v>758.579523375029</v>
      </c>
      <c r="J254" s="73"/>
      <c r="K254" s="74" t="n">
        <f aca="false">K253-I253-J253</f>
        <v>120871.879889001</v>
      </c>
    </row>
    <row r="255" customFormat="false" ht="12.8" hidden="false" customHeight="false" outlineLevel="0" collapsed="false">
      <c r="E255" s="96" t="n">
        <v>53206</v>
      </c>
      <c r="F255" s="73" t="n">
        <v>248</v>
      </c>
      <c r="G255" s="74" t="n">
        <f aca="false">IF($C$15&lt;K255+(K255*($C$11/$C$13)),$C$15,K255+(K255*($C$11/$C$13)))</f>
        <v>1463.6654893942</v>
      </c>
      <c r="H255" s="74" t="n">
        <f aca="false">K255*$C$11/$C$13</f>
        <v>700.660918799486</v>
      </c>
      <c r="I255" s="74" t="n">
        <f aca="false">G255-H255</f>
        <v>763.004570594717</v>
      </c>
      <c r="J255" s="73"/>
      <c r="K255" s="74" t="n">
        <f aca="false">K254-I254-J254</f>
        <v>120113.300365626</v>
      </c>
    </row>
    <row r="256" customFormat="false" ht="12.8" hidden="false" customHeight="false" outlineLevel="0" collapsed="false">
      <c r="E256" s="96" t="n">
        <v>53236</v>
      </c>
      <c r="F256" s="73" t="n">
        <v>249</v>
      </c>
      <c r="G256" s="74" t="n">
        <f aca="false">IF($C$15&lt;K256+(K256*($C$11/$C$13)),$C$15,K256+(K256*($C$11/$C$13)))</f>
        <v>1463.6654893942</v>
      </c>
      <c r="H256" s="74" t="n">
        <f aca="false">K256*$C$11/$C$13</f>
        <v>696.21005880435</v>
      </c>
      <c r="I256" s="74" t="n">
        <f aca="false">G256-H256</f>
        <v>767.455430589852</v>
      </c>
      <c r="J256" s="73"/>
      <c r="K256" s="74" t="n">
        <f aca="false">K255-I255-J255</f>
        <v>119350.295795031</v>
      </c>
    </row>
    <row r="257" customFormat="false" ht="12.8" hidden="false" customHeight="false" outlineLevel="0" collapsed="false">
      <c r="E257" s="96" t="n">
        <v>53267</v>
      </c>
      <c r="F257" s="73" t="n">
        <v>250</v>
      </c>
      <c r="G257" s="74" t="n">
        <f aca="false">IF($C$15&lt;K257+(K257*($C$11/$C$13)),$C$15,K257+(K257*($C$11/$C$13)))</f>
        <v>1463.6654893942</v>
      </c>
      <c r="H257" s="74" t="n">
        <f aca="false">K257*$C$11/$C$13</f>
        <v>691.733235459243</v>
      </c>
      <c r="I257" s="74" t="n">
        <f aca="false">G257-H257</f>
        <v>771.93225393496</v>
      </c>
      <c r="J257" s="73"/>
      <c r="K257" s="74" t="n">
        <f aca="false">K256-I256-J256</f>
        <v>118582.840364442</v>
      </c>
    </row>
    <row r="258" customFormat="false" ht="12.8" hidden="false" customHeight="false" outlineLevel="0" collapsed="false">
      <c r="E258" s="96" t="n">
        <v>53297</v>
      </c>
      <c r="F258" s="73" t="n">
        <v>251</v>
      </c>
      <c r="G258" s="74" t="n">
        <f aca="false">IF($C$15&lt;K258+(K258*($C$11/$C$13)),$C$15,K258+(K258*($C$11/$C$13)))</f>
        <v>1463.6654893942</v>
      </c>
      <c r="H258" s="74" t="n">
        <f aca="false">K258*$C$11/$C$13</f>
        <v>687.230297311289</v>
      </c>
      <c r="I258" s="74" t="n">
        <f aca="false">G258-H258</f>
        <v>776.435192082914</v>
      </c>
      <c r="J258" s="73"/>
      <c r="K258" s="74" t="n">
        <f aca="false">K257-I257-J257</f>
        <v>117810.908110507</v>
      </c>
    </row>
    <row r="259" customFormat="false" ht="12.8" hidden="false" customHeight="false" outlineLevel="0" collapsed="false">
      <c r="E259" s="96" t="n">
        <v>53328</v>
      </c>
      <c r="F259" s="73" t="n">
        <v>252</v>
      </c>
      <c r="G259" s="74" t="n">
        <f aca="false">IF($C$15&lt;K259+(K259*($C$11/$C$13)),$C$15,K259+(K259*($C$11/$C$13)))</f>
        <v>1463.6654893942</v>
      </c>
      <c r="H259" s="74" t="n">
        <f aca="false">K259*$C$11/$C$13</f>
        <v>682.701092024139</v>
      </c>
      <c r="I259" s="74" t="n">
        <f aca="false">G259-H259</f>
        <v>780.964397370064</v>
      </c>
      <c r="J259" s="73"/>
      <c r="K259" s="74" t="n">
        <f aca="false">K258-I258-J258</f>
        <v>117034.472918424</v>
      </c>
    </row>
    <row r="260" customFormat="false" ht="12.8" hidden="false" customHeight="false" outlineLevel="0" collapsed="false">
      <c r="E260" s="96" t="n">
        <v>53359</v>
      </c>
      <c r="F260" s="73" t="n">
        <v>253</v>
      </c>
      <c r="G260" s="74" t="n">
        <f aca="false">IF($C$15&lt;K260+(K260*($C$11/$C$13)),$C$15,K260+(K260*($C$11/$C$13)))</f>
        <v>1463.6654893942</v>
      </c>
      <c r="H260" s="74" t="n">
        <f aca="false">K260*$C$11/$C$13</f>
        <v>678.145466372813</v>
      </c>
      <c r="I260" s="74" t="n">
        <f aca="false">G260-H260</f>
        <v>785.520023021389</v>
      </c>
      <c r="J260" s="73"/>
      <c r="K260" s="74" t="n">
        <f aca="false">K259-I259-J259</f>
        <v>116253.508521054</v>
      </c>
    </row>
    <row r="261" customFormat="false" ht="12.8" hidden="false" customHeight="false" outlineLevel="0" collapsed="false">
      <c r="E261" s="96" t="n">
        <v>53387</v>
      </c>
      <c r="F261" s="73" t="n">
        <v>254</v>
      </c>
      <c r="G261" s="74" t="n">
        <f aca="false">IF($C$15&lt;K261+(K261*($C$11/$C$13)),$C$15,K261+(K261*($C$11/$C$13)))</f>
        <v>1463.6654893942</v>
      </c>
      <c r="H261" s="74" t="n">
        <f aca="false">K261*$C$11/$C$13</f>
        <v>673.563266238522</v>
      </c>
      <c r="I261" s="74" t="n">
        <f aca="false">G261-H261</f>
        <v>790.102223155681</v>
      </c>
      <c r="J261" s="73"/>
      <c r="K261" s="74" t="n">
        <f aca="false">K260-I260-J260</f>
        <v>115467.988498032</v>
      </c>
    </row>
    <row r="262" customFormat="false" ht="12.8" hidden="false" customHeight="false" outlineLevel="0" collapsed="false">
      <c r="E262" s="96" t="n">
        <v>53418</v>
      </c>
      <c r="F262" s="73" t="n">
        <v>255</v>
      </c>
      <c r="G262" s="74" t="n">
        <f aca="false">IF($C$15&lt;K262+(K262*($C$11/$C$13)),$C$15,K262+(K262*($C$11/$C$13)))</f>
        <v>1463.6654893942</v>
      </c>
      <c r="H262" s="74" t="n">
        <f aca="false">K262*$C$11/$C$13</f>
        <v>668.954336603447</v>
      </c>
      <c r="I262" s="74" t="n">
        <f aca="false">G262-H262</f>
        <v>794.711152790756</v>
      </c>
      <c r="J262" s="73"/>
      <c r="K262" s="74" t="n">
        <f aca="false">K261-I261-J261</f>
        <v>114677.886274877</v>
      </c>
    </row>
    <row r="263" customFormat="false" ht="12.8" hidden="false" customHeight="false" outlineLevel="0" collapsed="false">
      <c r="E263" s="96" t="n">
        <v>53448</v>
      </c>
      <c r="F263" s="73" t="n">
        <v>256</v>
      </c>
      <c r="G263" s="74" t="n">
        <f aca="false">IF($C$15&lt;K263+(K263*($C$11/$C$13)),$C$15,K263+(K263*($C$11/$C$13)))</f>
        <v>1463.6654893942</v>
      </c>
      <c r="H263" s="74" t="n">
        <f aca="false">K263*$C$11/$C$13</f>
        <v>664.318521545501</v>
      </c>
      <c r="I263" s="74" t="n">
        <f aca="false">G263-H263</f>
        <v>799.346967848702</v>
      </c>
      <c r="J263" s="73"/>
      <c r="K263" s="74" t="n">
        <f aca="false">K262-I262-J262</f>
        <v>113883.175122086</v>
      </c>
    </row>
    <row r="264" customFormat="false" ht="12.8" hidden="false" customHeight="false" outlineLevel="0" collapsed="false">
      <c r="E264" s="96" t="n">
        <v>53479</v>
      </c>
      <c r="F264" s="73" t="n">
        <v>257</v>
      </c>
      <c r="G264" s="74" t="n">
        <f aca="false">IF($C$15&lt;K264+(K264*($C$11/$C$13)),$C$15,K264+(K264*($C$11/$C$13)))</f>
        <v>1463.6654893942</v>
      </c>
      <c r="H264" s="74" t="n">
        <f aca="false">K264*$C$11/$C$13</f>
        <v>659.65566423305</v>
      </c>
      <c r="I264" s="74" t="n">
        <f aca="false">G264-H264</f>
        <v>804.009825161153</v>
      </c>
      <c r="J264" s="73"/>
      <c r="K264" s="74" t="n">
        <f aca="false">K263-I263-J263</f>
        <v>113083.828154237</v>
      </c>
    </row>
    <row r="265" customFormat="false" ht="12.8" hidden="false" customHeight="false" outlineLevel="0" collapsed="false">
      <c r="E265" s="96" t="n">
        <v>53509</v>
      </c>
      <c r="F265" s="73" t="n">
        <v>258</v>
      </c>
      <c r="G265" s="74" t="n">
        <f aca="false">IF($C$15&lt;K265+(K265*($C$11/$C$13)),$C$15,K265+(K265*($C$11/$C$13)))</f>
        <v>1463.6654893942</v>
      </c>
      <c r="H265" s="74" t="n">
        <f aca="false">K265*$C$11/$C$13</f>
        <v>654.96560691961</v>
      </c>
      <c r="I265" s="74" t="n">
        <f aca="false">G265-H265</f>
        <v>808.699882474593</v>
      </c>
      <c r="J265" s="73"/>
      <c r="K265" s="74" t="n">
        <f aca="false">K264-I264-J264</f>
        <v>112279.818329076</v>
      </c>
    </row>
    <row r="266" customFormat="false" ht="12.8" hidden="false" customHeight="false" outlineLevel="0" collapsed="false">
      <c r="E266" s="96" t="n">
        <v>53540</v>
      </c>
      <c r="F266" s="73" t="n">
        <v>259</v>
      </c>
      <c r="G266" s="74" t="n">
        <f aca="false">IF($C$15&lt;K266+(K266*($C$11/$C$13)),$C$15,K266+(K266*($C$11/$C$13)))</f>
        <v>1463.6654893942</v>
      </c>
      <c r="H266" s="74" t="n">
        <f aca="false">K266*$C$11/$C$13</f>
        <v>650.248190938508</v>
      </c>
      <c r="I266" s="74" t="n">
        <f aca="false">G266-H266</f>
        <v>813.417298455694</v>
      </c>
      <c r="J266" s="73"/>
      <c r="K266" s="74" t="n">
        <f aca="false">K265-I265-J265</f>
        <v>111471.118446601</v>
      </c>
    </row>
    <row r="267" customFormat="false" ht="12.8" hidden="false" customHeight="false" outlineLevel="0" collapsed="false">
      <c r="E267" s="96" t="n">
        <v>53571</v>
      </c>
      <c r="F267" s="73" t="n">
        <v>260</v>
      </c>
      <c r="G267" s="74" t="n">
        <f aca="false">IF($C$15&lt;K267+(K267*($C$11/$C$13)),$C$15,K267+(K267*($C$11/$C$13)))</f>
        <v>1463.6654893942</v>
      </c>
      <c r="H267" s="74" t="n">
        <f aca="false">K267*$C$11/$C$13</f>
        <v>645.503256697517</v>
      </c>
      <c r="I267" s="74" t="n">
        <f aca="false">G267-H267</f>
        <v>818.162232696686</v>
      </c>
      <c r="J267" s="73"/>
      <c r="K267" s="74" t="n">
        <f aca="false">K266-I266-J266</f>
        <v>110657.701148146</v>
      </c>
    </row>
    <row r="268" customFormat="false" ht="12.8" hidden="false" customHeight="false" outlineLevel="0" collapsed="false">
      <c r="E268" s="96" t="n">
        <v>53601</v>
      </c>
      <c r="F268" s="73" t="n">
        <v>261</v>
      </c>
      <c r="G268" s="74" t="n">
        <f aca="false">IF($C$15&lt;K268+(K268*($C$11/$C$13)),$C$15,K268+(K268*($C$11/$C$13)))</f>
        <v>1463.6654893942</v>
      </c>
      <c r="H268" s="74" t="n">
        <f aca="false">K268*$C$11/$C$13</f>
        <v>640.730643673453</v>
      </c>
      <c r="I268" s="74" t="n">
        <f aca="false">G268-H268</f>
        <v>822.93484572075</v>
      </c>
      <c r="J268" s="73"/>
      <c r="K268" s="74" t="n">
        <f aca="false">K267-I267-J267</f>
        <v>109839.538915449</v>
      </c>
    </row>
    <row r="269" customFormat="false" ht="12.8" hidden="false" customHeight="false" outlineLevel="0" collapsed="false">
      <c r="E269" s="96" t="n">
        <v>53632</v>
      </c>
      <c r="F269" s="73" t="n">
        <v>262</v>
      </c>
      <c r="G269" s="74" t="n">
        <f aca="false">IF($C$15&lt;K269+(K269*($C$11/$C$13)),$C$15,K269+(K269*($C$11/$C$13)))</f>
        <v>1463.6654893942</v>
      </c>
      <c r="H269" s="74" t="n">
        <f aca="false">K269*$C$11/$C$13</f>
        <v>635.930190406748</v>
      </c>
      <c r="I269" s="74" t="n">
        <f aca="false">G269-H269</f>
        <v>827.735298987454</v>
      </c>
      <c r="J269" s="73"/>
      <c r="K269" s="74" t="n">
        <f aca="false">K268-I268-J268</f>
        <v>109016.604069728</v>
      </c>
    </row>
    <row r="270" customFormat="false" ht="12.8" hidden="false" customHeight="false" outlineLevel="0" collapsed="false">
      <c r="E270" s="96" t="n">
        <v>53662</v>
      </c>
      <c r="F270" s="73" t="n">
        <v>263</v>
      </c>
      <c r="G270" s="74" t="n">
        <f aca="false">IF($C$15&lt;K270+(K270*($C$11/$C$13)),$C$15,K270+(K270*($C$11/$C$13)))</f>
        <v>1463.6654893942</v>
      </c>
      <c r="H270" s="74" t="n">
        <f aca="false">K270*$C$11/$C$13</f>
        <v>631.101734495988</v>
      </c>
      <c r="I270" s="74" t="n">
        <f aca="false">G270-H270</f>
        <v>832.563754898215</v>
      </c>
      <c r="J270" s="73"/>
      <c r="K270" s="74" t="n">
        <f aca="false">K269-I269-J269</f>
        <v>108188.868770741</v>
      </c>
    </row>
    <row r="271" customFormat="false" ht="12.8" hidden="false" customHeight="false" outlineLevel="0" collapsed="false">
      <c r="E271" s="96" t="n">
        <v>53693</v>
      </c>
      <c r="F271" s="73" t="n">
        <v>264</v>
      </c>
      <c r="G271" s="74" t="n">
        <f aca="false">IF($C$15&lt;K271+(K271*($C$11/$C$13)),$C$15,K271+(K271*($C$11/$C$13)))</f>
        <v>1463.6654893942</v>
      </c>
      <c r="H271" s="74" t="n">
        <f aca="false">K271*$C$11/$C$13</f>
        <v>626.245112592415</v>
      </c>
      <c r="I271" s="74" t="n">
        <f aca="false">G271-H271</f>
        <v>837.420376801788</v>
      </c>
      <c r="J271" s="73"/>
      <c r="K271" s="74" t="n">
        <f aca="false">K270-I270-J270</f>
        <v>107356.305015843</v>
      </c>
    </row>
    <row r="272" customFormat="false" ht="12.8" hidden="false" customHeight="false" outlineLevel="0" collapsed="false">
      <c r="E272" s="96" t="n">
        <v>53724</v>
      </c>
      <c r="F272" s="73" t="n">
        <v>265</v>
      </c>
      <c r="G272" s="74" t="n">
        <f aca="false">IF($C$15&lt;K272+(K272*($C$11/$C$13)),$C$15,K272+(K272*($C$11/$C$13)))</f>
        <v>1463.6654893942</v>
      </c>
      <c r="H272" s="74" t="n">
        <f aca="false">K272*$C$11/$C$13</f>
        <v>621.360160394405</v>
      </c>
      <c r="I272" s="74" t="n">
        <f aca="false">G272-H272</f>
        <v>842.305328999798</v>
      </c>
      <c r="J272" s="73"/>
      <c r="K272" s="74" t="n">
        <f aca="false">K271-I271-J271</f>
        <v>106518.884639041</v>
      </c>
    </row>
    <row r="273" customFormat="false" ht="12.8" hidden="false" customHeight="false" outlineLevel="0" collapsed="false">
      <c r="E273" s="96" t="n">
        <v>53752</v>
      </c>
      <c r="F273" s="73" t="n">
        <v>266</v>
      </c>
      <c r="G273" s="74" t="n">
        <f aca="false">IF($C$15&lt;K273+(K273*($C$11/$C$13)),$C$15,K273+(K273*($C$11/$C$13)))</f>
        <v>1463.6654893942</v>
      </c>
      <c r="H273" s="74" t="n">
        <f aca="false">K273*$C$11/$C$13</f>
        <v>616.446712641906</v>
      </c>
      <c r="I273" s="74" t="n">
        <f aca="false">G273-H273</f>
        <v>847.218776752297</v>
      </c>
      <c r="J273" s="73"/>
      <c r="K273" s="74" t="n">
        <f aca="false">K272-I272-J272</f>
        <v>105676.579310041</v>
      </c>
    </row>
    <row r="274" customFormat="false" ht="12.8" hidden="false" customHeight="false" outlineLevel="0" collapsed="false">
      <c r="E274" s="96" t="n">
        <v>53783</v>
      </c>
      <c r="F274" s="73" t="n">
        <v>267</v>
      </c>
      <c r="G274" s="74" t="n">
        <f aca="false">IF($C$15&lt;K274+(K274*($C$11/$C$13)),$C$15,K274+(K274*($C$11/$C$13)))</f>
        <v>1463.6654893942</v>
      </c>
      <c r="H274" s="74" t="n">
        <f aca="false">K274*$C$11/$C$13</f>
        <v>611.504603110851</v>
      </c>
      <c r="I274" s="74" t="n">
        <f aca="false">G274-H274</f>
        <v>852.160886283352</v>
      </c>
      <c r="J274" s="73"/>
      <c r="K274" s="74" t="n">
        <f aca="false">K273-I273-J273</f>
        <v>104829.360533289</v>
      </c>
    </row>
    <row r="275" customFormat="false" ht="12.8" hidden="false" customHeight="false" outlineLevel="0" collapsed="false">
      <c r="E275" s="96" t="n">
        <v>53813</v>
      </c>
      <c r="F275" s="73" t="n">
        <v>268</v>
      </c>
      <c r="G275" s="74" t="n">
        <f aca="false">IF($C$15&lt;K275+(K275*($C$11/$C$13)),$C$15,K275+(K275*($C$11/$C$13)))</f>
        <v>1463.6654893942</v>
      </c>
      <c r="H275" s="74" t="n">
        <f aca="false">K275*$C$11/$C$13</f>
        <v>606.533664607531</v>
      </c>
      <c r="I275" s="74" t="n">
        <f aca="false">G275-H275</f>
        <v>857.131824786671</v>
      </c>
      <c r="J275" s="73"/>
      <c r="K275" s="74" t="n">
        <f aca="false">K274-I274-J274</f>
        <v>103977.199647005</v>
      </c>
    </row>
    <row r="276" customFormat="false" ht="12.8" hidden="false" customHeight="false" outlineLevel="0" collapsed="false">
      <c r="E276" s="96" t="n">
        <v>53844</v>
      </c>
      <c r="F276" s="73" t="n">
        <v>269</v>
      </c>
      <c r="G276" s="74" t="n">
        <f aca="false">IF($C$15&lt;K276+(K276*($C$11/$C$13)),$C$15,K276+(K276*($C$11/$C$13)))</f>
        <v>1463.6654893942</v>
      </c>
      <c r="H276" s="74" t="n">
        <f aca="false">K276*$C$11/$C$13</f>
        <v>601.533728962943</v>
      </c>
      <c r="I276" s="74" t="n">
        <f aca="false">G276-H276</f>
        <v>862.13176043126</v>
      </c>
      <c r="J276" s="73"/>
      <c r="K276" s="74" t="n">
        <f aca="false">K275-I275-J275</f>
        <v>103120.067822219</v>
      </c>
    </row>
    <row r="277" customFormat="false" ht="12.8" hidden="false" customHeight="false" outlineLevel="0" collapsed="false">
      <c r="E277" s="96" t="n">
        <v>53874</v>
      </c>
      <c r="F277" s="73" t="n">
        <v>270</v>
      </c>
      <c r="G277" s="74" t="n">
        <f aca="false">IF($C$15&lt;K277+(K277*($C$11/$C$13)),$C$15,K277+(K277*($C$11/$C$13)))</f>
        <v>1463.6654893942</v>
      </c>
      <c r="H277" s="74" t="n">
        <f aca="false">K277*$C$11/$C$13</f>
        <v>596.504627027093</v>
      </c>
      <c r="I277" s="74" t="n">
        <f aca="false">G277-H277</f>
        <v>867.160862367109</v>
      </c>
      <c r="J277" s="73"/>
      <c r="K277" s="74" t="n">
        <f aca="false">K276-I276-J276</f>
        <v>102257.936061787</v>
      </c>
    </row>
    <row r="278" customFormat="false" ht="12.8" hidden="false" customHeight="false" outlineLevel="0" collapsed="false">
      <c r="E278" s="96" t="n">
        <v>53905</v>
      </c>
      <c r="F278" s="73" t="n">
        <v>271</v>
      </c>
      <c r="G278" s="74" t="n">
        <f aca="false">IF($C$15&lt;K278+(K278*($C$11/$C$13)),$C$15,K278+(K278*($C$11/$C$13)))</f>
        <v>1463.6654893942</v>
      </c>
      <c r="H278" s="74" t="n">
        <f aca="false">K278*$C$11/$C$13</f>
        <v>591.446188663285</v>
      </c>
      <c r="I278" s="74" t="n">
        <f aca="false">G278-H278</f>
        <v>872.219300730917</v>
      </c>
      <c r="J278" s="73"/>
      <c r="K278" s="74" t="n">
        <f aca="false">K277-I277-J277</f>
        <v>101390.77519942</v>
      </c>
    </row>
    <row r="279" customFormat="false" ht="12.8" hidden="false" customHeight="false" outlineLevel="0" collapsed="false">
      <c r="E279" s="96" t="n">
        <v>53936</v>
      </c>
      <c r="F279" s="73" t="n">
        <v>272</v>
      </c>
      <c r="G279" s="74" t="n">
        <f aca="false">IF($C$15&lt;K279+(K279*($C$11/$C$13)),$C$15,K279+(K279*($C$11/$C$13)))</f>
        <v>1463.6654893942</v>
      </c>
      <c r="H279" s="74" t="n">
        <f aca="false">K279*$C$11/$C$13</f>
        <v>586.358242742355</v>
      </c>
      <c r="I279" s="74" t="n">
        <f aca="false">G279-H279</f>
        <v>877.307246651848</v>
      </c>
      <c r="J279" s="73"/>
      <c r="K279" s="74" t="n">
        <f aca="false">K278-I278-J278</f>
        <v>100518.555898689</v>
      </c>
    </row>
    <row r="280" customFormat="false" ht="12.8" hidden="false" customHeight="false" outlineLevel="0" collapsed="false">
      <c r="E280" s="96" t="n">
        <v>53966</v>
      </c>
      <c r="F280" s="73" t="n">
        <v>273</v>
      </c>
      <c r="G280" s="74" t="n">
        <f aca="false">IF($C$15&lt;K280+(K280*($C$11/$C$13)),$C$15,K280+(K280*($C$11/$C$13)))</f>
        <v>1463.6654893942</v>
      </c>
      <c r="H280" s="74" t="n">
        <f aca="false">K280*$C$11/$C$13</f>
        <v>581.240617136886</v>
      </c>
      <c r="I280" s="74" t="n">
        <f aca="false">G280-H280</f>
        <v>882.424872257317</v>
      </c>
      <c r="J280" s="73"/>
      <c r="K280" s="74" t="n">
        <f aca="false">K279-I279-J279</f>
        <v>99641.2486520376</v>
      </c>
    </row>
    <row r="281" customFormat="false" ht="12.8" hidden="false" customHeight="false" outlineLevel="0" collapsed="false">
      <c r="E281" s="96" t="n">
        <v>53997</v>
      </c>
      <c r="F281" s="73" t="n">
        <v>274</v>
      </c>
      <c r="G281" s="74" t="n">
        <f aca="false">IF($C$15&lt;K281+(K281*($C$11/$C$13)),$C$15,K281+(K281*($C$11/$C$13)))</f>
        <v>1463.6654893942</v>
      </c>
      <c r="H281" s="74" t="n">
        <f aca="false">K281*$C$11/$C$13</f>
        <v>576.093138715385</v>
      </c>
      <c r="I281" s="74" t="n">
        <f aca="false">G281-H281</f>
        <v>887.572350678818</v>
      </c>
      <c r="J281" s="73"/>
      <c r="K281" s="74" t="n">
        <f aca="false">K280-I280-J280</f>
        <v>98758.8237797803</v>
      </c>
    </row>
    <row r="282" customFormat="false" ht="12.8" hidden="false" customHeight="false" outlineLevel="0" collapsed="false">
      <c r="E282" s="96" t="n">
        <v>54027</v>
      </c>
      <c r="F282" s="73" t="n">
        <v>275</v>
      </c>
      <c r="G282" s="74" t="n">
        <f aca="false">IF($C$15&lt;K282+(K282*($C$11/$C$13)),$C$15,K282+(K282*($C$11/$C$13)))</f>
        <v>1463.6654893942</v>
      </c>
      <c r="H282" s="74" t="n">
        <f aca="false">K282*$C$11/$C$13</f>
        <v>570.915633336425</v>
      </c>
      <c r="I282" s="74" t="n">
        <f aca="false">G282-H282</f>
        <v>892.749856057778</v>
      </c>
      <c r="J282" s="73"/>
      <c r="K282" s="74" t="n">
        <f aca="false">K281-I281-J281</f>
        <v>97871.2514291014</v>
      </c>
    </row>
    <row r="283" customFormat="false" ht="12.8" hidden="false" customHeight="false" outlineLevel="0" collapsed="false">
      <c r="E283" s="96" t="n">
        <v>54058</v>
      </c>
      <c r="F283" s="73" t="n">
        <v>276</v>
      </c>
      <c r="G283" s="74" t="n">
        <f aca="false">IF($C$15&lt;K283+(K283*($C$11/$C$13)),$C$15,K283+(K283*($C$11/$C$13)))</f>
        <v>1463.6654893942</v>
      </c>
      <c r="H283" s="74" t="n">
        <f aca="false">K283*$C$11/$C$13</f>
        <v>565.707925842755</v>
      </c>
      <c r="I283" s="74" t="n">
        <f aca="false">G283-H283</f>
        <v>897.957563551448</v>
      </c>
      <c r="J283" s="73"/>
      <c r="K283" s="74" t="n">
        <f aca="false">K282-I282-J282</f>
        <v>96978.5015730437</v>
      </c>
    </row>
    <row r="284" customFormat="false" ht="12.8" hidden="false" customHeight="false" outlineLevel="0" collapsed="false">
      <c r="E284" s="96" t="n">
        <v>54089</v>
      </c>
      <c r="F284" s="73" t="n">
        <v>277</v>
      </c>
      <c r="G284" s="74" t="n">
        <f aca="false">IF($C$15&lt;K284+(K284*($C$11/$C$13)),$C$15,K284+(K284*($C$11/$C$13)))</f>
        <v>1463.6654893942</v>
      </c>
      <c r="H284" s="74" t="n">
        <f aca="false">K284*$C$11/$C$13</f>
        <v>560.469840055371</v>
      </c>
      <c r="I284" s="74" t="n">
        <f aca="false">G284-H284</f>
        <v>903.195649338831</v>
      </c>
      <c r="J284" s="73"/>
      <c r="K284" s="74" t="n">
        <f aca="false">K283-I283-J283</f>
        <v>96080.5440094922</v>
      </c>
    </row>
    <row r="285" customFormat="false" ht="12.8" hidden="false" customHeight="false" outlineLevel="0" collapsed="false">
      <c r="E285" s="96" t="n">
        <v>54118</v>
      </c>
      <c r="F285" s="73" t="n">
        <v>278</v>
      </c>
      <c r="G285" s="74" t="n">
        <f aca="false">IF($C$15&lt;K285+(K285*($C$11/$C$13)),$C$15,K285+(K285*($C$11/$C$13)))</f>
        <v>1463.6654893942</v>
      </c>
      <c r="H285" s="74" t="n">
        <f aca="false">K285*$C$11/$C$13</f>
        <v>555.201198767561</v>
      </c>
      <c r="I285" s="74" t="n">
        <f aca="false">G285-H285</f>
        <v>908.464290626641</v>
      </c>
      <c r="J285" s="73"/>
      <c r="K285" s="74" t="n">
        <f aca="false">K284-I284-J284</f>
        <v>95177.3483601534</v>
      </c>
    </row>
    <row r="286" customFormat="false" ht="12.8" hidden="false" customHeight="false" outlineLevel="0" collapsed="false">
      <c r="E286" s="96" t="n">
        <v>54149</v>
      </c>
      <c r="F286" s="73" t="n">
        <v>279</v>
      </c>
      <c r="G286" s="74" t="n">
        <f aca="false">IF($C$15&lt;K286+(K286*($C$11/$C$13)),$C$15,K286+(K286*($C$11/$C$13)))</f>
        <v>1463.6654893942</v>
      </c>
      <c r="H286" s="74" t="n">
        <f aca="false">K286*$C$11/$C$13</f>
        <v>549.901823738906</v>
      </c>
      <c r="I286" s="74" t="n">
        <f aca="false">G286-H286</f>
        <v>913.763665655297</v>
      </c>
      <c r="J286" s="73"/>
      <c r="K286" s="74" t="n">
        <f aca="false">K285-I285-J285</f>
        <v>94268.8840695267</v>
      </c>
    </row>
    <row r="287" customFormat="false" ht="12.8" hidden="false" customHeight="false" outlineLevel="0" collapsed="false">
      <c r="E287" s="96" t="n">
        <v>54179</v>
      </c>
      <c r="F287" s="73" t="n">
        <v>280</v>
      </c>
      <c r="G287" s="74" t="n">
        <f aca="false">IF($C$15&lt;K287+(K287*($C$11/$C$13)),$C$15,K287+(K287*($C$11/$C$13)))</f>
        <v>1463.6654893942</v>
      </c>
      <c r="H287" s="74" t="n">
        <f aca="false">K287*$C$11/$C$13</f>
        <v>544.57153568925</v>
      </c>
      <c r="I287" s="74" t="n">
        <f aca="false">G287-H287</f>
        <v>919.093953704953</v>
      </c>
      <c r="J287" s="73"/>
      <c r="K287" s="74" t="n">
        <f aca="false">K286-I286-J286</f>
        <v>93355.1204038715</v>
      </c>
    </row>
    <row r="288" customFormat="false" ht="12.8" hidden="false" customHeight="false" outlineLevel="0" collapsed="false">
      <c r="E288" s="96" t="n">
        <v>54210</v>
      </c>
      <c r="F288" s="73" t="n">
        <v>281</v>
      </c>
      <c r="G288" s="74" t="n">
        <f aca="false">IF($C$15&lt;K288+(K288*($C$11/$C$13)),$C$15,K288+(K288*($C$11/$C$13)))</f>
        <v>1463.6654893942</v>
      </c>
      <c r="H288" s="74" t="n">
        <f aca="false">K288*$C$11/$C$13</f>
        <v>539.210154292638</v>
      </c>
      <c r="I288" s="74" t="n">
        <f aca="false">G288-H288</f>
        <v>924.455335101565</v>
      </c>
      <c r="J288" s="73"/>
      <c r="K288" s="74" t="n">
        <f aca="false">K287-I287-J287</f>
        <v>92436.0264501665</v>
      </c>
    </row>
    <row r="289" customFormat="false" ht="12.8" hidden="false" customHeight="false" outlineLevel="0" collapsed="false">
      <c r="E289" s="96" t="n">
        <v>54240</v>
      </c>
      <c r="F289" s="73" t="n">
        <v>282</v>
      </c>
      <c r="G289" s="74" t="n">
        <f aca="false">IF($C$15&lt;K289+(K289*($C$11/$C$13)),$C$15,K289+(K289*($C$11/$C$13)))</f>
        <v>1463.6654893942</v>
      </c>
      <c r="H289" s="74" t="n">
        <f aca="false">K289*$C$11/$C$13</f>
        <v>533.817498171212</v>
      </c>
      <c r="I289" s="74" t="n">
        <f aca="false">G289-H289</f>
        <v>929.847991222991</v>
      </c>
      <c r="J289" s="73"/>
      <c r="K289" s="74" t="n">
        <f aca="false">K288-I288-J288</f>
        <v>91511.5711150649</v>
      </c>
    </row>
    <row r="290" customFormat="false" ht="12.8" hidden="false" customHeight="false" outlineLevel="0" collapsed="false">
      <c r="E290" s="96" t="n">
        <v>54271</v>
      </c>
      <c r="F290" s="73" t="n">
        <v>283</v>
      </c>
      <c r="G290" s="74" t="n">
        <f aca="false">IF($C$15&lt;K290+(K290*($C$11/$C$13)),$C$15,K290+(K290*($C$11/$C$13)))</f>
        <v>1463.6654893942</v>
      </c>
      <c r="H290" s="74" t="n">
        <f aca="false">K290*$C$11/$C$13</f>
        <v>528.393384889078</v>
      </c>
      <c r="I290" s="74" t="n">
        <f aca="false">G290-H290</f>
        <v>935.272104505125</v>
      </c>
      <c r="J290" s="73"/>
      <c r="K290" s="74" t="n">
        <f aca="false">K289-I289-J289</f>
        <v>90581.7231238419</v>
      </c>
    </row>
    <row r="291" customFormat="false" ht="12.8" hidden="false" customHeight="false" outlineLevel="0" collapsed="false">
      <c r="E291" s="96" t="n">
        <v>54302</v>
      </c>
      <c r="F291" s="73" t="n">
        <v>284</v>
      </c>
      <c r="G291" s="74" t="n">
        <f aca="false">IF($C$15&lt;K291+(K291*($C$11/$C$13)),$C$15,K291+(K291*($C$11/$C$13)))</f>
        <v>1463.6654893942</v>
      </c>
      <c r="H291" s="74" t="n">
        <f aca="false">K291*$C$11/$C$13</f>
        <v>522.937630946131</v>
      </c>
      <c r="I291" s="74" t="n">
        <f aca="false">G291-H291</f>
        <v>940.727858448071</v>
      </c>
      <c r="J291" s="73"/>
      <c r="K291" s="74" t="n">
        <f aca="false">K290-I290-J290</f>
        <v>89646.4510193368</v>
      </c>
    </row>
    <row r="292" customFormat="false" ht="12.8" hidden="false" customHeight="false" outlineLevel="0" collapsed="false">
      <c r="E292" s="96" t="n">
        <v>54332</v>
      </c>
      <c r="F292" s="73" t="n">
        <v>285</v>
      </c>
      <c r="G292" s="74" t="n">
        <f aca="false">IF($C$15&lt;K292+(K292*($C$11/$C$13)),$C$15,K292+(K292*($C$11/$C$13)))</f>
        <v>1463.6654893942</v>
      </c>
      <c r="H292" s="74" t="n">
        <f aca="false">K292*$C$11/$C$13</f>
        <v>517.450051771851</v>
      </c>
      <c r="I292" s="74" t="n">
        <f aca="false">G292-H292</f>
        <v>946.215437622352</v>
      </c>
      <c r="J292" s="73"/>
      <c r="K292" s="74" t="n">
        <f aca="false">K291-I291-J291</f>
        <v>88705.7231608887</v>
      </c>
    </row>
    <row r="293" customFormat="false" ht="12.8" hidden="false" customHeight="false" outlineLevel="0" collapsed="false">
      <c r="E293" s="96" t="n">
        <v>54363</v>
      </c>
      <c r="F293" s="73" t="n">
        <v>286</v>
      </c>
      <c r="G293" s="74" t="n">
        <f aca="false">IF($C$15&lt;K293+(K293*($C$11/$C$13)),$C$15,K293+(K293*($C$11/$C$13)))</f>
        <v>1463.6654893942</v>
      </c>
      <c r="H293" s="74" t="n">
        <f aca="false">K293*$C$11/$C$13</f>
        <v>511.930461719054</v>
      </c>
      <c r="I293" s="74" t="n">
        <f aca="false">G293-H293</f>
        <v>951.735027675149</v>
      </c>
      <c r="J293" s="73"/>
      <c r="K293" s="74" t="n">
        <f aca="false">K292-I292-J292</f>
        <v>87759.5077232664</v>
      </c>
    </row>
    <row r="294" customFormat="false" ht="12.8" hidden="false" customHeight="false" outlineLevel="0" collapsed="false">
      <c r="E294" s="96" t="n">
        <v>54393</v>
      </c>
      <c r="F294" s="73" t="n">
        <v>287</v>
      </c>
      <c r="G294" s="74" t="n">
        <f aca="false">IF($C$15&lt;K294+(K294*($C$11/$C$13)),$C$15,K294+(K294*($C$11/$C$13)))</f>
        <v>1463.6654893942</v>
      </c>
      <c r="H294" s="74" t="n">
        <f aca="false">K294*$C$11/$C$13</f>
        <v>506.378674057616</v>
      </c>
      <c r="I294" s="74" t="n">
        <f aca="false">G294-H294</f>
        <v>957.286815336587</v>
      </c>
      <c r="J294" s="73"/>
      <c r="K294" s="74" t="n">
        <f aca="false">K293-I293-J293</f>
        <v>86807.7726955912</v>
      </c>
    </row>
    <row r="295" customFormat="false" ht="12.8" hidden="false" customHeight="false" outlineLevel="0" collapsed="false">
      <c r="E295" s="96" t="n">
        <v>54424</v>
      </c>
      <c r="F295" s="73" t="n">
        <v>288</v>
      </c>
      <c r="G295" s="74" t="n">
        <f aca="false">IF($C$15&lt;K295+(K295*($C$11/$C$13)),$C$15,K295+(K295*($C$11/$C$13)))</f>
        <v>1463.6654893942</v>
      </c>
      <c r="H295" s="74" t="n">
        <f aca="false">K295*$C$11/$C$13</f>
        <v>500.794500968152</v>
      </c>
      <c r="I295" s="74" t="n">
        <f aca="false">G295-H295</f>
        <v>962.870988426051</v>
      </c>
      <c r="J295" s="73"/>
      <c r="K295" s="74" t="n">
        <f aca="false">K294-I294-J294</f>
        <v>85850.4858802547</v>
      </c>
    </row>
    <row r="296" customFormat="false" ht="12.8" hidden="false" customHeight="false" outlineLevel="0" collapsed="false">
      <c r="E296" s="96" t="n">
        <v>54455</v>
      </c>
      <c r="F296" s="73" t="n">
        <v>289</v>
      </c>
      <c r="G296" s="74" t="n">
        <f aca="false">IF($C$15&lt;K296+(K296*($C$11/$C$13)),$C$15,K296+(K296*($C$11/$C$13)))</f>
        <v>1463.6654893942</v>
      </c>
      <c r="H296" s="74" t="n">
        <f aca="false">K296*$C$11/$C$13</f>
        <v>495.177753535667</v>
      </c>
      <c r="I296" s="74" t="n">
        <f aca="false">G296-H296</f>
        <v>968.487735858536</v>
      </c>
      <c r="J296" s="73"/>
      <c r="K296" s="74" t="n">
        <f aca="false">K295-I295-J295</f>
        <v>84887.6148918286</v>
      </c>
    </row>
    <row r="297" customFormat="false" ht="12.8" hidden="false" customHeight="false" outlineLevel="0" collapsed="false">
      <c r="E297" s="96" t="n">
        <v>54483</v>
      </c>
      <c r="F297" s="73" t="n">
        <v>290</v>
      </c>
      <c r="G297" s="74" t="n">
        <f aca="false">IF($C$15&lt;K297+(K297*($C$11/$C$13)),$C$15,K297+(K297*($C$11/$C$13)))</f>
        <v>1463.6654893942</v>
      </c>
      <c r="H297" s="74" t="n">
        <f aca="false">K297*$C$11/$C$13</f>
        <v>489.528241743159</v>
      </c>
      <c r="I297" s="74" t="n">
        <f aca="false">G297-H297</f>
        <v>974.137247651044</v>
      </c>
      <c r="J297" s="73"/>
      <c r="K297" s="74" t="n">
        <f aca="false">K296-I296-J296</f>
        <v>83919.1271559701</v>
      </c>
    </row>
    <row r="298" customFormat="false" ht="12.8" hidden="false" customHeight="false" outlineLevel="0" collapsed="false">
      <c r="E298" s="96" t="n">
        <v>54514</v>
      </c>
      <c r="F298" s="73" t="n">
        <v>291</v>
      </c>
      <c r="G298" s="74" t="n">
        <f aca="false">IF($C$15&lt;K298+(K298*($C$11/$C$13)),$C$15,K298+(K298*($C$11/$C$13)))</f>
        <v>1463.6654893942</v>
      </c>
      <c r="H298" s="74" t="n">
        <f aca="false">K298*$C$11/$C$13</f>
        <v>483.845774465194</v>
      </c>
      <c r="I298" s="74" t="n">
        <f aca="false">G298-H298</f>
        <v>979.819714929008</v>
      </c>
      <c r="J298" s="73"/>
      <c r="K298" s="74" t="n">
        <f aca="false">K297-I297-J297</f>
        <v>82944.989908319</v>
      </c>
    </row>
    <row r="299" customFormat="false" ht="12.8" hidden="false" customHeight="false" outlineLevel="0" collapsed="false">
      <c r="E299" s="96" t="n">
        <v>54544</v>
      </c>
      <c r="F299" s="73" t="n">
        <v>292</v>
      </c>
      <c r="G299" s="74" t="n">
        <f aca="false">IF($C$15&lt;K299+(K299*($C$11/$C$13)),$C$15,K299+(K299*($C$11/$C$13)))</f>
        <v>1463.6654893942</v>
      </c>
      <c r="H299" s="74" t="n">
        <f aca="false">K299*$C$11/$C$13</f>
        <v>478.130159461442</v>
      </c>
      <c r="I299" s="74" t="n">
        <f aca="false">G299-H299</f>
        <v>985.535329932761</v>
      </c>
      <c r="J299" s="73"/>
      <c r="K299" s="74" t="n">
        <f aca="false">K298-I298-J298</f>
        <v>81965.17019339</v>
      </c>
    </row>
    <row r="300" customFormat="false" ht="12.8" hidden="false" customHeight="false" outlineLevel="0" collapsed="false">
      <c r="E300" s="96" t="n">
        <v>54575</v>
      </c>
      <c r="F300" s="73" t="n">
        <v>293</v>
      </c>
      <c r="G300" s="74" t="n">
        <f aca="false">IF($C$15&lt;K300+(K300*($C$11/$C$13)),$C$15,K300+(K300*($C$11/$C$13)))</f>
        <v>1463.6654893942</v>
      </c>
      <c r="H300" s="74" t="n">
        <f aca="false">K300*$C$11/$C$13</f>
        <v>472.381203370167</v>
      </c>
      <c r="I300" s="74" t="n">
        <f aca="false">G300-H300</f>
        <v>991.284286024035</v>
      </c>
      <c r="J300" s="73"/>
      <c r="K300" s="74" t="n">
        <f aca="false">K299-I299-J299</f>
        <v>80979.6348634573</v>
      </c>
    </row>
    <row r="301" customFormat="false" ht="12.8" hidden="false" customHeight="false" outlineLevel="0" collapsed="false">
      <c r="E301" s="96" t="n">
        <v>54605</v>
      </c>
      <c r="F301" s="73" t="n">
        <v>294</v>
      </c>
      <c r="G301" s="74" t="n">
        <f aca="false">IF($C$15&lt;K301+(K301*($C$11/$C$13)),$C$15,K301+(K301*($C$11/$C$13)))</f>
        <v>1463.6654893942</v>
      </c>
      <c r="H301" s="74" t="n">
        <f aca="false">K301*$C$11/$C$13</f>
        <v>466.598711701694</v>
      </c>
      <c r="I301" s="74" t="n">
        <f aca="false">G301-H301</f>
        <v>997.066777692509</v>
      </c>
      <c r="J301" s="73"/>
      <c r="K301" s="74" t="n">
        <f aca="false">K300-I300-J300</f>
        <v>79988.3505774332</v>
      </c>
    </row>
    <row r="302" customFormat="false" ht="12.8" hidden="false" customHeight="false" outlineLevel="0" collapsed="false">
      <c r="E302" s="96" t="n">
        <v>54636</v>
      </c>
      <c r="F302" s="73" t="n">
        <v>295</v>
      </c>
      <c r="G302" s="74" t="n">
        <f aca="false">IF($C$15&lt;K302+(K302*($C$11/$C$13)),$C$15,K302+(K302*($C$11/$C$13)))</f>
        <v>1463.6654893942</v>
      </c>
      <c r="H302" s="74" t="n">
        <f aca="false">K302*$C$11/$C$13</f>
        <v>460.782488831821</v>
      </c>
      <c r="I302" s="74" t="n">
        <f aca="false">G302-H302</f>
        <v>1002.88300056238</v>
      </c>
      <c r="J302" s="73"/>
      <c r="K302" s="74" t="n">
        <f aca="false">K301-I301-J301</f>
        <v>78991.2837997407</v>
      </c>
    </row>
    <row r="303" customFormat="false" ht="12.8" hidden="false" customHeight="false" outlineLevel="0" collapsed="false">
      <c r="E303" s="96" t="n">
        <v>54667</v>
      </c>
      <c r="F303" s="73" t="n">
        <v>296</v>
      </c>
      <c r="G303" s="74" t="n">
        <f aca="false">IF($C$15&lt;K303+(K303*($C$11/$C$13)),$C$15,K303+(K303*($C$11/$C$13)))</f>
        <v>1463.6654893942</v>
      </c>
      <c r="H303" s="74" t="n">
        <f aca="false">K303*$C$11/$C$13</f>
        <v>454.932337995207</v>
      </c>
      <c r="I303" s="74" t="n">
        <f aca="false">G303-H303</f>
        <v>1008.733151399</v>
      </c>
      <c r="J303" s="73"/>
      <c r="K303" s="74" t="n">
        <f aca="false">K302-I302-J302</f>
        <v>77988.4007991783</v>
      </c>
    </row>
    <row r="304" customFormat="false" ht="12.8" hidden="false" customHeight="false" outlineLevel="0" collapsed="false">
      <c r="E304" s="96" t="n">
        <v>54697</v>
      </c>
      <c r="F304" s="73" t="n">
        <v>297</v>
      </c>
      <c r="G304" s="74" t="n">
        <f aca="false">IF($C$15&lt;K304+(K304*($C$11/$C$13)),$C$15,K304+(K304*($C$11/$C$13)))</f>
        <v>1463.6654893942</v>
      </c>
      <c r="H304" s="74" t="n">
        <f aca="false">K304*$C$11/$C$13</f>
        <v>449.048061278713</v>
      </c>
      <c r="I304" s="74" t="n">
        <f aca="false">G304-H304</f>
        <v>1014.61742811549</v>
      </c>
      <c r="J304" s="73"/>
      <c r="K304" s="74" t="n">
        <f aca="false">K303-I303-J303</f>
        <v>76979.6676477794</v>
      </c>
    </row>
    <row r="305" customFormat="false" ht="12.8" hidden="false" customHeight="false" outlineLevel="0" collapsed="false">
      <c r="E305" s="96" t="n">
        <v>54728</v>
      </c>
      <c r="F305" s="73" t="n">
        <v>298</v>
      </c>
      <c r="G305" s="74" t="n">
        <f aca="false">IF($C$15&lt;K305+(K305*($C$11/$C$13)),$C$15,K305+(K305*($C$11/$C$13)))</f>
        <v>1463.6654893942</v>
      </c>
      <c r="H305" s="74" t="n">
        <f aca="false">K305*$C$11/$C$13</f>
        <v>443.129459614706</v>
      </c>
      <c r="I305" s="74" t="n">
        <f aca="false">G305-H305</f>
        <v>1020.5360297795</v>
      </c>
      <c r="J305" s="73"/>
      <c r="K305" s="74" t="n">
        <f aca="false">K304-I304-J304</f>
        <v>75965.0502196639</v>
      </c>
    </row>
    <row r="306" customFormat="false" ht="12.8" hidden="false" customHeight="false" outlineLevel="0" collapsed="false">
      <c r="E306" s="96" t="n">
        <v>54758</v>
      </c>
      <c r="F306" s="73" t="n">
        <v>299</v>
      </c>
      <c r="G306" s="74" t="n">
        <f aca="false">IF($C$15&lt;K306+(K306*($C$11/$C$13)),$C$15,K306+(K306*($C$11/$C$13)))</f>
        <v>1463.6654893942</v>
      </c>
      <c r="H306" s="74" t="n">
        <f aca="false">K306*$C$11/$C$13</f>
        <v>437.176332774325</v>
      </c>
      <c r="I306" s="74" t="n">
        <f aca="false">G306-H306</f>
        <v>1026.48915661988</v>
      </c>
      <c r="J306" s="73"/>
      <c r="K306" s="74" t="n">
        <f aca="false">K305-I305-J305</f>
        <v>74944.5141898844</v>
      </c>
    </row>
    <row r="307" customFormat="false" ht="12.8" hidden="false" customHeight="false" outlineLevel="0" collapsed="false">
      <c r="E307" s="96" t="n">
        <v>54789</v>
      </c>
      <c r="F307" s="73" t="n">
        <v>300</v>
      </c>
      <c r="G307" s="74" t="n">
        <f aca="false">IF($C$15&lt;K307+(K307*($C$11/$C$13)),$C$15,K307+(K307*($C$11/$C$13)))</f>
        <v>1463.6654893942</v>
      </c>
      <c r="H307" s="74" t="n">
        <f aca="false">K307*$C$11/$C$13</f>
        <v>431.18847936071</v>
      </c>
      <c r="I307" s="74" t="n">
        <f aca="false">G307-H307</f>
        <v>1032.47701003349</v>
      </c>
      <c r="J307" s="73"/>
      <c r="K307" s="74" t="n">
        <f aca="false">K306-I306-J306</f>
        <v>73918.0250332645</v>
      </c>
    </row>
    <row r="308" customFormat="false" ht="12.8" hidden="false" customHeight="false" outlineLevel="0" collapsed="false">
      <c r="E308" s="96" t="n">
        <v>54820</v>
      </c>
      <c r="F308" s="73" t="n">
        <v>301</v>
      </c>
      <c r="G308" s="74" t="n">
        <f aca="false">IF($C$15&lt;K308+(K308*($C$11/$C$13)),$C$15,K308+(K308*($C$11/$C$13)))</f>
        <v>1463.6654893942</v>
      </c>
      <c r="H308" s="74" t="n">
        <f aca="false">K308*$C$11/$C$13</f>
        <v>425.165696802181</v>
      </c>
      <c r="I308" s="74" t="n">
        <f aca="false">G308-H308</f>
        <v>1038.49979259202</v>
      </c>
      <c r="J308" s="73"/>
      <c r="K308" s="74" t="n">
        <f aca="false">K307-I307-J307</f>
        <v>72885.548023231</v>
      </c>
    </row>
    <row r="309" customFormat="false" ht="12.8" hidden="false" customHeight="false" outlineLevel="0" collapsed="false">
      <c r="E309" s="96" t="n">
        <v>54848</v>
      </c>
      <c r="F309" s="73" t="n">
        <v>302</v>
      </c>
      <c r="G309" s="74" t="n">
        <f aca="false">IF($C$15&lt;K309+(K309*($C$11/$C$13)),$C$15,K309+(K309*($C$11/$C$13)))</f>
        <v>1463.6654893942</v>
      </c>
      <c r="H309" s="74" t="n">
        <f aca="false">K309*$C$11/$C$13</f>
        <v>419.107781345394</v>
      </c>
      <c r="I309" s="74" t="n">
        <f aca="false">G309-H309</f>
        <v>1044.55770804881</v>
      </c>
      <c r="J309" s="73"/>
      <c r="K309" s="74" t="n">
        <f aca="false">K308-I308-J308</f>
        <v>71847.048230639</v>
      </c>
    </row>
    <row r="310" customFormat="false" ht="12.8" hidden="false" customHeight="false" outlineLevel="0" collapsed="false">
      <c r="E310" s="96" t="n">
        <v>54879</v>
      </c>
      <c r="F310" s="73" t="n">
        <v>303</v>
      </c>
      <c r="G310" s="74" t="n">
        <f aca="false">IF($C$15&lt;K310+(K310*($C$11/$C$13)),$C$15,K310+(K310*($C$11/$C$13)))</f>
        <v>1463.6654893942</v>
      </c>
      <c r="H310" s="74" t="n">
        <f aca="false">K310*$C$11/$C$13</f>
        <v>413.014528048443</v>
      </c>
      <c r="I310" s="74" t="n">
        <f aca="false">G310-H310</f>
        <v>1050.65096134576</v>
      </c>
      <c r="J310" s="73"/>
      <c r="K310" s="74" t="n">
        <f aca="false">K309-I309-J309</f>
        <v>70802.4905225902</v>
      </c>
    </row>
    <row r="311" customFormat="false" ht="12.8" hidden="false" customHeight="false" outlineLevel="0" collapsed="false">
      <c r="E311" s="96" t="n">
        <v>54909</v>
      </c>
      <c r="F311" s="73" t="n">
        <v>304</v>
      </c>
      <c r="G311" s="74" t="n">
        <f aca="false">IF($C$15&lt;K311+(K311*($C$11/$C$13)),$C$15,K311+(K311*($C$11/$C$13)))</f>
        <v>1463.6654893942</v>
      </c>
      <c r="H311" s="74" t="n">
        <f aca="false">K311*$C$11/$C$13</f>
        <v>406.885730773926</v>
      </c>
      <c r="I311" s="74" t="n">
        <f aca="false">G311-H311</f>
        <v>1056.77975862028</v>
      </c>
      <c r="J311" s="73"/>
      <c r="K311" s="74" t="n">
        <f aca="false">K310-I310-J310</f>
        <v>69751.8395612444</v>
      </c>
    </row>
    <row r="312" customFormat="false" ht="12.8" hidden="false" customHeight="false" outlineLevel="0" collapsed="false">
      <c r="E312" s="96" t="n">
        <v>54940</v>
      </c>
      <c r="F312" s="73" t="n">
        <v>305</v>
      </c>
      <c r="G312" s="74" t="n">
        <f aca="false">IF($C$15&lt;K312+(K312*($C$11/$C$13)),$C$15,K312+(K312*($C$11/$C$13)))</f>
        <v>1463.6654893942</v>
      </c>
      <c r="H312" s="74" t="n">
        <f aca="false">K312*$C$11/$C$13</f>
        <v>400.721182181974</v>
      </c>
      <c r="I312" s="74" t="n">
        <f aca="false">G312-H312</f>
        <v>1062.94430721223</v>
      </c>
      <c r="J312" s="73"/>
      <c r="K312" s="74" t="n">
        <f aca="false">K311-I311-J311</f>
        <v>68695.0598026241</v>
      </c>
    </row>
    <row r="313" customFormat="false" ht="12.8" hidden="false" customHeight="false" outlineLevel="0" collapsed="false">
      <c r="E313" s="96" t="n">
        <v>54970</v>
      </c>
      <c r="F313" s="73" t="n">
        <v>306</v>
      </c>
      <c r="G313" s="74" t="n">
        <f aca="false">IF($C$15&lt;K313+(K313*($C$11/$C$13)),$C$15,K313+(K313*($C$11/$C$13)))</f>
        <v>1463.6654893942</v>
      </c>
      <c r="H313" s="74" t="n">
        <f aca="false">K313*$C$11/$C$13</f>
        <v>394.520673723236</v>
      </c>
      <c r="I313" s="74" t="n">
        <f aca="false">G313-H313</f>
        <v>1069.14481567097</v>
      </c>
      <c r="J313" s="73"/>
      <c r="K313" s="74" t="n">
        <f aca="false">K312-I312-J312</f>
        <v>67632.1154954119</v>
      </c>
    </row>
    <row r="314" customFormat="false" ht="12.8" hidden="false" customHeight="false" outlineLevel="0" collapsed="false">
      <c r="E314" s="96" t="n">
        <v>55001</v>
      </c>
      <c r="F314" s="73" t="n">
        <v>307</v>
      </c>
      <c r="G314" s="74" t="n">
        <f aca="false">IF($C$15&lt;K314+(K314*($C$11/$C$13)),$C$15,K314+(K314*($C$11/$C$13)))</f>
        <v>1463.6654893942</v>
      </c>
      <c r="H314" s="74" t="n">
        <f aca="false">K314*$C$11/$C$13</f>
        <v>388.283995631822</v>
      </c>
      <c r="I314" s="74" t="n">
        <f aca="false">G314-H314</f>
        <v>1075.38149376238</v>
      </c>
      <c r="J314" s="73"/>
      <c r="K314" s="74" t="n">
        <f aca="false">K313-I313-J313</f>
        <v>66562.9706797409</v>
      </c>
    </row>
    <row r="315" customFormat="false" ht="12.8" hidden="false" customHeight="false" outlineLevel="0" collapsed="false">
      <c r="E315" s="96" t="n">
        <v>55032</v>
      </c>
      <c r="F315" s="73" t="n">
        <v>308</v>
      </c>
      <c r="G315" s="74" t="n">
        <f aca="false">IF($C$15&lt;K315+(K315*($C$11/$C$13)),$C$15,K315+(K315*($C$11/$C$13)))</f>
        <v>1463.6654893942</v>
      </c>
      <c r="H315" s="74" t="n">
        <f aca="false">K315*$C$11/$C$13</f>
        <v>382.010936918208</v>
      </c>
      <c r="I315" s="74" t="n">
        <f aca="false">G315-H315</f>
        <v>1081.65455247599</v>
      </c>
      <c r="J315" s="73"/>
      <c r="K315" s="74" t="n">
        <f aca="false">K314-I314-J314</f>
        <v>65487.5891859786</v>
      </c>
    </row>
    <row r="316" customFormat="false" ht="12.8" hidden="false" customHeight="false" outlineLevel="0" collapsed="false">
      <c r="E316" s="96" t="n">
        <v>55062</v>
      </c>
      <c r="F316" s="73" t="n">
        <v>309</v>
      </c>
      <c r="G316" s="74" t="n">
        <f aca="false">IF($C$15&lt;K316+(K316*($C$11/$C$13)),$C$15,K316+(K316*($C$11/$C$13)))</f>
        <v>1463.6654893942</v>
      </c>
      <c r="H316" s="74" t="n">
        <f aca="false">K316*$C$11/$C$13</f>
        <v>375.701285362098</v>
      </c>
      <c r="I316" s="74" t="n">
        <f aca="false">G316-H316</f>
        <v>1087.9642040321</v>
      </c>
      <c r="J316" s="73"/>
      <c r="K316" s="74" t="n">
        <f aca="false">K315-I315-J315</f>
        <v>64405.9346335026</v>
      </c>
    </row>
    <row r="317" customFormat="false" ht="12.8" hidden="false" customHeight="false" outlineLevel="0" collapsed="false">
      <c r="E317" s="96" t="n">
        <v>55093</v>
      </c>
      <c r="F317" s="73" t="n">
        <v>310</v>
      </c>
      <c r="G317" s="74" t="n">
        <f aca="false">IF($C$15&lt;K317+(K317*($C$11/$C$13)),$C$15,K317+(K317*($C$11/$C$13)))</f>
        <v>1463.6654893942</v>
      </c>
      <c r="H317" s="74" t="n">
        <f aca="false">K317*$C$11/$C$13</f>
        <v>369.354827505244</v>
      </c>
      <c r="I317" s="74" t="n">
        <f aca="false">G317-H317</f>
        <v>1094.31066188896</v>
      </c>
      <c r="J317" s="73"/>
      <c r="K317" s="74" t="n">
        <f aca="false">K316-I316-J316</f>
        <v>63317.9704294705</v>
      </c>
    </row>
    <row r="318" customFormat="false" ht="12.8" hidden="false" customHeight="false" outlineLevel="0" collapsed="false">
      <c r="E318" s="96" t="n">
        <v>55123</v>
      </c>
      <c r="F318" s="73" t="n">
        <v>311</v>
      </c>
      <c r="G318" s="74" t="n">
        <f aca="false">IF($C$15&lt;K318+(K318*($C$11/$C$13)),$C$15,K318+(K318*($C$11/$C$13)))</f>
        <v>1463.6654893942</v>
      </c>
      <c r="H318" s="74" t="n">
        <f aca="false">K318*$C$11/$C$13</f>
        <v>362.971348644225</v>
      </c>
      <c r="I318" s="74" t="n">
        <f aca="false">G318-H318</f>
        <v>1100.69414074998</v>
      </c>
      <c r="J318" s="73"/>
      <c r="K318" s="74" t="n">
        <f aca="false">K317-I317-J317</f>
        <v>62223.6597675815</v>
      </c>
    </row>
    <row r="319" customFormat="false" ht="12.8" hidden="false" customHeight="false" outlineLevel="0" collapsed="false">
      <c r="E319" s="96" t="n">
        <v>55154</v>
      </c>
      <c r="F319" s="73" t="n">
        <v>312</v>
      </c>
      <c r="G319" s="74" t="n">
        <f aca="false">IF($C$15&lt;K319+(K319*($C$11/$C$13)),$C$15,K319+(K319*($C$11/$C$13)))</f>
        <v>1463.6654893942</v>
      </c>
      <c r="H319" s="74" t="n">
        <f aca="false">K319*$C$11/$C$13</f>
        <v>356.550632823184</v>
      </c>
      <c r="I319" s="74" t="n">
        <f aca="false">G319-H319</f>
        <v>1107.11485657102</v>
      </c>
      <c r="J319" s="73"/>
      <c r="K319" s="74" t="n">
        <f aca="false">K318-I318-J318</f>
        <v>61122.9656268315</v>
      </c>
    </row>
    <row r="320" customFormat="false" ht="12.8" hidden="false" customHeight="false" outlineLevel="0" collapsed="false">
      <c r="E320" s="96" t="n">
        <v>55185</v>
      </c>
      <c r="F320" s="73" t="n">
        <v>313</v>
      </c>
      <c r="G320" s="74" t="n">
        <f aca="false">IF($C$15&lt;K320+(K320*($C$11/$C$13)),$C$15,K320+(K320*($C$11/$C$13)))</f>
        <v>1463.6654893942</v>
      </c>
      <c r="H320" s="74" t="n">
        <f aca="false">K320*$C$11/$C$13</f>
        <v>350.09246282652</v>
      </c>
      <c r="I320" s="74" t="n">
        <f aca="false">G320-H320</f>
        <v>1113.57302656768</v>
      </c>
      <c r="J320" s="73"/>
      <c r="K320" s="74" t="n">
        <f aca="false">K319-I319-J319</f>
        <v>60015.8507702605</v>
      </c>
    </row>
    <row r="321" customFormat="false" ht="12.8" hidden="false" customHeight="false" outlineLevel="0" collapsed="false">
      <c r="E321" s="96" t="n">
        <v>55213</v>
      </c>
      <c r="F321" s="73" t="n">
        <v>314</v>
      </c>
      <c r="G321" s="74" t="n">
        <f aca="false">IF($C$15&lt;K321+(K321*($C$11/$C$13)),$C$15,K321+(K321*($C$11/$C$13)))</f>
        <v>1463.6654893942</v>
      </c>
      <c r="H321" s="74" t="n">
        <f aca="false">K321*$C$11/$C$13</f>
        <v>343.596620171541</v>
      </c>
      <c r="I321" s="74" t="n">
        <f aca="false">G321-H321</f>
        <v>1120.06886922266</v>
      </c>
      <c r="J321" s="73"/>
      <c r="K321" s="74" t="n">
        <f aca="false">K320-I320-J320</f>
        <v>58902.2777436928</v>
      </c>
    </row>
    <row r="322" customFormat="false" ht="12.8" hidden="false" customHeight="false" outlineLevel="0" collapsed="false">
      <c r="E322" s="96" t="n">
        <v>55244</v>
      </c>
      <c r="F322" s="73" t="n">
        <v>315</v>
      </c>
      <c r="G322" s="74" t="n">
        <f aca="false">IF($C$15&lt;K322+(K322*($C$11/$C$13)),$C$15,K322+(K322*($C$11/$C$13)))</f>
        <v>1463.6654893942</v>
      </c>
      <c r="H322" s="74" t="n">
        <f aca="false">K322*$C$11/$C$13</f>
        <v>337.062885101076</v>
      </c>
      <c r="I322" s="74" t="n">
        <f aca="false">G322-H322</f>
        <v>1126.60260429313</v>
      </c>
      <c r="J322" s="73"/>
      <c r="K322" s="74" t="n">
        <f aca="false">K321-I321-J321</f>
        <v>57782.2088744702</v>
      </c>
    </row>
    <row r="323" customFormat="false" ht="12.8" hidden="false" customHeight="false" outlineLevel="0" collapsed="false">
      <c r="E323" s="96" t="n">
        <v>55274</v>
      </c>
      <c r="F323" s="73" t="n">
        <v>316</v>
      </c>
      <c r="G323" s="74" t="n">
        <f aca="false">IF($C$15&lt;K323+(K323*($C$11/$C$13)),$C$15,K323+(K323*($C$11/$C$13)))</f>
        <v>1463.6654893942</v>
      </c>
      <c r="H323" s="74" t="n">
        <f aca="false">K323*$C$11/$C$13</f>
        <v>330.491036576033</v>
      </c>
      <c r="I323" s="74" t="n">
        <f aca="false">G323-H323</f>
        <v>1133.17445281817</v>
      </c>
      <c r="J323" s="73"/>
      <c r="K323" s="74" t="n">
        <f aca="false">K322-I322-J322</f>
        <v>56655.606270177</v>
      </c>
    </row>
    <row r="324" customFormat="false" ht="12.8" hidden="false" customHeight="false" outlineLevel="0" collapsed="false">
      <c r="E324" s="96" t="n">
        <v>55305</v>
      </c>
      <c r="F324" s="73" t="n">
        <v>317</v>
      </c>
      <c r="G324" s="74" t="n">
        <f aca="false">IF($C$15&lt;K324+(K324*($C$11/$C$13)),$C$15,K324+(K324*($C$11/$C$13)))</f>
        <v>1463.6654893942</v>
      </c>
      <c r="H324" s="74" t="n">
        <f aca="false">K324*$C$11/$C$13</f>
        <v>323.880852267927</v>
      </c>
      <c r="I324" s="74" t="n">
        <f aca="false">G324-H324</f>
        <v>1139.78463712628</v>
      </c>
      <c r="J324" s="73"/>
      <c r="K324" s="74" t="n">
        <f aca="false">K323-I323-J323</f>
        <v>55522.4318173589</v>
      </c>
    </row>
    <row r="325" customFormat="false" ht="12.8" hidden="false" customHeight="false" outlineLevel="0" collapsed="false">
      <c r="E325" s="96" t="n">
        <v>55335</v>
      </c>
      <c r="F325" s="73" t="n">
        <v>318</v>
      </c>
      <c r="G325" s="74" t="n">
        <f aca="false">IF($C$15&lt;K325+(K325*($C$11/$C$13)),$C$15,K325+(K325*($C$11/$C$13)))</f>
        <v>1463.6654893942</v>
      </c>
      <c r="H325" s="74" t="n">
        <f aca="false">K325*$C$11/$C$13</f>
        <v>317.232108551357</v>
      </c>
      <c r="I325" s="74" t="n">
        <f aca="false">G325-H325</f>
        <v>1146.43338084285</v>
      </c>
      <c r="J325" s="73"/>
      <c r="K325" s="74" t="n">
        <f aca="false">K324-I324-J324</f>
        <v>54382.6471802326</v>
      </c>
    </row>
    <row r="326" customFormat="false" ht="12.8" hidden="false" customHeight="false" outlineLevel="0" collapsed="false">
      <c r="E326" s="96" t="n">
        <v>55366</v>
      </c>
      <c r="F326" s="73" t="n">
        <v>319</v>
      </c>
      <c r="G326" s="74" t="n">
        <f aca="false">IF($C$15&lt;K326+(K326*($C$11/$C$13)),$C$15,K326+(K326*($C$11/$C$13)))</f>
        <v>1463.6654893942</v>
      </c>
      <c r="H326" s="74" t="n">
        <f aca="false">K326*$C$11/$C$13</f>
        <v>310.54458049644</v>
      </c>
      <c r="I326" s="74" t="n">
        <f aca="false">G326-H326</f>
        <v>1153.12090889776</v>
      </c>
      <c r="J326" s="73"/>
      <c r="K326" s="74" t="n">
        <f aca="false">K325-I325-J325</f>
        <v>53236.2137993897</v>
      </c>
    </row>
    <row r="327" customFormat="false" ht="12.8" hidden="false" customHeight="false" outlineLevel="0" collapsed="false">
      <c r="E327" s="96" t="n">
        <v>55397</v>
      </c>
      <c r="F327" s="73" t="n">
        <v>320</v>
      </c>
      <c r="G327" s="74" t="n">
        <f aca="false">IF($C$15&lt;K327+(K327*($C$11/$C$13)),$C$15,K327+(K327*($C$11/$C$13)))</f>
        <v>1463.6654893942</v>
      </c>
      <c r="H327" s="74" t="n">
        <f aca="false">K327*$C$11/$C$13</f>
        <v>303.818041861203</v>
      </c>
      <c r="I327" s="74" t="n">
        <f aca="false">G327-H327</f>
        <v>1159.847447533</v>
      </c>
      <c r="J327" s="73"/>
      <c r="K327" s="74" t="n">
        <f aca="false">K326-I326-J326</f>
        <v>52083.092890492</v>
      </c>
    </row>
    <row r="328" customFormat="false" ht="12.8" hidden="false" customHeight="false" outlineLevel="0" collapsed="false">
      <c r="E328" s="96" t="n">
        <v>55427</v>
      </c>
      <c r="F328" s="73" t="n">
        <v>321</v>
      </c>
      <c r="G328" s="74" t="n">
        <f aca="false">IF($C$15&lt;K328+(K328*($C$11/$C$13)),$C$15,K328+(K328*($C$11/$C$13)))</f>
        <v>1463.6654893942</v>
      </c>
      <c r="H328" s="74" t="n">
        <f aca="false">K328*$C$11/$C$13</f>
        <v>297.052265083927</v>
      </c>
      <c r="I328" s="74" t="n">
        <f aca="false">G328-H328</f>
        <v>1166.61322431028</v>
      </c>
      <c r="J328" s="73"/>
      <c r="K328" s="74" t="n">
        <f aca="false">K327-I327-J327</f>
        <v>50923.245442959</v>
      </c>
    </row>
    <row r="329" customFormat="false" ht="12.8" hidden="false" customHeight="false" outlineLevel="0" collapsed="false">
      <c r="E329" s="96" t="n">
        <v>55458</v>
      </c>
      <c r="F329" s="73" t="n">
        <v>322</v>
      </c>
      <c r="G329" s="74" t="n">
        <f aca="false">IF($C$15&lt;K329+(K329*($C$11/$C$13)),$C$15,K329+(K329*($C$11/$C$13)))</f>
        <v>1463.6654893942</v>
      </c>
      <c r="H329" s="74" t="n">
        <f aca="false">K329*$C$11/$C$13</f>
        <v>290.247021275451</v>
      </c>
      <c r="I329" s="74" t="n">
        <f aca="false">G329-H329</f>
        <v>1173.41846811875</v>
      </c>
      <c r="J329" s="73"/>
      <c r="K329" s="74" t="n">
        <f aca="false">K328-I328-J328</f>
        <v>49756.6322186487</v>
      </c>
    </row>
    <row r="330" customFormat="false" ht="12.8" hidden="false" customHeight="false" outlineLevel="0" collapsed="false">
      <c r="E330" s="96" t="n">
        <v>55488</v>
      </c>
      <c r="F330" s="73" t="n">
        <v>323</v>
      </c>
      <c r="G330" s="74" t="n">
        <f aca="false">IF($C$15&lt;K330+(K330*($C$11/$C$13)),$C$15,K330+(K330*($C$11/$C$13)))</f>
        <v>1463.6654893942</v>
      </c>
      <c r="H330" s="74" t="n">
        <f aca="false">K330*$C$11/$C$13</f>
        <v>283.402080211425</v>
      </c>
      <c r="I330" s="74" t="n">
        <f aca="false">G330-H330</f>
        <v>1180.26340918278</v>
      </c>
      <c r="J330" s="73"/>
      <c r="K330" s="74" t="n">
        <f aca="false">K329-I329-J329</f>
        <v>48583.2137505299</v>
      </c>
    </row>
    <row r="331" customFormat="false" ht="12.8" hidden="false" customHeight="false" outlineLevel="0" collapsed="false">
      <c r="E331" s="96" t="n">
        <v>55519</v>
      </c>
      <c r="F331" s="73" t="n">
        <v>324</v>
      </c>
      <c r="G331" s="74" t="n">
        <f aca="false">IF($C$15&lt;K331+(K331*($C$11/$C$13)),$C$15,K331+(K331*($C$11/$C$13)))</f>
        <v>1463.6654893942</v>
      </c>
      <c r="H331" s="74" t="n">
        <f aca="false">K331*$C$11/$C$13</f>
        <v>276.517210324525</v>
      </c>
      <c r="I331" s="74" t="n">
        <f aca="false">G331-H331</f>
        <v>1187.14827906968</v>
      </c>
      <c r="J331" s="73"/>
      <c r="K331" s="74" t="n">
        <f aca="false">K330-I330-J330</f>
        <v>47402.9503413472</v>
      </c>
    </row>
    <row r="332" customFormat="false" ht="12.8" hidden="false" customHeight="false" outlineLevel="0" collapsed="false">
      <c r="E332" s="96" t="n">
        <v>55550</v>
      </c>
      <c r="F332" s="73" t="n">
        <v>325</v>
      </c>
      <c r="G332" s="74" t="n">
        <f aca="false">IF($C$15&lt;K332+(K332*($C$11/$C$13)),$C$15,K332+(K332*($C$11/$C$13)))</f>
        <v>1463.6654893942</v>
      </c>
      <c r="H332" s="74" t="n">
        <f aca="false">K332*$C$11/$C$13</f>
        <v>269.592178696619</v>
      </c>
      <c r="I332" s="74" t="n">
        <f aca="false">G332-H332</f>
        <v>1194.07331069758</v>
      </c>
      <c r="J332" s="73"/>
      <c r="K332" s="74" t="n">
        <f aca="false">K331-I331-J331</f>
        <v>46215.8020622775</v>
      </c>
    </row>
    <row r="333" customFormat="false" ht="12.8" hidden="false" customHeight="false" outlineLevel="0" collapsed="false">
      <c r="E333" s="96" t="n">
        <v>55579</v>
      </c>
      <c r="F333" s="73" t="n">
        <v>326</v>
      </c>
      <c r="G333" s="74" t="n">
        <f aca="false">IF($C$15&lt;K333+(K333*($C$11/$C$13)),$C$15,K333+(K333*($C$11/$C$13)))</f>
        <v>1463.6654893942</v>
      </c>
      <c r="H333" s="74" t="n">
        <f aca="false">K333*$C$11/$C$13</f>
        <v>262.626751050883</v>
      </c>
      <c r="I333" s="74" t="n">
        <f aca="false">G333-H333</f>
        <v>1201.03873834332</v>
      </c>
      <c r="J333" s="73"/>
      <c r="K333" s="74" t="n">
        <f aca="false">K332-I332-J332</f>
        <v>45021.7287515799</v>
      </c>
    </row>
    <row r="334" customFormat="false" ht="12.8" hidden="false" customHeight="false" outlineLevel="0" collapsed="false">
      <c r="E334" s="96" t="n">
        <v>55610</v>
      </c>
      <c r="F334" s="73" t="n">
        <v>327</v>
      </c>
      <c r="G334" s="74" t="n">
        <f aca="false">IF($C$15&lt;K334+(K334*($C$11/$C$13)),$C$15,K334+(K334*($C$11/$C$13)))</f>
        <v>1463.6654893942</v>
      </c>
      <c r="H334" s="74" t="n">
        <f aca="false">K334*$C$11/$C$13</f>
        <v>255.62069174388</v>
      </c>
      <c r="I334" s="74" t="n">
        <f aca="false">G334-H334</f>
        <v>1208.04479765032</v>
      </c>
      <c r="J334" s="73"/>
      <c r="K334" s="74" t="n">
        <f aca="false">K333-I333-J333</f>
        <v>43820.6900132366</v>
      </c>
    </row>
    <row r="335" customFormat="false" ht="12.8" hidden="false" customHeight="false" outlineLevel="0" collapsed="false">
      <c r="E335" s="96" t="n">
        <v>55640</v>
      </c>
      <c r="F335" s="73" t="n">
        <v>328</v>
      </c>
      <c r="G335" s="74" t="n">
        <f aca="false">IF($C$15&lt;K335+(K335*($C$11/$C$13)),$C$15,K335+(K335*($C$11/$C$13)))</f>
        <v>1463.6654893942</v>
      </c>
      <c r="H335" s="74" t="n">
        <f aca="false">K335*$C$11/$C$13</f>
        <v>248.573763757587</v>
      </c>
      <c r="I335" s="74" t="n">
        <f aca="false">G335-H335</f>
        <v>1215.09172563662</v>
      </c>
      <c r="J335" s="73"/>
      <c r="K335" s="74" t="n">
        <f aca="false">K334-I334-J334</f>
        <v>42612.6452155863</v>
      </c>
    </row>
    <row r="336" customFormat="false" ht="12.8" hidden="false" customHeight="false" outlineLevel="0" collapsed="false">
      <c r="E336" s="96" t="n">
        <v>55671</v>
      </c>
      <c r="F336" s="73" t="n">
        <v>329</v>
      </c>
      <c r="G336" s="74" t="n">
        <f aca="false">IF($C$15&lt;K336+(K336*($C$11/$C$13)),$C$15,K336+(K336*($C$11/$C$13)))</f>
        <v>1463.6654893942</v>
      </c>
      <c r="H336" s="74" t="n">
        <f aca="false">K336*$C$11/$C$13</f>
        <v>241.485728691373</v>
      </c>
      <c r="I336" s="74" t="n">
        <f aca="false">G336-H336</f>
        <v>1222.17976070283</v>
      </c>
      <c r="J336" s="73"/>
      <c r="K336" s="74" t="n">
        <f aca="false">K335-I335-J335</f>
        <v>41397.5534899496</v>
      </c>
    </row>
    <row r="337" customFormat="false" ht="12.8" hidden="false" customHeight="false" outlineLevel="0" collapsed="false">
      <c r="E337" s="96" t="n">
        <v>55701</v>
      </c>
      <c r="F337" s="73" t="n">
        <v>330</v>
      </c>
      <c r="G337" s="74" t="n">
        <f aca="false">IF($C$15&lt;K337+(K337*($C$11/$C$13)),$C$15,K337+(K337*($C$11/$C$13)))</f>
        <v>1463.6654893942</v>
      </c>
      <c r="H337" s="74" t="n">
        <f aca="false">K337*$C$11/$C$13</f>
        <v>234.35634675394</v>
      </c>
      <c r="I337" s="74" t="n">
        <f aca="false">G337-H337</f>
        <v>1229.30914264026</v>
      </c>
      <c r="J337" s="73"/>
      <c r="K337" s="74" t="n">
        <f aca="false">K336-I336-J336</f>
        <v>40175.3737292468</v>
      </c>
    </row>
    <row r="338" customFormat="false" ht="12.8" hidden="false" customHeight="false" outlineLevel="0" collapsed="false">
      <c r="E338" s="96" t="n">
        <v>55732</v>
      </c>
      <c r="F338" s="73" t="n">
        <v>331</v>
      </c>
      <c r="G338" s="74" t="n">
        <f aca="false">IF($C$15&lt;K338+(K338*($C$11/$C$13)),$C$15,K338+(K338*($C$11/$C$13)))</f>
        <v>1463.6654893942</v>
      </c>
      <c r="H338" s="74" t="n">
        <f aca="false">K338*$C$11/$C$13</f>
        <v>227.185376755205</v>
      </c>
      <c r="I338" s="74" t="n">
        <f aca="false">G338-H338</f>
        <v>1236.480112639</v>
      </c>
      <c r="J338" s="73"/>
      <c r="K338" s="74" t="n">
        <f aca="false">K337-I337-J337</f>
        <v>38946.0645866066</v>
      </c>
    </row>
    <row r="339" customFormat="false" ht="12.8" hidden="false" customHeight="false" outlineLevel="0" collapsed="false">
      <c r="E339" s="96" t="n">
        <v>55763</v>
      </c>
      <c r="F339" s="73" t="n">
        <v>332</v>
      </c>
      <c r="G339" s="74" t="n">
        <f aca="false">IF($C$15&lt;K339+(K339*($C$11/$C$13)),$C$15,K339+(K339*($C$11/$C$13)))</f>
        <v>1463.6654893942</v>
      </c>
      <c r="H339" s="74" t="n">
        <f aca="false">K339*$C$11/$C$13</f>
        <v>219.972576098144</v>
      </c>
      <c r="I339" s="74" t="n">
        <f aca="false">G339-H339</f>
        <v>1243.69291329606</v>
      </c>
      <c r="J339" s="73"/>
      <c r="K339" s="74" t="n">
        <f aca="false">K338-I338-J338</f>
        <v>37709.5844739675</v>
      </c>
    </row>
    <row r="340" customFormat="false" ht="12.8" hidden="false" customHeight="false" outlineLevel="0" collapsed="false">
      <c r="E340" s="96" t="n">
        <v>55793</v>
      </c>
      <c r="F340" s="73" t="n">
        <v>333</v>
      </c>
      <c r="G340" s="74" t="n">
        <f aca="false">IF($C$15&lt;K340+(K340*($C$11/$C$13)),$C$15,K340+(K340*($C$11/$C$13)))</f>
        <v>1463.6654893942</v>
      </c>
      <c r="H340" s="74" t="n">
        <f aca="false">K340*$C$11/$C$13</f>
        <v>212.717700770584</v>
      </c>
      <c r="I340" s="74" t="n">
        <f aca="false">G340-H340</f>
        <v>1250.94778862362</v>
      </c>
      <c r="J340" s="73"/>
      <c r="K340" s="74" t="n">
        <f aca="false">K339-I339-J339</f>
        <v>36465.8915606715</v>
      </c>
    </row>
    <row r="341" customFormat="false" ht="12.8" hidden="false" customHeight="false" outlineLevel="0" collapsed="false">
      <c r="E341" s="96" t="n">
        <v>55824</v>
      </c>
      <c r="F341" s="73" t="n">
        <v>334</v>
      </c>
      <c r="G341" s="74" t="n">
        <f aca="false">IF($C$15&lt;K341+(K341*($C$11/$C$13)),$C$15,K341+(K341*($C$11/$C$13)))</f>
        <v>1463.6654893942</v>
      </c>
      <c r="H341" s="74" t="n">
        <f aca="false">K341*$C$11/$C$13</f>
        <v>205.420505336946</v>
      </c>
      <c r="I341" s="74" t="n">
        <f aca="false">G341-H341</f>
        <v>1258.24498405726</v>
      </c>
      <c r="J341" s="73"/>
      <c r="K341" s="74" t="n">
        <f aca="false">K340-I340-J340</f>
        <v>35214.9437720479</v>
      </c>
    </row>
    <row r="342" customFormat="false" ht="12.8" hidden="false" customHeight="false" outlineLevel="0" collapsed="false">
      <c r="E342" s="96" t="n">
        <v>55854</v>
      </c>
      <c r="F342" s="73" t="n">
        <v>335</v>
      </c>
      <c r="G342" s="74" t="n">
        <f aca="false">IF($C$15&lt;K342+(K342*($C$11/$C$13)),$C$15,K342+(K342*($C$11/$C$13)))</f>
        <v>1463.6654893942</v>
      </c>
      <c r="H342" s="74" t="n">
        <f aca="false">K342*$C$11/$C$13</f>
        <v>198.080742929945</v>
      </c>
      <c r="I342" s="74" t="n">
        <f aca="false">G342-H342</f>
        <v>1265.58474646426</v>
      </c>
      <c r="J342" s="73"/>
      <c r="K342" s="74" t="n">
        <f aca="false">K341-I341-J341</f>
        <v>33956.6987879906</v>
      </c>
    </row>
    <row r="343" customFormat="false" ht="12.8" hidden="false" customHeight="false" outlineLevel="0" collapsed="false">
      <c r="E343" s="96" t="n">
        <v>55885</v>
      </c>
      <c r="F343" s="73" t="n">
        <v>336</v>
      </c>
      <c r="G343" s="74" t="n">
        <f aca="false">IF($C$15&lt;K343+(K343*($C$11/$C$13)),$C$15,K343+(K343*($C$11/$C$13)))</f>
        <v>1463.6654893942</v>
      </c>
      <c r="H343" s="74" t="n">
        <f aca="false">K343*$C$11/$C$13</f>
        <v>190.698165242237</v>
      </c>
      <c r="I343" s="74" t="n">
        <f aca="false">G343-H343</f>
        <v>1272.96732415197</v>
      </c>
      <c r="J343" s="73"/>
      <c r="K343" s="74" t="n">
        <f aca="false">K342-I342-J342</f>
        <v>32691.1140415264</v>
      </c>
    </row>
    <row r="344" customFormat="false" ht="12.8" hidden="false" customHeight="false" outlineLevel="0" collapsed="false">
      <c r="E344" s="96" t="n">
        <v>55916</v>
      </c>
      <c r="F344" s="73" t="n">
        <v>337</v>
      </c>
      <c r="G344" s="74" t="n">
        <f aca="false">IF($C$15&lt;K344+(K344*($C$11/$C$13)),$C$15,K344+(K344*($C$11/$C$13)))</f>
        <v>1463.6654893942</v>
      </c>
      <c r="H344" s="74" t="n">
        <f aca="false">K344*$C$11/$C$13</f>
        <v>183.272522518017</v>
      </c>
      <c r="I344" s="74" t="n">
        <f aca="false">G344-H344</f>
        <v>1280.39296687619</v>
      </c>
      <c r="J344" s="73"/>
      <c r="K344" s="74" t="n">
        <f aca="false">K343-I343-J343</f>
        <v>31418.1467173744</v>
      </c>
    </row>
    <row r="345" customFormat="false" ht="12.8" hidden="false" customHeight="false" outlineLevel="0" collapsed="false">
      <c r="E345" s="96" t="n">
        <v>55944</v>
      </c>
      <c r="F345" s="73" t="n">
        <v>338</v>
      </c>
      <c r="G345" s="74" t="n">
        <f aca="false">IF($C$15&lt;K345+(K345*($C$11/$C$13)),$C$15,K345+(K345*($C$11/$C$13)))</f>
        <v>1463.6654893942</v>
      </c>
      <c r="H345" s="74" t="n">
        <f aca="false">K345*$C$11/$C$13</f>
        <v>175.803563544573</v>
      </c>
      <c r="I345" s="74" t="n">
        <f aca="false">G345-H345</f>
        <v>1287.86192584963</v>
      </c>
      <c r="J345" s="73"/>
      <c r="K345" s="74" t="n">
        <f aca="false">K344-I344-J344</f>
        <v>30137.7537504982</v>
      </c>
    </row>
    <row r="346" customFormat="false" ht="12.8" hidden="false" customHeight="false" outlineLevel="0" collapsed="false">
      <c r="E346" s="96" t="n">
        <v>55975</v>
      </c>
      <c r="F346" s="73" t="n">
        <v>339</v>
      </c>
      <c r="G346" s="74" t="n">
        <f aca="false">IF($C$15&lt;K346+(K346*($C$11/$C$13)),$C$15,K346+(K346*($C$11/$C$13)))</f>
        <v>1463.6654893942</v>
      </c>
      <c r="H346" s="74" t="n">
        <f aca="false">K346*$C$11/$C$13</f>
        <v>168.291035643783</v>
      </c>
      <c r="I346" s="74" t="n">
        <f aca="false">G346-H346</f>
        <v>1295.37445375042</v>
      </c>
      <c r="J346" s="73"/>
      <c r="K346" s="74" t="n">
        <f aca="false">K345-I345-J345</f>
        <v>28849.8918246486</v>
      </c>
    </row>
    <row r="347" customFormat="false" ht="12.8" hidden="false" customHeight="false" outlineLevel="0" collapsed="false">
      <c r="E347" s="96" t="n">
        <v>56005</v>
      </c>
      <c r="F347" s="73" t="n">
        <v>340</v>
      </c>
      <c r="G347" s="74" t="n">
        <f aca="false">IF($C$15&lt;K347+(K347*($C$11/$C$13)),$C$15,K347+(K347*($C$11/$C$13)))</f>
        <v>1463.6654893942</v>
      </c>
      <c r="H347" s="74" t="n">
        <f aca="false">K347*$C$11/$C$13</f>
        <v>160.734684663573</v>
      </c>
      <c r="I347" s="74" t="n">
        <f aca="false">G347-H347</f>
        <v>1302.93080473063</v>
      </c>
      <c r="J347" s="73"/>
      <c r="K347" s="74" t="n">
        <f aca="false">K346-I346-J346</f>
        <v>27554.5173708982</v>
      </c>
    </row>
    <row r="348" customFormat="false" ht="12.8" hidden="false" customHeight="false" outlineLevel="0" collapsed="false">
      <c r="E348" s="96" t="n">
        <v>56036</v>
      </c>
      <c r="F348" s="73" t="n">
        <v>341</v>
      </c>
      <c r="G348" s="74" t="n">
        <f aca="false">IF($C$15&lt;K348+(K348*($C$11/$C$13)),$C$15,K348+(K348*($C$11/$C$13)))</f>
        <v>1463.6654893942</v>
      </c>
      <c r="H348" s="74" t="n">
        <f aca="false">K348*$C$11/$C$13</f>
        <v>153.134254969311</v>
      </c>
      <c r="I348" s="74" t="n">
        <f aca="false">G348-H348</f>
        <v>1310.53123442489</v>
      </c>
      <c r="J348" s="73"/>
      <c r="K348" s="74" t="n">
        <f aca="false">K347-I347-J347</f>
        <v>26251.5865661675</v>
      </c>
    </row>
    <row r="349" customFormat="false" ht="12.8" hidden="false" customHeight="false" outlineLevel="0" collapsed="false">
      <c r="E349" s="96" t="n">
        <v>56066</v>
      </c>
      <c r="F349" s="73" t="n">
        <v>342</v>
      </c>
      <c r="G349" s="74" t="n">
        <f aca="false">IF($C$15&lt;K349+(K349*($C$11/$C$13)),$C$15,K349+(K349*($C$11/$C$13)))</f>
        <v>1463.6654893942</v>
      </c>
      <c r="H349" s="74" t="n">
        <f aca="false">K349*$C$11/$C$13</f>
        <v>145.489489435165</v>
      </c>
      <c r="I349" s="74" t="n">
        <f aca="false">G349-H349</f>
        <v>1318.17599995904</v>
      </c>
      <c r="J349" s="73"/>
      <c r="K349" s="74" t="n">
        <f aca="false">K348-I348-J348</f>
        <v>24941.0553317426</v>
      </c>
    </row>
    <row r="350" customFormat="false" ht="12.8" hidden="false" customHeight="false" outlineLevel="0" collapsed="false">
      <c r="E350" s="96" t="n">
        <v>56097</v>
      </c>
      <c r="F350" s="73" t="n">
        <v>343</v>
      </c>
      <c r="G350" s="74" t="n">
        <f aca="false">IF($C$15&lt;K350+(K350*($C$11/$C$13)),$C$15,K350+(K350*($C$11/$C$13)))</f>
        <v>1463.6654893942</v>
      </c>
      <c r="H350" s="74" t="n">
        <f aca="false">K350*$C$11/$C$13</f>
        <v>137.800129435404</v>
      </c>
      <c r="I350" s="74" t="n">
        <f aca="false">G350-H350</f>
        <v>1325.8653599588</v>
      </c>
      <c r="J350" s="73"/>
      <c r="K350" s="74" t="n">
        <f aca="false">K349-I349-J349</f>
        <v>23622.8793317836</v>
      </c>
    </row>
    <row r="351" customFormat="false" ht="12.8" hidden="false" customHeight="false" outlineLevel="0" collapsed="false">
      <c r="E351" s="96" t="n">
        <v>56128</v>
      </c>
      <c r="F351" s="73" t="n">
        <v>344</v>
      </c>
      <c r="G351" s="74" t="n">
        <f aca="false">IF($C$15&lt;K351+(K351*($C$11/$C$13)),$C$15,K351+(K351*($C$11/$C$13)))</f>
        <v>1463.6654893942</v>
      </c>
      <c r="H351" s="74" t="n">
        <f aca="false">K351*$C$11/$C$13</f>
        <v>130.065914835645</v>
      </c>
      <c r="I351" s="74" t="n">
        <f aca="false">G351-H351</f>
        <v>1333.59957455856</v>
      </c>
      <c r="J351" s="73"/>
      <c r="K351" s="74" t="n">
        <f aca="false">K350-I350-J350</f>
        <v>22297.0139718248</v>
      </c>
    </row>
    <row r="352" customFormat="false" ht="12.8" hidden="false" customHeight="false" outlineLevel="0" collapsed="false">
      <c r="E352" s="96" t="n">
        <v>56158</v>
      </c>
      <c r="F352" s="73" t="n">
        <v>345</v>
      </c>
      <c r="G352" s="74" t="n">
        <f aca="false">IF($C$15&lt;K352+(K352*($C$11/$C$13)),$C$15,K352+(K352*($C$11/$C$13)))</f>
        <v>1463.6654893942</v>
      </c>
      <c r="H352" s="74" t="n">
        <f aca="false">K352*$C$11/$C$13</f>
        <v>122.286583984053</v>
      </c>
      <c r="I352" s="74" t="n">
        <f aca="false">G352-H352</f>
        <v>1341.37890541015</v>
      </c>
      <c r="J352" s="73"/>
      <c r="K352" s="74" t="n">
        <f aca="false">K351-I351-J351</f>
        <v>20963.4143972662</v>
      </c>
    </row>
    <row r="353" customFormat="false" ht="12.8" hidden="false" customHeight="false" outlineLevel="0" collapsed="false">
      <c r="E353" s="96" t="n">
        <v>56189</v>
      </c>
      <c r="F353" s="73" t="n">
        <v>346</v>
      </c>
      <c r="G353" s="74" t="n">
        <f aca="false">IF($C$15&lt;K353+(K353*($C$11/$C$13)),$C$15,K353+(K353*($C$11/$C$13)))</f>
        <v>1463.6654893942</v>
      </c>
      <c r="H353" s="74" t="n">
        <f aca="false">K353*$C$11/$C$13</f>
        <v>114.461873702494</v>
      </c>
      <c r="I353" s="74" t="n">
        <f aca="false">G353-H353</f>
        <v>1349.20361569171</v>
      </c>
      <c r="J353" s="73"/>
      <c r="K353" s="74" t="n">
        <f aca="false">K352-I352-J352</f>
        <v>19622.0354918561</v>
      </c>
    </row>
    <row r="354" customFormat="false" ht="12.8" hidden="false" customHeight="false" outlineLevel="0" collapsed="false">
      <c r="E354" s="96" t="n">
        <v>56219</v>
      </c>
      <c r="F354" s="73" t="n">
        <v>347</v>
      </c>
      <c r="G354" s="74" t="n">
        <f aca="false">IF($C$15&lt;K354+(K354*($C$11/$C$13)),$C$15,K354+(K354*($C$11/$C$13)))</f>
        <v>1463.6654893942</v>
      </c>
      <c r="H354" s="74" t="n">
        <f aca="false">K354*$C$11/$C$13</f>
        <v>106.591519277626</v>
      </c>
      <c r="I354" s="74" t="n">
        <f aca="false">G354-H354</f>
        <v>1357.07397011658</v>
      </c>
      <c r="J354" s="73"/>
      <c r="K354" s="74" t="n">
        <f aca="false">K353-I353-J353</f>
        <v>18272.8318761644</v>
      </c>
    </row>
    <row r="355" customFormat="false" ht="12.8" hidden="false" customHeight="false" outlineLevel="0" collapsed="false">
      <c r="E355" s="96" t="n">
        <v>56250</v>
      </c>
      <c r="F355" s="73" t="n">
        <v>348</v>
      </c>
      <c r="G355" s="74" t="n">
        <f aca="false">IF($C$15&lt;K355+(K355*($C$11/$C$13)),$C$15,K355+(K355*($C$11/$C$13)))</f>
        <v>1463.6654893942</v>
      </c>
      <c r="H355" s="74" t="n">
        <f aca="false">K355*$C$11/$C$13</f>
        <v>98.6752544519455</v>
      </c>
      <c r="I355" s="74" t="n">
        <f aca="false">G355-H355</f>
        <v>1364.99023494226</v>
      </c>
      <c r="J355" s="73"/>
      <c r="K355" s="74" t="n">
        <f aca="false">K354-I354-J354</f>
        <v>16915.7579060478</v>
      </c>
    </row>
    <row r="356" customFormat="false" ht="12.8" hidden="false" customHeight="false" outlineLevel="0" collapsed="false">
      <c r="E356" s="96" t="n">
        <v>56281</v>
      </c>
      <c r="F356" s="73" t="n">
        <v>349</v>
      </c>
      <c r="G356" s="74" t="n">
        <f aca="false">IF($C$15&lt;K356+(K356*($C$11/$C$13)),$C$15,K356+(K356*($C$11/$C$13)))</f>
        <v>1463.6654893942</v>
      </c>
      <c r="H356" s="74" t="n">
        <f aca="false">K356*$C$11/$C$13</f>
        <v>90.7128114147824</v>
      </c>
      <c r="I356" s="74" t="n">
        <f aca="false">G356-H356</f>
        <v>1372.95267797942</v>
      </c>
      <c r="J356" s="73"/>
      <c r="K356" s="74" t="n">
        <f aca="false">K355-I355-J355</f>
        <v>15550.7676711055</v>
      </c>
    </row>
    <row r="357" customFormat="false" ht="12.8" hidden="false" customHeight="false" outlineLevel="0" collapsed="false">
      <c r="E357" s="96" t="n">
        <v>56309</v>
      </c>
      <c r="F357" s="73" t="n">
        <v>350</v>
      </c>
      <c r="G357" s="74" t="n">
        <f aca="false">IF($C$15&lt;K357+(K357*($C$11/$C$13)),$C$15,K357+(K357*($C$11/$C$13)))</f>
        <v>1463.6654893942</v>
      </c>
      <c r="H357" s="74" t="n">
        <f aca="false">K357*$C$11/$C$13</f>
        <v>82.7039207932357</v>
      </c>
      <c r="I357" s="74" t="n">
        <f aca="false">G357-H357</f>
        <v>1380.96156860097</v>
      </c>
      <c r="J357" s="73"/>
      <c r="K357" s="74" t="n">
        <f aca="false">K356-I356-J356</f>
        <v>14177.8149931261</v>
      </c>
    </row>
    <row r="358" customFormat="false" ht="12.8" hidden="false" customHeight="false" outlineLevel="0" collapsed="false">
      <c r="E358" s="96" t="n">
        <v>56340</v>
      </c>
      <c r="F358" s="73" t="n">
        <v>351</v>
      </c>
      <c r="G358" s="74" t="n">
        <f aca="false">IF($C$15&lt;K358+(K358*($C$11/$C$13)),$C$15,K358+(K358*($C$11/$C$13)))</f>
        <v>1463.6654893942</v>
      </c>
      <c r="H358" s="74" t="n">
        <f aca="false">K358*$C$11/$C$13</f>
        <v>74.6483116430635</v>
      </c>
      <c r="I358" s="74" t="n">
        <f aca="false">G358-H358</f>
        <v>1389.01717775114</v>
      </c>
      <c r="J358" s="73"/>
      <c r="K358" s="74" t="n">
        <f aca="false">K357-I357-J357</f>
        <v>12796.8534245252</v>
      </c>
    </row>
    <row r="359" customFormat="false" ht="12.8" hidden="false" customHeight="false" outlineLevel="0" collapsed="false">
      <c r="E359" s="96" t="n">
        <v>56370</v>
      </c>
      <c r="F359" s="73" t="n">
        <v>352</v>
      </c>
      <c r="G359" s="74" t="n">
        <f aca="false">IF($C$15&lt;K359+(K359*($C$11/$C$13)),$C$15,K359+(K359*($C$11/$C$13)))</f>
        <v>1463.6654893942</v>
      </c>
      <c r="H359" s="74" t="n">
        <f aca="false">K359*$C$11/$C$13</f>
        <v>66.5457114395151</v>
      </c>
      <c r="I359" s="74" t="n">
        <f aca="false">G359-H359</f>
        <v>1397.11977795469</v>
      </c>
      <c r="J359" s="73"/>
      <c r="K359" s="74" t="n">
        <f aca="false">K358-I358-J358</f>
        <v>11407.836246774</v>
      </c>
    </row>
    <row r="360" customFormat="false" ht="12.8" hidden="false" customHeight="false" outlineLevel="0" collapsed="false">
      <c r="E360" s="96" t="n">
        <v>56401</v>
      </c>
      <c r="F360" s="73" t="n">
        <v>353</v>
      </c>
      <c r="G360" s="74" t="n">
        <f aca="false">IF($C$15&lt;K360+(K360*($C$11/$C$13)),$C$15,K360+(K360*($C$11/$C$13)))</f>
        <v>1463.6654893942</v>
      </c>
      <c r="H360" s="74" t="n">
        <f aca="false">K360*$C$11/$C$13</f>
        <v>58.3958460681128</v>
      </c>
      <c r="I360" s="74" t="n">
        <f aca="false">G360-H360</f>
        <v>1405.26964332609</v>
      </c>
      <c r="J360" s="73"/>
      <c r="K360" s="74" t="n">
        <f aca="false">K359-I359-J359</f>
        <v>10010.7164688193</v>
      </c>
    </row>
    <row r="361" customFormat="false" ht="12.8" hidden="false" customHeight="false" outlineLevel="0" collapsed="false">
      <c r="E361" s="96" t="n">
        <v>56431</v>
      </c>
      <c r="F361" s="73" t="n">
        <v>354</v>
      </c>
      <c r="G361" s="74" t="n">
        <f aca="false">IF($C$15&lt;K361+(K361*($C$11/$C$13)),$C$15,K361+(K361*($C$11/$C$13)))</f>
        <v>1463.6654893942</v>
      </c>
      <c r="H361" s="74" t="n">
        <f aca="false">K361*$C$11/$C$13</f>
        <v>50.1984398153773</v>
      </c>
      <c r="I361" s="74" t="n">
        <f aca="false">G361-H361</f>
        <v>1413.46704957883</v>
      </c>
      <c r="J361" s="73"/>
      <c r="K361" s="74" t="n">
        <f aca="false">K360-I360-J360</f>
        <v>8605.44682549325</v>
      </c>
    </row>
    <row r="362" customFormat="false" ht="12.8" hidden="false" customHeight="false" outlineLevel="0" collapsed="false">
      <c r="E362" s="96" t="n">
        <v>56462</v>
      </c>
      <c r="F362" s="73" t="n">
        <v>355</v>
      </c>
      <c r="G362" s="74" t="n">
        <f aca="false">IF($C$15&lt;K362+(K362*($C$11/$C$13)),$C$15,K362+(K362*($C$11/$C$13)))</f>
        <v>1463.6654893942</v>
      </c>
      <c r="H362" s="74" t="n">
        <f aca="false">K362*$C$11/$C$13</f>
        <v>41.9532153595008</v>
      </c>
      <c r="I362" s="74" t="n">
        <f aca="false">G362-H362</f>
        <v>1421.7122740347</v>
      </c>
      <c r="J362" s="73"/>
      <c r="K362" s="74" t="n">
        <f aca="false">K361-I361-J361</f>
        <v>7191.97977591442</v>
      </c>
    </row>
    <row r="363" customFormat="false" ht="12.8" hidden="false" customHeight="false" outlineLevel="0" collapsed="false">
      <c r="E363" s="96" t="n">
        <v>56493</v>
      </c>
      <c r="F363" s="73" t="n">
        <v>356</v>
      </c>
      <c r="G363" s="74" t="n">
        <f aca="false">IF($C$15&lt;K363+(K363*($C$11/$C$13)),$C$15,K363+(K363*($C$11/$C$13)))</f>
        <v>1463.6654893942</v>
      </c>
      <c r="H363" s="74" t="n">
        <f aca="false">K363*$C$11/$C$13</f>
        <v>33.659893760965</v>
      </c>
      <c r="I363" s="74" t="n">
        <f aca="false">G363-H363</f>
        <v>1430.00559563324</v>
      </c>
      <c r="J363" s="73"/>
      <c r="K363" s="74" t="n">
        <f aca="false">K362-I362-J362</f>
        <v>5770.26750187972</v>
      </c>
    </row>
    <row r="364" customFormat="false" ht="12.8" hidden="false" customHeight="false" outlineLevel="0" collapsed="false">
      <c r="E364" s="96" t="n">
        <v>56523</v>
      </c>
      <c r="F364" s="73" t="n">
        <v>357</v>
      </c>
      <c r="G364" s="74" t="n">
        <f aca="false">IF($C$15&lt;K364+(K364*($C$11/$C$13)),$C$15,K364+(K364*($C$11/$C$13)))</f>
        <v>1463.6654893942</v>
      </c>
      <c r="H364" s="74" t="n">
        <f aca="false">K364*$C$11/$C$13</f>
        <v>25.3181944531045</v>
      </c>
      <c r="I364" s="74" t="n">
        <f aca="false">G364-H364</f>
        <v>1438.3472949411</v>
      </c>
      <c r="J364" s="73"/>
      <c r="K364" s="74" t="n">
        <f aca="false">K363-I363-J363</f>
        <v>4340.26190624648</v>
      </c>
    </row>
    <row r="365" customFormat="false" ht="12.8" hidden="false" customHeight="false" outlineLevel="0" collapsed="false">
      <c r="E365" s="96" t="n">
        <v>56554</v>
      </c>
      <c r="F365" s="73" t="n">
        <v>358</v>
      </c>
      <c r="G365" s="74" t="n">
        <f aca="false">IF($C$15&lt;K365+(K365*($C$11/$C$13)),$C$15,K365+(K365*($C$11/$C$13)))</f>
        <v>1463.6654893942</v>
      </c>
      <c r="H365" s="74" t="n">
        <f aca="false">K365*$C$11/$C$13</f>
        <v>16.9278352326147</v>
      </c>
      <c r="I365" s="74" t="n">
        <f aca="false">G365-H365</f>
        <v>1446.73765416159</v>
      </c>
      <c r="J365" s="73"/>
      <c r="K365" s="74" t="n">
        <f aca="false">K364-I364-J364</f>
        <v>2901.91461130538</v>
      </c>
    </row>
    <row r="366" customFormat="false" ht="12.8" hidden="false" customHeight="false" outlineLevel="0" collapsed="false">
      <c r="E366" s="96" t="n">
        <v>56584</v>
      </c>
      <c r="F366" s="73" t="n">
        <v>359</v>
      </c>
      <c r="G366" s="74" t="n">
        <f aca="false">IF($C$15&lt;K366+(K366*($C$11/$C$13)),$C$15,K366+(K366*($C$11/$C$13)))</f>
        <v>1463.6654893938</v>
      </c>
      <c r="H366" s="74" t="n">
        <f aca="false">K366*$C$11/$C$13</f>
        <v>8.48853225000547</v>
      </c>
      <c r="I366" s="74" t="n">
        <f aca="false">G366-H366</f>
        <v>1455.17695714379</v>
      </c>
      <c r="J366" s="73"/>
      <c r="K366" s="74" t="n">
        <f aca="false">K365-I365-J365</f>
        <v>1455.17695714379</v>
      </c>
    </row>
    <row r="367" customFormat="false" ht="12.8" hidden="false" customHeight="false" outlineLevel="0" collapsed="false">
      <c r="E367" s="96" t="n">
        <v>56615</v>
      </c>
      <c r="F367" s="73" t="n">
        <v>360</v>
      </c>
      <c r="G367" s="74" t="n">
        <f aca="false">IF($C$15&lt;K367+(K367*($C$11/$C$13)),$C$15,K367+(K367*($C$11/$C$13)))</f>
        <v>0</v>
      </c>
      <c r="H367" s="74" t="n">
        <f aca="false">K367*$C$11/$C$13</f>
        <v>0</v>
      </c>
      <c r="I367" s="74" t="n">
        <f aca="false">G367-H367</f>
        <v>0</v>
      </c>
      <c r="J367" s="73"/>
      <c r="K367" s="74" t="n">
        <f aca="false">K366-I366-J366</f>
        <v>0</v>
      </c>
    </row>
  </sheetData>
  <mergeCells count="32">
    <mergeCell ref="A1:A3"/>
    <mergeCell ref="B1:B3"/>
    <mergeCell ref="C1:F3"/>
    <mergeCell ref="A4:D4"/>
    <mergeCell ref="E4:K4"/>
    <mergeCell ref="A5:B5"/>
    <mergeCell ref="C5:D5"/>
    <mergeCell ref="A6:B6"/>
    <mergeCell ref="C6:D6"/>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20:B20"/>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48"/>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C10" activeCellId="0" sqref="C10"/>
    </sheetView>
  </sheetViews>
  <sheetFormatPr defaultColWidth="11.60546875" defaultRowHeight="12.8" zeroHeight="false" outlineLevelRow="0" outlineLevelCol="0"/>
  <cols>
    <col collapsed="false" customWidth="true" hidden="false" outlineLevel="0" max="1" min="1" style="0" width="12.47"/>
    <col collapsed="false" customWidth="true" hidden="false" outlineLevel="0" max="2" min="2" style="0" width="13.37"/>
    <col collapsed="false" customWidth="true" hidden="false" outlineLevel="0" max="3" min="3" style="0" width="18.2"/>
    <col collapsed="false" customWidth="true" hidden="false" outlineLevel="0" max="4" min="4" style="0" width="17.37"/>
    <col collapsed="false" customWidth="true" hidden="false" outlineLevel="0" max="7" min="7" style="0" width="14.28"/>
    <col collapsed="false" customWidth="true" hidden="false" outlineLevel="0" max="8" min="8" style="0" width="22.09"/>
    <col collapsed="false" customWidth="true" hidden="false" outlineLevel="0" max="9" min="9" style="0" width="10.77"/>
    <col collapsed="false" customWidth="true" hidden="false" outlineLevel="0" max="10" min="10" style="0" width="12.1"/>
    <col collapsed="false" customWidth="true" hidden="false" outlineLevel="0" max="11" min="11" style="0" width="17.37"/>
    <col collapsed="false" customWidth="true" hidden="false" outlineLevel="0" max="12" min="12" style="0" width="13.37"/>
    <col collapsed="false" customWidth="true" hidden="false" outlineLevel="0" max="13" min="13" style="0" width="14.28"/>
    <col collapsed="false" customWidth="true" hidden="false" outlineLevel="0" max="14" min="14" style="0" width="12.1"/>
    <col collapsed="false" customWidth="true" hidden="false" outlineLevel="0" max="15" min="15" style="0" width="17.37"/>
    <col collapsed="false" customWidth="true" hidden="false" outlineLevel="0" max="16" min="16" style="0" width="13.37"/>
    <col collapsed="false" customWidth="true" hidden="false" outlineLevel="0" max="17" min="17" style="0" width="14.28"/>
    <col collapsed="false" customWidth="true" hidden="false" outlineLevel="0" max="18" min="18" style="0" width="12.1"/>
    <col collapsed="false" customWidth="true" hidden="false" outlineLevel="0" max="19" min="19" style="0" width="17.37"/>
    <col collapsed="false" customWidth="true" hidden="false" outlineLevel="0" max="20" min="20" style="0" width="13.37"/>
    <col collapsed="false" customWidth="true" hidden="false" outlineLevel="0" max="21" min="21" style="0" width="14.28"/>
  </cols>
  <sheetData>
    <row r="1" customFormat="false" ht="21.5" hidden="false" customHeight="true" outlineLevel="0" collapsed="false">
      <c r="A1" s="1" t="s">
        <v>105</v>
      </c>
      <c r="B1" s="2" t="n">
        <v>2021</v>
      </c>
      <c r="C1" s="3" t="s">
        <v>106</v>
      </c>
      <c r="D1" s="3"/>
      <c r="E1" s="3"/>
      <c r="F1" s="3"/>
    </row>
    <row r="2" customFormat="false" ht="21.5" hidden="false" customHeight="true" outlineLevel="0" collapsed="false">
      <c r="A2" s="1"/>
      <c r="B2" s="2"/>
      <c r="C2" s="3"/>
      <c r="D2" s="3"/>
      <c r="E2" s="3"/>
      <c r="F2" s="3"/>
    </row>
    <row r="3" customFormat="false" ht="22.3" hidden="false" customHeight="true" outlineLevel="0" collapsed="false">
      <c r="A3" s="1"/>
      <c r="B3" s="2"/>
      <c r="C3" s="3"/>
      <c r="D3" s="3"/>
      <c r="E3" s="3"/>
      <c r="F3" s="3"/>
    </row>
    <row r="4" customFormat="false" ht="19.7" hidden="false" customHeight="false" outlineLevel="0" collapsed="false">
      <c r="A4" s="106" t="s">
        <v>107</v>
      </c>
      <c r="B4" s="106"/>
      <c r="C4" s="106"/>
      <c r="D4" s="106"/>
      <c r="E4" s="106"/>
      <c r="F4" s="106"/>
      <c r="G4" s="106"/>
      <c r="H4" s="107" t="s">
        <v>108</v>
      </c>
      <c r="I4" s="107"/>
      <c r="J4" s="108" t="s">
        <v>109</v>
      </c>
      <c r="K4" s="108"/>
      <c r="L4" s="108"/>
      <c r="M4" s="108"/>
      <c r="N4" s="108" t="s">
        <v>110</v>
      </c>
      <c r="O4" s="108"/>
      <c r="P4" s="108"/>
      <c r="Q4" s="108"/>
      <c r="R4" s="108" t="s">
        <v>111</v>
      </c>
      <c r="S4" s="108"/>
      <c r="T4" s="108"/>
      <c r="U4" s="108"/>
    </row>
    <row r="5" customFormat="false" ht="25" hidden="false" customHeight="false" outlineLevel="0" collapsed="false">
      <c r="A5" s="109" t="s">
        <v>112</v>
      </c>
      <c r="B5" s="109" t="s">
        <v>113</v>
      </c>
      <c r="C5" s="109" t="s">
        <v>114</v>
      </c>
      <c r="D5" s="109" t="s">
        <v>115</v>
      </c>
      <c r="E5" s="110" t="s">
        <v>116</v>
      </c>
      <c r="F5" s="110"/>
      <c r="G5" s="109" t="s">
        <v>117</v>
      </c>
      <c r="H5" s="111" t="s">
        <v>118</v>
      </c>
      <c r="I5" s="112" t="s">
        <v>119</v>
      </c>
      <c r="J5" s="113" t="s">
        <v>112</v>
      </c>
      <c r="K5" s="113" t="s">
        <v>114</v>
      </c>
      <c r="L5" s="113" t="s">
        <v>113</v>
      </c>
      <c r="M5" s="113" t="s">
        <v>117</v>
      </c>
      <c r="N5" s="113" t="s">
        <v>112</v>
      </c>
      <c r="O5" s="113" t="s">
        <v>114</v>
      </c>
      <c r="P5" s="113" t="s">
        <v>113</v>
      </c>
      <c r="Q5" s="113" t="s">
        <v>117</v>
      </c>
      <c r="R5" s="113" t="s">
        <v>112</v>
      </c>
      <c r="S5" s="113" t="s">
        <v>114</v>
      </c>
      <c r="T5" s="113" t="s">
        <v>113</v>
      </c>
      <c r="U5" s="113" t="s">
        <v>117</v>
      </c>
    </row>
    <row r="6" customFormat="false" ht="13.8" hidden="false" customHeight="false" outlineLevel="0" collapsed="false">
      <c r="A6" s="114" t="s">
        <v>10</v>
      </c>
      <c r="B6" s="114"/>
      <c r="C6" s="114"/>
      <c r="D6" s="114"/>
      <c r="E6" s="114"/>
      <c r="F6" s="114"/>
      <c r="G6" s="40"/>
      <c r="H6" s="30" t="s">
        <v>10</v>
      </c>
      <c r="I6" s="115" t="n">
        <v>12950</v>
      </c>
      <c r="J6" s="116" t="s">
        <v>10</v>
      </c>
      <c r="K6" s="116"/>
      <c r="L6" s="116"/>
      <c r="M6" s="116"/>
      <c r="N6" s="116" t="s">
        <v>10</v>
      </c>
      <c r="O6" s="116"/>
      <c r="P6" s="116"/>
      <c r="Q6" s="116"/>
      <c r="R6" s="116" t="s">
        <v>10</v>
      </c>
      <c r="S6" s="116"/>
      <c r="T6" s="116"/>
      <c r="U6" s="116"/>
    </row>
    <row r="7" customFormat="false" ht="13.8" hidden="false" customHeight="false" outlineLevel="0" collapsed="false">
      <c r="A7" s="59" t="n">
        <v>1</v>
      </c>
      <c r="B7" s="117" t="n">
        <v>0.1</v>
      </c>
      <c r="C7" s="118" t="n">
        <v>0</v>
      </c>
      <c r="D7" s="119" t="n">
        <v>10275</v>
      </c>
      <c r="E7" s="120" t="n">
        <v>9700</v>
      </c>
      <c r="F7" s="120"/>
      <c r="G7" s="29" t="n">
        <v>0</v>
      </c>
      <c r="H7" s="31" t="s">
        <v>120</v>
      </c>
      <c r="I7" s="121" t="n">
        <v>19400</v>
      </c>
      <c r="J7" s="30" t="n">
        <v>1</v>
      </c>
      <c r="K7" s="122" t="n">
        <v>0</v>
      </c>
      <c r="L7" s="123" t="n">
        <v>0.01</v>
      </c>
      <c r="M7" s="115" t="n">
        <v>0</v>
      </c>
      <c r="N7" s="30" t="n">
        <v>1</v>
      </c>
      <c r="O7" s="122" t="n">
        <v>0</v>
      </c>
      <c r="P7" s="123" t="n">
        <v>0.05</v>
      </c>
      <c r="Q7" s="115" t="n">
        <v>0</v>
      </c>
      <c r="R7" s="30" t="n">
        <v>1</v>
      </c>
      <c r="S7" s="122" t="n">
        <v>0</v>
      </c>
      <c r="T7" s="124" t="n">
        <v>0.0463</v>
      </c>
      <c r="U7" s="115" t="n">
        <v>0</v>
      </c>
    </row>
    <row r="8" customFormat="false" ht="13.8" hidden="false" customHeight="false" outlineLevel="0" collapsed="false">
      <c r="A8" s="59" t="n">
        <v>2</v>
      </c>
      <c r="B8" s="117" t="n">
        <v>0.12</v>
      </c>
      <c r="C8" s="118" t="n">
        <f aca="false">D7</f>
        <v>10275</v>
      </c>
      <c r="D8" s="119" t="n">
        <v>41775</v>
      </c>
      <c r="E8" s="120" t="n">
        <f aca="false">D8-C8+1</f>
        <v>31501</v>
      </c>
      <c r="F8" s="120"/>
      <c r="G8" s="29" t="n">
        <f aca="false">(D7-C7)*B7</f>
        <v>1027.5</v>
      </c>
      <c r="H8" s="31" t="s">
        <v>121</v>
      </c>
      <c r="I8" s="121" t="n">
        <v>25900</v>
      </c>
      <c r="J8" s="31" t="n">
        <v>2</v>
      </c>
      <c r="K8" s="125" t="n">
        <v>750</v>
      </c>
      <c r="L8" s="126" t="n">
        <v>0.02</v>
      </c>
      <c r="M8" s="121" t="n">
        <f aca="false">(K8-K7)*L7</f>
        <v>7.5</v>
      </c>
      <c r="N8" s="31" t="n">
        <v>2</v>
      </c>
      <c r="O8" s="125" t="n">
        <v>3550</v>
      </c>
      <c r="P8" s="126" t="n">
        <v>0.07</v>
      </c>
      <c r="Q8" s="121" t="n">
        <f aca="false">(O8-O7)*P7</f>
        <v>177.5</v>
      </c>
      <c r="R8" s="31" t="n">
        <v>2</v>
      </c>
      <c r="S8" s="125" t="n">
        <v>10000000</v>
      </c>
      <c r="T8" s="127"/>
      <c r="U8" s="121" t="n">
        <f aca="false">(S8-S7)*T7</f>
        <v>463000</v>
      </c>
    </row>
    <row r="9" customFormat="false" ht="13.8" hidden="false" customHeight="false" outlineLevel="0" collapsed="false">
      <c r="A9" s="59" t="n">
        <v>3</v>
      </c>
      <c r="B9" s="117" t="n">
        <v>0.22</v>
      </c>
      <c r="C9" s="118" t="n">
        <f aca="false">D8</f>
        <v>41775</v>
      </c>
      <c r="D9" s="119" t="n">
        <v>89075</v>
      </c>
      <c r="E9" s="120" t="n">
        <f aca="false">D9-C9+1</f>
        <v>47301</v>
      </c>
      <c r="F9" s="120"/>
      <c r="G9" s="29" t="n">
        <f aca="false">(D8-D7)*B8+G8</f>
        <v>4807.5</v>
      </c>
      <c r="H9" s="32" t="s">
        <v>122</v>
      </c>
      <c r="I9" s="128" t="n">
        <f aca="false">I6</f>
        <v>12950</v>
      </c>
      <c r="J9" s="31" t="n">
        <v>3</v>
      </c>
      <c r="K9" s="125" t="n">
        <v>2250</v>
      </c>
      <c r="L9" s="126" t="n">
        <v>0.03</v>
      </c>
      <c r="M9" s="121" t="n">
        <f aca="false">(K9-K8)*L8+M8</f>
        <v>37.5</v>
      </c>
      <c r="N9" s="31" t="n">
        <v>3</v>
      </c>
      <c r="O9" s="125" t="n">
        <v>8900</v>
      </c>
      <c r="P9" s="126" t="n">
        <v>0.09</v>
      </c>
      <c r="Q9" s="121" t="n">
        <f aca="false">(O9-O8)*P8</f>
        <v>374.5</v>
      </c>
      <c r="R9" s="31"/>
      <c r="S9" s="125"/>
      <c r="T9" s="126"/>
      <c r="U9" s="121"/>
    </row>
    <row r="10" customFormat="false" ht="13.8" hidden="false" customHeight="false" outlineLevel="0" collapsed="false">
      <c r="A10" s="59" t="n">
        <v>4</v>
      </c>
      <c r="B10" s="117" t="n">
        <v>0.24</v>
      </c>
      <c r="C10" s="118" t="n">
        <f aca="false">D9</f>
        <v>89075</v>
      </c>
      <c r="D10" s="119" t="n">
        <v>170050</v>
      </c>
      <c r="E10" s="120" t="n">
        <f aca="false">D10-C10+1</f>
        <v>80976</v>
      </c>
      <c r="F10" s="120"/>
      <c r="G10" s="29" t="n">
        <f aca="false">(D9-D8)*B9+G9</f>
        <v>15213.5</v>
      </c>
      <c r="J10" s="31" t="n">
        <v>4</v>
      </c>
      <c r="K10" s="125" t="n">
        <v>3750</v>
      </c>
      <c r="L10" s="126" t="n">
        <v>0.04</v>
      </c>
      <c r="M10" s="121" t="n">
        <f aca="false">(K10-K9)*L9+M9</f>
        <v>82.5</v>
      </c>
      <c r="N10" s="31" t="n">
        <v>4</v>
      </c>
      <c r="O10" s="125" t="n">
        <v>125000</v>
      </c>
      <c r="P10" s="129" t="n">
        <v>0.099</v>
      </c>
      <c r="Q10" s="121" t="n">
        <f aca="false">(O10-O9)*P9</f>
        <v>10449</v>
      </c>
      <c r="R10" s="31"/>
      <c r="S10" s="125"/>
      <c r="T10" s="126"/>
      <c r="U10" s="121"/>
    </row>
    <row r="11" customFormat="false" ht="13.8" hidden="false" customHeight="false" outlineLevel="0" collapsed="false">
      <c r="A11" s="59" t="n">
        <v>5</v>
      </c>
      <c r="B11" s="117" t="n">
        <v>0.32</v>
      </c>
      <c r="C11" s="118" t="n">
        <f aca="false">D10</f>
        <v>170050</v>
      </c>
      <c r="D11" s="119" t="n">
        <v>215950</v>
      </c>
      <c r="E11" s="120" t="n">
        <f aca="false">D11-C11+1</f>
        <v>45901</v>
      </c>
      <c r="F11" s="120"/>
      <c r="G11" s="29" t="n">
        <f aca="false">(D10-D9)*B10+G10</f>
        <v>34647.5</v>
      </c>
      <c r="J11" s="31" t="n">
        <v>5</v>
      </c>
      <c r="K11" s="125" t="n">
        <v>5250</v>
      </c>
      <c r="L11" s="126" t="n">
        <v>0.05</v>
      </c>
      <c r="M11" s="121" t="n">
        <f aca="false">(K11-K10)*L10+M10</f>
        <v>142.5</v>
      </c>
      <c r="N11" s="31" t="n">
        <v>5</v>
      </c>
      <c r="O11" s="125" t="n">
        <v>10000000</v>
      </c>
      <c r="P11" s="126"/>
      <c r="Q11" s="121" t="n">
        <f aca="false">(O11-O10)*P10</f>
        <v>977625</v>
      </c>
      <c r="R11" s="31"/>
      <c r="S11" s="125"/>
      <c r="T11" s="126"/>
      <c r="U11" s="121"/>
    </row>
    <row r="12" customFormat="false" ht="13.8" hidden="false" customHeight="false" outlineLevel="0" collapsed="false">
      <c r="A12" s="59" t="n">
        <v>6</v>
      </c>
      <c r="B12" s="117" t="n">
        <v>0.35</v>
      </c>
      <c r="C12" s="118" t="n">
        <f aca="false">D11</f>
        <v>215950</v>
      </c>
      <c r="D12" s="119" t="n">
        <v>539900</v>
      </c>
      <c r="E12" s="120" t="n">
        <f aca="false">D12-C12+1</f>
        <v>323951</v>
      </c>
      <c r="F12" s="120"/>
      <c r="G12" s="29" t="n">
        <f aca="false">(D11-D10)*B11+G11</f>
        <v>49335.5</v>
      </c>
      <c r="J12" s="31" t="n">
        <v>6</v>
      </c>
      <c r="K12" s="125" t="n">
        <v>7000</v>
      </c>
      <c r="L12" s="126" t="n">
        <v>0.06</v>
      </c>
      <c r="M12" s="121" t="n">
        <f aca="false">(K12-K11)*L11+M11</f>
        <v>230</v>
      </c>
      <c r="N12" s="31"/>
      <c r="O12" s="125"/>
      <c r="P12" s="126"/>
      <c r="Q12" s="121"/>
      <c r="R12" s="31"/>
      <c r="S12" s="125"/>
      <c r="T12" s="126"/>
      <c r="U12" s="121"/>
    </row>
    <row r="13" customFormat="false" ht="13.8" hidden="false" customHeight="false" outlineLevel="0" collapsed="false">
      <c r="A13" s="59" t="n">
        <v>7</v>
      </c>
      <c r="B13" s="117" t="n">
        <v>0.37</v>
      </c>
      <c r="C13" s="118" t="n">
        <f aca="false">D12</f>
        <v>539900</v>
      </c>
      <c r="D13" s="119" t="n">
        <v>10000000</v>
      </c>
      <c r="E13" s="120" t="n">
        <f aca="false">D13-C13+1</f>
        <v>9460101</v>
      </c>
      <c r="F13" s="120"/>
      <c r="G13" s="29" t="n">
        <f aca="false">(D12-D11)*B12+G12</f>
        <v>162718</v>
      </c>
      <c r="J13" s="32"/>
      <c r="K13" s="63"/>
      <c r="L13" s="130"/>
      <c r="M13" s="128"/>
      <c r="N13" s="32"/>
      <c r="O13" s="63"/>
      <c r="P13" s="130"/>
      <c r="Q13" s="128"/>
      <c r="R13" s="32"/>
      <c r="S13" s="63"/>
      <c r="T13" s="130"/>
      <c r="U13" s="128"/>
    </row>
    <row r="14" customFormat="false" ht="12.8" hidden="false" customHeight="false" outlineLevel="0" collapsed="false">
      <c r="E14" s="103"/>
      <c r="F14" s="131"/>
      <c r="G14" s="29" t="n">
        <f aca="false">(D13-D12)*B13+G13</f>
        <v>3662955</v>
      </c>
      <c r="J14" s="116" t="s">
        <v>121</v>
      </c>
      <c r="K14" s="116"/>
      <c r="L14" s="116"/>
      <c r="M14" s="116"/>
      <c r="N14" s="116" t="s">
        <v>121</v>
      </c>
      <c r="O14" s="116"/>
      <c r="P14" s="116"/>
      <c r="Q14" s="116"/>
      <c r="R14" s="116" t="s">
        <v>121</v>
      </c>
      <c r="S14" s="116"/>
      <c r="T14" s="116"/>
      <c r="U14" s="116"/>
    </row>
    <row r="15" customFormat="false" ht="13.8" hidden="false" customHeight="false" outlineLevel="0" collapsed="false">
      <c r="A15" s="114" t="s">
        <v>120</v>
      </c>
      <c r="B15" s="114"/>
      <c r="C15" s="114"/>
      <c r="D15" s="114"/>
      <c r="E15" s="114" t="n">
        <f aca="false">D15-C15+1</f>
        <v>1</v>
      </c>
      <c r="F15" s="114"/>
      <c r="G15" s="40"/>
      <c r="J15" s="30" t="n">
        <v>1</v>
      </c>
      <c r="K15" s="122" t="n">
        <v>0</v>
      </c>
      <c r="L15" s="123" t="n">
        <v>0.01</v>
      </c>
      <c r="M15" s="115" t="n">
        <v>0</v>
      </c>
      <c r="N15" s="30" t="n">
        <v>1</v>
      </c>
      <c r="O15" s="122" t="n">
        <v>0</v>
      </c>
      <c r="P15" s="123" t="n">
        <v>0.05</v>
      </c>
      <c r="Q15" s="115" t="n">
        <v>0</v>
      </c>
      <c r="R15" s="30" t="n">
        <v>1</v>
      </c>
      <c r="S15" s="122" t="n">
        <v>0</v>
      </c>
      <c r="T15" s="124" t="n">
        <v>0.0463</v>
      </c>
      <c r="U15" s="115" t="n">
        <v>0</v>
      </c>
    </row>
    <row r="16" customFormat="false" ht="13.8" hidden="false" customHeight="false" outlineLevel="0" collapsed="false">
      <c r="A16" s="59" t="n">
        <v>1</v>
      </c>
      <c r="B16" s="117" t="n">
        <v>0.1</v>
      </c>
      <c r="C16" s="118" t="n">
        <v>0</v>
      </c>
      <c r="D16" s="119" t="n">
        <v>14650</v>
      </c>
      <c r="E16" s="120" t="n">
        <v>13850</v>
      </c>
      <c r="F16" s="120"/>
      <c r="G16" s="29" t="n">
        <v>0</v>
      </c>
      <c r="J16" s="31" t="n">
        <v>2</v>
      </c>
      <c r="K16" s="125" t="n">
        <v>1000</v>
      </c>
      <c r="L16" s="126" t="n">
        <v>0.02</v>
      </c>
      <c r="M16" s="121" t="n">
        <f aca="false">(K16-K15)*L15</f>
        <v>10</v>
      </c>
      <c r="N16" s="31" t="n">
        <v>2</v>
      </c>
      <c r="O16" s="125" t="n">
        <v>7100</v>
      </c>
      <c r="P16" s="126" t="n">
        <v>0.07</v>
      </c>
      <c r="Q16" s="121" t="n">
        <f aca="false">(O16-O15)*P15</f>
        <v>355</v>
      </c>
      <c r="R16" s="31" t="n">
        <v>2</v>
      </c>
      <c r="S16" s="125" t="n">
        <v>10000000</v>
      </c>
      <c r="T16" s="127"/>
      <c r="U16" s="121" t="n">
        <f aca="false">(S16-S15)*T15</f>
        <v>463000</v>
      </c>
    </row>
    <row r="17" customFormat="false" ht="13.8" hidden="false" customHeight="false" outlineLevel="0" collapsed="false">
      <c r="A17" s="59" t="n">
        <v>2</v>
      </c>
      <c r="B17" s="117" t="n">
        <v>0.12</v>
      </c>
      <c r="C17" s="118" t="n">
        <f aca="false">D16</f>
        <v>14650</v>
      </c>
      <c r="D17" s="119" t="n">
        <v>55900</v>
      </c>
      <c r="E17" s="120" t="n">
        <f aca="false">D17-C17+1</f>
        <v>41251</v>
      </c>
      <c r="F17" s="120"/>
      <c r="G17" s="29" t="n">
        <f aca="false">(D16-C16)*B16</f>
        <v>1465</v>
      </c>
      <c r="J17" s="31" t="n">
        <v>3</v>
      </c>
      <c r="K17" s="125" t="n">
        <v>3000</v>
      </c>
      <c r="L17" s="126" t="n">
        <v>0.03</v>
      </c>
      <c r="M17" s="121" t="n">
        <f aca="false">(K17-K16)*L16+M16</f>
        <v>50</v>
      </c>
      <c r="N17" s="31" t="n">
        <v>3</v>
      </c>
      <c r="O17" s="125" t="n">
        <v>17800</v>
      </c>
      <c r="P17" s="126" t="n">
        <v>0.09</v>
      </c>
      <c r="Q17" s="121" t="n">
        <f aca="false">(O17-O16)*P16</f>
        <v>749</v>
      </c>
      <c r="R17" s="31"/>
      <c r="S17" s="125"/>
      <c r="T17" s="126"/>
      <c r="U17" s="121"/>
    </row>
    <row r="18" customFormat="false" ht="13.8" hidden="false" customHeight="false" outlineLevel="0" collapsed="false">
      <c r="A18" s="59" t="n">
        <v>3</v>
      </c>
      <c r="B18" s="117" t="n">
        <v>0.22</v>
      </c>
      <c r="C18" s="118" t="n">
        <f aca="false">D17</f>
        <v>55900</v>
      </c>
      <c r="D18" s="119" t="n">
        <v>89050</v>
      </c>
      <c r="E18" s="120" t="n">
        <f aca="false">D18-C18+1</f>
        <v>33151</v>
      </c>
      <c r="F18" s="120"/>
      <c r="G18" s="29" t="n">
        <f aca="false">(D17-D16)*B17+G17</f>
        <v>6415</v>
      </c>
      <c r="J18" s="31" t="n">
        <v>4</v>
      </c>
      <c r="K18" s="125" t="n">
        <v>5000</v>
      </c>
      <c r="L18" s="126" t="n">
        <v>0.04</v>
      </c>
      <c r="M18" s="121" t="n">
        <f aca="false">(K18-K17)*L17+M17</f>
        <v>110</v>
      </c>
      <c r="N18" s="31" t="n">
        <v>4</v>
      </c>
      <c r="O18" s="125" t="n">
        <v>250000</v>
      </c>
      <c r="P18" s="129" t="n">
        <v>0.099</v>
      </c>
      <c r="Q18" s="121" t="n">
        <f aca="false">(O18-O17)*P17</f>
        <v>20898</v>
      </c>
      <c r="R18" s="31"/>
      <c r="S18" s="125"/>
      <c r="T18" s="126"/>
      <c r="U18" s="121"/>
    </row>
    <row r="19" customFormat="false" ht="13.8" hidden="false" customHeight="false" outlineLevel="0" collapsed="false">
      <c r="A19" s="59" t="n">
        <v>4</v>
      </c>
      <c r="B19" s="117" t="n">
        <v>0.24</v>
      </c>
      <c r="C19" s="118" t="n">
        <f aca="false">D18</f>
        <v>89050</v>
      </c>
      <c r="D19" s="119" t="n">
        <v>170050</v>
      </c>
      <c r="E19" s="120" t="n">
        <f aca="false">D19-C19+1</f>
        <v>81001</v>
      </c>
      <c r="F19" s="120"/>
      <c r="G19" s="29" t="n">
        <f aca="false">(D18-D17)*B18+G18</f>
        <v>13708</v>
      </c>
      <c r="J19" s="31" t="n">
        <v>5</v>
      </c>
      <c r="K19" s="125" t="n">
        <v>7000</v>
      </c>
      <c r="L19" s="126" t="n">
        <v>0.05</v>
      </c>
      <c r="M19" s="121" t="n">
        <f aca="false">(K19-K18)*L18+M18</f>
        <v>190</v>
      </c>
      <c r="N19" s="31" t="n">
        <v>5</v>
      </c>
      <c r="O19" s="125" t="n">
        <v>10000000</v>
      </c>
      <c r="P19" s="126"/>
      <c r="Q19" s="121" t="n">
        <f aca="false">(O19-O18)*P18</f>
        <v>965250</v>
      </c>
      <c r="R19" s="31"/>
      <c r="S19" s="125"/>
      <c r="T19" s="126"/>
      <c r="U19" s="121"/>
    </row>
    <row r="20" customFormat="false" ht="13.8" hidden="false" customHeight="false" outlineLevel="0" collapsed="false">
      <c r="A20" s="59" t="n">
        <v>5</v>
      </c>
      <c r="B20" s="117" t="n">
        <v>0.32</v>
      </c>
      <c r="C20" s="118" t="n">
        <f aca="false">D19</f>
        <v>170050</v>
      </c>
      <c r="D20" s="119" t="n">
        <v>215950</v>
      </c>
      <c r="E20" s="120" t="n">
        <f aca="false">D20-C20+1</f>
        <v>45901</v>
      </c>
      <c r="F20" s="120"/>
      <c r="G20" s="29" t="n">
        <f aca="false">(D19-D18)*B19+G19</f>
        <v>33148</v>
      </c>
      <c r="J20" s="31" t="n">
        <v>6</v>
      </c>
      <c r="K20" s="125" t="n">
        <v>10000</v>
      </c>
      <c r="L20" s="126" t="n">
        <v>0.06</v>
      </c>
      <c r="M20" s="121" t="n">
        <f aca="false">(K20-K19)*L19+M19</f>
        <v>340</v>
      </c>
      <c r="N20" s="31"/>
      <c r="O20" s="125"/>
      <c r="P20" s="126"/>
      <c r="Q20" s="121"/>
      <c r="R20" s="31"/>
      <c r="S20" s="125"/>
      <c r="T20" s="126"/>
      <c r="U20" s="121"/>
    </row>
    <row r="21" customFormat="false" ht="13.8" hidden="false" customHeight="false" outlineLevel="0" collapsed="false">
      <c r="A21" s="59" t="n">
        <v>6</v>
      </c>
      <c r="B21" s="117" t="n">
        <v>0.35</v>
      </c>
      <c r="C21" s="118" t="n">
        <f aca="false">D20</f>
        <v>215950</v>
      </c>
      <c r="D21" s="119" t="n">
        <v>539900</v>
      </c>
      <c r="E21" s="120" t="n">
        <f aca="false">D21-C21+1</f>
        <v>323951</v>
      </c>
      <c r="F21" s="120"/>
      <c r="G21" s="29" t="n">
        <f aca="false">(D20-D19)*B20+G20</f>
        <v>47836</v>
      </c>
      <c r="J21" s="32"/>
      <c r="K21" s="63"/>
      <c r="L21" s="33"/>
      <c r="M21" s="128"/>
      <c r="N21" s="32"/>
      <c r="O21" s="63"/>
      <c r="P21" s="33"/>
      <c r="Q21" s="128"/>
      <c r="R21" s="32"/>
      <c r="S21" s="63"/>
      <c r="T21" s="33"/>
      <c r="U21" s="128"/>
    </row>
    <row r="22" customFormat="false" ht="19.7" hidden="false" customHeight="false" outlineLevel="0" collapsed="false">
      <c r="A22" s="59" t="n">
        <v>7</v>
      </c>
      <c r="B22" s="117" t="n">
        <v>0.37</v>
      </c>
      <c r="C22" s="118" t="n">
        <f aca="false">D21</f>
        <v>539900</v>
      </c>
      <c r="D22" s="119" t="n">
        <v>10000000</v>
      </c>
      <c r="E22" s="120" t="n">
        <f aca="false">D22-C22+1</f>
        <v>9460101</v>
      </c>
      <c r="F22" s="120"/>
      <c r="G22" s="29" t="n">
        <f aca="false">(D21-D20)*B21+G21</f>
        <v>161218.5</v>
      </c>
      <c r="J22" s="108" t="s">
        <v>123</v>
      </c>
      <c r="K22" s="108"/>
      <c r="L22" s="108"/>
      <c r="M22" s="108"/>
      <c r="N22" s="108" t="s">
        <v>124</v>
      </c>
      <c r="O22" s="108"/>
      <c r="P22" s="108"/>
      <c r="Q22" s="108"/>
      <c r="R22" s="108" t="s">
        <v>125</v>
      </c>
      <c r="S22" s="108"/>
      <c r="T22" s="108"/>
      <c r="U22" s="108"/>
    </row>
    <row r="23" customFormat="false" ht="19.7" hidden="false" customHeight="false" outlineLevel="0" collapsed="false">
      <c r="A23" s="31"/>
      <c r="E23" s="103"/>
      <c r="F23" s="131"/>
      <c r="G23" s="29" t="n">
        <f aca="false">(D22-D21)*B22+G22</f>
        <v>3661455.5</v>
      </c>
      <c r="J23" s="113" t="s">
        <v>112</v>
      </c>
      <c r="K23" s="113" t="s">
        <v>114</v>
      </c>
      <c r="L23" s="113" t="s">
        <v>113</v>
      </c>
      <c r="M23" s="113" t="s">
        <v>117</v>
      </c>
      <c r="N23" s="113" t="s">
        <v>112</v>
      </c>
      <c r="O23" s="113" t="s">
        <v>114</v>
      </c>
      <c r="P23" s="113" t="s">
        <v>113</v>
      </c>
      <c r="Q23" s="113" t="s">
        <v>117</v>
      </c>
      <c r="R23" s="113" t="s">
        <v>112</v>
      </c>
      <c r="S23" s="113" t="s">
        <v>114</v>
      </c>
      <c r="T23" s="113" t="s">
        <v>113</v>
      </c>
      <c r="U23" s="113" t="s">
        <v>117</v>
      </c>
    </row>
    <row r="24" customFormat="false" ht="12.8" hidden="false" customHeight="false" outlineLevel="0" collapsed="false">
      <c r="A24" s="114" t="s">
        <v>121</v>
      </c>
      <c r="B24" s="114"/>
      <c r="C24" s="114"/>
      <c r="D24" s="114"/>
      <c r="E24" s="114"/>
      <c r="F24" s="114"/>
      <c r="G24" s="40"/>
      <c r="J24" s="116" t="s">
        <v>10</v>
      </c>
      <c r="K24" s="116"/>
      <c r="L24" s="116"/>
      <c r="M24" s="116"/>
      <c r="N24" s="116" t="s">
        <v>10</v>
      </c>
      <c r="O24" s="116"/>
      <c r="P24" s="116"/>
      <c r="Q24" s="116"/>
      <c r="R24" s="116" t="s">
        <v>10</v>
      </c>
      <c r="S24" s="116"/>
      <c r="T24" s="116"/>
      <c r="U24" s="116"/>
    </row>
    <row r="25" customFormat="false" ht="13.8" hidden="false" customHeight="false" outlineLevel="0" collapsed="false">
      <c r="A25" s="59" t="n">
        <v>1</v>
      </c>
      <c r="B25" s="117" t="n">
        <v>0.1</v>
      </c>
      <c r="C25" s="118" t="n">
        <v>0</v>
      </c>
      <c r="D25" s="119" t="n">
        <v>20550</v>
      </c>
      <c r="E25" s="120" t="n">
        <v>19400</v>
      </c>
      <c r="F25" s="120"/>
      <c r="G25" s="29" t="n">
        <v>0</v>
      </c>
      <c r="J25" s="30" t="n">
        <v>1</v>
      </c>
      <c r="K25" s="122" t="n">
        <v>0</v>
      </c>
      <c r="L25" s="123" t="n">
        <v>0.058</v>
      </c>
      <c r="M25" s="115" t="n">
        <v>0</v>
      </c>
      <c r="N25" s="30" t="n">
        <v>1</v>
      </c>
      <c r="O25" s="122" t="n">
        <v>0</v>
      </c>
      <c r="P25" s="123" t="n">
        <v>0.02</v>
      </c>
      <c r="Q25" s="115" t="n">
        <v>0</v>
      </c>
      <c r="R25" s="30" t="n">
        <v>1</v>
      </c>
      <c r="S25" s="122" t="n">
        <v>0</v>
      </c>
      <c r="T25" s="124" t="n">
        <v>0.05</v>
      </c>
      <c r="U25" s="115" t="n">
        <v>0</v>
      </c>
    </row>
    <row r="26" customFormat="false" ht="13.8" hidden="false" customHeight="false" outlineLevel="0" collapsed="false">
      <c r="A26" s="59" t="n">
        <v>2</v>
      </c>
      <c r="B26" s="117" t="n">
        <v>0.12</v>
      </c>
      <c r="C26" s="118" t="n">
        <f aca="false">D25</f>
        <v>20550</v>
      </c>
      <c r="D26" s="119" t="n">
        <v>83550</v>
      </c>
      <c r="E26" s="120" t="n">
        <f aca="false">D26-C26+1</f>
        <v>63001</v>
      </c>
      <c r="F26" s="120"/>
      <c r="G26" s="29" t="n">
        <f aca="false">(D25-C25)*B25</f>
        <v>2055</v>
      </c>
      <c r="J26" s="31" t="n">
        <v>2</v>
      </c>
      <c r="K26" s="125" t="n">
        <v>22200</v>
      </c>
      <c r="L26" s="126" t="n">
        <v>0.0675</v>
      </c>
      <c r="M26" s="121" t="n">
        <f aca="false">(K26-K25)*L25</f>
        <v>1287.6</v>
      </c>
      <c r="N26" s="31" t="n">
        <v>2</v>
      </c>
      <c r="O26" s="125" t="n">
        <v>3000</v>
      </c>
      <c r="P26" s="126" t="n">
        <v>0.03</v>
      </c>
      <c r="Q26" s="121" t="n">
        <f aca="false">(O26-O25)*P25</f>
        <v>60</v>
      </c>
      <c r="R26" s="31" t="n">
        <v>2</v>
      </c>
      <c r="S26" s="125" t="n">
        <v>10000000</v>
      </c>
      <c r="T26" s="127"/>
      <c r="U26" s="121" t="n">
        <f aca="false">(S26-S25)*T25</f>
        <v>500000</v>
      </c>
    </row>
    <row r="27" customFormat="false" ht="13.8" hidden="false" customHeight="false" outlineLevel="0" collapsed="false">
      <c r="A27" s="59" t="n">
        <v>3</v>
      </c>
      <c r="B27" s="117" t="n">
        <v>0.22</v>
      </c>
      <c r="C27" s="118" t="n">
        <f aca="false">D26</f>
        <v>83550</v>
      </c>
      <c r="D27" s="119" t="n">
        <v>178150</v>
      </c>
      <c r="E27" s="120" t="n">
        <f aca="false">D27-C27+1</f>
        <v>94601</v>
      </c>
      <c r="F27" s="120"/>
      <c r="G27" s="29" t="n">
        <f aca="false">(D26-D25)*B26+G26</f>
        <v>9615</v>
      </c>
      <c r="J27" s="31" t="n">
        <v>3</v>
      </c>
      <c r="K27" s="125" t="n">
        <v>52600</v>
      </c>
      <c r="L27" s="126" t="n">
        <v>0.0715</v>
      </c>
      <c r="M27" s="121" t="n">
        <f aca="false">(K27-K26)*L26</f>
        <v>2052</v>
      </c>
      <c r="N27" s="31" t="n">
        <v>3</v>
      </c>
      <c r="O27" s="125" t="n">
        <v>5000</v>
      </c>
      <c r="P27" s="126" t="n">
        <v>0.05</v>
      </c>
      <c r="Q27" s="121" t="n">
        <f aca="false">(O27-O26)*P26+Q26</f>
        <v>120</v>
      </c>
      <c r="R27" s="31"/>
      <c r="S27" s="125"/>
      <c r="T27" s="126"/>
      <c r="U27" s="121"/>
    </row>
    <row r="28" customFormat="false" ht="13.8" hidden="false" customHeight="false" outlineLevel="0" collapsed="false">
      <c r="A28" s="59" t="n">
        <v>4</v>
      </c>
      <c r="B28" s="117" t="n">
        <v>0.24</v>
      </c>
      <c r="C28" s="118" t="n">
        <f aca="false">D27</f>
        <v>178150</v>
      </c>
      <c r="D28" s="119" t="n">
        <v>340100</v>
      </c>
      <c r="E28" s="120" t="n">
        <f aca="false">D28-C28+1</f>
        <v>161951</v>
      </c>
      <c r="F28" s="120"/>
      <c r="G28" s="29" t="n">
        <f aca="false">(D27-D26)*B27+G27</f>
        <v>30427</v>
      </c>
      <c r="J28" s="31" t="n">
        <v>4</v>
      </c>
      <c r="K28" s="125" t="n">
        <v>10000000</v>
      </c>
      <c r="L28" s="126"/>
      <c r="M28" s="121" t="n">
        <f aca="false">(K28-K27)*L27</f>
        <v>711239.1</v>
      </c>
      <c r="N28" s="31" t="n">
        <v>4</v>
      </c>
      <c r="O28" s="125" t="n">
        <v>17000</v>
      </c>
      <c r="P28" s="127" t="n">
        <v>0.0575</v>
      </c>
      <c r="Q28" s="121" t="n">
        <f aca="false">(O28-O27)*P27+Q27</f>
        <v>720</v>
      </c>
      <c r="R28" s="31"/>
      <c r="S28" s="125"/>
      <c r="T28" s="126"/>
      <c r="U28" s="121"/>
    </row>
    <row r="29" customFormat="false" ht="13.8" hidden="false" customHeight="false" outlineLevel="0" collapsed="false">
      <c r="A29" s="59" t="n">
        <v>5</v>
      </c>
      <c r="B29" s="117" t="n">
        <v>0.32</v>
      </c>
      <c r="C29" s="118" t="n">
        <f aca="false">D28</f>
        <v>340100</v>
      </c>
      <c r="D29" s="119" t="n">
        <v>431900</v>
      </c>
      <c r="E29" s="120" t="n">
        <f aca="false">D29-C29+1</f>
        <v>91801</v>
      </c>
      <c r="F29" s="120"/>
      <c r="G29" s="29" t="n">
        <f aca="false">(D28-D27)*B28+G28</f>
        <v>69295</v>
      </c>
      <c r="J29" s="31"/>
      <c r="K29" s="125"/>
      <c r="L29" s="126"/>
      <c r="M29" s="121"/>
      <c r="N29" s="31" t="n">
        <v>5</v>
      </c>
      <c r="O29" s="125" t="n">
        <v>10000000</v>
      </c>
      <c r="P29" s="126"/>
      <c r="Q29" s="121" t="n">
        <f aca="false">(O29-O28)*P28+Q28</f>
        <v>574742.5</v>
      </c>
      <c r="R29" s="31"/>
      <c r="S29" s="125"/>
      <c r="T29" s="126"/>
      <c r="U29" s="121"/>
    </row>
    <row r="30" customFormat="false" ht="13.8" hidden="false" customHeight="false" outlineLevel="0" collapsed="false">
      <c r="A30" s="59" t="n">
        <v>6</v>
      </c>
      <c r="B30" s="117" t="n">
        <v>0.35</v>
      </c>
      <c r="C30" s="118" t="n">
        <f aca="false">D29</f>
        <v>431900</v>
      </c>
      <c r="D30" s="119" t="n">
        <v>647850</v>
      </c>
      <c r="E30" s="120" t="n">
        <f aca="false">D30-C30+1</f>
        <v>215951</v>
      </c>
      <c r="F30" s="120"/>
      <c r="G30" s="29" t="n">
        <f aca="false">(D29-D28)*B29+G29</f>
        <v>98671</v>
      </c>
      <c r="J30" s="31"/>
      <c r="K30" s="125"/>
      <c r="L30" s="126"/>
      <c r="M30" s="121"/>
      <c r="N30" s="31"/>
      <c r="O30" s="125"/>
      <c r="P30" s="126"/>
      <c r="Q30" s="121"/>
      <c r="R30" s="31"/>
      <c r="S30" s="125"/>
      <c r="T30" s="126"/>
      <c r="U30" s="121"/>
    </row>
    <row r="31" customFormat="false" ht="13.8" hidden="false" customHeight="false" outlineLevel="0" collapsed="false">
      <c r="A31" s="59" t="n">
        <v>7</v>
      </c>
      <c r="B31" s="117" t="n">
        <v>0.37</v>
      </c>
      <c r="C31" s="118" t="n">
        <f aca="false">D30</f>
        <v>647850</v>
      </c>
      <c r="D31" s="119" t="n">
        <v>10000000</v>
      </c>
      <c r="E31" s="120" t="n">
        <f aca="false">D31-C31+1</f>
        <v>9352151</v>
      </c>
      <c r="F31" s="120"/>
      <c r="G31" s="29" t="n">
        <f aca="false">(D30-D29)*B30+G30</f>
        <v>174253.5</v>
      </c>
      <c r="J31" s="32"/>
      <c r="K31" s="63"/>
      <c r="L31" s="130"/>
      <c r="M31" s="128"/>
      <c r="N31" s="32"/>
      <c r="O31" s="63"/>
      <c r="P31" s="130"/>
      <c r="Q31" s="128"/>
      <c r="R31" s="32"/>
      <c r="S31" s="63"/>
      <c r="T31" s="130"/>
      <c r="U31" s="128"/>
    </row>
    <row r="32" customFormat="false" ht="12.8" hidden="false" customHeight="false" outlineLevel="0" collapsed="false">
      <c r="A32" s="31"/>
      <c r="E32" s="103"/>
      <c r="F32" s="131"/>
      <c r="G32" s="29" t="n">
        <f aca="false">(D31-D30)*B31+G31</f>
        <v>3634549</v>
      </c>
      <c r="J32" s="116" t="s">
        <v>121</v>
      </c>
      <c r="K32" s="116"/>
      <c r="L32" s="116"/>
      <c r="M32" s="116"/>
      <c r="N32" s="116" t="s">
        <v>121</v>
      </c>
      <c r="O32" s="116"/>
      <c r="P32" s="116"/>
      <c r="Q32" s="116"/>
      <c r="R32" s="116" t="s">
        <v>121</v>
      </c>
      <c r="S32" s="116"/>
      <c r="T32" s="116"/>
      <c r="U32" s="116"/>
    </row>
    <row r="33" customFormat="false" ht="13.8" hidden="false" customHeight="false" outlineLevel="0" collapsed="false">
      <c r="A33" s="114" t="s">
        <v>122</v>
      </c>
      <c r="B33" s="114"/>
      <c r="C33" s="114"/>
      <c r="D33" s="114"/>
      <c r="E33" s="114"/>
      <c r="F33" s="114"/>
      <c r="G33" s="40"/>
      <c r="J33" s="30" t="n">
        <v>1</v>
      </c>
      <c r="K33" s="122" t="n">
        <v>0</v>
      </c>
      <c r="L33" s="123" t="n">
        <v>0.058</v>
      </c>
      <c r="M33" s="115" t="n">
        <v>0</v>
      </c>
      <c r="N33" s="30" t="n">
        <v>1</v>
      </c>
      <c r="O33" s="122" t="n">
        <v>0</v>
      </c>
      <c r="P33" s="123" t="n">
        <v>0.02</v>
      </c>
      <c r="Q33" s="115" t="n">
        <v>0</v>
      </c>
      <c r="R33" s="30" t="n">
        <v>1</v>
      </c>
      <c r="S33" s="122" t="n">
        <v>0</v>
      </c>
      <c r="T33" s="124" t="n">
        <v>0.05</v>
      </c>
      <c r="U33" s="115" t="n">
        <v>0</v>
      </c>
    </row>
    <row r="34" customFormat="false" ht="13.8" hidden="false" customHeight="false" outlineLevel="0" collapsed="false">
      <c r="A34" s="59" t="n">
        <v>1</v>
      </c>
      <c r="B34" s="117" t="n">
        <v>0.1</v>
      </c>
      <c r="C34" s="118" t="n">
        <v>0</v>
      </c>
      <c r="D34" s="119" t="n">
        <v>10275</v>
      </c>
      <c r="E34" s="120" t="n">
        <v>9700</v>
      </c>
      <c r="F34" s="120"/>
      <c r="G34" s="29" t="n">
        <v>0</v>
      </c>
      <c r="J34" s="31" t="n">
        <v>2</v>
      </c>
      <c r="K34" s="125" t="n">
        <v>44450</v>
      </c>
      <c r="L34" s="126" t="n">
        <v>0.0675</v>
      </c>
      <c r="M34" s="121" t="n">
        <f aca="false">(K34-K33)*L33</f>
        <v>2578.1</v>
      </c>
      <c r="N34" s="31" t="n">
        <v>2</v>
      </c>
      <c r="O34" s="125" t="n">
        <v>3000</v>
      </c>
      <c r="P34" s="126" t="n">
        <v>0.03</v>
      </c>
      <c r="Q34" s="121" t="n">
        <f aca="false">(O34-O33)*P33</f>
        <v>60</v>
      </c>
      <c r="R34" s="31" t="n">
        <v>2</v>
      </c>
      <c r="S34" s="125" t="n">
        <v>10000000</v>
      </c>
      <c r="T34" s="127"/>
      <c r="U34" s="121" t="n">
        <f aca="false">(S34-S33)*T33</f>
        <v>500000</v>
      </c>
    </row>
    <row r="35" customFormat="false" ht="13.8" hidden="false" customHeight="false" outlineLevel="0" collapsed="false">
      <c r="A35" s="59" t="n">
        <v>2</v>
      </c>
      <c r="B35" s="117" t="n">
        <v>0.12</v>
      </c>
      <c r="C35" s="118" t="n">
        <f aca="false">D34</f>
        <v>10275</v>
      </c>
      <c r="D35" s="119" t="n">
        <v>41775</v>
      </c>
      <c r="E35" s="120" t="n">
        <f aca="false">D35-C35+1</f>
        <v>31501</v>
      </c>
      <c r="F35" s="120"/>
      <c r="G35" s="29" t="n">
        <f aca="false">(D34-C34)*B34</f>
        <v>1027.5</v>
      </c>
      <c r="J35" s="31" t="n">
        <v>3</v>
      </c>
      <c r="K35" s="125" t="n">
        <v>105200</v>
      </c>
      <c r="L35" s="126" t="n">
        <v>0.0715</v>
      </c>
      <c r="M35" s="121" t="n">
        <f aca="false">(K35-K34)*L34</f>
        <v>4100.625</v>
      </c>
      <c r="N35" s="31" t="n">
        <v>3</v>
      </c>
      <c r="O35" s="125" t="n">
        <v>5000</v>
      </c>
      <c r="P35" s="126" t="n">
        <v>0.05</v>
      </c>
      <c r="Q35" s="121" t="n">
        <f aca="false">(O35-O34)*P34</f>
        <v>60</v>
      </c>
      <c r="R35" s="31"/>
      <c r="S35" s="125"/>
      <c r="T35" s="126"/>
      <c r="U35" s="121"/>
    </row>
    <row r="36" customFormat="false" ht="13.8" hidden="false" customHeight="false" outlineLevel="0" collapsed="false">
      <c r="A36" s="59" t="n">
        <v>3</v>
      </c>
      <c r="B36" s="117" t="n">
        <v>0.22</v>
      </c>
      <c r="C36" s="118" t="n">
        <f aca="false">D35</f>
        <v>41775</v>
      </c>
      <c r="D36" s="119" t="n">
        <v>89075</v>
      </c>
      <c r="E36" s="120" t="n">
        <f aca="false">D36-C36+1</f>
        <v>47301</v>
      </c>
      <c r="F36" s="120"/>
      <c r="G36" s="29" t="n">
        <f aca="false">(D35-D34)*B35+G35</f>
        <v>4807.5</v>
      </c>
      <c r="J36" s="31" t="n">
        <v>4</v>
      </c>
      <c r="K36" s="125" t="n">
        <v>10000000</v>
      </c>
      <c r="L36" s="126"/>
      <c r="M36" s="121" t="n">
        <f aca="false">(K36-K35)*L35</f>
        <v>707478.2</v>
      </c>
      <c r="N36" s="31" t="n">
        <v>4</v>
      </c>
      <c r="O36" s="125" t="n">
        <v>17000</v>
      </c>
      <c r="P36" s="127" t="n">
        <v>0.0575</v>
      </c>
      <c r="Q36" s="121" t="n">
        <f aca="false">(O36-O35)*P35</f>
        <v>600</v>
      </c>
      <c r="R36" s="31"/>
      <c r="S36" s="125"/>
      <c r="T36" s="126"/>
      <c r="U36" s="121"/>
    </row>
    <row r="37" customFormat="false" ht="13.8" hidden="false" customHeight="false" outlineLevel="0" collapsed="false">
      <c r="A37" s="59" t="n">
        <v>4</v>
      </c>
      <c r="B37" s="117" t="n">
        <v>0.24</v>
      </c>
      <c r="C37" s="118" t="n">
        <f aca="false">D36</f>
        <v>89075</v>
      </c>
      <c r="D37" s="119" t="n">
        <v>170050</v>
      </c>
      <c r="E37" s="120" t="n">
        <f aca="false">D37-C37+1</f>
        <v>80976</v>
      </c>
      <c r="F37" s="120"/>
      <c r="G37" s="29" t="n">
        <f aca="false">(D36-D35)*B36+G36</f>
        <v>15213.5</v>
      </c>
      <c r="J37" s="31"/>
      <c r="K37" s="125"/>
      <c r="L37" s="126"/>
      <c r="M37" s="121"/>
      <c r="N37" s="31" t="n">
        <v>5</v>
      </c>
      <c r="O37" s="125" t="n">
        <v>10000000</v>
      </c>
      <c r="P37" s="126"/>
      <c r="Q37" s="121" t="n">
        <f aca="false">(O37-O36)*P36</f>
        <v>574022.5</v>
      </c>
      <c r="R37" s="31"/>
      <c r="S37" s="125"/>
      <c r="T37" s="126"/>
      <c r="U37" s="121"/>
    </row>
    <row r="38" customFormat="false" ht="13.8" hidden="false" customHeight="false" outlineLevel="0" collapsed="false">
      <c r="A38" s="59" t="n">
        <v>5</v>
      </c>
      <c r="B38" s="117" t="n">
        <v>0.32</v>
      </c>
      <c r="C38" s="118" t="n">
        <f aca="false">D37</f>
        <v>170050</v>
      </c>
      <c r="D38" s="119" t="n">
        <v>215950</v>
      </c>
      <c r="E38" s="120" t="n">
        <f aca="false">D38-C38+1</f>
        <v>45901</v>
      </c>
      <c r="F38" s="120"/>
      <c r="G38" s="29" t="n">
        <f aca="false">(D37-D36)*B37+G37</f>
        <v>34647.5</v>
      </c>
      <c r="J38" s="31"/>
      <c r="K38" s="125"/>
      <c r="L38" s="126"/>
      <c r="M38" s="121"/>
      <c r="N38" s="31"/>
      <c r="O38" s="125"/>
      <c r="P38" s="126"/>
      <c r="Q38" s="121"/>
      <c r="R38" s="31"/>
      <c r="S38" s="125"/>
      <c r="T38" s="126"/>
      <c r="U38" s="121"/>
    </row>
    <row r="39" customFormat="false" ht="13.8" hidden="false" customHeight="false" outlineLevel="0" collapsed="false">
      <c r="A39" s="59" t="n">
        <v>6</v>
      </c>
      <c r="B39" s="117" t="n">
        <v>0.35</v>
      </c>
      <c r="C39" s="118" t="n">
        <f aca="false">D38</f>
        <v>215950</v>
      </c>
      <c r="D39" s="119" t="n">
        <v>539900</v>
      </c>
      <c r="E39" s="120" t="n">
        <f aca="false">D39-C39+1</f>
        <v>323951</v>
      </c>
      <c r="F39" s="120"/>
      <c r="G39" s="29" t="n">
        <f aca="false">(D38-D37)*B38+G38</f>
        <v>49335.5</v>
      </c>
      <c r="J39" s="32"/>
      <c r="K39" s="63"/>
      <c r="L39" s="33"/>
      <c r="M39" s="128"/>
      <c r="N39" s="32"/>
      <c r="O39" s="63"/>
      <c r="P39" s="130"/>
      <c r="Q39" s="128"/>
      <c r="R39" s="32"/>
      <c r="S39" s="63"/>
      <c r="T39" s="130"/>
      <c r="U39" s="128"/>
    </row>
    <row r="40" customFormat="false" ht="12.8" hidden="false" customHeight="false" outlineLevel="0" collapsed="false">
      <c r="A40" s="59" t="n">
        <v>7</v>
      </c>
      <c r="B40" s="132" t="n">
        <v>0.37</v>
      </c>
      <c r="C40" s="118" t="n">
        <f aca="false">D39</f>
        <v>539900</v>
      </c>
      <c r="D40" s="119" t="n">
        <v>10000000</v>
      </c>
      <c r="E40" s="120" t="n">
        <f aca="false">D40-C40+1</f>
        <v>9460101</v>
      </c>
      <c r="F40" s="120"/>
      <c r="G40" s="29" t="n">
        <f aca="false">(D39-D38)*B39+G39</f>
        <v>162718</v>
      </c>
      <c r="J40" s="133" t="s">
        <v>10</v>
      </c>
      <c r="K40" s="133"/>
      <c r="L40" s="133"/>
      <c r="M40" s="133" t="s">
        <v>120</v>
      </c>
      <c r="N40" s="133"/>
      <c r="O40" s="133"/>
      <c r="P40" s="133" t="s">
        <v>126</v>
      </c>
      <c r="Q40" s="133"/>
      <c r="R40" s="133"/>
      <c r="S40" s="133" t="s">
        <v>127</v>
      </c>
      <c r="T40" s="133"/>
      <c r="U40" s="133"/>
    </row>
    <row r="41" customFormat="false" ht="12.8" hidden="false" customHeight="false" outlineLevel="0" collapsed="false">
      <c r="A41" s="32"/>
      <c r="B41" s="33"/>
      <c r="C41" s="33"/>
      <c r="D41" s="33"/>
      <c r="E41" s="103"/>
      <c r="F41" s="131"/>
      <c r="G41" s="64" t="n">
        <f aca="false">(D40-D39)*B40+G40</f>
        <v>3662955</v>
      </c>
      <c r="J41" s="133" t="s">
        <v>128</v>
      </c>
      <c r="K41" s="133"/>
      <c r="L41" s="133"/>
      <c r="M41" s="133" t="s">
        <v>129</v>
      </c>
      <c r="N41" s="133"/>
      <c r="O41" s="133"/>
      <c r="P41" s="133" t="s">
        <v>130</v>
      </c>
      <c r="Q41" s="133"/>
      <c r="R41" s="133"/>
      <c r="S41" s="133" t="s">
        <v>131</v>
      </c>
      <c r="T41" s="133"/>
      <c r="U41" s="133"/>
    </row>
    <row r="42" customFormat="false" ht="12.8" hidden="false" customHeight="false" outlineLevel="0" collapsed="false">
      <c r="J42" s="134" t="n">
        <f aca="false">C7</f>
        <v>0</v>
      </c>
      <c r="K42" s="135" t="n">
        <f aca="false">B7</f>
        <v>0.1</v>
      </c>
      <c r="L42" s="21" t="n">
        <f aca="false">G7</f>
        <v>0</v>
      </c>
      <c r="M42" s="134" t="n">
        <f aca="false">C16</f>
        <v>0</v>
      </c>
      <c r="N42" s="135" t="n">
        <f aca="false">B16</f>
        <v>0.1</v>
      </c>
      <c r="O42" s="21" t="n">
        <f aca="false">G16</f>
        <v>0</v>
      </c>
      <c r="P42" s="134" t="n">
        <f aca="false">C25</f>
        <v>0</v>
      </c>
      <c r="Q42" s="135" t="n">
        <f aca="false">B25</f>
        <v>0.1</v>
      </c>
      <c r="R42" s="21" t="n">
        <f aca="false">G25</f>
        <v>0</v>
      </c>
      <c r="S42" s="134" t="n">
        <f aca="false">C34</f>
        <v>0</v>
      </c>
      <c r="T42" s="135" t="n">
        <f aca="false">B34</f>
        <v>0.1</v>
      </c>
      <c r="U42" s="21" t="n">
        <f aca="false">G34</f>
        <v>0</v>
      </c>
    </row>
    <row r="43" customFormat="false" ht="12.8" hidden="false" customHeight="false" outlineLevel="0" collapsed="false">
      <c r="J43" s="134" t="n">
        <f aca="false">C8</f>
        <v>10275</v>
      </c>
      <c r="K43" s="135" t="n">
        <f aca="false">B8</f>
        <v>0.12</v>
      </c>
      <c r="L43" s="21" t="n">
        <f aca="false">G8</f>
        <v>1027.5</v>
      </c>
      <c r="M43" s="134" t="n">
        <f aca="false">C17</f>
        <v>14650</v>
      </c>
      <c r="N43" s="135" t="n">
        <f aca="false">B17</f>
        <v>0.12</v>
      </c>
      <c r="O43" s="21" t="n">
        <f aca="false">G17</f>
        <v>1465</v>
      </c>
      <c r="P43" s="134" t="n">
        <f aca="false">C26</f>
        <v>20550</v>
      </c>
      <c r="Q43" s="135" t="n">
        <f aca="false">B26</f>
        <v>0.12</v>
      </c>
      <c r="R43" s="21" t="n">
        <f aca="false">G26</f>
        <v>2055</v>
      </c>
      <c r="S43" s="134" t="n">
        <f aca="false">C35</f>
        <v>10275</v>
      </c>
      <c r="T43" s="135" t="n">
        <f aca="false">B35</f>
        <v>0.12</v>
      </c>
      <c r="U43" s="21" t="n">
        <f aca="false">G35</f>
        <v>1027.5</v>
      </c>
    </row>
    <row r="44" customFormat="false" ht="12.8" hidden="false" customHeight="false" outlineLevel="0" collapsed="false">
      <c r="J44" s="134" t="n">
        <f aca="false">C9</f>
        <v>41775</v>
      </c>
      <c r="K44" s="135" t="n">
        <f aca="false">B9</f>
        <v>0.22</v>
      </c>
      <c r="L44" s="21" t="n">
        <f aca="false">G9</f>
        <v>4807.5</v>
      </c>
      <c r="M44" s="134" t="n">
        <f aca="false">C18</f>
        <v>55900</v>
      </c>
      <c r="N44" s="135" t="n">
        <f aca="false">B18</f>
        <v>0.22</v>
      </c>
      <c r="O44" s="21" t="n">
        <f aca="false">G18</f>
        <v>6415</v>
      </c>
      <c r="P44" s="134" t="n">
        <f aca="false">C27</f>
        <v>83550</v>
      </c>
      <c r="Q44" s="135" t="n">
        <f aca="false">B27</f>
        <v>0.22</v>
      </c>
      <c r="R44" s="21" t="n">
        <f aca="false">G27</f>
        <v>9615</v>
      </c>
      <c r="S44" s="134" t="n">
        <f aca="false">C36</f>
        <v>41775</v>
      </c>
      <c r="T44" s="135" t="n">
        <f aca="false">B36</f>
        <v>0.22</v>
      </c>
      <c r="U44" s="21" t="n">
        <f aca="false">G36</f>
        <v>4807.5</v>
      </c>
    </row>
    <row r="45" customFormat="false" ht="12.8" hidden="false" customHeight="false" outlineLevel="0" collapsed="false">
      <c r="J45" s="134" t="n">
        <f aca="false">C10</f>
        <v>89075</v>
      </c>
      <c r="K45" s="135" t="n">
        <f aca="false">B10</f>
        <v>0.24</v>
      </c>
      <c r="L45" s="21" t="n">
        <f aca="false">G10</f>
        <v>15213.5</v>
      </c>
      <c r="M45" s="134" t="n">
        <f aca="false">C19</f>
        <v>89050</v>
      </c>
      <c r="N45" s="135" t="n">
        <f aca="false">B19</f>
        <v>0.24</v>
      </c>
      <c r="O45" s="21" t="n">
        <f aca="false">G19</f>
        <v>13708</v>
      </c>
      <c r="P45" s="134" t="n">
        <f aca="false">C28</f>
        <v>178150</v>
      </c>
      <c r="Q45" s="135" t="n">
        <f aca="false">B28</f>
        <v>0.24</v>
      </c>
      <c r="R45" s="21" t="n">
        <f aca="false">G28</f>
        <v>30427</v>
      </c>
      <c r="S45" s="134" t="n">
        <f aca="false">C37</f>
        <v>89075</v>
      </c>
      <c r="T45" s="135" t="n">
        <f aca="false">B37</f>
        <v>0.24</v>
      </c>
      <c r="U45" s="21" t="n">
        <f aca="false">G37</f>
        <v>15213.5</v>
      </c>
    </row>
    <row r="46" customFormat="false" ht="12.8" hidden="false" customHeight="false" outlineLevel="0" collapsed="false">
      <c r="J46" s="134" t="n">
        <f aca="false">C11</f>
        <v>170050</v>
      </c>
      <c r="K46" s="135" t="n">
        <f aca="false">B11</f>
        <v>0.32</v>
      </c>
      <c r="L46" s="21" t="n">
        <f aca="false">G11</f>
        <v>34647.5</v>
      </c>
      <c r="M46" s="134" t="n">
        <f aca="false">C20</f>
        <v>170050</v>
      </c>
      <c r="N46" s="135" t="n">
        <f aca="false">B20</f>
        <v>0.32</v>
      </c>
      <c r="O46" s="21" t="n">
        <f aca="false">G20</f>
        <v>33148</v>
      </c>
      <c r="P46" s="134" t="n">
        <f aca="false">C29</f>
        <v>340100</v>
      </c>
      <c r="Q46" s="135" t="n">
        <f aca="false">B29</f>
        <v>0.32</v>
      </c>
      <c r="R46" s="21" t="n">
        <f aca="false">G29</f>
        <v>69295</v>
      </c>
      <c r="S46" s="134" t="n">
        <f aca="false">C38</f>
        <v>170050</v>
      </c>
      <c r="T46" s="135" t="n">
        <f aca="false">B38</f>
        <v>0.32</v>
      </c>
      <c r="U46" s="21" t="n">
        <f aca="false">G38</f>
        <v>34647.5</v>
      </c>
    </row>
    <row r="47" customFormat="false" ht="12.8" hidden="false" customHeight="false" outlineLevel="0" collapsed="false">
      <c r="J47" s="134" t="n">
        <f aca="false">C12</f>
        <v>215950</v>
      </c>
      <c r="K47" s="135" t="n">
        <f aca="false">B12</f>
        <v>0.35</v>
      </c>
      <c r="L47" s="21" t="n">
        <f aca="false">G12</f>
        <v>49335.5</v>
      </c>
      <c r="M47" s="134" t="n">
        <f aca="false">C21</f>
        <v>215950</v>
      </c>
      <c r="N47" s="135" t="n">
        <f aca="false">B21</f>
        <v>0.35</v>
      </c>
      <c r="O47" s="21" t="n">
        <f aca="false">G21</f>
        <v>47836</v>
      </c>
      <c r="P47" s="134" t="n">
        <f aca="false">C30</f>
        <v>431900</v>
      </c>
      <c r="Q47" s="135" t="n">
        <f aca="false">B30</f>
        <v>0.35</v>
      </c>
      <c r="R47" s="21" t="n">
        <f aca="false">G30</f>
        <v>98671</v>
      </c>
      <c r="S47" s="134" t="n">
        <f aca="false">C39</f>
        <v>215950</v>
      </c>
      <c r="T47" s="135" t="n">
        <f aca="false">B39</f>
        <v>0.35</v>
      </c>
      <c r="U47" s="21" t="n">
        <f aca="false">G39</f>
        <v>49335.5</v>
      </c>
    </row>
    <row r="48" customFormat="false" ht="12.8" hidden="false" customHeight="false" outlineLevel="0" collapsed="false">
      <c r="J48" s="136" t="n">
        <f aca="false">C13</f>
        <v>539900</v>
      </c>
      <c r="K48" s="137" t="n">
        <f aca="false">B13</f>
        <v>0.37</v>
      </c>
      <c r="L48" s="21" t="n">
        <f aca="false">G13</f>
        <v>162718</v>
      </c>
      <c r="M48" s="136" t="n">
        <f aca="false">C22</f>
        <v>539900</v>
      </c>
      <c r="N48" s="137" t="n">
        <f aca="false">B22</f>
        <v>0.37</v>
      </c>
      <c r="O48" s="21" t="n">
        <f aca="false">G22</f>
        <v>161218.5</v>
      </c>
      <c r="P48" s="136" t="n">
        <f aca="false">C31</f>
        <v>647850</v>
      </c>
      <c r="Q48" s="137" t="n">
        <f aca="false">B31</f>
        <v>0.37</v>
      </c>
      <c r="R48" s="21" t="n">
        <f aca="false">G31</f>
        <v>174253.5</v>
      </c>
      <c r="S48" s="136" t="n">
        <f aca="false">C40</f>
        <v>539900</v>
      </c>
      <c r="T48" s="135" t="n">
        <f aca="false">B40</f>
        <v>0.37</v>
      </c>
      <c r="U48" s="21" t="n">
        <f aca="false">G40</f>
        <v>162718</v>
      </c>
    </row>
  </sheetData>
  <mergeCells count="64">
    <mergeCell ref="A1:A3"/>
    <mergeCell ref="B1:B3"/>
    <mergeCell ref="C1:F3"/>
    <mergeCell ref="A4:G4"/>
    <mergeCell ref="H4:I4"/>
    <mergeCell ref="J4:M4"/>
    <mergeCell ref="N4:Q4"/>
    <mergeCell ref="R4:U4"/>
    <mergeCell ref="E5:F5"/>
    <mergeCell ref="A6:F6"/>
    <mergeCell ref="J6:M6"/>
    <mergeCell ref="N6:Q6"/>
    <mergeCell ref="R6:U6"/>
    <mergeCell ref="E7:F7"/>
    <mergeCell ref="E8:F8"/>
    <mergeCell ref="E9:F9"/>
    <mergeCell ref="E10:F10"/>
    <mergeCell ref="E11:F11"/>
    <mergeCell ref="E12:F12"/>
    <mergeCell ref="E13:F13"/>
    <mergeCell ref="J14:M14"/>
    <mergeCell ref="N14:Q14"/>
    <mergeCell ref="R14:U14"/>
    <mergeCell ref="A15:F15"/>
    <mergeCell ref="E16:F16"/>
    <mergeCell ref="E17:F17"/>
    <mergeCell ref="E18:F18"/>
    <mergeCell ref="E19:F19"/>
    <mergeCell ref="E20:F20"/>
    <mergeCell ref="E21:F21"/>
    <mergeCell ref="E22:F22"/>
    <mergeCell ref="J22:M22"/>
    <mergeCell ref="N22:Q22"/>
    <mergeCell ref="R22:U22"/>
    <mergeCell ref="A24:F24"/>
    <mergeCell ref="J24:M24"/>
    <mergeCell ref="N24:Q24"/>
    <mergeCell ref="R24:U24"/>
    <mergeCell ref="E25:F25"/>
    <mergeCell ref="E26:F26"/>
    <mergeCell ref="E27:F27"/>
    <mergeCell ref="E28:F28"/>
    <mergeCell ref="E29:F29"/>
    <mergeCell ref="E30:F30"/>
    <mergeCell ref="E31:F31"/>
    <mergeCell ref="J32:M32"/>
    <mergeCell ref="N32:Q32"/>
    <mergeCell ref="R32:U32"/>
    <mergeCell ref="A33:F33"/>
    <mergeCell ref="E34:F34"/>
    <mergeCell ref="E35:F35"/>
    <mergeCell ref="E36:F36"/>
    <mergeCell ref="E37:F37"/>
    <mergeCell ref="E38:F38"/>
    <mergeCell ref="E39:F39"/>
    <mergeCell ref="E40:F40"/>
    <mergeCell ref="J40:L40"/>
    <mergeCell ref="M40:O40"/>
    <mergeCell ref="P40:R40"/>
    <mergeCell ref="S40:U40"/>
    <mergeCell ref="J41:L41"/>
    <mergeCell ref="M41:O41"/>
    <mergeCell ref="P41:R41"/>
    <mergeCell ref="S41:U41"/>
  </mergeCells>
  <dataValidations count="1">
    <dataValidation allowBlank="true" errorStyle="stop" operator="equal" showDropDown="false" showErrorMessage="true" showInputMessage="false" sqref="J40:U40"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10" activeCellId="0" sqref="E10"/>
    </sheetView>
  </sheetViews>
  <sheetFormatPr defaultColWidth="11.60546875" defaultRowHeight="12.8" zeroHeight="false" outlineLevelRow="0" outlineLevelCol="0"/>
  <cols>
    <col collapsed="false" customWidth="true" hidden="false" outlineLevel="0" max="1" min="1" style="138" width="7.41"/>
    <col collapsed="false" customWidth="true" hidden="false" outlineLevel="0" max="2" min="2" style="138" width="7.56"/>
    <col collapsed="false" customWidth="true" hidden="false" outlineLevel="0" max="3" min="3" style="138" width="9.23"/>
    <col collapsed="false" customWidth="true" hidden="false" outlineLevel="0" max="4" min="4" style="138" width="9.66"/>
    <col collapsed="false" customWidth="true" hidden="false" outlineLevel="0" max="5" min="5" style="138" width="15.81"/>
    <col collapsed="false" customWidth="true" hidden="false" outlineLevel="0" max="7" min="6" style="138" width="14.69"/>
    <col collapsed="false" customWidth="true" hidden="false" outlineLevel="0" max="8" min="8" style="138" width="16.65"/>
    <col collapsed="false" customWidth="true" hidden="false" outlineLevel="0" max="9" min="9" style="138" width="4.06"/>
    <col collapsed="false" customWidth="true" hidden="false" outlineLevel="0" max="10" min="10" style="138" width="11.45"/>
    <col collapsed="false" customWidth="true" hidden="false" outlineLevel="0" max="11" min="11" style="138" width="10.63"/>
    <col collapsed="false" customWidth="true" hidden="false" outlineLevel="0" max="64" min="12" style="138" width="8.94"/>
  </cols>
  <sheetData>
    <row r="1" customFormat="false" ht="31.5" hidden="false" customHeight="true" outlineLevel="0" collapsed="false">
      <c r="A1" s="139" t="s">
        <v>132</v>
      </c>
      <c r="B1" s="139"/>
      <c r="C1" s="139"/>
      <c r="D1" s="139"/>
      <c r="E1" s="139"/>
      <c r="F1" s="139"/>
      <c r="G1" s="139"/>
      <c r="H1" s="139"/>
      <c r="J1" s="140"/>
    </row>
    <row r="2" customFormat="false" ht="12.8" hidden="false" customHeight="false" outlineLevel="0" collapsed="false">
      <c r="A2" s="141" t="s">
        <v>133</v>
      </c>
      <c r="H2" s="142" t="str">
        <f aca="true">"© 2008-" &amp; YEAR(TODAY()) &amp; " Vertex42 LLC"</f>
        <v>© 2008-2024 Vertex42 LLC</v>
      </c>
      <c r="I2" s="140"/>
    </row>
    <row r="3" customFormat="false" ht="12.8" hidden="false" customHeight="false" outlineLevel="0" collapsed="false">
      <c r="A3" s="143"/>
      <c r="I3" s="140"/>
      <c r="J3" s="144" t="s">
        <v>134</v>
      </c>
      <c r="K3" s="145"/>
      <c r="L3" s="145"/>
      <c r="M3" s="145"/>
    </row>
    <row r="4" customFormat="false" ht="19.5" hidden="false" customHeight="true" outlineLevel="0" collapsed="false">
      <c r="A4" s="146" t="s">
        <v>135</v>
      </c>
      <c r="B4" s="146"/>
      <c r="C4" s="146"/>
      <c r="D4" s="146"/>
      <c r="E4" s="146"/>
      <c r="F4" s="147" t="s">
        <v>136</v>
      </c>
      <c r="G4" s="147"/>
      <c r="H4" s="147"/>
      <c r="J4" s="140" t="s">
        <v>137</v>
      </c>
    </row>
    <row r="5" customFormat="false" ht="15" hidden="false" customHeight="true" outlineLevel="0" collapsed="false">
      <c r="A5" s="148"/>
      <c r="B5" s="149"/>
      <c r="C5" s="149"/>
      <c r="D5" s="149" t="s">
        <v>138</v>
      </c>
      <c r="E5" s="150" t="n">
        <v>27</v>
      </c>
      <c r="F5" s="151"/>
      <c r="G5" s="152" t="s">
        <v>139</v>
      </c>
      <c r="H5" s="153" t="n">
        <f aca="false">IF(E6-E5&lt;=0,0,E6-E5)</f>
        <v>35</v>
      </c>
      <c r="J5" s="140" t="s">
        <v>140</v>
      </c>
    </row>
    <row r="6" customFormat="false" ht="15" hidden="false" customHeight="true" outlineLevel="0" collapsed="false">
      <c r="A6" s="148"/>
      <c r="B6" s="149"/>
      <c r="C6" s="149"/>
      <c r="D6" s="149" t="s">
        <v>141</v>
      </c>
      <c r="E6" s="154" t="n">
        <v>62</v>
      </c>
      <c r="F6" s="151"/>
      <c r="G6" s="151"/>
      <c r="H6" s="151"/>
      <c r="J6" s="140" t="s">
        <v>142</v>
      </c>
    </row>
    <row r="7" customFormat="false" ht="15" hidden="false" customHeight="true" outlineLevel="0" collapsed="false">
      <c r="A7" s="155"/>
      <c r="B7" s="156"/>
      <c r="C7" s="156"/>
      <c r="D7" s="156"/>
      <c r="E7" s="157" t="s">
        <v>143</v>
      </c>
      <c r="F7" s="158"/>
      <c r="G7" s="159"/>
      <c r="H7" s="160" t="s">
        <v>144</v>
      </c>
      <c r="J7" s="140" t="s">
        <v>145</v>
      </c>
    </row>
    <row r="8" customFormat="false" ht="15" hidden="false" customHeight="true" outlineLevel="0" collapsed="false">
      <c r="A8" s="148"/>
      <c r="B8" s="149"/>
      <c r="C8" s="149"/>
      <c r="D8" s="149" t="s">
        <v>146</v>
      </c>
      <c r="E8" s="161" t="n">
        <v>40000</v>
      </c>
      <c r="F8" s="151"/>
      <c r="G8" s="152" t="str">
        <f aca="false">"Estimated Value After "&amp;H5&amp;" Years"</f>
        <v>Estimated Value After 35 Years</v>
      </c>
      <c r="H8" s="162" t="n">
        <f aca="true">OFFSET(H32,H5+1,0,1,1)</f>
        <v>2470707.06319485</v>
      </c>
      <c r="J8" s="140"/>
    </row>
    <row r="9" customFormat="false" ht="15" hidden="false" customHeight="true" outlineLevel="0" collapsed="false">
      <c r="A9" s="148"/>
      <c r="B9" s="149"/>
      <c r="C9" s="149"/>
      <c r="D9" s="149" t="s">
        <v>147</v>
      </c>
      <c r="E9" s="163" t="n">
        <v>88000</v>
      </c>
      <c r="F9" s="151"/>
      <c r="G9" s="152" t="s">
        <v>148</v>
      </c>
      <c r="H9" s="162" t="n">
        <f aca="true">OFFSET(D32,H5+1,0,1,1)</f>
        <v>240407.666004558</v>
      </c>
    </row>
    <row r="10" customFormat="false" ht="15" hidden="false" customHeight="true" outlineLevel="0" collapsed="false">
      <c r="A10" s="148"/>
      <c r="B10" s="149"/>
      <c r="C10" s="149"/>
      <c r="D10" s="149" t="s">
        <v>149</v>
      </c>
      <c r="E10" s="164" t="n">
        <v>0.03</v>
      </c>
      <c r="F10" s="151"/>
      <c r="G10" s="151"/>
      <c r="H10" s="151"/>
      <c r="J10" s="165" t="s">
        <v>150</v>
      </c>
    </row>
    <row r="11" customFormat="false" ht="15" hidden="false" customHeight="true" outlineLevel="0" collapsed="false">
      <c r="A11" s="155"/>
      <c r="B11" s="156"/>
      <c r="C11" s="156"/>
      <c r="D11" s="156"/>
      <c r="E11" s="157" t="s">
        <v>151</v>
      </c>
      <c r="F11" s="158"/>
      <c r="G11" s="159"/>
      <c r="H11" s="160" t="s">
        <v>152</v>
      </c>
      <c r="J11" s="140" t="s">
        <v>153</v>
      </c>
    </row>
    <row r="12" customFormat="false" ht="15" hidden="false" customHeight="true" outlineLevel="0" collapsed="false">
      <c r="A12" s="148"/>
      <c r="B12" s="149"/>
      <c r="C12" s="149"/>
      <c r="D12" s="149" t="s">
        <v>154</v>
      </c>
      <c r="E12" s="166" t="n">
        <v>0.1</v>
      </c>
      <c r="F12" s="151"/>
      <c r="G12" s="152" t="s">
        <v>155</v>
      </c>
      <c r="H12" s="162" t="n">
        <f aca="true">IF(H5&gt;0,SUM(OFFSET(E32,2,0,H5,1)),0)</f>
        <v>532066.319948981</v>
      </c>
      <c r="J12" s="140" t="s">
        <v>156</v>
      </c>
    </row>
    <row r="13" customFormat="false" ht="15" hidden="false" customHeight="true" outlineLevel="0" collapsed="false">
      <c r="A13" s="148"/>
      <c r="B13" s="149"/>
      <c r="C13" s="149"/>
      <c r="D13" s="167" t="s">
        <v>157</v>
      </c>
      <c r="E13" s="164" t="n">
        <v>1</v>
      </c>
      <c r="F13" s="151"/>
      <c r="G13" s="152" t="s">
        <v>158</v>
      </c>
      <c r="H13" s="162" t="n">
        <f aca="true">IF(H5&gt;0,SUM(OFFSET(F32,2,0,H5,1)),0)</f>
        <v>425653.055959184</v>
      </c>
      <c r="J13" s="140" t="s">
        <v>159</v>
      </c>
    </row>
    <row r="14" customFormat="false" ht="15" hidden="false" customHeight="true" outlineLevel="0" collapsed="false">
      <c r="A14" s="148"/>
      <c r="B14" s="149"/>
      <c r="C14" s="149"/>
      <c r="D14" s="167" t="s">
        <v>160</v>
      </c>
      <c r="E14" s="164" t="n">
        <v>0.08</v>
      </c>
      <c r="F14" s="168"/>
      <c r="G14" s="152" t="s">
        <v>152</v>
      </c>
      <c r="H14" s="162" t="n">
        <f aca="false">H13+H12</f>
        <v>957719.375908165</v>
      </c>
      <c r="J14" s="140" t="s">
        <v>161</v>
      </c>
    </row>
    <row r="15" customFormat="false" ht="15" hidden="false" customHeight="true" outlineLevel="0" collapsed="false">
      <c r="A15" s="148"/>
      <c r="B15" s="149"/>
      <c r="C15" s="149"/>
      <c r="D15" s="149"/>
      <c r="E15" s="169" t="str">
        <f aca="false">IF(H5&gt;0,IF(E34&gt;16500,"Warning: Annual Contribution Over $16,500 Limit"," . ")," . ")</f>
        <v>.</v>
      </c>
      <c r="F15" s="151"/>
      <c r="G15" s="168"/>
      <c r="H15" s="152"/>
      <c r="J15" s="140" t="s">
        <v>162</v>
      </c>
    </row>
    <row r="16" customFormat="false" ht="15" hidden="false" customHeight="true" outlineLevel="0" collapsed="false">
      <c r="A16" s="155"/>
      <c r="B16" s="156"/>
      <c r="C16" s="156"/>
      <c r="D16" s="156"/>
      <c r="E16" s="157" t="s">
        <v>163</v>
      </c>
      <c r="F16" s="151"/>
      <c r="G16" s="151"/>
      <c r="H16" s="151"/>
      <c r="J16" s="140"/>
    </row>
    <row r="17" customFormat="false" ht="15" hidden="false" customHeight="true" outlineLevel="0" collapsed="false">
      <c r="A17" s="148"/>
      <c r="B17" s="149"/>
      <c r="C17" s="149"/>
      <c r="D17" s="149" t="s">
        <v>164</v>
      </c>
      <c r="E17" s="166" t="n">
        <v>0.05</v>
      </c>
      <c r="F17" s="151"/>
      <c r="G17" s="151"/>
      <c r="H17" s="151"/>
    </row>
    <row r="18" customFormat="false" ht="15" hidden="false" customHeight="true" outlineLevel="0" collapsed="false">
      <c r="A18" s="148"/>
      <c r="B18" s="148"/>
      <c r="C18" s="148"/>
      <c r="D18" s="149" t="s">
        <v>165</v>
      </c>
      <c r="E18" s="154" t="n">
        <v>24</v>
      </c>
      <c r="F18" s="151"/>
      <c r="G18" s="151"/>
      <c r="H18" s="151"/>
    </row>
    <row r="19" customFormat="false" ht="12.8" hidden="false" customHeight="false" outlineLevel="0" collapsed="false">
      <c r="A19" s="148"/>
      <c r="B19" s="148"/>
      <c r="C19" s="148"/>
      <c r="D19" s="148"/>
      <c r="E19" s="148"/>
      <c r="F19" s="151"/>
      <c r="G19" s="168"/>
      <c r="H19" s="151"/>
    </row>
    <row r="20" customFormat="false" ht="12.8" hidden="false" customHeight="false" outlineLevel="0" collapsed="false">
      <c r="G20" s="170"/>
    </row>
    <row r="21" customFormat="false" ht="12.8" hidden="false" customHeight="false" outlineLevel="0" collapsed="false">
      <c r="H21" s="171" t="n">
        <f aca="false">(H22="On")</f>
        <v>0</v>
      </c>
      <c r="I21" s="140"/>
    </row>
    <row r="22" customFormat="false" ht="15" hidden="false" customHeight="true" outlineLevel="0" collapsed="false">
      <c r="C22" s="172" t="s">
        <v>166</v>
      </c>
      <c r="G22" s="173" t="s">
        <v>167</v>
      </c>
      <c r="H22" s="174" t="s">
        <v>168</v>
      </c>
      <c r="I22" s="140"/>
      <c r="J22" s="138" t="str">
        <f aca="false">IF(H22="On","Press F9 to recalculate.",".")</f>
        <v>.</v>
      </c>
    </row>
    <row r="23" customFormat="false" ht="15" hidden="false" customHeight="true" outlineLevel="0" collapsed="false">
      <c r="G23" s="173" t="s">
        <v>169</v>
      </c>
      <c r="H23" s="175" t="n">
        <v>-0.04</v>
      </c>
      <c r="I23" s="140"/>
    </row>
    <row r="24" customFormat="false" ht="15" hidden="false" customHeight="true" outlineLevel="0" collapsed="false">
      <c r="G24" s="173" t="s">
        <v>170</v>
      </c>
      <c r="H24" s="175" t="n">
        <v>0.1</v>
      </c>
    </row>
    <row r="25" customFormat="false" ht="15" hidden="false" customHeight="true" outlineLevel="0" collapsed="false">
      <c r="G25" s="173" t="s">
        <v>171</v>
      </c>
      <c r="H25" s="176" t="n">
        <f aca="true">IF(H5&gt;0,AVERAGE(OFFSET(C32,2,0,H5,1)),0)</f>
        <v>0.05</v>
      </c>
    </row>
    <row r="26" customFormat="false" ht="12.8" hidden="false" customHeight="false" outlineLevel="0" collapsed="false">
      <c r="G26" s="170"/>
      <c r="H26" s="177" t="s">
        <v>172</v>
      </c>
    </row>
    <row r="27" customFormat="false" ht="12.8" hidden="false" customHeight="false" outlineLevel="0" collapsed="false">
      <c r="G27" s="170"/>
    </row>
    <row r="28" customFormat="false" ht="12.8" hidden="false" customHeight="false" outlineLevel="0" collapsed="false">
      <c r="G28" s="170"/>
    </row>
    <row r="29" customFormat="false" ht="12.8" hidden="false" customHeight="false" outlineLevel="0" collapsed="false">
      <c r="G29" s="170"/>
    </row>
    <row r="30" customFormat="false" ht="12.8" hidden="false" customHeight="false" outlineLevel="0" collapsed="false">
      <c r="G30" s="170"/>
    </row>
    <row r="31" customFormat="false" ht="12.8" hidden="false" customHeight="false" outlineLevel="0" collapsed="false">
      <c r="G31" s="170"/>
      <c r="H31" s="172" t="s">
        <v>166</v>
      </c>
    </row>
    <row r="32" customFormat="false" ht="26" hidden="false" customHeight="false" outlineLevel="0" collapsed="false">
      <c r="A32" s="178" t="s">
        <v>173</v>
      </c>
      <c r="B32" s="178" t="s">
        <v>174</v>
      </c>
      <c r="C32" s="178" t="s">
        <v>175</v>
      </c>
      <c r="D32" s="178" t="s">
        <v>176</v>
      </c>
      <c r="E32" s="178" t="s">
        <v>177</v>
      </c>
      <c r="F32" s="178" t="s">
        <v>178</v>
      </c>
      <c r="G32" s="179" t="s">
        <v>83</v>
      </c>
      <c r="H32" s="179" t="s">
        <v>179</v>
      </c>
      <c r="I32" s="180"/>
      <c r="J32" s="178" t="s">
        <v>180</v>
      </c>
      <c r="K32" s="178" t="s">
        <v>181</v>
      </c>
    </row>
    <row r="33" customFormat="false" ht="15" hidden="false" customHeight="true" outlineLevel="0" collapsed="false">
      <c r="A33" s="181"/>
      <c r="B33" s="181"/>
      <c r="C33" s="181"/>
      <c r="D33" s="182"/>
      <c r="E33" s="183"/>
      <c r="F33" s="183"/>
      <c r="G33" s="181"/>
      <c r="H33" s="184" t="n">
        <f aca="false">$E$8</f>
        <v>40000</v>
      </c>
      <c r="J33" s="185"/>
      <c r="K33" s="185"/>
    </row>
    <row r="34" customFormat="false" ht="12.8" hidden="false" customHeight="false" outlineLevel="0" collapsed="false">
      <c r="A34" s="186" t="n">
        <f aca="false">IF(A33&lt;$H$5,A33+1,NA())</f>
        <v>1</v>
      </c>
      <c r="B34" s="186" t="n">
        <f aca="false">IF(ISERROR(A34),NA(),$E$5+A34-1)</f>
        <v>27</v>
      </c>
      <c r="C34" s="187" t="n">
        <f aca="true">IF(ISERROR(A34),NA(),IF(randrate,$H$23+RAND()*($H$24-$H$23),$E$17))</f>
        <v>0.05</v>
      </c>
      <c r="D34" s="188" t="n">
        <f aca="false">E9</f>
        <v>88000</v>
      </c>
      <c r="E34" s="189" t="n">
        <f aca="false">IF(ISERROR(A34),NA(),IF(A34&lt;=$H$5,$E$12*D34,0))</f>
        <v>8800</v>
      </c>
      <c r="F34" s="189" t="n">
        <f aca="false">IF(ISERROR(A34),NA(),IF(A34&lt;=$H$5,MIN($E$13*E34,$E$14*$E$13*D34),0))</f>
        <v>7040</v>
      </c>
      <c r="G34" s="190" t="n">
        <f aca="false">IF(ISERROR(A34),NA(),FV(C34/nper,nper,-(E34+F34)/nper,-H33)-(H33+E34+F34))</f>
        <v>2434.0186642691</v>
      </c>
      <c r="H34" s="190" t="n">
        <f aca="false">IF(ISERROR(A34),NA(),H33+E34+F34+G34)</f>
        <v>58274.0186642691</v>
      </c>
      <c r="J34" s="189" t="n">
        <f aca="false">IF(ISERROR(A34),NA(),SUM(E$33:E34))</f>
        <v>8800</v>
      </c>
      <c r="K34" s="189" t="n">
        <f aca="false">IF(ISERROR(A34),NA(),SUM(E$33:F34))</f>
        <v>15840</v>
      </c>
    </row>
    <row r="35" customFormat="false" ht="12.8" hidden="false" customHeight="false" outlineLevel="0" collapsed="false">
      <c r="A35" s="186" t="n">
        <f aca="false">IF(A34&lt;$H$5,A34+1,NA())</f>
        <v>2</v>
      </c>
      <c r="B35" s="186" t="n">
        <f aca="false">IF(ISERROR(A35),NA(),$E$5+A35-1)</f>
        <v>28</v>
      </c>
      <c r="C35" s="187" t="n">
        <f aca="true">IF(ISERROR(A35),NA(),IF(randrate,$H$23+RAND()*($H$24-$H$23),$E$17))</f>
        <v>0.05</v>
      </c>
      <c r="D35" s="189" t="n">
        <f aca="false">IF(ISERROR(A35),NA(),IF(A35&lt;=$H$5,(1+$E$10)*D34,0))</f>
        <v>90640</v>
      </c>
      <c r="E35" s="189" t="n">
        <f aca="false">IF(ISERROR(A35),NA(),IF(A35&lt;=$H$5,$E$12*D35,0))</f>
        <v>9064</v>
      </c>
      <c r="F35" s="189" t="n">
        <f aca="false">IF(ISERROR(A35),NA(),IF(A35&lt;=$H$5,MIN($E$13*E35,$E$14*$E$13*D35),0))</f>
        <v>7251.2</v>
      </c>
      <c r="G35" s="190" t="n">
        <f aca="false">IF(ISERROR(A35),NA(),FV(C35/nper,nper,-(E35+F35)/nper,-H34)-(H34+E35+F35))</f>
        <v>3381.50933558993</v>
      </c>
      <c r="H35" s="190" t="n">
        <f aca="false">IF(ISERROR(A35),NA(),H34+E35+F35+G35)</f>
        <v>77970.727999859</v>
      </c>
      <c r="J35" s="189" t="n">
        <f aca="false">IF(ISERROR(A35),NA(),SUM(E$33:E35))</f>
        <v>17864</v>
      </c>
      <c r="K35" s="189" t="n">
        <f aca="false">IF(ISERROR(A35),NA(),SUM(E$33:F35))</f>
        <v>32155.2</v>
      </c>
    </row>
    <row r="36" customFormat="false" ht="12.8" hidden="false" customHeight="false" outlineLevel="0" collapsed="false">
      <c r="A36" s="186" t="n">
        <f aca="false">IF(A35&lt;$H$5,A35+1,NA())</f>
        <v>3</v>
      </c>
      <c r="B36" s="186" t="n">
        <f aca="false">IF(ISERROR(A36),NA(),$E$5+A36-1)</f>
        <v>29</v>
      </c>
      <c r="C36" s="187" t="n">
        <f aca="true">IF(ISERROR(A36),NA(),IF(randrate,$H$23+RAND()*($H$24-$H$23),$E$17))</f>
        <v>0.05</v>
      </c>
      <c r="D36" s="189" t="n">
        <f aca="false">IF(ISERROR(A36),NA(),IF(A36&lt;=$H$5,(1+$E$10)*D35,0))</f>
        <v>93359.2</v>
      </c>
      <c r="E36" s="189" t="n">
        <f aca="false">IF(ISERROR(A36),NA(),IF(A36&lt;=$H$5,$E$12*D36,0))</f>
        <v>9335.92</v>
      </c>
      <c r="F36" s="189" t="n">
        <f aca="false">IF(ISERROR(A36),NA(),IF(A36&lt;=$H$5,MIN($E$13*E36,$E$14*$E$13*D36),0))</f>
        <v>7468.736</v>
      </c>
      <c r="G36" s="190" t="n">
        <f aca="false">IF(ISERROR(A36),NA(),FV(C36/nper,nper,-(E36+F36)/nper,-H35)-(H35+E36+F36))</f>
        <v>4402.21195557316</v>
      </c>
      <c r="H36" s="190" t="n">
        <f aca="false">IF(ISERROR(A36),NA(),H35+E36+F36+G36)</f>
        <v>99177.5959554322</v>
      </c>
      <c r="J36" s="189" t="n">
        <f aca="false">IF(ISERROR(A36),NA(),SUM(E$33:E36))</f>
        <v>27199.92</v>
      </c>
      <c r="K36" s="189" t="n">
        <f aca="false">IF(ISERROR(A36),NA(),SUM(E$33:F36))</f>
        <v>48959.856</v>
      </c>
    </row>
    <row r="37" customFormat="false" ht="12.8" hidden="false" customHeight="false" outlineLevel="0" collapsed="false">
      <c r="A37" s="186" t="n">
        <f aca="false">IF(A36&lt;$H$5,A36+1,NA())</f>
        <v>4</v>
      </c>
      <c r="B37" s="186" t="n">
        <f aca="false">IF(ISERROR(A37),NA(),$E$5+A37-1)</f>
        <v>30</v>
      </c>
      <c r="C37" s="187" t="n">
        <f aca="true">IF(ISERROR(A37),NA(),IF(randrate,$H$23+RAND()*($H$24-$H$23),$E$17))</f>
        <v>0.05</v>
      </c>
      <c r="D37" s="189" t="n">
        <f aca="false">IF(ISERROR(A37),NA(),IF(A37&lt;=$H$5,(1+$E$10)*D36,0))</f>
        <v>96159.976</v>
      </c>
      <c r="E37" s="189" t="n">
        <f aca="false">IF(ISERROR(A37),NA(),IF(A37&lt;=$H$5,$E$12*D37,0))</f>
        <v>9615.9976</v>
      </c>
      <c r="F37" s="189" t="n">
        <f aca="false">IF(ISERROR(A37),NA(),IF(A37&lt;=$H$5,MIN($E$13*E37,$E$14*$E$13*D37),0))</f>
        <v>7692.79808</v>
      </c>
      <c r="G37" s="190" t="n">
        <f aca="false">IF(ISERROR(A37),NA(),FV(C37/nper,nper,-(E37+F37)/nper,-H36)-(H36+E37+F37))</f>
        <v>5500.61672418642</v>
      </c>
      <c r="H37" s="190" t="n">
        <f aca="false">IF(ISERROR(A37),NA(),H36+E37+F37+G37)</f>
        <v>121987.008359619</v>
      </c>
      <c r="J37" s="189" t="n">
        <f aca="false">IF(ISERROR(A37),NA(),SUM(E$33:E37))</f>
        <v>36815.9176</v>
      </c>
      <c r="K37" s="189" t="n">
        <f aca="false">IF(ISERROR(A37),NA(),SUM(E$33:F37))</f>
        <v>66268.65168</v>
      </c>
    </row>
    <row r="38" customFormat="false" ht="12.8" hidden="false" customHeight="false" outlineLevel="0" collapsed="false">
      <c r="A38" s="186" t="n">
        <f aca="false">IF(A37&lt;$H$5,A37+1,NA())</f>
        <v>5</v>
      </c>
      <c r="B38" s="186" t="n">
        <f aca="false">IF(ISERROR(A38),NA(),$E$5+A38-1)</f>
        <v>31</v>
      </c>
      <c r="C38" s="187" t="n">
        <f aca="true">IF(ISERROR(A38),NA(),IF(randrate,$H$23+RAND()*($H$24-$H$23),$E$17))</f>
        <v>0.05</v>
      </c>
      <c r="D38" s="189" t="n">
        <f aca="false">IF(ISERROR(A38),NA(),IF(A38&lt;=$H$5,(1+$E$10)*D37,0))</f>
        <v>99044.77528</v>
      </c>
      <c r="E38" s="189" t="n">
        <f aca="false">IF(ISERROR(A38),NA(),IF(A38&lt;=$H$5,$E$12*D38,0))</f>
        <v>9904.477528</v>
      </c>
      <c r="F38" s="189" t="n">
        <f aca="false">IF(ISERROR(A38),NA(),IF(A38&lt;=$H$5,MIN($E$13*E38,$E$14*$E$13*D38),0))</f>
        <v>7923.5820224</v>
      </c>
      <c r="G38" s="190" t="n">
        <f aca="false">IF(ISERROR(A38),NA(),FV(C38/nper,nper,-(E38+F38)/nper,-H37)-(H37+E38+F38))</f>
        <v>6681.4660297464</v>
      </c>
      <c r="H38" s="190" t="n">
        <f aca="false">IF(ISERROR(A38),NA(),H37+E38+F38+G38)</f>
        <v>146496.533939765</v>
      </c>
      <c r="J38" s="189" t="n">
        <f aca="false">IF(ISERROR(A38),NA(),SUM(E$33:E38))</f>
        <v>46720.395128</v>
      </c>
      <c r="K38" s="189" t="n">
        <f aca="false">IF(ISERROR(A38),NA(),SUM(E$33:F38))</f>
        <v>84096.7112304</v>
      </c>
    </row>
    <row r="39" customFormat="false" ht="12.8" hidden="false" customHeight="false" outlineLevel="0" collapsed="false">
      <c r="A39" s="186" t="n">
        <f aca="false">IF(A38&lt;$H$5,A38+1,NA())</f>
        <v>6</v>
      </c>
      <c r="B39" s="186" t="n">
        <f aca="false">IF(ISERROR(A39),NA(),$E$5+A39-1)</f>
        <v>32</v>
      </c>
      <c r="C39" s="187" t="n">
        <f aca="true">IF(ISERROR(A39),NA(),IF(randrate,$H$23+RAND()*($H$24-$H$23),$E$17))</f>
        <v>0.05</v>
      </c>
      <c r="D39" s="189" t="n">
        <f aca="false">IF(ISERROR(A39),NA(),IF(A39&lt;=$H$5,(1+$E$10)*D38,0))</f>
        <v>102016.1185384</v>
      </c>
      <c r="E39" s="189" t="n">
        <f aca="false">IF(ISERROR(A39),NA(),IF(A39&lt;=$H$5,$E$12*D39,0))</f>
        <v>10201.61185384</v>
      </c>
      <c r="F39" s="189" t="n">
        <f aca="false">IF(ISERROR(A39),NA(),IF(A39&lt;=$H$5,MIN($E$13*E39,$E$14*$E$13*D39),0))</f>
        <v>8161.289483072</v>
      </c>
      <c r="G39" s="190" t="n">
        <f aca="false">IF(ISERROR(A39),NA(),FV(C39/nper,nper,-(E39+F39)/nper,-H38)-(H38+E39+F39))</f>
        <v>7949.76803159481</v>
      </c>
      <c r="H39" s="190" t="n">
        <f aca="false">IF(ISERROR(A39),NA(),H38+E39+F39+G39)</f>
        <v>172809.203308272</v>
      </c>
      <c r="J39" s="189" t="n">
        <f aca="false">IF(ISERROR(A39),NA(),SUM(E$33:E39))</f>
        <v>56922.00698184</v>
      </c>
      <c r="K39" s="189" t="n">
        <f aca="false">IF(ISERROR(A39),NA(),SUM(E$33:F39))</f>
        <v>102459.612567312</v>
      </c>
    </row>
    <row r="40" customFormat="false" ht="12.8" hidden="false" customHeight="false" outlineLevel="0" collapsed="false">
      <c r="A40" s="186" t="n">
        <f aca="false">IF(A39&lt;$H$5,A39+1,NA())</f>
        <v>7</v>
      </c>
      <c r="B40" s="186" t="n">
        <f aca="false">IF(ISERROR(A40),NA(),$E$5+A40-1)</f>
        <v>33</v>
      </c>
      <c r="C40" s="187" t="n">
        <f aca="true">IF(ISERROR(A40),NA(),IF(randrate,$H$23+RAND()*($H$24-$H$23),$E$17))</f>
        <v>0.05</v>
      </c>
      <c r="D40" s="189" t="n">
        <f aca="false">IF(ISERROR(A40),NA(),IF(A40&lt;=$H$5,(1+$E$10)*D39,0))</f>
        <v>105076.602094552</v>
      </c>
      <c r="E40" s="189" t="n">
        <f aca="false">IF(ISERROR(A40),NA(),IF(A40&lt;=$H$5,$E$12*D40,0))</f>
        <v>10507.6602094552</v>
      </c>
      <c r="F40" s="189" t="n">
        <f aca="false">IF(ISERROR(A40),NA(),IF(A40&lt;=$H$5,MIN($E$13*E40,$E$14*$E$13*D40),0))</f>
        <v>8406.12816756416</v>
      </c>
      <c r="G40" s="190" t="n">
        <f aca="false">IF(ISERROR(A40),NA(),FV(C40/nper,nper,-(E40+F40)/nper,-H39)-(H39+E40+F40))</f>
        <v>9310.81095842508</v>
      </c>
      <c r="H40" s="190" t="n">
        <f aca="false">IF(ISERROR(A40),NA(),H39+E40+F40+G40)</f>
        <v>201033.802643716</v>
      </c>
      <c r="J40" s="189" t="n">
        <f aca="false">IF(ISERROR(A40),NA(),SUM(E$33:E40))</f>
        <v>67429.6671912952</v>
      </c>
      <c r="K40" s="189" t="n">
        <f aca="false">IF(ISERROR(A40),NA(),SUM(E$33:F40))</f>
        <v>121373.400944331</v>
      </c>
    </row>
    <row r="41" customFormat="false" ht="12.8" hidden="false" customHeight="false" outlineLevel="0" collapsed="false">
      <c r="A41" s="186" t="n">
        <f aca="false">IF(A40&lt;$H$5,A40+1,NA())</f>
        <v>8</v>
      </c>
      <c r="B41" s="186" t="n">
        <f aca="false">IF(ISERROR(A41),NA(),$E$5+A41-1)</f>
        <v>34</v>
      </c>
      <c r="C41" s="187" t="n">
        <f aca="true">IF(ISERROR(A41),NA(),IF(randrate,$H$23+RAND()*($H$24-$H$23),$E$17))</f>
        <v>0.05</v>
      </c>
      <c r="D41" s="189" t="n">
        <f aca="false">IF(ISERROR(A41),NA(),IF(A41&lt;=$H$5,(1+$E$10)*D40,0))</f>
        <v>108228.900157389</v>
      </c>
      <c r="E41" s="189" t="n">
        <f aca="false">IF(ISERROR(A41),NA(),IF(A41&lt;=$H$5,$E$12*D41,0))</f>
        <v>10822.8900157389</v>
      </c>
      <c r="F41" s="189" t="n">
        <f aca="false">IF(ISERROR(A41),NA(),IF(A41&lt;=$H$5,MIN($E$13*E41,$E$14*$E$13*D41),0))</f>
        <v>8658.31201259108</v>
      </c>
      <c r="G41" s="190" t="n">
        <f aca="false">IF(ISERROR(A41),NA(),FV(C41/nper,nper,-(E41+F41)/nper,-H40)-(H40+E41+F41))</f>
        <v>10770.1781595126</v>
      </c>
      <c r="H41" s="190" t="n">
        <f aca="false">IF(ISERROR(A41),NA(),H40+E41+F41+G41)</f>
        <v>231285.182831559</v>
      </c>
      <c r="J41" s="189" t="n">
        <f aca="false">IF(ISERROR(A41),NA(),SUM(E$33:E41))</f>
        <v>78252.5572070341</v>
      </c>
      <c r="K41" s="189" t="n">
        <f aca="false">IF(ISERROR(A41),NA(),SUM(E$33:F41))</f>
        <v>140854.602972661</v>
      </c>
    </row>
    <row r="42" customFormat="false" ht="12.8" hidden="false" customHeight="false" outlineLevel="0" collapsed="false">
      <c r="A42" s="186" t="n">
        <f aca="false">IF(A41&lt;$H$5,A41+1,NA())</f>
        <v>9</v>
      </c>
      <c r="B42" s="186" t="n">
        <f aca="false">IF(ISERROR(A42),NA(),$E$5+A42-1)</f>
        <v>35</v>
      </c>
      <c r="C42" s="187" t="n">
        <f aca="true">IF(ISERROR(A42),NA(),IF(randrate,$H$23+RAND()*($H$24-$H$23),$E$17))</f>
        <v>0.05</v>
      </c>
      <c r="D42" s="189" t="n">
        <f aca="false">IF(ISERROR(A42),NA(),IF(A42&lt;=$H$5,(1+$E$10)*D41,0))</f>
        <v>111475.76716211</v>
      </c>
      <c r="E42" s="189" t="n">
        <f aca="false">IF(ISERROR(A42),NA(),IF(A42&lt;=$H$5,$E$12*D42,0))</f>
        <v>11147.576716211</v>
      </c>
      <c r="F42" s="189" t="n">
        <f aca="false">IF(ISERROR(A42),NA(),IF(A42&lt;=$H$5,MIN($E$13*E42,$E$14*$E$13*D42),0))</f>
        <v>8918.06137296882</v>
      </c>
      <c r="G42" s="190" t="n">
        <f aca="false">IF(ISERROR(A42),NA(),FV(C42/nper,nper,-(E42+F42)/nper,-H41)-(H41+E42+F42))</f>
        <v>12333.7639480276</v>
      </c>
      <c r="H42" s="190" t="n">
        <f aca="false">IF(ISERROR(A42),NA(),H41+E42+F42+G42)</f>
        <v>263684.584868766</v>
      </c>
      <c r="J42" s="189" t="n">
        <f aca="false">IF(ISERROR(A42),NA(),SUM(E$33:E42))</f>
        <v>89400.1339232451</v>
      </c>
      <c r="K42" s="189" t="n">
        <f aca="false">IF(ISERROR(A42),NA(),SUM(E$33:F42))</f>
        <v>160920.241061841</v>
      </c>
    </row>
    <row r="43" customFormat="false" ht="12.8" hidden="false" customHeight="false" outlineLevel="0" collapsed="false">
      <c r="A43" s="186" t="n">
        <f aca="false">IF(A42&lt;$H$5,A42+1,NA())</f>
        <v>10</v>
      </c>
      <c r="B43" s="186" t="n">
        <f aca="false">IF(ISERROR(A43),NA(),$E$5+A43-1)</f>
        <v>36</v>
      </c>
      <c r="C43" s="187" t="n">
        <f aca="true">IF(ISERROR(A43),NA(),IF(randrate,$H$23+RAND()*($H$24-$H$23),$E$17))</f>
        <v>0.05</v>
      </c>
      <c r="D43" s="189" t="n">
        <f aca="false">IF(ISERROR(A43),NA(),IF(A43&lt;=$H$5,(1+$E$10)*D42,0))</f>
        <v>114820.040176974</v>
      </c>
      <c r="E43" s="189" t="n">
        <f aca="false">IF(ISERROR(A43),NA(),IF(A43&lt;=$H$5,$E$12*D43,0))</f>
        <v>11482.0040176974</v>
      </c>
      <c r="F43" s="189" t="n">
        <f aca="false">IF(ISERROR(A43),NA(),IF(A43&lt;=$H$5,MIN($E$13*E43,$E$14*$E$13*D43),0))</f>
        <v>9185.60321415788</v>
      </c>
      <c r="G43" s="190" t="n">
        <f aca="false">IF(ISERROR(A43),NA(),FV(C43/nper,nper,-(E43+F43)/nper,-H42)-(H42+E43+F43))</f>
        <v>14007.7902776347</v>
      </c>
      <c r="H43" s="190" t="n">
        <f aca="false">IF(ISERROR(A43),NA(),H42+E43+F43+G43)</f>
        <v>298359.982378256</v>
      </c>
      <c r="J43" s="189" t="n">
        <f aca="false">IF(ISERROR(A43),NA(),SUM(E$33:E43))</f>
        <v>100882.137940942</v>
      </c>
      <c r="K43" s="189" t="n">
        <f aca="false">IF(ISERROR(A43),NA(),SUM(E$33:F43))</f>
        <v>181587.848293696</v>
      </c>
    </row>
    <row r="44" customFormat="false" ht="12.8" hidden="false" customHeight="false" outlineLevel="0" collapsed="false">
      <c r="A44" s="186" t="n">
        <f aca="false">IF(A43&lt;$H$5,A43+1,NA())</f>
        <v>11</v>
      </c>
      <c r="B44" s="186" t="n">
        <f aca="false">IF(ISERROR(A44),NA(),$E$5+A44-1)</f>
        <v>37</v>
      </c>
      <c r="C44" s="187" t="n">
        <f aca="true">IF(ISERROR(A44),NA(),IF(randrate,$H$23+RAND()*($H$24-$H$23),$E$17))</f>
        <v>0.05</v>
      </c>
      <c r="D44" s="189" t="n">
        <f aca="false">IF(ISERROR(A44),NA(),IF(A44&lt;=$H$5,(1+$E$10)*D43,0))</f>
        <v>118264.641382283</v>
      </c>
      <c r="E44" s="189" t="n">
        <f aca="false">IF(ISERROR(A44),NA(),IF(A44&lt;=$H$5,$E$12*D44,0))</f>
        <v>11826.4641382283</v>
      </c>
      <c r="F44" s="189" t="n">
        <f aca="false">IF(ISERROR(A44),NA(),IF(A44&lt;=$H$5,MIN($E$13*E44,$E$14*$E$13*D44),0))</f>
        <v>9461.17131058262</v>
      </c>
      <c r="G44" s="190" t="n">
        <f aca="false">IF(ISERROR(A44),NA(),FV(C44/nper,nper,-(E44+F44)/nper,-H43)-(H43+E44+F44))</f>
        <v>15798.8242957121</v>
      </c>
      <c r="H44" s="190" t="n">
        <f aca="false">IF(ISERROR(A44),NA(),H43+E44+F44+G44)</f>
        <v>335446.442122779</v>
      </c>
      <c r="J44" s="189" t="n">
        <f aca="false">IF(ISERROR(A44),NA(),SUM(E$33:E44))</f>
        <v>112708.602079171</v>
      </c>
      <c r="K44" s="189" t="n">
        <f aca="false">IF(ISERROR(A44),NA(),SUM(E$33:F44))</f>
        <v>202875.483742507</v>
      </c>
    </row>
    <row r="45" customFormat="false" ht="12.8" hidden="false" customHeight="false" outlineLevel="0" collapsed="false">
      <c r="A45" s="186" t="n">
        <f aca="false">IF(A44&lt;$H$5,A44+1,NA())</f>
        <v>12</v>
      </c>
      <c r="B45" s="186" t="n">
        <f aca="false">IF(ISERROR(A45),NA(),$E$5+A45-1)</f>
        <v>38</v>
      </c>
      <c r="C45" s="187" t="n">
        <f aca="true">IF(ISERROR(A45),NA(),IF(randrate,$H$23+RAND()*($H$24-$H$23),$E$17))</f>
        <v>0.05</v>
      </c>
      <c r="D45" s="189" t="n">
        <f aca="false">IF(ISERROR(A45),NA(),IF(A45&lt;=$H$5,(1+$E$10)*D44,0))</f>
        <v>121812.580623751</v>
      </c>
      <c r="E45" s="189" t="n">
        <f aca="false">IF(ISERROR(A45),NA(),IF(A45&lt;=$H$5,$E$12*D45,0))</f>
        <v>12181.2580623751</v>
      </c>
      <c r="F45" s="189" t="n">
        <f aca="false">IF(ISERROR(A45),NA(),IF(A45&lt;=$H$5,MIN($E$13*E45,$E$14*$E$13*D45),0))</f>
        <v>9745.0064499001</v>
      </c>
      <c r="G45" s="190" t="n">
        <f aca="false">IF(ISERROR(A45),NA(),FV(C45/nper,nper,-(E45+F45)/nper,-H44)-(H44+E45+F45))</f>
        <v>17713.7968187637</v>
      </c>
      <c r="H45" s="190" t="n">
        <f aca="false">IF(ISERROR(A45),NA(),H44+E45+F45+G45)</f>
        <v>375086.503453818</v>
      </c>
      <c r="J45" s="189" t="n">
        <f aca="false">IF(ISERROR(A45),NA(),SUM(E$33:E45))</f>
        <v>124889.860141546</v>
      </c>
      <c r="K45" s="189" t="n">
        <f aca="false">IF(ISERROR(A45),NA(),SUM(E$33:F45))</f>
        <v>224801.748254782</v>
      </c>
    </row>
    <row r="46" customFormat="false" ht="12.8" hidden="false" customHeight="false" outlineLevel="0" collapsed="false">
      <c r="A46" s="186" t="n">
        <f aca="false">IF(A45&lt;$H$5,A45+1,NA())</f>
        <v>13</v>
      </c>
      <c r="B46" s="186" t="n">
        <f aca="false">IF(ISERROR(A46),NA(),$E$5+A46-1)</f>
        <v>39</v>
      </c>
      <c r="C46" s="187" t="n">
        <f aca="true">IF(ISERROR(A46),NA(),IF(randrate,$H$23+RAND()*($H$24-$H$23),$E$17))</f>
        <v>0.05</v>
      </c>
      <c r="D46" s="189" t="n">
        <f aca="false">IF(ISERROR(A46),NA(),IF(A46&lt;=$H$5,(1+$E$10)*D45,0))</f>
        <v>125466.958042464</v>
      </c>
      <c r="E46" s="189" t="n">
        <f aca="false">IF(ISERROR(A46),NA(),IF(A46&lt;=$H$5,$E$12*D46,0))</f>
        <v>12546.6958042464</v>
      </c>
      <c r="F46" s="189" t="n">
        <f aca="false">IF(ISERROR(A46),NA(),IF(A46&lt;=$H$5,MIN($E$13*E46,$E$14*$E$13*D46),0))</f>
        <v>10037.3566433971</v>
      </c>
      <c r="G46" s="190" t="n">
        <f aca="false">IF(ISERROR(A46),NA(),FV(C46/nper,nper,-(E46+F46)/nper,-H45)-(H45+E46+F46))</f>
        <v>19760.0217779503</v>
      </c>
      <c r="H46" s="190" t="n">
        <f aca="false">IF(ISERROR(A46),NA(),H45+E46+F46+G46)</f>
        <v>417430.577679412</v>
      </c>
      <c r="J46" s="189" t="n">
        <f aca="false">IF(ISERROR(A46),NA(),SUM(E$33:E46))</f>
        <v>137436.555945792</v>
      </c>
      <c r="K46" s="189" t="n">
        <f aca="false">IF(ISERROR(A46),NA(),SUM(E$33:F46))</f>
        <v>247385.800702426</v>
      </c>
    </row>
    <row r="47" customFormat="false" ht="12.8" hidden="false" customHeight="false" outlineLevel="0" collapsed="false">
      <c r="A47" s="186" t="n">
        <f aca="false">IF(A46&lt;$H$5,A46+1,NA())</f>
        <v>14</v>
      </c>
      <c r="B47" s="186" t="n">
        <f aca="false">IF(ISERROR(A47),NA(),$E$5+A47-1)</f>
        <v>40</v>
      </c>
      <c r="C47" s="187" t="n">
        <f aca="true">IF(ISERROR(A47),NA(),IF(randrate,$H$23+RAND()*($H$24-$H$23),$E$17))</f>
        <v>0.05</v>
      </c>
      <c r="D47" s="189" t="n">
        <f aca="false">IF(ISERROR(A47),NA(),IF(A47&lt;=$H$5,(1+$E$10)*D46,0))</f>
        <v>129230.966783738</v>
      </c>
      <c r="E47" s="189" t="n">
        <f aca="false">IF(ISERROR(A47),NA(),IF(A47&lt;=$H$5,$E$12*D47,0))</f>
        <v>12923.0966783738</v>
      </c>
      <c r="F47" s="189" t="n">
        <f aca="false">IF(ISERROR(A47),NA(),IF(A47&lt;=$H$5,MIN($E$13*E47,$E$14*$E$13*D47),0))</f>
        <v>10338.477342699</v>
      </c>
      <c r="G47" s="190" t="n">
        <f aca="false">IF(ISERROR(A47),NA(),FV(C47/nper,nper,-(E47+F47)/nper,-H46)-(H46+E47+F47))</f>
        <v>21945.216685142</v>
      </c>
      <c r="H47" s="190" t="n">
        <f aca="false">IF(ISERROR(A47),NA(),H46+E47+F47+G47)</f>
        <v>462637.368385627</v>
      </c>
      <c r="J47" s="189" t="n">
        <f aca="false">IF(ISERROR(A47),NA(),SUM(E$33:E47))</f>
        <v>150359.652624166</v>
      </c>
      <c r="K47" s="189" t="n">
        <f aca="false">IF(ISERROR(A47),NA(),SUM(E$33:F47))</f>
        <v>270647.374723499</v>
      </c>
    </row>
    <row r="48" customFormat="false" ht="12.8" hidden="false" customHeight="false" outlineLevel="0" collapsed="false">
      <c r="A48" s="186" t="n">
        <f aca="false">IF(A47&lt;$H$5,A47+1,NA())</f>
        <v>15</v>
      </c>
      <c r="B48" s="186" t="n">
        <f aca="false">IF(ISERROR(A48),NA(),$E$5+A48-1)</f>
        <v>41</v>
      </c>
      <c r="C48" s="187" t="n">
        <f aca="true">IF(ISERROR(A48),NA(),IF(randrate,$H$23+RAND()*($H$24-$H$23),$E$17))</f>
        <v>0.05</v>
      </c>
      <c r="D48" s="189" t="n">
        <f aca="false">IF(ISERROR(A48),NA(),IF(A48&lt;=$H$5,(1+$E$10)*D47,0))</f>
        <v>133107.89578725</v>
      </c>
      <c r="E48" s="189" t="n">
        <f aca="false">IF(ISERROR(A48),NA(),IF(A48&lt;=$H$5,$E$12*D48,0))</f>
        <v>13310.789578725</v>
      </c>
      <c r="F48" s="189" t="n">
        <f aca="false">IF(ISERROR(A48),NA(),IF(A48&lt;=$H$5,MIN($E$13*E48,$E$14*$E$13*D48),0))</f>
        <v>10648.63166298</v>
      </c>
      <c r="G48" s="190" t="n">
        <f aca="false">IF(ISERROR(A48),NA(),FV(C48/nper,nper,-(E48+F48)/nper,-H47)-(H47+E48+F48))</f>
        <v>24277.5241724972</v>
      </c>
      <c r="H48" s="190" t="n">
        <f aca="false">IF(ISERROR(A48),NA(),H47+E48+F48+G48)</f>
        <v>510874.313799829</v>
      </c>
      <c r="J48" s="189" t="n">
        <f aca="false">IF(ISERROR(A48),NA(),SUM(E$33:E48))</f>
        <v>163670.442202891</v>
      </c>
      <c r="K48" s="189" t="n">
        <f aca="false">IF(ISERROR(A48),NA(),SUM(E$33:F48))</f>
        <v>294606.795965204</v>
      </c>
    </row>
    <row r="49" customFormat="false" ht="12.8" hidden="false" customHeight="false" outlineLevel="0" collapsed="false">
      <c r="A49" s="186" t="n">
        <f aca="false">IF(A48&lt;$H$5,A48+1,NA())</f>
        <v>16</v>
      </c>
      <c r="B49" s="186" t="n">
        <f aca="false">IF(ISERROR(A49),NA(),$E$5+A49-1)</f>
        <v>42</v>
      </c>
      <c r="C49" s="187" t="n">
        <f aca="true">IF(ISERROR(A49),NA(),IF(randrate,$H$23+RAND()*($H$24-$H$23),$E$17))</f>
        <v>0.05</v>
      </c>
      <c r="D49" s="189" t="n">
        <f aca="false">IF(ISERROR(A49),NA(),IF(A49&lt;=$H$5,(1+$E$10)*D48,0))</f>
        <v>137101.132660867</v>
      </c>
      <c r="E49" s="189" t="n">
        <f aca="false">IF(ISERROR(A49),NA(),IF(A49&lt;=$H$5,$E$12*D49,0))</f>
        <v>13710.1132660867</v>
      </c>
      <c r="F49" s="189" t="n">
        <f aca="false">IF(ISERROR(A49),NA(),IF(A49&lt;=$H$5,MIN($E$13*E49,$E$14*$E$13*D49),0))</f>
        <v>10968.0906128694</v>
      </c>
      <c r="G49" s="190" t="n">
        <f aca="false">IF(ISERROR(A49),NA(),FV(C49/nper,nper,-(E49+F49)/nper,-H48)-(H48+E49+F49))</f>
        <v>26765.5346613112</v>
      </c>
      <c r="H49" s="190" t="n">
        <f aca="false">IF(ISERROR(A49),NA(),H48+E49+F49+G49)</f>
        <v>562318.052340096</v>
      </c>
      <c r="J49" s="189" t="n">
        <f aca="false">IF(ISERROR(A49),NA(),SUM(E$33:E49))</f>
        <v>177380.555468978</v>
      </c>
      <c r="K49" s="189" t="n">
        <f aca="false">IF(ISERROR(A49),NA(),SUM(E$33:F49))</f>
        <v>319284.99984416</v>
      </c>
    </row>
    <row r="50" customFormat="false" ht="12.8" hidden="false" customHeight="false" outlineLevel="0" collapsed="false">
      <c r="A50" s="186" t="n">
        <f aca="false">IF(A49&lt;$H$5,A49+1,NA())</f>
        <v>17</v>
      </c>
      <c r="B50" s="186" t="n">
        <f aca="false">IF(ISERROR(A50),NA(),$E$5+A50-1)</f>
        <v>43</v>
      </c>
      <c r="C50" s="187" t="n">
        <f aca="true">IF(ISERROR(A50),NA(),IF(randrate,$H$23+RAND()*($H$24-$H$23),$E$17))</f>
        <v>0.05</v>
      </c>
      <c r="D50" s="189" t="n">
        <f aca="false">IF(ISERROR(A50),NA(),IF(A50&lt;=$H$5,(1+$E$10)*D49,0))</f>
        <v>141214.166640693</v>
      </c>
      <c r="E50" s="189" t="n">
        <f aca="false">IF(ISERROR(A50),NA(),IF(A50&lt;=$H$5,$E$12*D50,0))</f>
        <v>14121.4166640693</v>
      </c>
      <c r="F50" s="189" t="n">
        <f aca="false">IF(ISERROR(A50),NA(),IF(A50&lt;=$H$5,MIN($E$13*E50,$E$14*$E$13*D50),0))</f>
        <v>11297.1333312555</v>
      </c>
      <c r="G50" s="190" t="n">
        <f aca="false">IF(ISERROR(A50),NA(),FV(C50/nper,nper,-(E50+F50)/nper,-H49)-(H49+E50+F50))</f>
        <v>29418.3102187526</v>
      </c>
      <c r="H50" s="190" t="n">
        <f aca="false">IF(ISERROR(A50),NA(),H49+E50+F50+G50)</f>
        <v>617154.912554174</v>
      </c>
      <c r="J50" s="189" t="n">
        <f aca="false">IF(ISERROR(A50),NA(),SUM(E$33:E50))</f>
        <v>191501.972133047</v>
      </c>
      <c r="K50" s="189" t="n">
        <f aca="false">IF(ISERROR(A50),NA(),SUM(E$33:F50))</f>
        <v>344703.549839485</v>
      </c>
    </row>
    <row r="51" customFormat="false" ht="12.8" hidden="false" customHeight="false" outlineLevel="0" collapsed="false">
      <c r="A51" s="186" t="n">
        <f aca="false">IF(A50&lt;$H$5,A50+1,NA())</f>
        <v>18</v>
      </c>
      <c r="B51" s="186" t="n">
        <f aca="false">IF(ISERROR(A51),NA(),$E$5+A51-1)</f>
        <v>44</v>
      </c>
      <c r="C51" s="187" t="n">
        <f aca="true">IF(ISERROR(A51),NA(),IF(randrate,$H$23+RAND()*($H$24-$H$23),$E$17))</f>
        <v>0.05</v>
      </c>
      <c r="D51" s="189" t="n">
        <f aca="false">IF(ISERROR(A51),NA(),IF(A51&lt;=$H$5,(1+$E$10)*D50,0))</f>
        <v>145450.591639914</v>
      </c>
      <c r="E51" s="189" t="n">
        <f aca="false">IF(ISERROR(A51),NA(),IF(A51&lt;=$H$5,$E$12*D51,0))</f>
        <v>14545.0591639914</v>
      </c>
      <c r="F51" s="189" t="n">
        <f aca="false">IF(ISERROR(A51),NA(),IF(A51&lt;=$H$5,MIN($E$13*E51,$E$14*$E$13*D51),0))</f>
        <v>11636.0473311931</v>
      </c>
      <c r="G51" s="190" t="n">
        <f aca="false">IF(ISERROR(A51),NA(),FV(C51/nper,nper,-(E51+F51)/nper,-H50)-(H50+E51+F51))</f>
        <v>32245.4096641337</v>
      </c>
      <c r="H51" s="190" t="n">
        <f aca="false">IF(ISERROR(A51),NA(),H50+E51+F51+G51)</f>
        <v>675581.428713492</v>
      </c>
      <c r="J51" s="189" t="n">
        <f aca="false">IF(ISERROR(A51),NA(),SUM(E$33:E51))</f>
        <v>206047.031297038</v>
      </c>
      <c r="K51" s="189" t="n">
        <f aca="false">IF(ISERROR(A51),NA(),SUM(E$33:F51))</f>
        <v>370884.656334669</v>
      </c>
    </row>
    <row r="52" customFormat="false" ht="12.8" hidden="false" customHeight="false" outlineLevel="0" collapsed="false">
      <c r="A52" s="186" t="n">
        <f aca="false">IF(A51&lt;$H$5,A51+1,NA())</f>
        <v>19</v>
      </c>
      <c r="B52" s="186" t="n">
        <f aca="false">IF(ISERROR(A52),NA(),$E$5+A52-1)</f>
        <v>45</v>
      </c>
      <c r="C52" s="187" t="n">
        <f aca="true">IF(ISERROR(A52),NA(),IF(randrate,$H$23+RAND()*($H$24-$H$23),$E$17))</f>
        <v>0.05</v>
      </c>
      <c r="D52" s="189" t="n">
        <f aca="false">IF(ISERROR(A52),NA(),IF(A52&lt;=$H$5,(1+$E$10)*D51,0))</f>
        <v>149814.109389112</v>
      </c>
      <c r="E52" s="189" t="n">
        <f aca="false">IF(ISERROR(A52),NA(),IF(A52&lt;=$H$5,$E$12*D52,0))</f>
        <v>14981.4109389112</v>
      </c>
      <c r="F52" s="189" t="n">
        <f aca="false">IF(ISERROR(A52),NA(),IF(A52&lt;=$H$5,MIN($E$13*E52,$E$14*$E$13*D52),0))</f>
        <v>11985.1287511289</v>
      </c>
      <c r="G52" s="190" t="n">
        <f aca="false">IF(ISERROR(A52),NA(),FV(C52/nper,nper,-(E52+F52)/nper,-H51)-(H51+E52+F52))</f>
        <v>35256.9149895419</v>
      </c>
      <c r="H52" s="190" t="n">
        <f aca="false">IF(ISERROR(A52),NA(),H51+E52+F52+G52)</f>
        <v>737804.883393074</v>
      </c>
      <c r="J52" s="189" t="n">
        <f aca="false">IF(ISERROR(A52),NA(),SUM(E$33:E52))</f>
        <v>221028.44223595</v>
      </c>
      <c r="K52" s="189" t="n">
        <f aca="false">IF(ISERROR(A52),NA(),SUM(E$33:F52))</f>
        <v>397851.196024709</v>
      </c>
    </row>
    <row r="53" customFormat="false" ht="12.8" hidden="false" customHeight="false" outlineLevel="0" collapsed="false">
      <c r="A53" s="186" t="n">
        <f aca="false">IF(A52&lt;$H$5,A52+1,NA())</f>
        <v>20</v>
      </c>
      <c r="B53" s="186" t="n">
        <f aca="false">IF(ISERROR(A53),NA(),$E$5+A53-1)</f>
        <v>46</v>
      </c>
      <c r="C53" s="187" t="n">
        <f aca="true">IF(ISERROR(A53),NA(),IF(randrate,$H$23+RAND()*($H$24-$H$23),$E$17))</f>
        <v>0.05</v>
      </c>
      <c r="D53" s="189" t="n">
        <f aca="false">IF(ISERROR(A53),NA(),IF(A53&lt;=$H$5,(1+$E$10)*D52,0))</f>
        <v>154308.532670785</v>
      </c>
      <c r="E53" s="189" t="n">
        <f aca="false">IF(ISERROR(A53),NA(),IF(A53&lt;=$H$5,$E$12*D53,0))</f>
        <v>15430.8532670785</v>
      </c>
      <c r="F53" s="189" t="n">
        <f aca="false">IF(ISERROR(A53),NA(),IF(A53&lt;=$H$5,MIN($E$13*E53,$E$14*$E$13*D53),0))</f>
        <v>12344.6826136628</v>
      </c>
      <c r="G53" s="190" t="n">
        <f aca="false">IF(ISERROR(A53),NA(),FV(C53/nper,nper,-(E53+F53)/nper,-H52)-(H52+E53+F53))</f>
        <v>38463.4591630052</v>
      </c>
      <c r="H53" s="190" t="n">
        <f aca="false">IF(ISERROR(A53),NA(),H52+E53+F53+G53)</f>
        <v>804043.87843682</v>
      </c>
      <c r="J53" s="189" t="n">
        <f aca="false">IF(ISERROR(A53),NA(),SUM(E$33:E53))</f>
        <v>236459.295503028</v>
      </c>
      <c r="K53" s="189" t="n">
        <f aca="false">IF(ISERROR(A53),NA(),SUM(E$33:F53))</f>
        <v>425626.731905451</v>
      </c>
    </row>
    <row r="54" customFormat="false" ht="12.8" hidden="false" customHeight="false" outlineLevel="0" collapsed="false">
      <c r="A54" s="186" t="n">
        <f aca="false">IF(A53&lt;$H$5,A53+1,NA())</f>
        <v>21</v>
      </c>
      <c r="B54" s="186" t="n">
        <f aca="false">IF(ISERROR(A54),NA(),$E$5+A54-1)</f>
        <v>47</v>
      </c>
      <c r="C54" s="187" t="n">
        <f aca="true">IF(ISERROR(A54),NA(),IF(randrate,$H$23+RAND()*($H$24-$H$23),$E$17))</f>
        <v>0.05</v>
      </c>
      <c r="D54" s="189" t="n">
        <f aca="false">IF(ISERROR(A54),NA(),IF(A54&lt;=$H$5,(1+$E$10)*D53,0))</f>
        <v>158937.788650908</v>
      </c>
      <c r="E54" s="189" t="n">
        <f aca="false">IF(ISERROR(A54),NA(),IF(A54&lt;=$H$5,$E$12*D54,0))</f>
        <v>15893.7788650908</v>
      </c>
      <c r="F54" s="189" t="n">
        <f aca="false">IF(ISERROR(A54),NA(),IF(A54&lt;=$H$5,MIN($E$13*E54,$E$14*$E$13*D54),0))</f>
        <v>12715.0230920727</v>
      </c>
      <c r="G54" s="190" t="n">
        <f aca="false">IF(ISERROR(A54),NA(),FV(C54/nper,nper,-(E54+F54)/nper,-H53)-(H53+E54+F54))</f>
        <v>41876.2553858786</v>
      </c>
      <c r="H54" s="190" t="n">
        <f aca="false">IF(ISERROR(A54),NA(),H53+E54+F54+G54)</f>
        <v>874528.935779863</v>
      </c>
      <c r="J54" s="189" t="n">
        <f aca="false">IF(ISERROR(A54),NA(),SUM(E$33:E54))</f>
        <v>252353.074368119</v>
      </c>
      <c r="K54" s="189" t="n">
        <f aca="false">IF(ISERROR(A54),NA(),SUM(E$33:F54))</f>
        <v>454235.533862614</v>
      </c>
    </row>
    <row r="55" customFormat="false" ht="12.8" hidden="false" customHeight="false" outlineLevel="0" collapsed="false">
      <c r="A55" s="186" t="n">
        <f aca="false">IF(A54&lt;$H$5,A54+1,NA())</f>
        <v>22</v>
      </c>
      <c r="B55" s="186" t="n">
        <f aca="false">IF(ISERROR(A55),NA(),$E$5+A55-1)</f>
        <v>48</v>
      </c>
      <c r="C55" s="187" t="n">
        <f aca="true">IF(ISERROR(A55),NA(),IF(randrate,$H$23+RAND()*($H$24-$H$23),$E$17))</f>
        <v>0.05</v>
      </c>
      <c r="D55" s="189" t="n">
        <f aca="false">IF(ISERROR(A55),NA(),IF(A55&lt;=$H$5,(1+$E$10)*D54,0))</f>
        <v>163705.922310436</v>
      </c>
      <c r="E55" s="189" t="n">
        <f aca="false">IF(ISERROR(A55),NA(),IF(A55&lt;=$H$5,$E$12*D55,0))</f>
        <v>16370.5922310436</v>
      </c>
      <c r="F55" s="189" t="n">
        <f aca="false">IF(ISERROR(A55),NA(),IF(A55&lt;=$H$5,MIN($E$13*E55,$E$14*$E$13*D55),0))</f>
        <v>13096.4737848349</v>
      </c>
      <c r="G55" s="190" t="n">
        <f aca="false">IF(ISERROR(A55),NA(),FV(C55/nper,nper,-(E55+F55)/nper,-H54)-(H54+E55+F55))</f>
        <v>45507.1278798415</v>
      </c>
      <c r="H55" s="190" t="n">
        <f aca="false">IF(ISERROR(A55),NA(),H54+E55+F55+G55)</f>
        <v>949503.129675582</v>
      </c>
      <c r="J55" s="189" t="n">
        <f aca="false">IF(ISERROR(A55),NA(),SUM(E$33:E55))</f>
        <v>268723.666599162</v>
      </c>
      <c r="K55" s="189" t="n">
        <f aca="false">IF(ISERROR(A55),NA(),SUM(E$33:F55))</f>
        <v>483702.599878493</v>
      </c>
    </row>
    <row r="56" customFormat="false" ht="12.8" hidden="false" customHeight="false" outlineLevel="0" collapsed="false">
      <c r="A56" s="186" t="n">
        <f aca="false">IF(A55&lt;$H$5,A55+1,NA())</f>
        <v>23</v>
      </c>
      <c r="B56" s="186" t="n">
        <f aca="false">IF(ISERROR(A56),NA(),$E$5+A56-1)</f>
        <v>49</v>
      </c>
      <c r="C56" s="187" t="n">
        <f aca="true">IF(ISERROR(A56),NA(),IF(randrate,$H$23+RAND()*($H$24-$H$23),$E$17))</f>
        <v>0.05</v>
      </c>
      <c r="D56" s="189" t="n">
        <f aca="false">IF(ISERROR(A56),NA(),IF(A56&lt;=$H$5,(1+$E$10)*D55,0))</f>
        <v>168617.099979749</v>
      </c>
      <c r="E56" s="189" t="n">
        <f aca="false">IF(ISERROR(A56),NA(),IF(A56&lt;=$H$5,$E$12*D56,0))</f>
        <v>16861.7099979749</v>
      </c>
      <c r="F56" s="189" t="n">
        <f aca="false">IF(ISERROR(A56),NA(),IF(A56&lt;=$H$5,MIN($E$13*E56,$E$14*$E$13*D56),0))</f>
        <v>13489.3679983799</v>
      </c>
      <c r="G56" s="190" t="n">
        <f aca="false">IF(ISERROR(A56),NA(),FV(C56/nper,nper,-(E56+F56)/nper,-H55)-(H55+E56+F56))</f>
        <v>49368.5442827792</v>
      </c>
      <c r="H56" s="190" t="n">
        <f aca="false">IF(ISERROR(A56),NA(),H55+E56+F56+G56)</f>
        <v>1029222.75195472</v>
      </c>
      <c r="J56" s="189" t="n">
        <f aca="false">IF(ISERROR(A56),NA(),SUM(E$33:E56))</f>
        <v>285585.376597137</v>
      </c>
      <c r="K56" s="189" t="n">
        <f aca="false">IF(ISERROR(A56),NA(),SUM(E$33:F56))</f>
        <v>514053.677874847</v>
      </c>
    </row>
    <row r="57" customFormat="false" ht="12.8" hidden="false" customHeight="false" outlineLevel="0" collapsed="false">
      <c r="A57" s="186" t="n">
        <f aca="false">IF(A56&lt;$H$5,A56+1,NA())</f>
        <v>24</v>
      </c>
      <c r="B57" s="186" t="n">
        <f aca="false">IF(ISERROR(A57),NA(),$E$5+A57-1)</f>
        <v>50</v>
      </c>
      <c r="C57" s="187" t="n">
        <f aca="true">IF(ISERROR(A57),NA(),IF(randrate,$H$23+RAND()*($H$24-$H$23),$E$17))</f>
        <v>0.05</v>
      </c>
      <c r="D57" s="189" t="n">
        <f aca="false">IF(ISERROR(A57),NA(),IF(A57&lt;=$H$5,(1+$E$10)*D56,0))</f>
        <v>173675.612979141</v>
      </c>
      <c r="E57" s="189" t="n">
        <f aca="false">IF(ISERROR(A57),NA(),IF(A57&lt;=$H$5,$E$12*D57,0))</f>
        <v>17367.5612979141</v>
      </c>
      <c r="F57" s="189" t="n">
        <f aca="false">IF(ISERROR(A57),NA(),IF(A57&lt;=$H$5,MIN($E$13*E57,$E$14*$E$13*D57),0))</f>
        <v>13894.0490383313</v>
      </c>
      <c r="G57" s="190" t="n">
        <f aca="false">IF(ISERROR(A57),NA(),FV(C57/nper,nper,-(E57+F57)/nper,-H56)-(H56+E57+F57))</f>
        <v>53473.649736916</v>
      </c>
      <c r="H57" s="190" t="n">
        <f aca="false">IF(ISERROR(A57),NA(),H56+E57+F57+G57)</f>
        <v>1113958.01202788</v>
      </c>
      <c r="J57" s="189" t="n">
        <f aca="false">IF(ISERROR(A57),NA(),SUM(E$33:E57))</f>
        <v>302952.937895052</v>
      </c>
      <c r="K57" s="189" t="n">
        <f aca="false">IF(ISERROR(A57),NA(),SUM(E$33:F57))</f>
        <v>545315.288211093</v>
      </c>
    </row>
    <row r="58" customFormat="false" ht="12.8" hidden="false" customHeight="false" outlineLevel="0" collapsed="false">
      <c r="A58" s="186" t="n">
        <f aca="false">IF(A57&lt;$H$5,A57+1,NA())</f>
        <v>25</v>
      </c>
      <c r="B58" s="186" t="n">
        <f aca="false">IF(ISERROR(A58),NA(),$E$5+A58-1)</f>
        <v>51</v>
      </c>
      <c r="C58" s="187" t="n">
        <f aca="true">IF(ISERROR(A58),NA(),IF(randrate,$H$23+RAND()*($H$24-$H$23),$E$17))</f>
        <v>0.05</v>
      </c>
      <c r="D58" s="189" t="n">
        <f aca="false">IF(ISERROR(A58),NA(),IF(A58&lt;=$H$5,(1+$E$10)*D57,0))</f>
        <v>178885.881368516</v>
      </c>
      <c r="E58" s="189" t="n">
        <f aca="false">IF(ISERROR(A58),NA(),IF(A58&lt;=$H$5,$E$12*D58,0))</f>
        <v>17888.5881368516</v>
      </c>
      <c r="F58" s="189" t="n">
        <f aca="false">IF(ISERROR(A58),NA(),IF(A58&lt;=$H$5,MIN($E$13*E58,$E$14*$E$13*D58),0))</f>
        <v>14310.8705094812</v>
      </c>
      <c r="G58" s="190" t="n">
        <f aca="false">IF(ISERROR(A58),NA(),FV(C58/nper,nper,-(E58+F58)/nper,-H57)-(H57+E58+F58))</f>
        <v>57836.3027568578</v>
      </c>
      <c r="H58" s="190" t="n">
        <f aca="false">IF(ISERROR(A58),NA(),H57+E58+F58+G58)</f>
        <v>1203993.77343107</v>
      </c>
      <c r="J58" s="189" t="n">
        <f aca="false">IF(ISERROR(A58),NA(),SUM(E$33:E58))</f>
        <v>320841.526031903</v>
      </c>
      <c r="K58" s="189" t="n">
        <f aca="false">IF(ISERROR(A58),NA(),SUM(E$33:F58))</f>
        <v>577514.746857426</v>
      </c>
    </row>
    <row r="59" customFormat="false" ht="12.8" hidden="false" customHeight="false" outlineLevel="0" collapsed="false">
      <c r="A59" s="186" t="n">
        <f aca="false">IF(A58&lt;$H$5,A58+1,NA())</f>
        <v>26</v>
      </c>
      <c r="B59" s="186" t="n">
        <f aca="false">IF(ISERROR(A59),NA(),$E$5+A59-1)</f>
        <v>52</v>
      </c>
      <c r="C59" s="187" t="n">
        <f aca="true">IF(ISERROR(A59),NA(),IF(randrate,$H$23+RAND()*($H$24-$H$23),$E$17))</f>
        <v>0.05</v>
      </c>
      <c r="D59" s="189" t="n">
        <f aca="false">IF(ISERROR(A59),NA(),IF(A59&lt;=$H$5,(1+$E$10)*D58,0))</f>
        <v>184252.457809571</v>
      </c>
      <c r="E59" s="189" t="n">
        <f aca="false">IF(ISERROR(A59),NA(),IF(A59&lt;=$H$5,$E$12*D59,0))</f>
        <v>18425.2457809571</v>
      </c>
      <c r="F59" s="189" t="n">
        <f aca="false">IF(ISERROR(A59),NA(),IF(A59&lt;=$H$5,MIN($E$13*E59,$E$14*$E$13*D59),0))</f>
        <v>14740.1966247657</v>
      </c>
      <c r="G59" s="190" t="n">
        <f aca="false">IF(ISERROR(A59),NA(),FV(C59/nper,nper,-(E59+F59)/nper,-H58)-(H58+E59+F59))</f>
        <v>62471.1129697301</v>
      </c>
      <c r="H59" s="190" t="n">
        <f aca="false">IF(ISERROR(A59),NA(),H58+E59+F59+G59)</f>
        <v>1299630.32880652</v>
      </c>
      <c r="J59" s="189" t="n">
        <f aca="false">IF(ISERROR(A59),NA(),SUM(E$33:E59))</f>
        <v>339266.77181286</v>
      </c>
      <c r="K59" s="189" t="n">
        <f aca="false">IF(ISERROR(A59),NA(),SUM(E$33:F59))</f>
        <v>610680.189263148</v>
      </c>
    </row>
    <row r="60" customFormat="false" ht="12.8" hidden="false" customHeight="false" outlineLevel="0" collapsed="false">
      <c r="A60" s="186" t="n">
        <f aca="false">IF(A59&lt;$H$5,A59+1,NA())</f>
        <v>27</v>
      </c>
      <c r="B60" s="186" t="n">
        <f aca="false">IF(ISERROR(A60),NA(),$E$5+A60-1)</f>
        <v>53</v>
      </c>
      <c r="C60" s="187" t="n">
        <f aca="true">IF(ISERROR(A60),NA(),IF(randrate,$H$23+RAND()*($H$24-$H$23),$E$17))</f>
        <v>0.05</v>
      </c>
      <c r="D60" s="189" t="n">
        <f aca="false">IF(ISERROR(A60),NA(),IF(A60&lt;=$H$5,(1+$E$10)*D59,0))</f>
        <v>189780.031543858</v>
      </c>
      <c r="E60" s="189" t="n">
        <f aca="false">IF(ISERROR(A60),NA(),IF(A60&lt;=$H$5,$E$12*D60,0))</f>
        <v>18978.0031543858</v>
      </c>
      <c r="F60" s="189" t="n">
        <f aca="false">IF(ISERROR(A60),NA(),IF(A60&lt;=$H$5,MIN($E$13*E60,$E$14*$E$13*D60),0))</f>
        <v>15182.4025235087</v>
      </c>
      <c r="G60" s="190" t="n">
        <f aca="false">IF(ISERROR(A60),NA(),FV(C60/nper,nper,-(E60+F60)/nper,-H59)-(H59+E60+F60))</f>
        <v>67393.4808243406</v>
      </c>
      <c r="H60" s="190" t="n">
        <f aca="false">IF(ISERROR(A60),NA(),H59+E60+F60+G60)</f>
        <v>1401184.21530876</v>
      </c>
      <c r="J60" s="189" t="n">
        <f aca="false">IF(ISERROR(A60),NA(),SUM(E$33:E60))</f>
        <v>358244.774967246</v>
      </c>
      <c r="K60" s="189" t="n">
        <f aca="false">IF(ISERROR(A60),NA(),SUM(E$33:F60))</f>
        <v>644840.594941043</v>
      </c>
    </row>
    <row r="61" customFormat="false" ht="12.8" hidden="false" customHeight="false" outlineLevel="0" collapsed="false">
      <c r="A61" s="186" t="n">
        <f aca="false">IF(A60&lt;$H$5,A60+1,NA())</f>
        <v>28</v>
      </c>
      <c r="B61" s="186" t="n">
        <f aca="false">IF(ISERROR(A61),NA(),$E$5+A61-1)</f>
        <v>54</v>
      </c>
      <c r="C61" s="187" t="n">
        <f aca="true">IF(ISERROR(A61),NA(),IF(randrate,$H$23+RAND()*($H$24-$H$23),$E$17))</f>
        <v>0.05</v>
      </c>
      <c r="D61" s="189" t="n">
        <f aca="false">IF(ISERROR(A61),NA(),IF(A61&lt;=$H$5,(1+$E$10)*D60,0))</f>
        <v>195473.432490174</v>
      </c>
      <c r="E61" s="189" t="n">
        <f aca="false">IF(ISERROR(A61),NA(),IF(A61&lt;=$H$5,$E$12*D61,0))</f>
        <v>19547.3432490174</v>
      </c>
      <c r="F61" s="189" t="n">
        <f aca="false">IF(ISERROR(A61),NA(),IF(A61&lt;=$H$5,MIN($E$13*E61,$E$14*$E$13*D61),0))</f>
        <v>15637.8745992139</v>
      </c>
      <c r="G61" s="190" t="n">
        <f aca="false">IF(ISERROR(A61),NA(),FV(C61/nper,nper,-(E61+F61)/nper,-H60)-(H60+E61+F61))</f>
        <v>72619.639371305</v>
      </c>
      <c r="H61" s="190" t="n">
        <f aca="false">IF(ISERROR(A61),NA(),H60+E61+F61+G61)</f>
        <v>1508989.07252829</v>
      </c>
      <c r="J61" s="189" t="n">
        <f aca="false">IF(ISERROR(A61),NA(),SUM(E$33:E61))</f>
        <v>377792.118216263</v>
      </c>
      <c r="K61" s="189" t="n">
        <f aca="false">IF(ISERROR(A61),NA(),SUM(E$33:F61))</f>
        <v>680025.812789274</v>
      </c>
    </row>
    <row r="62" customFormat="false" ht="12.8" hidden="false" customHeight="false" outlineLevel="0" collapsed="false">
      <c r="A62" s="186" t="n">
        <f aca="false">IF(A61&lt;$H$5,A61+1,NA())</f>
        <v>29</v>
      </c>
      <c r="B62" s="186" t="n">
        <f aca="false">IF(ISERROR(A62),NA(),$E$5+A62-1)</f>
        <v>55</v>
      </c>
      <c r="C62" s="187" t="n">
        <f aca="true">IF(ISERROR(A62),NA(),IF(randrate,$H$23+RAND()*($H$24-$H$23),$E$17))</f>
        <v>0.05</v>
      </c>
      <c r="D62" s="189" t="n">
        <f aca="false">IF(ISERROR(A62),NA(),IF(A62&lt;=$H$5,(1+$E$10)*D61,0))</f>
        <v>201337.635464879</v>
      </c>
      <c r="E62" s="189" t="n">
        <f aca="false">IF(ISERROR(A62),NA(),IF(A62&lt;=$H$5,$E$12*D62,0))</f>
        <v>20133.7635464879</v>
      </c>
      <c r="F62" s="189" t="n">
        <f aca="false">IF(ISERROR(A62),NA(),IF(A62&lt;=$H$5,MIN($E$13*E62,$E$14*$E$13*D62),0))</f>
        <v>16107.0108371903</v>
      </c>
      <c r="G62" s="190" t="n">
        <f aca="false">IF(ISERROR(A62),NA(),FV(C62/nper,nper,-(E62+F62)/nper,-H61)-(H61+E62+F62))</f>
        <v>78166.6982213056</v>
      </c>
      <c r="H62" s="190" t="n">
        <f aca="false">IF(ISERROR(A62),NA(),H61+E62+F62+G62)</f>
        <v>1623396.54513328</v>
      </c>
      <c r="J62" s="189" t="n">
        <f aca="false">IF(ISERROR(A62),NA(),SUM(E$33:E62))</f>
        <v>397925.881762751</v>
      </c>
      <c r="K62" s="189" t="n">
        <f aca="false">IF(ISERROR(A62),NA(),SUM(E$33:F62))</f>
        <v>716266.587172952</v>
      </c>
    </row>
    <row r="63" customFormat="false" ht="12.8" hidden="false" customHeight="false" outlineLevel="0" collapsed="false">
      <c r="A63" s="186" t="n">
        <f aca="false">IF(A62&lt;$H$5,A62+1,NA())</f>
        <v>30</v>
      </c>
      <c r="B63" s="186" t="n">
        <f aca="false">IF(ISERROR(A63),NA(),$E$5+A63-1)</f>
        <v>56</v>
      </c>
      <c r="C63" s="187" t="n">
        <f aca="true">IF(ISERROR(A63),NA(),IF(randrate,$H$23+RAND()*($H$24-$H$23),$E$17))</f>
        <v>0.05</v>
      </c>
      <c r="D63" s="189" t="n">
        <f aca="false">IF(ISERROR(A63),NA(),IF(A63&lt;=$H$5,(1+$E$10)*D62,0))</f>
        <v>207377.764528825</v>
      </c>
      <c r="E63" s="189" t="n">
        <f aca="false">IF(ISERROR(A63),NA(),IF(A63&lt;=$H$5,$E$12*D63,0))</f>
        <v>20737.7764528825</v>
      </c>
      <c r="F63" s="189" t="n">
        <f aca="false">IF(ISERROR(A63),NA(),IF(A63&lt;=$H$5,MIN($E$13*E63,$E$14*$E$13*D63),0))</f>
        <v>16590.221162306</v>
      </c>
      <c r="G63" s="190" t="n">
        <f aca="false">IF(ISERROR(A63),NA(),FV(C63/nper,nper,-(E63+F63)/nper,-H62)-(H62+E63+F63))</f>
        <v>84052.6897942019</v>
      </c>
      <c r="H63" s="190" t="n">
        <f aca="false">IF(ISERROR(A63),NA(),H62+E63+F63+G63)</f>
        <v>1744777.23254267</v>
      </c>
      <c r="J63" s="189" t="n">
        <f aca="false">IF(ISERROR(A63),NA(),SUM(E$33:E63))</f>
        <v>418663.658215634</v>
      </c>
      <c r="K63" s="189" t="n">
        <f aca="false">IF(ISERROR(A63),NA(),SUM(E$33:F63))</f>
        <v>753594.584788141</v>
      </c>
    </row>
    <row r="64" customFormat="false" ht="12.8" hidden="false" customHeight="false" outlineLevel="0" collapsed="false">
      <c r="A64" s="186" t="n">
        <f aca="false">IF(A63&lt;$H$5,A63+1,NA())</f>
        <v>31</v>
      </c>
      <c r="B64" s="186" t="n">
        <f aca="false">IF(ISERROR(A64),NA(),$E$5+A64-1)</f>
        <v>57</v>
      </c>
      <c r="C64" s="187" t="n">
        <f aca="true">IF(ISERROR(A64),NA(),IF(randrate,$H$23+RAND()*($H$24-$H$23),$E$17))</f>
        <v>0.05</v>
      </c>
      <c r="D64" s="189" t="n">
        <f aca="false">IF(ISERROR(A64),NA(),IF(A64&lt;=$H$5,(1+$E$10)*D63,0))</f>
        <v>213599.09746469</v>
      </c>
      <c r="E64" s="189" t="n">
        <f aca="false">IF(ISERROR(A64),NA(),IF(A64&lt;=$H$5,$E$12*D64,0))</f>
        <v>21359.909746469</v>
      </c>
      <c r="F64" s="189" t="n">
        <f aca="false">IF(ISERROR(A64),NA(),IF(A64&lt;=$H$5,MIN($E$13*E64,$E$14*$E$13*D64),0))</f>
        <v>17087.9277971752</v>
      </c>
      <c r="G64" s="190" t="n">
        <f aca="false">IF(ISERROR(A64),NA(),FV(C64/nper,nper,-(E64+F64)/nper,-H63)-(H63+E64+F64))</f>
        <v>90296.6179774972</v>
      </c>
      <c r="H64" s="190" t="n">
        <f aca="false">IF(ISERROR(A64),NA(),H63+E64+F64+G64)</f>
        <v>1873521.68806381</v>
      </c>
      <c r="J64" s="189" t="n">
        <f aca="false">IF(ISERROR(A64),NA(),SUM(E$33:E64))</f>
        <v>440023.567962103</v>
      </c>
      <c r="K64" s="189" t="n">
        <f aca="false">IF(ISERROR(A64),NA(),SUM(E$33:F64))</f>
        <v>792042.422331785</v>
      </c>
    </row>
    <row r="65" customFormat="false" ht="12.8" hidden="false" customHeight="false" outlineLevel="0" collapsed="false">
      <c r="A65" s="186" t="n">
        <f aca="false">IF(A64&lt;$H$5,A64+1,NA())</f>
        <v>32</v>
      </c>
      <c r="B65" s="186" t="n">
        <f aca="false">IF(ISERROR(A65),NA(),$E$5+A65-1)</f>
        <v>58</v>
      </c>
      <c r="C65" s="187" t="n">
        <f aca="true">IF(ISERROR(A65),NA(),IF(randrate,$H$23+RAND()*($H$24-$H$23),$E$17))</f>
        <v>0.05</v>
      </c>
      <c r="D65" s="189" t="n">
        <f aca="false">IF(ISERROR(A65),NA(),IF(A65&lt;=$H$5,(1+$E$10)*D64,0))</f>
        <v>220007.070388631</v>
      </c>
      <c r="E65" s="189" t="n">
        <f aca="false">IF(ISERROR(A65),NA(),IF(A65&lt;=$H$5,$E$12*D65,0))</f>
        <v>22000.7070388631</v>
      </c>
      <c r="F65" s="189" t="n">
        <f aca="false">IF(ISERROR(A65),NA(),IF(A65&lt;=$H$5,MIN($E$13*E65,$E$14*$E$13*D65),0))</f>
        <v>17600.5656310905</v>
      </c>
      <c r="G65" s="190" t="n">
        <f aca="false">IF(ISERROR(A65),NA(),FV(C65/nper,nper,-(E65+F65)/nper,-H64)-(H64+E65+F65))</f>
        <v>96918.5093187848</v>
      </c>
      <c r="H65" s="190" t="n">
        <f aca="false">IF(ISERROR(A65),NA(),H64+E65+F65+G65)</f>
        <v>2010041.47005255</v>
      </c>
      <c r="J65" s="189" t="n">
        <f aca="false">IF(ISERROR(A65),NA(),SUM(E$33:E65))</f>
        <v>462024.275000966</v>
      </c>
      <c r="K65" s="189" t="n">
        <f aca="false">IF(ISERROR(A65),NA(),SUM(E$33:F65))</f>
        <v>831643.695001739</v>
      </c>
    </row>
    <row r="66" customFormat="false" ht="12.8" hidden="false" customHeight="false" outlineLevel="0" collapsed="false">
      <c r="A66" s="186" t="n">
        <f aca="false">IF(A65&lt;$H$5,A65+1,NA())</f>
        <v>33</v>
      </c>
      <c r="B66" s="186" t="n">
        <f aca="false">IF(ISERROR(A66),NA(),$E$5+A66-1)</f>
        <v>59</v>
      </c>
      <c r="C66" s="187" t="n">
        <f aca="true">IF(ISERROR(A66),NA(),IF(randrate,$H$23+RAND()*($H$24-$H$23),$E$17))</f>
        <v>0.05</v>
      </c>
      <c r="D66" s="189" t="n">
        <f aca="false">IF(ISERROR(A66),NA(),IF(A66&lt;=$H$5,(1+$E$10)*D65,0))</f>
        <v>226607.28250029</v>
      </c>
      <c r="E66" s="189" t="n">
        <f aca="false">IF(ISERROR(A66),NA(),IF(A66&lt;=$H$5,$E$12*D66,0))</f>
        <v>22660.728250029</v>
      </c>
      <c r="F66" s="189" t="n">
        <f aca="false">IF(ISERROR(A66),NA(),IF(A66&lt;=$H$5,MIN($E$13*E66,$E$14*$E$13*D66),0))</f>
        <v>18128.5826000232</v>
      </c>
      <c r="G66" s="190" t="n">
        <f aca="false">IF(ISERROR(A66),NA(),FV(C66/nper,nper,-(E66+F66)/nper,-H65)-(H65+E66+F66))</f>
        <v>103939.466883204</v>
      </c>
      <c r="H66" s="190" t="n">
        <f aca="false">IF(ISERROR(A66),NA(),H65+E66+F66+G66)</f>
        <v>2154770.2477858</v>
      </c>
      <c r="J66" s="189" t="n">
        <f aca="false">IF(ISERROR(A66),NA(),SUM(E$33:E66))</f>
        <v>484685.003250995</v>
      </c>
      <c r="K66" s="189" t="n">
        <f aca="false">IF(ISERROR(A66),NA(),SUM(E$33:F66))</f>
        <v>872433.005851791</v>
      </c>
    </row>
    <row r="67" customFormat="false" ht="12.8" hidden="false" customHeight="false" outlineLevel="0" collapsed="false">
      <c r="A67" s="186" t="n">
        <f aca="false">IF(A66&lt;$H$5,A66+1,NA())</f>
        <v>34</v>
      </c>
      <c r="B67" s="186" t="n">
        <f aca="false">IF(ISERROR(A67),NA(),$E$5+A67-1)</f>
        <v>60</v>
      </c>
      <c r="C67" s="187" t="n">
        <f aca="true">IF(ISERROR(A67),NA(),IF(randrate,$H$23+RAND()*($H$24-$H$23),$E$17))</f>
        <v>0.05</v>
      </c>
      <c r="D67" s="189" t="n">
        <f aca="false">IF(ISERROR(A67),NA(),IF(A67&lt;=$H$5,(1+$E$10)*D66,0))</f>
        <v>233405.500975299</v>
      </c>
      <c r="E67" s="189" t="n">
        <f aca="false">IF(ISERROR(A67),NA(),IF(A67&lt;=$H$5,$E$12*D67,0))</f>
        <v>23340.5500975299</v>
      </c>
      <c r="F67" s="189" t="n">
        <f aca="false">IF(ISERROR(A67),NA(),IF(A67&lt;=$H$5,MIN($E$13*E67,$E$14*$E$13*D67),0))</f>
        <v>18672.4400780239</v>
      </c>
      <c r="G67" s="190" t="n">
        <f aca="false">IF(ISERROR(A67),NA(),FV(C67/nper,nper,-(E67+F67)/nper,-H66)-(H66+E67+F67))</f>
        <v>111381.726913701</v>
      </c>
      <c r="H67" s="190" t="n">
        <f aca="false">IF(ISERROR(A67),NA(),H66+E67+F67+G67)</f>
        <v>2308164.96487506</v>
      </c>
      <c r="J67" s="189" t="n">
        <f aca="false">IF(ISERROR(A67),NA(),SUM(E$33:E67))</f>
        <v>508025.553348525</v>
      </c>
      <c r="K67" s="189" t="n">
        <f aca="false">IF(ISERROR(A67),NA(),SUM(E$33:F67))</f>
        <v>914445.996027345</v>
      </c>
    </row>
    <row r="68" customFormat="false" ht="12.8" hidden="false" customHeight="false" outlineLevel="0" collapsed="false">
      <c r="A68" s="186" t="n">
        <f aca="false">IF(A67&lt;$H$5,A67+1,NA())</f>
        <v>35</v>
      </c>
      <c r="B68" s="186" t="n">
        <f aca="false">IF(ISERROR(A68),NA(),$E$5+A68-1)</f>
        <v>61</v>
      </c>
      <c r="C68" s="187" t="n">
        <f aca="true">IF(ISERROR(A68),NA(),IF(randrate,$H$23+RAND()*($H$24-$H$23),$E$17))</f>
        <v>0.05</v>
      </c>
      <c r="D68" s="189" t="n">
        <f aca="false">IF(ISERROR(A68),NA(),IF(A68&lt;=$H$5,(1+$E$10)*D67,0))</f>
        <v>240407.666004558</v>
      </c>
      <c r="E68" s="189" t="n">
        <f aca="false">IF(ISERROR(A68),NA(),IF(A68&lt;=$H$5,$E$12*D68,0))</f>
        <v>24040.7666004558</v>
      </c>
      <c r="F68" s="189" t="n">
        <f aca="false">IF(ISERROR(A68),NA(),IF(A68&lt;=$H$5,MIN($E$13*E68,$E$14*$E$13*D68),0))</f>
        <v>19232.6132803646</v>
      </c>
      <c r="G68" s="190" t="n">
        <f aca="false">IF(ISERROR(A68),NA(),FV(C68/nper,nper,-(E68+F68)/nper,-H67)-(H67+E68+F68))</f>
        <v>119268.71843897</v>
      </c>
      <c r="H68" s="190" t="n">
        <f aca="false">IF(ISERROR(A68),NA(),H67+E68+F68+G68)</f>
        <v>2470707.06319485</v>
      </c>
      <c r="J68" s="189" t="n">
        <f aca="false">IF(ISERROR(A68),NA(),SUM(E$33:E68))</f>
        <v>532066.319948981</v>
      </c>
      <c r="K68" s="189" t="n">
        <f aca="false">IF(ISERROR(A68),NA(),SUM(E$33:F68))</f>
        <v>957719.375908165</v>
      </c>
    </row>
    <row r="69" customFormat="false" ht="12.8" hidden="false" customHeight="false" outlineLevel="0" collapsed="false">
      <c r="A69" s="186" t="e">
        <f aca="false">IF(A68&lt;$H$5,A68+1,NA())</f>
        <v>#N/A</v>
      </c>
      <c r="B69" s="186" t="e">
        <f aca="false">IF(ISERROR(A69),NA(),$E$5+A69-1)</f>
        <v>#N/A</v>
      </c>
      <c r="C69" s="187" t="e">
        <f aca="true">IF(ISERROR(A69),NA(),IF(randrate,$H$23+RAND()*($H$24-$H$23),$E$17))</f>
        <v>#N/A</v>
      </c>
      <c r="D69" s="189" t="e">
        <f aca="false">IF(ISERROR(A69),NA(),IF(A69&lt;=$H$5,(1+$E$10)*D68,0))</f>
        <v>#N/A</v>
      </c>
      <c r="E69" s="189" t="e">
        <f aca="false">IF(ISERROR(A69),NA(),IF(A69&lt;=$H$5,$E$12*D69,0))</f>
        <v>#N/A</v>
      </c>
      <c r="F69" s="189" t="e">
        <f aca="false">IF(ISERROR(A69),NA(),IF(A69&lt;=$H$5,MIN($E$13*E69,$E$14*$E$13*D69),0))</f>
        <v>#N/A</v>
      </c>
      <c r="G69" s="190" t="e">
        <f aca="false">IF(ISERROR(A69),NA(),FV(C69/nper,nper,-(E69+F69)/nper,-H68)-(H68+E69+F69))</f>
        <v>#N/A</v>
      </c>
      <c r="H69" s="190" t="e">
        <f aca="false">IF(ISERROR(A69),NA(),H68+E69+F69+G69)</f>
        <v>#N/A</v>
      </c>
      <c r="J69" s="189" t="e">
        <f aca="false">IF(ISERROR(A69),NA(),SUM(E$33:E69))</f>
        <v>#N/A</v>
      </c>
      <c r="K69" s="189" t="e">
        <f aca="false">IF(ISERROR(A69),NA(),SUM(E$33:F69))</f>
        <v>#N/A</v>
      </c>
    </row>
    <row r="70" customFormat="false" ht="12.8" hidden="false" customHeight="false" outlineLevel="0" collapsed="false">
      <c r="A70" s="186" t="e">
        <f aca="false">IF(A69&lt;$H$5,A69+1,NA())</f>
        <v>#N/A</v>
      </c>
      <c r="B70" s="186" t="e">
        <f aca="false">IF(ISERROR(A70),NA(),$E$5+A70-1)</f>
        <v>#N/A</v>
      </c>
      <c r="C70" s="187" t="e">
        <f aca="true">IF(ISERROR(A70),NA(),IF(randrate,$H$23+RAND()*($H$24-$H$23),$E$17))</f>
        <v>#N/A</v>
      </c>
      <c r="D70" s="189" t="e">
        <f aca="false">IF(ISERROR(A70),NA(),IF(A70&lt;=$H$5,(1+$E$10)*D69,0))</f>
        <v>#N/A</v>
      </c>
      <c r="E70" s="189" t="e">
        <f aca="false">IF(ISERROR(A70),NA(),IF(A70&lt;=$H$5,$E$12*D70,0))</f>
        <v>#N/A</v>
      </c>
      <c r="F70" s="189" t="e">
        <f aca="false">IF(ISERROR(A70),NA(),IF(A70&lt;=$H$5,MIN($E$13*E70,$E$14*$E$13*D70),0))</f>
        <v>#N/A</v>
      </c>
      <c r="G70" s="190" t="e">
        <f aca="false">IF(ISERROR(A70),NA(),FV(C70/nper,nper,-(E70+F70)/nper,-H69)-(H69+E70+F70))</f>
        <v>#N/A</v>
      </c>
      <c r="H70" s="190" t="e">
        <f aca="false">IF(ISERROR(A70),NA(),H69+E70+F70+G70)</f>
        <v>#N/A</v>
      </c>
      <c r="J70" s="189" t="e">
        <f aca="false">IF(ISERROR(A70),NA(),SUM(E$33:E70))</f>
        <v>#N/A</v>
      </c>
      <c r="K70" s="189" t="e">
        <f aca="false">IF(ISERROR(A70),NA(),SUM(E$33:F70))</f>
        <v>#N/A</v>
      </c>
    </row>
    <row r="71" customFormat="false" ht="12.8" hidden="false" customHeight="false" outlineLevel="0" collapsed="false">
      <c r="A71" s="186" t="e">
        <f aca="false">IF(A70&lt;$H$5,A70+1,NA())</f>
        <v>#N/A</v>
      </c>
      <c r="B71" s="186" t="e">
        <f aca="false">IF(ISERROR(A71),NA(),$E$5+A71-1)</f>
        <v>#N/A</v>
      </c>
      <c r="C71" s="187" t="e">
        <f aca="true">IF(ISERROR(A71),NA(),IF(randrate,$H$23+RAND()*($H$24-$H$23),$E$17))</f>
        <v>#N/A</v>
      </c>
      <c r="D71" s="189" t="e">
        <f aca="false">IF(ISERROR(A71),NA(),IF(A71&lt;=$H$5,(1+$E$10)*D70,0))</f>
        <v>#N/A</v>
      </c>
      <c r="E71" s="189" t="e">
        <f aca="false">IF(ISERROR(A71),NA(),IF(A71&lt;=$H$5,$E$12*D71,0))</f>
        <v>#N/A</v>
      </c>
      <c r="F71" s="189" t="e">
        <f aca="false">IF(ISERROR(A71),NA(),IF(A71&lt;=$H$5,MIN($E$13*E71,$E$14*$E$13*D71),0))</f>
        <v>#N/A</v>
      </c>
      <c r="G71" s="190" t="e">
        <f aca="false">IF(ISERROR(A71),NA(),FV(C71/nper,nper,-(E71+F71)/nper,-H70)-(H70+E71+F71))</f>
        <v>#N/A</v>
      </c>
      <c r="H71" s="190" t="e">
        <f aca="false">IF(ISERROR(A71),NA(),H70+E71+F71+G71)</f>
        <v>#N/A</v>
      </c>
      <c r="J71" s="189" t="e">
        <f aca="false">IF(ISERROR(A71),NA(),SUM(E$33:E71))</f>
        <v>#N/A</v>
      </c>
      <c r="K71" s="189" t="e">
        <f aca="false">IF(ISERROR(A71),NA(),SUM(E$33:F71))</f>
        <v>#N/A</v>
      </c>
    </row>
    <row r="72" customFormat="false" ht="12.8" hidden="false" customHeight="false" outlineLevel="0" collapsed="false">
      <c r="A72" s="186" t="e">
        <f aca="false">IF(A71&lt;$H$5,A71+1,NA())</f>
        <v>#N/A</v>
      </c>
      <c r="B72" s="186" t="e">
        <f aca="false">IF(ISERROR(A72),NA(),$E$5+A72-1)</f>
        <v>#N/A</v>
      </c>
      <c r="C72" s="187" t="e">
        <f aca="true">IF(ISERROR(A72),NA(),IF(randrate,$H$23+RAND()*($H$24-$H$23),$E$17))</f>
        <v>#N/A</v>
      </c>
      <c r="D72" s="189" t="e">
        <f aca="false">IF(ISERROR(A72),NA(),IF(A72&lt;=$H$5,(1+$E$10)*D71,0))</f>
        <v>#N/A</v>
      </c>
      <c r="E72" s="189" t="e">
        <f aca="false">IF(ISERROR(A72),NA(),IF(A72&lt;=$H$5,$E$12*D72,0))</f>
        <v>#N/A</v>
      </c>
      <c r="F72" s="189" t="e">
        <f aca="false">IF(ISERROR(A72),NA(),IF(A72&lt;=$H$5,MIN($E$13*E72,$E$14*$E$13*D72),0))</f>
        <v>#N/A</v>
      </c>
      <c r="G72" s="190" t="e">
        <f aca="false">IF(ISERROR(A72),NA(),FV(C72/nper,nper,-(E72+F72)/nper,-H71)-(H71+E72+F72))</f>
        <v>#N/A</v>
      </c>
      <c r="H72" s="190" t="e">
        <f aca="false">IF(ISERROR(A72),NA(),H71+E72+F72+G72)</f>
        <v>#N/A</v>
      </c>
      <c r="J72" s="189" t="e">
        <f aca="false">IF(ISERROR(A72),NA(),SUM(E$33:E72))</f>
        <v>#N/A</v>
      </c>
      <c r="K72" s="189" t="e">
        <f aca="false">IF(ISERROR(A72),NA(),SUM(E$33:F72))</f>
        <v>#N/A</v>
      </c>
    </row>
    <row r="73" customFormat="false" ht="12.8" hidden="false" customHeight="false" outlineLevel="0" collapsed="false">
      <c r="A73" s="186" t="e">
        <f aca="false">IF(A72&lt;$H$5,A72+1,NA())</f>
        <v>#N/A</v>
      </c>
      <c r="B73" s="186" t="e">
        <f aca="false">IF(ISERROR(A73),NA(),$E$5+A73-1)</f>
        <v>#N/A</v>
      </c>
      <c r="C73" s="187" t="e">
        <f aca="true">IF(ISERROR(A73),NA(),IF(randrate,$H$23+RAND()*($H$24-$H$23),$E$17))</f>
        <v>#N/A</v>
      </c>
      <c r="D73" s="189" t="e">
        <f aca="false">IF(ISERROR(A73),NA(),IF(A73&lt;=$H$5,(1+$E$10)*D72,0))</f>
        <v>#N/A</v>
      </c>
      <c r="E73" s="189" t="e">
        <f aca="false">IF(ISERROR(A73),NA(),IF(A73&lt;=$H$5,$E$12*D73,0))</f>
        <v>#N/A</v>
      </c>
      <c r="F73" s="189" t="e">
        <f aca="false">IF(ISERROR(A73),NA(),IF(A73&lt;=$H$5,MIN($E$13*E73,$E$14*$E$13*D73),0))</f>
        <v>#N/A</v>
      </c>
      <c r="G73" s="190" t="e">
        <f aca="false">IF(ISERROR(A73),NA(),FV(C73/nper,nper,-(E73+F73)/nper,-H72)-(H72+E73+F73))</f>
        <v>#N/A</v>
      </c>
      <c r="H73" s="190" t="e">
        <f aca="false">IF(ISERROR(A73),NA(),H72+E73+F73+G73)</f>
        <v>#N/A</v>
      </c>
      <c r="J73" s="189" t="e">
        <f aca="false">IF(ISERROR(A73),NA(),SUM(E$33:E73))</f>
        <v>#N/A</v>
      </c>
      <c r="K73" s="189" t="e">
        <f aca="false">IF(ISERROR(A73),NA(),SUM(E$33:F73))</f>
        <v>#N/A</v>
      </c>
    </row>
    <row r="74" customFormat="false" ht="12.8" hidden="false" customHeight="false" outlineLevel="0" collapsed="false">
      <c r="A74" s="186" t="e">
        <f aca="false">IF(A73&lt;$H$5,A73+1,NA())</f>
        <v>#N/A</v>
      </c>
      <c r="B74" s="186" t="e">
        <f aca="false">IF(ISERROR(A74),NA(),$E$5+A74-1)</f>
        <v>#N/A</v>
      </c>
      <c r="C74" s="187" t="e">
        <f aca="true">IF(ISERROR(A74),NA(),IF(randrate,$H$23+RAND()*($H$24-$H$23),$E$17))</f>
        <v>#N/A</v>
      </c>
      <c r="D74" s="189" t="e">
        <f aca="false">IF(ISERROR(A74),NA(),IF(A74&lt;=$H$5,(1+$E$10)*D73,0))</f>
        <v>#N/A</v>
      </c>
      <c r="E74" s="189" t="e">
        <f aca="false">IF(ISERROR(A74),NA(),IF(A74&lt;=$H$5,$E$12*D74,0))</f>
        <v>#N/A</v>
      </c>
      <c r="F74" s="189" t="e">
        <f aca="false">IF(ISERROR(A74),NA(),IF(A74&lt;=$H$5,MIN($E$13*E74,$E$14*$E$13*D74),0))</f>
        <v>#N/A</v>
      </c>
      <c r="G74" s="190" t="e">
        <f aca="false">IF(ISERROR(A74),NA(),FV(C74/nper,nper,-(E74+F74)/nper,-H73)-(H73+E74+F74))</f>
        <v>#N/A</v>
      </c>
      <c r="H74" s="190" t="e">
        <f aca="false">IF(ISERROR(A74),NA(),H73+E74+F74+G74)</f>
        <v>#N/A</v>
      </c>
      <c r="J74" s="189" t="e">
        <f aca="false">IF(ISERROR(A74),NA(),SUM(E$33:E74))</f>
        <v>#N/A</v>
      </c>
      <c r="K74" s="189" t="e">
        <f aca="false">IF(ISERROR(A74),NA(),SUM(E$33:F74))</f>
        <v>#N/A</v>
      </c>
    </row>
    <row r="75" customFormat="false" ht="12.8" hidden="false" customHeight="false" outlineLevel="0" collapsed="false">
      <c r="A75" s="186" t="e">
        <f aca="false">IF(A74&lt;$H$5,A74+1,NA())</f>
        <v>#N/A</v>
      </c>
      <c r="B75" s="186" t="e">
        <f aca="false">IF(ISERROR(A75),NA(),$E$5+A75-1)</f>
        <v>#N/A</v>
      </c>
      <c r="C75" s="187" t="e">
        <f aca="true">IF(ISERROR(A75),NA(),IF(randrate,$H$23+RAND()*($H$24-$H$23),$E$17))</f>
        <v>#N/A</v>
      </c>
      <c r="D75" s="189" t="e">
        <f aca="false">IF(ISERROR(A75),NA(),IF(A75&lt;=$H$5,(1+$E$10)*D74,0))</f>
        <v>#N/A</v>
      </c>
      <c r="E75" s="189" t="e">
        <f aca="false">IF(ISERROR(A75),NA(),IF(A75&lt;=$H$5,$E$12*D75,0))</f>
        <v>#N/A</v>
      </c>
      <c r="F75" s="189" t="e">
        <f aca="false">IF(ISERROR(A75),NA(),IF(A75&lt;=$H$5,MIN($E$13*E75,$E$14*$E$13*D75),0))</f>
        <v>#N/A</v>
      </c>
      <c r="G75" s="190" t="e">
        <f aca="false">IF(ISERROR(A75),NA(),FV(C75/nper,nper,-(E75+F75)/nper,-H74)-(H74+E75+F75))</f>
        <v>#N/A</v>
      </c>
      <c r="H75" s="190" t="e">
        <f aca="false">IF(ISERROR(A75),NA(),H74+E75+F75+G75)</f>
        <v>#N/A</v>
      </c>
      <c r="J75" s="189" t="e">
        <f aca="false">IF(ISERROR(A75),NA(),SUM(E$33:E75))</f>
        <v>#N/A</v>
      </c>
      <c r="K75" s="189" t="e">
        <f aca="false">IF(ISERROR(A75),NA(),SUM(E$33:F75))</f>
        <v>#N/A</v>
      </c>
    </row>
    <row r="76" customFormat="false" ht="12.8" hidden="false" customHeight="false" outlineLevel="0" collapsed="false">
      <c r="A76" s="186" t="e">
        <f aca="false">IF(A75&lt;$H$5,A75+1,NA())</f>
        <v>#N/A</v>
      </c>
      <c r="B76" s="186" t="e">
        <f aca="false">IF(ISERROR(A76),NA(),$E$5+A76-1)</f>
        <v>#N/A</v>
      </c>
      <c r="C76" s="187" t="e">
        <f aca="true">IF(ISERROR(A76),NA(),IF(randrate,$H$23+RAND()*($H$24-$H$23),$E$17))</f>
        <v>#N/A</v>
      </c>
      <c r="D76" s="189" t="e">
        <f aca="false">IF(ISERROR(A76),NA(),IF(A76&lt;=$H$5,(1+$E$10)*D75,0))</f>
        <v>#N/A</v>
      </c>
      <c r="E76" s="189" t="e">
        <f aca="false">IF(ISERROR(A76),NA(),IF(A76&lt;=$H$5,$E$12*D76,0))</f>
        <v>#N/A</v>
      </c>
      <c r="F76" s="189" t="e">
        <f aca="false">IF(ISERROR(A76),NA(),IF(A76&lt;=$H$5,MIN($E$13*E76,$E$14*$E$13*D76),0))</f>
        <v>#N/A</v>
      </c>
      <c r="G76" s="190" t="e">
        <f aca="false">IF(ISERROR(A76),NA(),FV(C76/nper,nper,-(E76+F76)/nper,-H75)-(H75+E76+F76))</f>
        <v>#N/A</v>
      </c>
      <c r="H76" s="190" t="e">
        <f aca="false">IF(ISERROR(A76),NA(),H75+E76+F76+G76)</f>
        <v>#N/A</v>
      </c>
      <c r="J76" s="189" t="e">
        <f aca="false">IF(ISERROR(A76),NA(),SUM(E$33:E76))</f>
        <v>#N/A</v>
      </c>
      <c r="K76" s="189" t="e">
        <f aca="false">IF(ISERROR(A76),NA(),SUM(E$33:F76))</f>
        <v>#N/A</v>
      </c>
    </row>
    <row r="77" customFormat="false" ht="12.8" hidden="false" customHeight="false" outlineLevel="0" collapsed="false">
      <c r="A77" s="186" t="e">
        <f aca="false">IF(A76&lt;$H$5,A76+1,NA())</f>
        <v>#N/A</v>
      </c>
      <c r="B77" s="186" t="e">
        <f aca="false">IF(ISERROR(A77),NA(),$E$5+A77-1)</f>
        <v>#N/A</v>
      </c>
      <c r="C77" s="187" t="e">
        <f aca="true">IF(ISERROR(A77),NA(),IF(randrate,$H$23+RAND()*($H$24-$H$23),$E$17))</f>
        <v>#N/A</v>
      </c>
      <c r="D77" s="189" t="e">
        <f aca="false">IF(ISERROR(A77),NA(),IF(A77&lt;=$H$5,(1+$E$10)*D76,0))</f>
        <v>#N/A</v>
      </c>
      <c r="E77" s="189" t="e">
        <f aca="false">IF(ISERROR(A77),NA(),IF(A77&lt;=$H$5,$E$12*D77,0))</f>
        <v>#N/A</v>
      </c>
      <c r="F77" s="189" t="e">
        <f aca="false">IF(ISERROR(A77),NA(),IF(A77&lt;=$H$5,MIN($E$13*E77,$E$14*$E$13*D77),0))</f>
        <v>#N/A</v>
      </c>
      <c r="G77" s="190" t="e">
        <f aca="false">IF(ISERROR(A77),NA(),FV(C77/nper,nper,-(E77+F77)/nper,-H76)-(H76+E77+F77))</f>
        <v>#N/A</v>
      </c>
      <c r="H77" s="190" t="e">
        <f aca="false">IF(ISERROR(A77),NA(),H76+E77+F77+G77)</f>
        <v>#N/A</v>
      </c>
      <c r="J77" s="189" t="e">
        <f aca="false">IF(ISERROR(A77),NA(),SUM(E$33:E77))</f>
        <v>#N/A</v>
      </c>
      <c r="K77" s="189" t="e">
        <f aca="false">IF(ISERROR(A77),NA(),SUM(E$33:F77))</f>
        <v>#N/A</v>
      </c>
    </row>
    <row r="78" customFormat="false" ht="12.8" hidden="false" customHeight="false" outlineLevel="0" collapsed="false">
      <c r="A78" s="186" t="e">
        <f aca="false">IF(A77&lt;$H$5,A77+1,NA())</f>
        <v>#N/A</v>
      </c>
      <c r="B78" s="186" t="e">
        <f aca="false">IF(ISERROR(A78),NA(),$E$5+A78-1)</f>
        <v>#N/A</v>
      </c>
      <c r="C78" s="187" t="e">
        <f aca="true">IF(ISERROR(A78),NA(),IF(randrate,$H$23+RAND()*($H$24-$H$23),$E$17))</f>
        <v>#N/A</v>
      </c>
      <c r="D78" s="189" t="e">
        <f aca="false">IF(ISERROR(A78),NA(),IF(A78&lt;=$H$5,(1+$E$10)*D77,0))</f>
        <v>#N/A</v>
      </c>
      <c r="E78" s="189" t="e">
        <f aca="false">IF(ISERROR(A78),NA(),IF(A78&lt;=$H$5,$E$12*D78,0))</f>
        <v>#N/A</v>
      </c>
      <c r="F78" s="189" t="e">
        <f aca="false">IF(ISERROR(A78),NA(),IF(A78&lt;=$H$5,MIN($E$13*E78,$E$14*$E$13*D78),0))</f>
        <v>#N/A</v>
      </c>
      <c r="G78" s="190" t="e">
        <f aca="false">IF(ISERROR(A78),NA(),FV(C78/nper,nper,-(E78+F78)/nper,-H77)-(H77+E78+F78))</f>
        <v>#N/A</v>
      </c>
      <c r="H78" s="190" t="e">
        <f aca="false">IF(ISERROR(A78),NA(),H77+E78+F78+G78)</f>
        <v>#N/A</v>
      </c>
      <c r="J78" s="189" t="e">
        <f aca="false">IF(ISERROR(A78),NA(),SUM(E$33:E78))</f>
        <v>#N/A</v>
      </c>
      <c r="K78" s="189" t="e">
        <f aca="false">IF(ISERROR(A78),NA(),SUM(E$33:F78))</f>
        <v>#N/A</v>
      </c>
    </row>
    <row r="79" customFormat="false" ht="12.8" hidden="false" customHeight="false" outlineLevel="0" collapsed="false">
      <c r="A79" s="186" t="e">
        <f aca="false">IF(A78&lt;$H$5,A78+1,NA())</f>
        <v>#N/A</v>
      </c>
      <c r="B79" s="186" t="e">
        <f aca="false">IF(ISERROR(A79),NA(),$E$5+A79-1)</f>
        <v>#N/A</v>
      </c>
      <c r="C79" s="187" t="e">
        <f aca="true">IF(ISERROR(A79),NA(),IF(randrate,$H$23+RAND()*($H$24-$H$23),$E$17))</f>
        <v>#N/A</v>
      </c>
      <c r="D79" s="189" t="e">
        <f aca="false">IF(ISERROR(A79),NA(),IF(A79&lt;=$H$5,(1+$E$10)*D78,0))</f>
        <v>#N/A</v>
      </c>
      <c r="E79" s="189" t="e">
        <f aca="false">IF(ISERROR(A79),NA(),IF(A79&lt;=$H$5,$E$12*D79,0))</f>
        <v>#N/A</v>
      </c>
      <c r="F79" s="189" t="e">
        <f aca="false">IF(ISERROR(A79),NA(),IF(A79&lt;=$H$5,MIN($E$13*E79,$E$14*$E$13*D79),0))</f>
        <v>#N/A</v>
      </c>
      <c r="G79" s="190" t="e">
        <f aca="false">IF(ISERROR(A79),NA(),FV(C79/nper,nper,-(E79+F79)/nper,-H78)-(H78+E79+F79))</f>
        <v>#N/A</v>
      </c>
      <c r="H79" s="190" t="e">
        <f aca="false">IF(ISERROR(A79),NA(),H78+E79+F79+G79)</f>
        <v>#N/A</v>
      </c>
      <c r="J79" s="189" t="e">
        <f aca="false">IF(ISERROR(A79),NA(),SUM(E$33:E79))</f>
        <v>#N/A</v>
      </c>
      <c r="K79" s="189" t="e">
        <f aca="false">IF(ISERROR(A79),NA(),SUM(E$33:F79))</f>
        <v>#N/A</v>
      </c>
    </row>
    <row r="80" customFormat="false" ht="12.8" hidden="false" customHeight="false" outlineLevel="0" collapsed="false">
      <c r="A80" s="186" t="e">
        <f aca="false">IF(A79&lt;$H$5,A79+1,NA())</f>
        <v>#N/A</v>
      </c>
      <c r="B80" s="186" t="e">
        <f aca="false">IF(ISERROR(A80),NA(),$E$5+A80-1)</f>
        <v>#N/A</v>
      </c>
      <c r="C80" s="187" t="e">
        <f aca="true">IF(ISERROR(A80),NA(),IF(randrate,$H$23+RAND()*($H$24-$H$23),$E$17))</f>
        <v>#N/A</v>
      </c>
      <c r="D80" s="189" t="e">
        <f aca="false">IF(ISERROR(A80),NA(),IF(A80&lt;=$H$5,(1+$E$10)*D79,0))</f>
        <v>#N/A</v>
      </c>
      <c r="E80" s="189" t="e">
        <f aca="false">IF(ISERROR(A80),NA(),IF(A80&lt;=$H$5,$E$12*D80,0))</f>
        <v>#N/A</v>
      </c>
      <c r="F80" s="189" t="e">
        <f aca="false">IF(ISERROR(A80),NA(),IF(A80&lt;=$H$5,MIN($E$13*E80,$E$14*$E$13*D80),0))</f>
        <v>#N/A</v>
      </c>
      <c r="G80" s="190" t="e">
        <f aca="false">IF(ISERROR(A80),NA(),FV(C80/nper,nper,-(E80+F80)/nper,-H79)-(H79+E80+F80))</f>
        <v>#N/A</v>
      </c>
      <c r="H80" s="190" t="e">
        <f aca="false">IF(ISERROR(A80),NA(),H79+E80+F80+G80)</f>
        <v>#N/A</v>
      </c>
      <c r="J80" s="189" t="e">
        <f aca="false">IF(ISERROR(A80),NA(),SUM(E$33:E80))</f>
        <v>#N/A</v>
      </c>
      <c r="K80" s="189" t="e">
        <f aca="false">IF(ISERROR(A80),NA(),SUM(E$33:F80))</f>
        <v>#N/A</v>
      </c>
    </row>
    <row r="81" customFormat="false" ht="12.8" hidden="false" customHeight="false" outlineLevel="0" collapsed="false">
      <c r="A81" s="186" t="e">
        <f aca="false">IF(A80&lt;$H$5,A80+1,NA())</f>
        <v>#N/A</v>
      </c>
      <c r="B81" s="186" t="e">
        <f aca="false">IF(ISERROR(A81),NA(),$E$5+A81-1)</f>
        <v>#N/A</v>
      </c>
      <c r="C81" s="187" t="e">
        <f aca="true">IF(ISERROR(A81),NA(),IF(randrate,$H$23+RAND()*($H$24-$H$23),$E$17))</f>
        <v>#N/A</v>
      </c>
      <c r="D81" s="189" t="e">
        <f aca="false">IF(ISERROR(A81),NA(),IF(A81&lt;=$H$5,(1+$E$10)*D80,0))</f>
        <v>#N/A</v>
      </c>
      <c r="E81" s="189" t="e">
        <f aca="false">IF(ISERROR(A81),NA(),IF(A81&lt;=$H$5,$E$12*D81,0))</f>
        <v>#N/A</v>
      </c>
      <c r="F81" s="189" t="e">
        <f aca="false">IF(ISERROR(A81),NA(),IF(A81&lt;=$H$5,MIN($E$13*E81,$E$14*$E$13*D81),0))</f>
        <v>#N/A</v>
      </c>
      <c r="G81" s="190" t="e">
        <f aca="false">IF(ISERROR(A81),NA(),FV(C81/nper,nper,-(E81+F81)/nper,-H80)-(H80+E81+F81))</f>
        <v>#N/A</v>
      </c>
      <c r="H81" s="190" t="e">
        <f aca="false">IF(ISERROR(A81),NA(),H80+E81+F81+G81)</f>
        <v>#N/A</v>
      </c>
      <c r="J81" s="189" t="e">
        <f aca="false">IF(ISERROR(A81),NA(),SUM(E$33:E81))</f>
        <v>#N/A</v>
      </c>
      <c r="K81" s="189" t="e">
        <f aca="false">IF(ISERROR(A81),NA(),SUM(E$33:F81))</f>
        <v>#N/A</v>
      </c>
    </row>
    <row r="82" customFormat="false" ht="12.8" hidden="false" customHeight="false" outlineLevel="0" collapsed="false">
      <c r="A82" s="186" t="e">
        <f aca="false">IF(A81&lt;$H$5,A81+1,NA())</f>
        <v>#N/A</v>
      </c>
      <c r="B82" s="186" t="e">
        <f aca="false">IF(ISERROR(A82),NA(),$E$5+A82-1)</f>
        <v>#N/A</v>
      </c>
      <c r="C82" s="187" t="e">
        <f aca="true">IF(ISERROR(A82),NA(),IF(randrate,$H$23+RAND()*($H$24-$H$23),$E$17))</f>
        <v>#N/A</v>
      </c>
      <c r="D82" s="189" t="e">
        <f aca="false">IF(ISERROR(A82),NA(),IF(A82&lt;=$H$5,(1+$E$10)*D81,0))</f>
        <v>#N/A</v>
      </c>
      <c r="E82" s="189" t="e">
        <f aca="false">IF(ISERROR(A82),NA(),IF(A82&lt;=$H$5,$E$12*D82,0))</f>
        <v>#N/A</v>
      </c>
      <c r="F82" s="189" t="e">
        <f aca="false">IF(ISERROR(A82),NA(),IF(A82&lt;=$H$5,MIN($E$13*E82,$E$14*$E$13*D82),0))</f>
        <v>#N/A</v>
      </c>
      <c r="G82" s="190" t="e">
        <f aca="false">IF(ISERROR(A82),NA(),FV(C82/nper,nper,-(E82+F82)/nper,-H81)-(H81+E82+F82))</f>
        <v>#N/A</v>
      </c>
      <c r="H82" s="190" t="e">
        <f aca="false">IF(ISERROR(A82),NA(),H81+E82+F82+G82)</f>
        <v>#N/A</v>
      </c>
      <c r="J82" s="189" t="e">
        <f aca="false">IF(ISERROR(A82),NA(),SUM(E$33:E82))</f>
        <v>#N/A</v>
      </c>
      <c r="K82" s="189" t="e">
        <f aca="false">IF(ISERROR(A82),NA(),SUM(E$33:F82))</f>
        <v>#N/A</v>
      </c>
    </row>
    <row r="83" customFormat="false" ht="12.8" hidden="false" customHeight="false" outlineLevel="0" collapsed="false">
      <c r="A83" s="186" t="e">
        <f aca="false">IF(A82&lt;$H$5,A82+1,NA())</f>
        <v>#N/A</v>
      </c>
      <c r="B83" s="186" t="e">
        <f aca="false">IF(ISERROR(A83),NA(),$E$5+A83-1)</f>
        <v>#N/A</v>
      </c>
      <c r="C83" s="187" t="e">
        <f aca="true">IF(ISERROR(A83),NA(),IF(randrate,$H$23+RAND()*($H$24-$H$23),$E$17))</f>
        <v>#N/A</v>
      </c>
      <c r="D83" s="189" t="e">
        <f aca="false">IF(ISERROR(A83),NA(),IF(A83&lt;=$H$5,(1+$E$10)*D82,0))</f>
        <v>#N/A</v>
      </c>
      <c r="E83" s="189" t="e">
        <f aca="false">IF(ISERROR(A83),NA(),IF(A83&lt;=$H$5,$E$12*D83,0))</f>
        <v>#N/A</v>
      </c>
      <c r="F83" s="189" t="e">
        <f aca="false">IF(ISERROR(A83),NA(),IF(A83&lt;=$H$5,MIN($E$13*E83,$E$14*$E$13*D83),0))</f>
        <v>#N/A</v>
      </c>
      <c r="G83" s="190" t="e">
        <f aca="false">IF(ISERROR(A83),NA(),FV(C83/nper,nper,-(E83+F83)/nper,-H82)-(H82+E83+F83))</f>
        <v>#N/A</v>
      </c>
      <c r="H83" s="190" t="e">
        <f aca="false">IF(ISERROR(A83),NA(),H82+E83+F83+G83)</f>
        <v>#N/A</v>
      </c>
      <c r="J83" s="189" t="e">
        <f aca="false">IF(ISERROR(A83),NA(),SUM(E$33:E83))</f>
        <v>#N/A</v>
      </c>
      <c r="K83" s="189" t="e">
        <f aca="false">IF(ISERROR(A83),NA(),SUM(E$33:F83))</f>
        <v>#N/A</v>
      </c>
    </row>
    <row r="84" customFormat="false" ht="12.8" hidden="false" customHeight="false" outlineLevel="0" collapsed="false">
      <c r="A84" s="186" t="e">
        <f aca="false">IF(A83&lt;$H$5,A83+1,NA())</f>
        <v>#N/A</v>
      </c>
      <c r="B84" s="186" t="e">
        <f aca="false">IF(ISERROR(A84),NA(),$E$5+A84-1)</f>
        <v>#N/A</v>
      </c>
      <c r="C84" s="187" t="e">
        <f aca="true">IF(ISERROR(A84),NA(),IF(randrate,$H$23+RAND()*($H$24-$H$23),$E$17))</f>
        <v>#N/A</v>
      </c>
      <c r="D84" s="189" t="e">
        <f aca="false">IF(ISERROR(A84),NA(),IF(A84&lt;=$H$5,(1+$E$10)*D83,0))</f>
        <v>#N/A</v>
      </c>
      <c r="E84" s="189" t="e">
        <f aca="false">IF(ISERROR(A84),NA(),IF(A84&lt;=$H$5,$E$12*D84,0))</f>
        <v>#N/A</v>
      </c>
      <c r="F84" s="189" t="e">
        <f aca="false">IF(ISERROR(A84),NA(),IF(A84&lt;=$H$5,MIN($E$13*E84,$E$14*$E$13*D84),0))</f>
        <v>#N/A</v>
      </c>
      <c r="G84" s="190" t="e">
        <f aca="false">IF(ISERROR(A84),NA(),FV(C84/nper,nper,-(E84+F84)/nper,-H83)-(H83+E84+F84))</f>
        <v>#N/A</v>
      </c>
      <c r="H84" s="190" t="e">
        <f aca="false">IF(ISERROR(A84),NA(),H83+E84+F84+G84)</f>
        <v>#N/A</v>
      </c>
      <c r="J84" s="189" t="e">
        <f aca="false">IF(ISERROR(A84),NA(),SUM(E$33:E84))</f>
        <v>#N/A</v>
      </c>
      <c r="K84" s="189" t="e">
        <f aca="false">IF(ISERROR(A84),NA(),SUM(E$33:F84))</f>
        <v>#N/A</v>
      </c>
    </row>
    <row r="85" customFormat="false" ht="12.8" hidden="false" customHeight="false" outlineLevel="0" collapsed="false">
      <c r="A85" s="186" t="e">
        <f aca="false">IF(A84&lt;$H$5,A84+1,NA())</f>
        <v>#N/A</v>
      </c>
      <c r="B85" s="186" t="e">
        <f aca="false">IF(ISERROR(A85),NA(),$E$5+A85-1)</f>
        <v>#N/A</v>
      </c>
      <c r="C85" s="187" t="e">
        <f aca="true">IF(ISERROR(A85),NA(),IF(randrate,$H$23+RAND()*($H$24-$H$23),$E$17))</f>
        <v>#N/A</v>
      </c>
      <c r="D85" s="189" t="e">
        <f aca="false">IF(ISERROR(A85),NA(),IF(A85&lt;=$H$5,(1+$E$10)*D84,0))</f>
        <v>#N/A</v>
      </c>
      <c r="E85" s="189" t="e">
        <f aca="false">IF(ISERROR(A85),NA(),IF(A85&lt;=$H$5,$E$12*D85,0))</f>
        <v>#N/A</v>
      </c>
      <c r="F85" s="189" t="e">
        <f aca="false">IF(ISERROR(A85),NA(),IF(A85&lt;=$H$5,MIN($E$13*E85,$E$14*$E$13*D85),0))</f>
        <v>#N/A</v>
      </c>
      <c r="G85" s="190" t="e">
        <f aca="false">IF(ISERROR(A85),NA(),FV(C85/nper,nper,-(E85+F85)/nper,-H84)-(H84+E85+F85))</f>
        <v>#N/A</v>
      </c>
      <c r="H85" s="190" t="e">
        <f aca="false">IF(ISERROR(A85),NA(),H84+E85+F85+G85)</f>
        <v>#N/A</v>
      </c>
      <c r="J85" s="189" t="e">
        <f aca="false">IF(ISERROR(A85),NA(),SUM(E$33:E85))</f>
        <v>#N/A</v>
      </c>
      <c r="K85" s="189" t="e">
        <f aca="false">IF(ISERROR(A85),NA(),SUM(E$33:F85))</f>
        <v>#N/A</v>
      </c>
    </row>
    <row r="86" customFormat="false" ht="12.8" hidden="false" customHeight="false" outlineLevel="0" collapsed="false">
      <c r="A86" s="186" t="e">
        <f aca="false">IF(A85&lt;$H$5,A85+1,NA())</f>
        <v>#N/A</v>
      </c>
      <c r="B86" s="186" t="e">
        <f aca="false">IF(ISERROR(A86),NA(),$E$5+A86-1)</f>
        <v>#N/A</v>
      </c>
      <c r="C86" s="187" t="e">
        <f aca="true">IF(ISERROR(A86),NA(),IF(randrate,$H$23+RAND()*($H$24-$H$23),$E$17))</f>
        <v>#N/A</v>
      </c>
      <c r="D86" s="189" t="e">
        <f aca="false">IF(ISERROR(A86),NA(),IF(A86&lt;=$H$5,(1+$E$10)*D85,0))</f>
        <v>#N/A</v>
      </c>
      <c r="E86" s="189" t="e">
        <f aca="false">IF(ISERROR(A86),NA(),IF(A86&lt;=$H$5,$E$12*D86,0))</f>
        <v>#N/A</v>
      </c>
      <c r="F86" s="189" t="e">
        <f aca="false">IF(ISERROR(A86),NA(),IF(A86&lt;=$H$5,MIN($E$13*E86,$E$14*$E$13*D86),0))</f>
        <v>#N/A</v>
      </c>
      <c r="G86" s="190" t="e">
        <f aca="false">IF(ISERROR(A86),NA(),FV(C86/nper,nper,-(E86+F86)/nper,-H85)-(H85+E86+F86))</f>
        <v>#N/A</v>
      </c>
      <c r="H86" s="190" t="e">
        <f aca="false">IF(ISERROR(A86),NA(),H85+E86+F86+G86)</f>
        <v>#N/A</v>
      </c>
      <c r="J86" s="189" t="e">
        <f aca="false">IF(ISERROR(A86),NA(),SUM(E$33:E86))</f>
        <v>#N/A</v>
      </c>
      <c r="K86" s="189" t="e">
        <f aca="false">IF(ISERROR(A86),NA(),SUM(E$33:F86))</f>
        <v>#N/A</v>
      </c>
    </row>
    <row r="87" customFormat="false" ht="12.8" hidden="false" customHeight="false" outlineLevel="0" collapsed="false">
      <c r="A87" s="186" t="e">
        <f aca="false">IF(A86&lt;$H$5,A86+1,NA())</f>
        <v>#N/A</v>
      </c>
      <c r="B87" s="186" t="e">
        <f aca="false">IF(ISERROR(A87),NA(),$E$5+A87-1)</f>
        <v>#N/A</v>
      </c>
      <c r="C87" s="187" t="e">
        <f aca="true">IF(ISERROR(A87),NA(),IF(randrate,$H$23+RAND()*($H$24-$H$23),$E$17))</f>
        <v>#N/A</v>
      </c>
      <c r="D87" s="189" t="e">
        <f aca="false">IF(ISERROR(A87),NA(),IF(A87&lt;=$H$5,(1+$E$10)*D86,0))</f>
        <v>#N/A</v>
      </c>
      <c r="E87" s="189" t="e">
        <f aca="false">IF(ISERROR(A87),NA(),IF(A87&lt;=$H$5,$E$12*D87,0))</f>
        <v>#N/A</v>
      </c>
      <c r="F87" s="189" t="e">
        <f aca="false">IF(ISERROR(A87),NA(),IF(A87&lt;=$H$5,MIN($E$13*E87,$E$14*$E$13*D87),0))</f>
        <v>#N/A</v>
      </c>
      <c r="G87" s="190" t="e">
        <f aca="false">IF(ISERROR(A87),NA(),FV(C87/nper,nper,-(E87+F87)/nper,-H86)-(H86+E87+F87))</f>
        <v>#N/A</v>
      </c>
      <c r="H87" s="190" t="e">
        <f aca="false">IF(ISERROR(A87),NA(),H86+E87+F87+G87)</f>
        <v>#N/A</v>
      </c>
      <c r="J87" s="189" t="e">
        <f aca="false">IF(ISERROR(A87),NA(),SUM(E$33:E87))</f>
        <v>#N/A</v>
      </c>
      <c r="K87" s="189" t="e">
        <f aca="false">IF(ISERROR(A87),NA(),SUM(E$33:F87))</f>
        <v>#N/A</v>
      </c>
    </row>
    <row r="88" customFormat="false" ht="12.8" hidden="false" customHeight="false" outlineLevel="0" collapsed="false">
      <c r="A88" s="186" t="e">
        <f aca="false">IF(A87&lt;$H$5,A87+1,NA())</f>
        <v>#N/A</v>
      </c>
      <c r="B88" s="186" t="e">
        <f aca="false">IF(ISERROR(A88),NA(),$E$5+A88-1)</f>
        <v>#N/A</v>
      </c>
      <c r="C88" s="187" t="e">
        <f aca="true">IF(ISERROR(A88),NA(),IF(randrate,$H$23+RAND()*($H$24-$H$23),$E$17))</f>
        <v>#N/A</v>
      </c>
      <c r="D88" s="189" t="e">
        <f aca="false">IF(ISERROR(A88),NA(),IF(A88&lt;=$H$5,(1+$E$10)*D87,0))</f>
        <v>#N/A</v>
      </c>
      <c r="E88" s="189" t="e">
        <f aca="false">IF(ISERROR(A88),NA(),IF(A88&lt;=$H$5,$E$12*D88,0))</f>
        <v>#N/A</v>
      </c>
      <c r="F88" s="189" t="e">
        <f aca="false">IF(ISERROR(A88),NA(),IF(A88&lt;=$H$5,MIN($E$13*E88,$E$14*$E$13*D88),0))</f>
        <v>#N/A</v>
      </c>
      <c r="G88" s="190" t="e">
        <f aca="false">IF(ISERROR(A88),NA(),FV(C88/nper,nper,-(E88+F88)/nper,-H87)-(H87+E88+F88))</f>
        <v>#N/A</v>
      </c>
      <c r="H88" s="190" t="e">
        <f aca="false">IF(ISERROR(A88),NA(),H87+E88+F88+G88)</f>
        <v>#N/A</v>
      </c>
      <c r="J88" s="189" t="e">
        <f aca="false">IF(ISERROR(A88),NA(),SUM(E$33:E88))</f>
        <v>#N/A</v>
      </c>
      <c r="K88" s="189" t="e">
        <f aca="false">IF(ISERROR(A88),NA(),SUM(E$33:F88))</f>
        <v>#N/A</v>
      </c>
    </row>
    <row r="89" customFormat="false" ht="12.8" hidden="false" customHeight="false" outlineLevel="0" collapsed="false">
      <c r="A89" s="186" t="e">
        <f aca="false">IF(A88&lt;$H$5,A88+1,NA())</f>
        <v>#N/A</v>
      </c>
      <c r="B89" s="186" t="e">
        <f aca="false">IF(ISERROR(A89),NA(),$E$5+A89-1)</f>
        <v>#N/A</v>
      </c>
      <c r="C89" s="187" t="e">
        <f aca="true">IF(ISERROR(A89),NA(),IF(randrate,$H$23+RAND()*($H$24-$H$23),$E$17))</f>
        <v>#N/A</v>
      </c>
      <c r="D89" s="189" t="e">
        <f aca="false">IF(ISERROR(A89),NA(),IF(A89&lt;=$H$5,(1+$E$10)*D88,0))</f>
        <v>#N/A</v>
      </c>
      <c r="E89" s="189" t="e">
        <f aca="false">IF(ISERROR(A89),NA(),IF(A89&lt;=$H$5,$E$12*D89,0))</f>
        <v>#N/A</v>
      </c>
      <c r="F89" s="189" t="e">
        <f aca="false">IF(ISERROR(A89),NA(),IF(A89&lt;=$H$5,MIN($E$13*E89,$E$14*$E$13*D89),0))</f>
        <v>#N/A</v>
      </c>
      <c r="G89" s="190" t="e">
        <f aca="false">IF(ISERROR(A89),NA(),FV(C89/nper,nper,-(E89+F89)/nper,-H88)-(H88+E89+F89))</f>
        <v>#N/A</v>
      </c>
      <c r="H89" s="190" t="e">
        <f aca="false">IF(ISERROR(A89),NA(),H88+E89+F89+G89)</f>
        <v>#N/A</v>
      </c>
      <c r="J89" s="189" t="e">
        <f aca="false">IF(ISERROR(A89),NA(),SUM(E$33:E89))</f>
        <v>#N/A</v>
      </c>
      <c r="K89" s="189" t="e">
        <f aca="false">IF(ISERROR(A89),NA(),SUM(E$33:F89))</f>
        <v>#N/A</v>
      </c>
    </row>
    <row r="90" customFormat="false" ht="12.8" hidden="false" customHeight="false" outlineLevel="0" collapsed="false">
      <c r="A90" s="186" t="e">
        <f aca="false">IF(A89&lt;$H$5,A89+1,NA())</f>
        <v>#N/A</v>
      </c>
      <c r="B90" s="186" t="e">
        <f aca="false">IF(ISERROR(A90),NA(),$E$5+A90-1)</f>
        <v>#N/A</v>
      </c>
      <c r="C90" s="187" t="e">
        <f aca="true">IF(ISERROR(A90),NA(),IF(randrate,$H$23+RAND()*($H$24-$H$23),$E$17))</f>
        <v>#N/A</v>
      </c>
      <c r="D90" s="189" t="e">
        <f aca="false">IF(ISERROR(A90),NA(),IF(A90&lt;=$H$5,(1+$E$10)*D89,0))</f>
        <v>#N/A</v>
      </c>
      <c r="E90" s="189" t="e">
        <f aca="false">IF(ISERROR(A90),NA(),IF(A90&lt;=$H$5,$E$12*D90,0))</f>
        <v>#N/A</v>
      </c>
      <c r="F90" s="189" t="e">
        <f aca="false">IF(ISERROR(A90),NA(),IF(A90&lt;=$H$5,MIN($E$13*E90,$E$14*$E$13*D90),0))</f>
        <v>#N/A</v>
      </c>
      <c r="G90" s="190" t="e">
        <f aca="false">IF(ISERROR(A90),NA(),FV(C90/nper,nper,-(E90+F90)/nper,-H89)-(H89+E90+F90))</f>
        <v>#N/A</v>
      </c>
      <c r="H90" s="190" t="e">
        <f aca="false">IF(ISERROR(A90),NA(),H89+E90+F90+G90)</f>
        <v>#N/A</v>
      </c>
      <c r="J90" s="189" t="e">
        <f aca="false">IF(ISERROR(A90),NA(),SUM(E$33:E90))</f>
        <v>#N/A</v>
      </c>
      <c r="K90" s="189" t="e">
        <f aca="false">IF(ISERROR(A90),NA(),SUM(E$33:F90))</f>
        <v>#N/A</v>
      </c>
    </row>
    <row r="91" customFormat="false" ht="12.8" hidden="false" customHeight="false" outlineLevel="0" collapsed="false">
      <c r="A91" s="186" t="e">
        <f aca="false">IF(A90&lt;$H$5,A90+1,NA())</f>
        <v>#N/A</v>
      </c>
      <c r="B91" s="186" t="e">
        <f aca="false">IF(ISERROR(A91),NA(),$E$5+A91-1)</f>
        <v>#N/A</v>
      </c>
      <c r="C91" s="187" t="e">
        <f aca="true">IF(ISERROR(A91),NA(),IF(randrate,$H$23+RAND()*($H$24-$H$23),$E$17))</f>
        <v>#N/A</v>
      </c>
      <c r="D91" s="189" t="e">
        <f aca="false">IF(ISERROR(A91),NA(),IF(A91&lt;=$H$5,(1+$E$10)*D90,0))</f>
        <v>#N/A</v>
      </c>
      <c r="E91" s="189" t="e">
        <f aca="false">IF(ISERROR(A91),NA(),IF(A91&lt;=$H$5,$E$12*D91,0))</f>
        <v>#N/A</v>
      </c>
      <c r="F91" s="189" t="e">
        <f aca="false">IF(ISERROR(A91),NA(),IF(A91&lt;=$H$5,MIN($E$13*E91,$E$14*$E$13*D91),0))</f>
        <v>#N/A</v>
      </c>
      <c r="G91" s="190" t="e">
        <f aca="false">IF(ISERROR(A91),NA(),FV(C91/nper,nper,-(E91+F91)/nper,-H90)-(H90+E91+F91))</f>
        <v>#N/A</v>
      </c>
      <c r="H91" s="190" t="e">
        <f aca="false">IF(ISERROR(A91),NA(),H90+E91+F91+G91)</f>
        <v>#N/A</v>
      </c>
      <c r="J91" s="189" t="e">
        <f aca="false">IF(ISERROR(A91),NA(),SUM(E$33:E91))</f>
        <v>#N/A</v>
      </c>
      <c r="K91" s="189" t="e">
        <f aca="false">IF(ISERROR(A91),NA(),SUM(E$33:F91))</f>
        <v>#N/A</v>
      </c>
    </row>
    <row r="92" customFormat="false" ht="12.8" hidden="false" customHeight="false" outlineLevel="0" collapsed="false">
      <c r="A92" s="186" t="e">
        <f aca="false">IF(A91&lt;$H$5,A91+1,NA())</f>
        <v>#N/A</v>
      </c>
      <c r="B92" s="186" t="e">
        <f aca="false">IF(ISERROR(A92),NA(),$E$5+A92-1)</f>
        <v>#N/A</v>
      </c>
      <c r="C92" s="187" t="e">
        <f aca="true">IF(ISERROR(A92),NA(),IF(randrate,$H$23+RAND()*($H$24-$H$23),$E$17))</f>
        <v>#N/A</v>
      </c>
      <c r="D92" s="189" t="e">
        <f aca="false">IF(ISERROR(A92),NA(),IF(A92&lt;=$H$5,(1+$E$10)*D91,0))</f>
        <v>#N/A</v>
      </c>
      <c r="E92" s="189" t="e">
        <f aca="false">IF(ISERROR(A92),NA(),IF(A92&lt;=$H$5,$E$12*D92,0))</f>
        <v>#N/A</v>
      </c>
      <c r="F92" s="189" t="e">
        <f aca="false">IF(ISERROR(A92),NA(),IF(A92&lt;=$H$5,MIN($E$13*E92,$E$14*$E$13*D92),0))</f>
        <v>#N/A</v>
      </c>
      <c r="G92" s="190" t="e">
        <f aca="false">IF(ISERROR(A92),NA(),FV(C92/nper,nper,-(E92+F92)/nper,-H91)-(H91+E92+F92))</f>
        <v>#N/A</v>
      </c>
      <c r="H92" s="190" t="e">
        <f aca="false">IF(ISERROR(A92),NA(),H91+E92+F92+G92)</f>
        <v>#N/A</v>
      </c>
      <c r="J92" s="189" t="e">
        <f aca="false">IF(ISERROR(A92),NA(),SUM(E$33:E92))</f>
        <v>#N/A</v>
      </c>
      <c r="K92" s="189" t="e">
        <f aca="false">IF(ISERROR(A92),NA(),SUM(E$33:F92))</f>
        <v>#N/A</v>
      </c>
    </row>
    <row r="93" customFormat="false" ht="12.8" hidden="false" customHeight="false" outlineLevel="0" collapsed="false">
      <c r="A93" s="186" t="e">
        <f aca="false">IF(A92&lt;$H$5,A92+1,NA())</f>
        <v>#N/A</v>
      </c>
      <c r="B93" s="186" t="e">
        <f aca="false">IF(ISERROR(A93),NA(),$E$5+A93-1)</f>
        <v>#N/A</v>
      </c>
      <c r="C93" s="187" t="e">
        <f aca="true">IF(ISERROR(A93),NA(),IF(randrate,$H$23+RAND()*($H$24-$H$23),$E$17))</f>
        <v>#N/A</v>
      </c>
      <c r="D93" s="189" t="e">
        <f aca="false">IF(ISERROR(A93),NA(),IF(A93&lt;=$H$5,(1+$E$10)*D92,0))</f>
        <v>#N/A</v>
      </c>
      <c r="E93" s="189" t="e">
        <f aca="false">IF(ISERROR(A93),NA(),IF(A93&lt;=$H$5,$E$12*D93,0))</f>
        <v>#N/A</v>
      </c>
      <c r="F93" s="189" t="e">
        <f aca="false">IF(ISERROR(A93),NA(),IF(A93&lt;=$H$5,MIN($E$13*E93,$E$14*$E$13*D93),0))</f>
        <v>#N/A</v>
      </c>
      <c r="G93" s="190" t="e">
        <f aca="false">IF(ISERROR(A93),NA(),FV(C93/nper,nper,-(E93+F93)/nper,-H92)-(H92+E93+F93))</f>
        <v>#N/A</v>
      </c>
      <c r="H93" s="190" t="e">
        <f aca="false">IF(ISERROR(A93),NA(),H92+E93+F93+G93)</f>
        <v>#N/A</v>
      </c>
      <c r="J93" s="189" t="e">
        <f aca="false">IF(ISERROR(A93),NA(),SUM(E$33:E93))</f>
        <v>#N/A</v>
      </c>
      <c r="K93" s="189" t="e">
        <f aca="false">IF(ISERROR(A93),NA(),SUM(E$33:F93))</f>
        <v>#N/A</v>
      </c>
    </row>
  </sheetData>
  <mergeCells count="2">
    <mergeCell ref="A4:E4"/>
    <mergeCell ref="F4:H4"/>
  </mergeCells>
  <conditionalFormatting sqref="H23:H24">
    <cfRule type="expression" priority="2" aboveAverage="0" equalAverage="0" bottom="0" percent="0" rank="0" text="" dxfId="0">
      <formula>NOT(inc2stanDeduc)</formula>
    </cfRule>
  </conditionalFormatting>
  <conditionalFormatting sqref="E17">
    <cfRule type="expression" priority="3" aboveAverage="0" equalAverage="0" bottom="0" percent="0" rank="0" text="" dxfId="1">
      <formula>inc2stanDeduc</formula>
    </cfRule>
  </conditionalFormatting>
  <conditionalFormatting sqref="J34:K93 A34:H93">
    <cfRule type="expression" priority="4" aboveAverage="0" equalAverage="0" bottom="0" percent="0" rank="0" text="" dxfId="2">
      <formula>ISERROR(A34)</formula>
    </cfRule>
    <cfRule type="expression" priority="5" aboveAverage="0" equalAverage="0" bottom="0" percent="0" rank="0" text="" dxfId="3">
      <formula>MOD(ROW(),2)=1</formula>
    </cfRule>
  </conditionalFormatting>
  <dataValidations count="2">
    <dataValidation allowBlank="true" errorStyle="stop" operator="equal" showDropDown="false" showErrorMessage="true" showInputMessage="true" sqref="E18" type="list">
      <formula1>"12,24,26,52,13,4,2,1"</formula1>
      <formula2>0</formula2>
    </dataValidation>
    <dataValidation allowBlank="true" errorStyle="stop" operator="equal" showDropDown="false" showErrorMessage="true" showInputMessage="true" sqref="H22" type="list">
      <formula1>"On,Off"</formula1>
      <formula2>0</formula2>
    </dataValidation>
  </dataValidations>
  <hyperlinks>
    <hyperlink ref="A2" r:id="rId2" display="https://www.vertex42.com/Calculators/401k-savings-calculator.html"/>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3"/>
  <legacyDrawing r:id="rId4"/>
</worksheet>
</file>

<file path=docProps/app.xml><?xml version="1.0" encoding="utf-8"?>
<Properties xmlns="http://schemas.openxmlformats.org/officeDocument/2006/extended-properties" xmlns:vt="http://schemas.openxmlformats.org/officeDocument/2006/docPropsVTypes">
  <Template/>
  <TotalTime>123408</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2019-11-13T16:36:11Z</dcterms:created>
  <dc:creator/>
  <dc:description/>
  <dc:language>en-US</dc:language>
  <cp:lastModifiedBy/>
  <dcterms:modified xsi:type="dcterms:W3CDTF">2024-02-26T16:42:54Z</dcterms:modified>
  <cp:revision>115</cp:revision>
  <dc:subject/>
  <dc:title/>
</cp:coreProperties>
</file>

<file path=docProps/custom.xml><?xml version="1.0" encoding="utf-8"?>
<Properties xmlns="http://schemas.openxmlformats.org/officeDocument/2006/custom-properties" xmlns:vt="http://schemas.openxmlformats.org/officeDocument/2006/docPropsVTypes"/>
</file>