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T:\Krausova\ROZPOCTY\Rozp_2021\"/>
    </mc:Choice>
  </mc:AlternateContent>
  <xr:revisionPtr revIDLastSave="0" documentId="13_ncr:1_{3A888BF1-6BE7-4025-8028-3FB5AC1B765C}" xr6:coauthVersionLast="36" xr6:coauthVersionMax="36" xr10:uidLastSave="{00000000-0000-0000-0000-000000000000}"/>
  <bookViews>
    <workbookView xWindow="0" yWindow="0" windowWidth="14445" windowHeight="11205" tabRatio="651" firstSheet="9" activeTab="18" xr2:uid="{00000000-000D-0000-FFFF-FFFF00000000}"/>
  </bookViews>
  <sheets>
    <sheet name="INFO_úpravy" sheetId="74" r:id="rId1"/>
    <sheet name="0_PRIDEL" sheetId="65" r:id="rId2"/>
    <sheet name="1_Bc_Mag_DSP" sheetId="21" r:id="rId3"/>
    <sheet name="2_Projekty_BP_DP" sheetId="19" r:id="rId4"/>
    <sheet name="3_DSP" sheetId="18" r:id="rId5"/>
    <sheet name="4_DOC_PROF" sheetId="67" r:id="rId6"/>
    <sheet name="4a_úvazky-na-FM" sheetId="72" r:id="rId7"/>
    <sheet name="5_Výuka" sheetId="56" r:id="rId8"/>
    <sheet name="6_Garanti" sheetId="71" r:id="rId9"/>
    <sheet name="7_Plochy pracovišť" sheetId="54" r:id="rId10"/>
    <sheet name="8_Výpočet_20%_FRIM" sheetId="63" r:id="rId11"/>
    <sheet name="9_DFM" sheetId="64" r:id="rId12"/>
    <sheet name="10_Celkem_106" sheetId="20" r:id="rId13"/>
    <sheet name="11_Celkem_115" sheetId="70" r:id="rId14"/>
    <sheet name="12_Celkem_117" sheetId="66" r:id="rId15"/>
    <sheet name="13_CeloškolskáRežie" sheetId="68" r:id="rId16"/>
    <sheet name="14_Přehled a rozpočítání DFM" sheetId="69" r:id="rId17"/>
    <sheet name="ROZPOČET" sheetId="73" r:id="rId18"/>
    <sheet name="dod-1" sheetId="75" r:id="rId19"/>
    <sheet name="ROZPOČET (vč.dod)" sheetId="77" r:id="rId20"/>
  </sheets>
  <definedNames>
    <definedName name="_xlnm._FilterDatabase" localSheetId="9" hidden="1">'7_Plochy pracovišť'!$A$1:$IF$128</definedName>
    <definedName name="_xlnm.Print_Area" localSheetId="1">'0_PRIDEL'!$A$1:$I$28</definedName>
    <definedName name="_xlnm.Print_Area" localSheetId="2">'1_Bc_Mag_DSP'!$A$1:$I$27</definedName>
    <definedName name="_xlnm.Print_Area" localSheetId="12">'10_Celkem_106'!$A$1:$N$14</definedName>
    <definedName name="_xlnm.Print_Area" localSheetId="14">'12_Celkem_117'!$A$9:$Y$31</definedName>
    <definedName name="_xlnm.Print_Area" localSheetId="15">'13_CeloškolskáRežie'!$A$1:$F$29</definedName>
    <definedName name="_xlnm.Print_Area" localSheetId="3">'2_Projekty_BP_DP'!$A$1:$J$15</definedName>
    <definedName name="_xlnm.Print_Area" localSheetId="4">'3_DSP'!$A$1:$K$14</definedName>
    <definedName name="_xlnm.Print_Area" localSheetId="6">'4a_úvazky-na-FM'!$A$1:$L$27</definedName>
    <definedName name="_xlnm.Print_Area" localSheetId="7">'5_Výuka'!$A$364:$J$386</definedName>
    <definedName name="_xlnm.Print_Area" localSheetId="9">'7_Plochy pracovišť'!$A$130:$I$140</definedName>
    <definedName name="_xlnm.Print_Area" localSheetId="10">'8_Výpočet_20%_FRIM'!$A$1:$I$12</definedName>
    <definedName name="_xlnm.Print_Area" localSheetId="11">'9_DFM'!$A$1:$E$26</definedName>
  </definedNames>
  <calcPr calcId="191029"/>
</workbook>
</file>

<file path=xl/calcChain.xml><?xml version="1.0" encoding="utf-8"?>
<calcChain xmlns="http://schemas.openxmlformats.org/spreadsheetml/2006/main">
  <c r="I370" i="56" l="1"/>
  <c r="J370" i="56"/>
  <c r="G372" i="56"/>
  <c r="G371" i="56"/>
  <c r="G370" i="56"/>
  <c r="D372" i="56"/>
  <c r="D371" i="56"/>
  <c r="D370" i="56"/>
  <c r="C372" i="56"/>
  <c r="C371" i="56"/>
  <c r="C370" i="56"/>
  <c r="B372" i="56"/>
  <c r="B370" i="56"/>
  <c r="F372" i="56"/>
  <c r="F371" i="56"/>
  <c r="F370" i="56"/>
  <c r="E8" i="77" l="1"/>
  <c r="E9" i="77"/>
  <c r="E10" i="77"/>
  <c r="E11" i="77"/>
  <c r="E12" i="77"/>
  <c r="E7" i="77"/>
  <c r="C21" i="77"/>
  <c r="C19" i="77"/>
  <c r="C18" i="77"/>
  <c r="C17" i="77"/>
  <c r="C20" i="77" s="1"/>
  <c r="C22" i="77" s="1"/>
  <c r="G11" i="77"/>
  <c r="F11" i="77"/>
  <c r="D11" i="77"/>
  <c r="R11" i="77" s="1"/>
  <c r="G9" i="77"/>
  <c r="F9" i="77"/>
  <c r="D9" i="77"/>
  <c r="R9" i="77" s="1"/>
  <c r="G8" i="77"/>
  <c r="F8" i="77"/>
  <c r="D8" i="77"/>
  <c r="R8" i="77" s="1"/>
  <c r="R7" i="77"/>
  <c r="G7" i="77"/>
  <c r="F7" i="77"/>
  <c r="D7" i="77"/>
  <c r="D10" i="77" s="1"/>
  <c r="F10" i="77" l="1"/>
  <c r="F12" i="77" s="1"/>
  <c r="G10" i="77"/>
  <c r="G12" i="77" s="1"/>
  <c r="D12" i="77"/>
  <c r="R12" i="77" s="1"/>
  <c r="R10" i="77"/>
  <c r="B5" i="75"/>
  <c r="D8" i="75" l="1"/>
  <c r="D12" i="75" s="1"/>
  <c r="D11" i="75" l="1"/>
  <c r="D13" i="75"/>
  <c r="C12" i="75"/>
  <c r="C13" i="75"/>
  <c r="C11" i="75"/>
  <c r="D14" i="75" l="1"/>
  <c r="D16" i="75" s="1"/>
  <c r="U13" i="66"/>
  <c r="U12" i="66"/>
  <c r="U11" i="66"/>
  <c r="C17" i="64" l="1"/>
  <c r="B6" i="64" s="1"/>
  <c r="C14" i="66" l="1"/>
  <c r="C13" i="66"/>
  <c r="C7" i="66" l="1"/>
  <c r="H14" i="66" l="1"/>
  <c r="B33" i="21" l="1"/>
  <c r="B32" i="21"/>
  <c r="B31" i="21"/>
  <c r="N7" i="21"/>
  <c r="N8" i="21"/>
  <c r="N6" i="21"/>
  <c r="M9" i="21"/>
  <c r="P18" i="71" l="1"/>
  <c r="P19" i="71"/>
  <c r="N2" i="71"/>
  <c r="P2" i="71" s="1"/>
  <c r="L35" i="71"/>
  <c r="N35" i="71"/>
  <c r="N17" i="71"/>
  <c r="N16" i="71"/>
  <c r="L16" i="71"/>
  <c r="L17" i="71"/>
  <c r="L2" i="71"/>
  <c r="H24" i="66" l="1"/>
  <c r="B17" i="68" l="1"/>
  <c r="N7" i="65" l="1"/>
  <c r="B7" i="65" s="1"/>
  <c r="L21" i="65" l="1"/>
  <c r="E128" i="54" l="1"/>
  <c r="E129" i="54" s="1"/>
  <c r="N19" i="65" l="1"/>
  <c r="N8" i="65"/>
  <c r="B8" i="65" s="1"/>
  <c r="G360" i="56" l="1" a="1"/>
  <c r="G360" i="56" s="1"/>
  <c r="F360" i="56" a="1"/>
  <c r="F360" i="56" s="1"/>
  <c r="E360" i="56"/>
  <c r="G359" i="56" a="1"/>
  <c r="G359" i="56" s="1"/>
  <c r="F359" i="56" a="1"/>
  <c r="F359" i="56" s="1"/>
  <c r="E359" i="56"/>
  <c r="G358" i="56" a="1"/>
  <c r="G358" i="56" s="1"/>
  <c r="F358" i="56" a="1"/>
  <c r="F358" i="56" s="1"/>
  <c r="E358" i="56"/>
  <c r="G357" i="56" a="1"/>
  <c r="G357" i="56" s="1"/>
  <c r="F357" i="56" a="1"/>
  <c r="F357" i="56" s="1"/>
  <c r="E357" i="56"/>
  <c r="G356" i="56" a="1"/>
  <c r="G356" i="56" s="1"/>
  <c r="F356" i="56" a="1"/>
  <c r="F356" i="56" s="1"/>
  <c r="E356" i="56"/>
  <c r="G355" i="56" a="1"/>
  <c r="G355" i="56" s="1"/>
  <c r="F355" i="56" a="1"/>
  <c r="F355" i="56" s="1"/>
  <c r="E355" i="56"/>
  <c r="G354" i="56" a="1"/>
  <c r="G354" i="56" s="1"/>
  <c r="F354" i="56" a="1"/>
  <c r="F354" i="56" s="1"/>
  <c r="E354" i="56"/>
  <c r="G353" i="56" a="1"/>
  <c r="G353" i="56" s="1"/>
  <c r="F353" i="56" a="1"/>
  <c r="F353" i="56" s="1"/>
  <c r="E353" i="56"/>
  <c r="G352" i="56" a="1"/>
  <c r="G352" i="56" s="1"/>
  <c r="F352" i="56" a="1"/>
  <c r="F352" i="56" s="1"/>
  <c r="E352" i="56"/>
  <c r="G351" i="56" a="1"/>
  <c r="G351" i="56" s="1"/>
  <c r="F351" i="56" a="1"/>
  <c r="F351" i="56" s="1"/>
  <c r="E351" i="56"/>
  <c r="G350" i="56" a="1"/>
  <c r="G350" i="56" s="1"/>
  <c r="F350" i="56" a="1"/>
  <c r="F350" i="56" s="1"/>
  <c r="E350" i="56"/>
  <c r="G349" i="56" a="1"/>
  <c r="G349" i="56" s="1"/>
  <c r="F349" i="56" a="1"/>
  <c r="F349" i="56" s="1"/>
  <c r="E349" i="56"/>
  <c r="G348" i="56" a="1"/>
  <c r="G348" i="56" s="1"/>
  <c r="F348" i="56" a="1"/>
  <c r="F348" i="56" s="1"/>
  <c r="E348" i="56"/>
  <c r="G347" i="56"/>
  <c r="G347" i="56" a="1"/>
  <c r="F347" i="56" a="1"/>
  <c r="F347" i="56" s="1"/>
  <c r="E347" i="56"/>
  <c r="G346" i="56" a="1"/>
  <c r="G346" i="56" s="1"/>
  <c r="F346" i="56" a="1"/>
  <c r="F346" i="56" s="1"/>
  <c r="E346" i="56"/>
  <c r="G345" i="56" a="1"/>
  <c r="G345" i="56" s="1"/>
  <c r="F345" i="56" a="1"/>
  <c r="F345" i="56" s="1"/>
  <c r="E345" i="56"/>
  <c r="G344" i="56" a="1"/>
  <c r="G344" i="56" s="1"/>
  <c r="F344" i="56" a="1"/>
  <c r="F344" i="56" s="1"/>
  <c r="E344" i="56"/>
  <c r="G343" i="56" a="1"/>
  <c r="G343" i="56" s="1"/>
  <c r="F343" i="56" a="1"/>
  <c r="F343" i="56" s="1"/>
  <c r="E343" i="56"/>
  <c r="G342" i="56" a="1"/>
  <c r="G342" i="56" s="1"/>
  <c r="F342" i="56" a="1"/>
  <c r="F342" i="56" s="1"/>
  <c r="E342" i="56"/>
  <c r="G341" i="56" a="1"/>
  <c r="G341" i="56" s="1"/>
  <c r="F341" i="56" a="1"/>
  <c r="F341" i="56" s="1"/>
  <c r="E341" i="56"/>
  <c r="G340" i="56" a="1"/>
  <c r="G340" i="56" s="1"/>
  <c r="F340" i="56" a="1"/>
  <c r="F340" i="56" s="1"/>
  <c r="E340" i="56"/>
  <c r="G339" i="56" a="1"/>
  <c r="G339" i="56" s="1"/>
  <c r="F339" i="56" a="1"/>
  <c r="F339" i="56" s="1"/>
  <c r="E339" i="56"/>
  <c r="G338" i="56" a="1"/>
  <c r="G338" i="56" s="1"/>
  <c r="F338" i="56" a="1"/>
  <c r="F338" i="56" s="1"/>
  <c r="E338" i="56"/>
  <c r="G337" i="56" a="1"/>
  <c r="G337" i="56" s="1"/>
  <c r="F337" i="56" a="1"/>
  <c r="F337" i="56" s="1"/>
  <c r="E337" i="56"/>
  <c r="G336" i="56" a="1"/>
  <c r="G336" i="56" s="1"/>
  <c r="F336" i="56" a="1"/>
  <c r="F336" i="56" s="1"/>
  <c r="E336" i="56"/>
  <c r="G335" i="56" a="1"/>
  <c r="G335" i="56" s="1"/>
  <c r="F335" i="56" a="1"/>
  <c r="F335" i="56" s="1"/>
  <c r="E335" i="56"/>
  <c r="G334" i="56" a="1"/>
  <c r="G334" i="56" s="1"/>
  <c r="F334" i="56" a="1"/>
  <c r="F334" i="56" s="1"/>
  <c r="E334" i="56"/>
  <c r="G332" i="56" a="1"/>
  <c r="G332" i="56" s="1"/>
  <c r="F332" i="56" a="1"/>
  <c r="F332" i="56" s="1"/>
  <c r="E332" i="56"/>
  <c r="G331" i="56" a="1"/>
  <c r="G331" i="56" s="1"/>
  <c r="F331" i="56" a="1"/>
  <c r="F331" i="56" s="1"/>
  <c r="E331" i="56"/>
  <c r="G330" i="56" a="1"/>
  <c r="G330" i="56" s="1"/>
  <c r="F330" i="56" a="1"/>
  <c r="F330" i="56" s="1"/>
  <c r="G329" i="56" a="1"/>
  <c r="G329" i="56" s="1"/>
  <c r="F329" i="56" a="1"/>
  <c r="F329" i="56" s="1"/>
  <c r="E329" i="56"/>
  <c r="G328" i="56" a="1"/>
  <c r="G328" i="56" s="1"/>
  <c r="F328" i="56" a="1"/>
  <c r="F328" i="56" s="1"/>
  <c r="E328" i="56"/>
  <c r="G327" i="56" a="1"/>
  <c r="G327" i="56" s="1"/>
  <c r="F327" i="56" a="1"/>
  <c r="F327" i="56" s="1"/>
  <c r="E327" i="56"/>
  <c r="G326" i="56" a="1"/>
  <c r="G326" i="56" s="1"/>
  <c r="F326" i="56" a="1"/>
  <c r="F326" i="56" s="1"/>
  <c r="E326" i="56"/>
  <c r="G325" i="56" a="1"/>
  <c r="G325" i="56" s="1"/>
  <c r="F325" i="56" a="1"/>
  <c r="F325" i="56" s="1"/>
  <c r="E325" i="56"/>
  <c r="G324" i="56" a="1"/>
  <c r="G324" i="56" s="1"/>
  <c r="F324" i="56" a="1"/>
  <c r="F324" i="56" s="1"/>
  <c r="E324" i="56"/>
  <c r="G323" i="56" a="1"/>
  <c r="G323" i="56" s="1"/>
  <c r="F323" i="56" a="1"/>
  <c r="F323" i="56" s="1"/>
  <c r="E323" i="56"/>
  <c r="G322" i="56" a="1"/>
  <c r="G322" i="56" s="1"/>
  <c r="F322" i="56" a="1"/>
  <c r="F322" i="56" s="1"/>
  <c r="E322" i="56"/>
  <c r="G321" i="56" a="1"/>
  <c r="G321" i="56" s="1"/>
  <c r="F321" i="56" a="1"/>
  <c r="F321" i="56" s="1"/>
  <c r="E321" i="56"/>
  <c r="G320" i="56" a="1"/>
  <c r="G320" i="56" s="1"/>
  <c r="F320" i="56" a="1"/>
  <c r="F320" i="56" s="1"/>
  <c r="E320" i="56"/>
  <c r="G319" i="56" a="1"/>
  <c r="G319" i="56" s="1"/>
  <c r="F319" i="56" a="1"/>
  <c r="F319" i="56" s="1"/>
  <c r="E319" i="56"/>
  <c r="G318" i="56" a="1"/>
  <c r="G318" i="56" s="1"/>
  <c r="F318" i="56" a="1"/>
  <c r="F318" i="56" s="1"/>
  <c r="E318" i="56"/>
  <c r="G317" i="56" a="1"/>
  <c r="G317" i="56" s="1"/>
  <c r="F317" i="56" a="1"/>
  <c r="F317" i="56" s="1"/>
  <c r="E317" i="56"/>
  <c r="G316" i="56" a="1"/>
  <c r="G316" i="56" s="1"/>
  <c r="F316" i="56" a="1"/>
  <c r="F316" i="56" s="1"/>
  <c r="E316" i="56"/>
  <c r="G315" i="56" a="1"/>
  <c r="G315" i="56" s="1"/>
  <c r="F315" i="56" a="1"/>
  <c r="F315" i="56" s="1"/>
  <c r="E315" i="56"/>
  <c r="G314" i="56" a="1"/>
  <c r="G314" i="56" s="1"/>
  <c r="F314" i="56" a="1"/>
  <c r="F314" i="56" s="1"/>
  <c r="E314" i="56"/>
  <c r="G313" i="56" a="1"/>
  <c r="G313" i="56" s="1"/>
  <c r="F313" i="56" a="1"/>
  <c r="F313" i="56" s="1"/>
  <c r="E313" i="56"/>
  <c r="G312" i="56" a="1"/>
  <c r="G312" i="56" s="1"/>
  <c r="F312" i="56" a="1"/>
  <c r="F312" i="56" s="1"/>
  <c r="E312" i="56"/>
  <c r="G311" i="56" a="1"/>
  <c r="G311" i="56" s="1"/>
  <c r="F311" i="56" a="1"/>
  <c r="F311" i="56" s="1"/>
  <c r="E311" i="56"/>
  <c r="G310" i="56" a="1"/>
  <c r="G310" i="56" s="1"/>
  <c r="F310" i="56" a="1"/>
  <c r="F310" i="56" s="1"/>
  <c r="E310" i="56"/>
  <c r="G309" i="56" a="1"/>
  <c r="G309" i="56" s="1"/>
  <c r="F309" i="56" a="1"/>
  <c r="F309" i="56" s="1"/>
  <c r="E309" i="56"/>
  <c r="G308" i="56" a="1"/>
  <c r="G308" i="56" s="1"/>
  <c r="F308" i="56" a="1"/>
  <c r="F308" i="56" s="1"/>
  <c r="E308" i="56"/>
  <c r="G307" i="56" a="1"/>
  <c r="G307" i="56" s="1"/>
  <c r="F307" i="56" a="1"/>
  <c r="F307" i="56" s="1"/>
  <c r="E307" i="56"/>
  <c r="G306" i="56" a="1"/>
  <c r="G306" i="56" s="1"/>
  <c r="F306" i="56" a="1"/>
  <c r="F306" i="56" s="1"/>
  <c r="E306" i="56"/>
  <c r="G305" i="56" a="1"/>
  <c r="G305" i="56" s="1"/>
  <c r="F305" i="56" a="1"/>
  <c r="F305" i="56" s="1"/>
  <c r="E305" i="56"/>
  <c r="G304" i="56" a="1"/>
  <c r="G304" i="56" s="1"/>
  <c r="F304" i="56" a="1"/>
  <c r="F304" i="56" s="1"/>
  <c r="E304" i="56"/>
  <c r="G303" i="56" a="1"/>
  <c r="G303" i="56" s="1"/>
  <c r="F303" i="56" a="1"/>
  <c r="F303" i="56" s="1"/>
  <c r="E303" i="56"/>
  <c r="G302" i="56" a="1"/>
  <c r="G302" i="56" s="1"/>
  <c r="F302" i="56" a="1"/>
  <c r="F302" i="56" s="1"/>
  <c r="E302" i="56"/>
  <c r="G301" i="56" a="1"/>
  <c r="G301" i="56" s="1"/>
  <c r="F301" i="56" a="1"/>
  <c r="F301" i="56" s="1"/>
  <c r="E301" i="56"/>
  <c r="G300" i="56" a="1"/>
  <c r="G300" i="56" s="1"/>
  <c r="F300" i="56" a="1"/>
  <c r="F300" i="56" s="1"/>
  <c r="E300" i="56"/>
  <c r="G299" i="56" a="1"/>
  <c r="G299" i="56" s="1"/>
  <c r="F299" i="56" a="1"/>
  <c r="F299" i="56" s="1"/>
  <c r="E299" i="56"/>
  <c r="G298" i="56" a="1"/>
  <c r="G298" i="56" s="1"/>
  <c r="F298" i="56" a="1"/>
  <c r="F298" i="56" s="1"/>
  <c r="E298" i="56"/>
  <c r="G297" i="56" a="1"/>
  <c r="G297" i="56" s="1"/>
  <c r="F297" i="56" a="1"/>
  <c r="F297" i="56" s="1"/>
  <c r="E297" i="56"/>
  <c r="G294" i="56" a="1"/>
  <c r="G294" i="56" s="1"/>
  <c r="F294" i="56" a="1"/>
  <c r="F294" i="56" s="1"/>
  <c r="E294" i="56"/>
  <c r="G293" i="56" a="1"/>
  <c r="G293" i="56" s="1"/>
  <c r="F293" i="56" a="1"/>
  <c r="F293" i="56" s="1"/>
  <c r="E293" i="56"/>
  <c r="G292" i="56" a="1"/>
  <c r="G292" i="56" s="1"/>
  <c r="F292" i="56" a="1"/>
  <c r="F292" i="56" s="1"/>
  <c r="E292" i="56"/>
  <c r="G291" i="56" a="1"/>
  <c r="G291" i="56" s="1"/>
  <c r="F291" i="56" a="1"/>
  <c r="F291" i="56" s="1"/>
  <c r="E291" i="56"/>
  <c r="G290" i="56" a="1"/>
  <c r="G290" i="56" s="1"/>
  <c r="F290" i="56" a="1"/>
  <c r="F290" i="56" s="1"/>
  <c r="E290" i="56"/>
  <c r="G289" i="56" a="1"/>
  <c r="G289" i="56" s="1"/>
  <c r="F289" i="56" a="1"/>
  <c r="F289" i="56" s="1"/>
  <c r="E289" i="56"/>
  <c r="G288" i="56" a="1"/>
  <c r="G288" i="56" s="1"/>
  <c r="F288" i="56" a="1"/>
  <c r="F288" i="56" s="1"/>
  <c r="E288" i="56"/>
  <c r="G287" i="56"/>
  <c r="G287" i="56" a="1"/>
  <c r="F287" i="56" a="1"/>
  <c r="F287" i="56" s="1"/>
  <c r="E287" i="56"/>
  <c r="G286" i="56" a="1"/>
  <c r="G286" i="56" s="1"/>
  <c r="F286" i="56" a="1"/>
  <c r="F286" i="56" s="1"/>
  <c r="E286" i="56"/>
  <c r="G285" i="56" a="1"/>
  <c r="G285" i="56" s="1"/>
  <c r="F285" i="56" a="1"/>
  <c r="F285" i="56" s="1"/>
  <c r="E285" i="56"/>
  <c r="G284" i="56" a="1"/>
  <c r="G284" i="56" s="1"/>
  <c r="F284" i="56" a="1"/>
  <c r="F284" i="56" s="1"/>
  <c r="E284" i="56"/>
  <c r="G283" i="56" a="1"/>
  <c r="G283" i="56" s="1"/>
  <c r="F283" i="56" a="1"/>
  <c r="F283" i="56" s="1"/>
  <c r="E283" i="56"/>
  <c r="G282" i="56" a="1"/>
  <c r="G282" i="56" s="1"/>
  <c r="F282" i="56" a="1"/>
  <c r="F282" i="56" s="1"/>
  <c r="E282" i="56"/>
  <c r="G281" i="56" a="1"/>
  <c r="G281" i="56" s="1"/>
  <c r="F281" i="56" a="1"/>
  <c r="F281" i="56" s="1"/>
  <c r="E281" i="56"/>
  <c r="G280" i="56" a="1"/>
  <c r="G280" i="56" s="1"/>
  <c r="F280" i="56" a="1"/>
  <c r="F280" i="56" s="1"/>
  <c r="E280" i="56"/>
  <c r="G279" i="56" a="1"/>
  <c r="G279" i="56" s="1"/>
  <c r="F279" i="56" a="1"/>
  <c r="F279" i="56" s="1"/>
  <c r="E279" i="56"/>
  <c r="G278" i="56" a="1"/>
  <c r="G278" i="56" s="1"/>
  <c r="F278" i="56" a="1"/>
  <c r="F278" i="56" s="1"/>
  <c r="E278" i="56"/>
  <c r="G277" i="56" a="1"/>
  <c r="G277" i="56" s="1"/>
  <c r="F277" i="56" a="1"/>
  <c r="F277" i="56" s="1"/>
  <c r="E277" i="56"/>
  <c r="G276" i="56" a="1"/>
  <c r="G276" i="56" s="1"/>
  <c r="F276" i="56" a="1"/>
  <c r="F276" i="56" s="1"/>
  <c r="E276" i="56"/>
  <c r="G275" i="56" a="1"/>
  <c r="G275" i="56" s="1"/>
  <c r="F275" i="56" a="1"/>
  <c r="F275" i="56" s="1"/>
  <c r="E275" i="56"/>
  <c r="G274" i="56" a="1"/>
  <c r="G274" i="56" s="1"/>
  <c r="F274" i="56" a="1"/>
  <c r="F274" i="56" s="1"/>
  <c r="E274" i="56"/>
  <c r="G273" i="56" a="1"/>
  <c r="G273" i="56" s="1"/>
  <c r="F273" i="56" a="1"/>
  <c r="F273" i="56" s="1"/>
  <c r="E273" i="56"/>
  <c r="G272" i="56" a="1"/>
  <c r="G272" i="56" s="1"/>
  <c r="F272" i="56" a="1"/>
  <c r="F272" i="56" s="1"/>
  <c r="E272" i="56"/>
  <c r="G271" i="56" a="1"/>
  <c r="G271" i="56" s="1"/>
  <c r="F271" i="56" a="1"/>
  <c r="F271" i="56" s="1"/>
  <c r="E271" i="56"/>
  <c r="G270" i="56" a="1"/>
  <c r="G270" i="56" s="1"/>
  <c r="F270" i="56" a="1"/>
  <c r="F270" i="56" s="1"/>
  <c r="E270" i="56"/>
  <c r="G269" i="56" a="1"/>
  <c r="G269" i="56" s="1"/>
  <c r="F269" i="56" a="1"/>
  <c r="F269" i="56" s="1"/>
  <c r="E269" i="56"/>
  <c r="G268" i="56" a="1"/>
  <c r="G268" i="56" s="1"/>
  <c r="F268" i="56" a="1"/>
  <c r="F268" i="56" s="1"/>
  <c r="E268" i="56"/>
  <c r="G267" i="56" a="1"/>
  <c r="G267" i="56" s="1"/>
  <c r="F267" i="56" a="1"/>
  <c r="F267" i="56" s="1"/>
  <c r="E267" i="56"/>
  <c r="G266" i="56" a="1"/>
  <c r="G266" i="56" s="1"/>
  <c r="F266" i="56" a="1"/>
  <c r="F266" i="56" s="1"/>
  <c r="E266" i="56"/>
  <c r="G264" i="56" a="1"/>
  <c r="G264" i="56" s="1"/>
  <c r="F264" i="56" a="1"/>
  <c r="F264" i="56" s="1"/>
  <c r="E264" i="56"/>
  <c r="G263" i="56" a="1"/>
  <c r="G263" i="56" s="1"/>
  <c r="F263" i="56" a="1"/>
  <c r="F263" i="56" s="1"/>
  <c r="E263" i="56"/>
  <c r="G262" i="56" a="1"/>
  <c r="G262" i="56" s="1"/>
  <c r="F262" i="56" a="1"/>
  <c r="F262" i="56" s="1"/>
  <c r="E262" i="56"/>
  <c r="G261" i="56" a="1"/>
  <c r="G261" i="56" s="1"/>
  <c r="F261" i="56" a="1"/>
  <c r="F261" i="56" s="1"/>
  <c r="E261" i="56"/>
  <c r="G260" i="56" a="1"/>
  <c r="G260" i="56" s="1"/>
  <c r="F260" i="56" a="1"/>
  <c r="F260" i="56" s="1"/>
  <c r="E260" i="56"/>
  <c r="G259" i="56" a="1"/>
  <c r="G259" i="56" s="1"/>
  <c r="F259" i="56" a="1"/>
  <c r="F259" i="56" s="1"/>
  <c r="E259" i="56"/>
  <c r="G258" i="56" a="1"/>
  <c r="G258" i="56" s="1"/>
  <c r="F258" i="56" a="1"/>
  <c r="F258" i="56" s="1"/>
  <c r="E258" i="56"/>
  <c r="G257" i="56" a="1"/>
  <c r="G257" i="56" s="1"/>
  <c r="F257" i="56" a="1"/>
  <c r="F257" i="56" s="1"/>
  <c r="E257" i="56"/>
  <c r="G256" i="56" a="1"/>
  <c r="G256" i="56" s="1"/>
  <c r="F256" i="56" a="1"/>
  <c r="F256" i="56" s="1"/>
  <c r="E256" i="56"/>
  <c r="G255" i="56" a="1"/>
  <c r="G255" i="56" s="1"/>
  <c r="F255" i="56" a="1"/>
  <c r="F255" i="56" s="1"/>
  <c r="E255" i="56"/>
  <c r="G254" i="56" a="1"/>
  <c r="G254" i="56" s="1"/>
  <c r="F254" i="56" a="1"/>
  <c r="F254" i="56" s="1"/>
  <c r="E254" i="56"/>
  <c r="G253" i="56" a="1"/>
  <c r="G253" i="56" s="1"/>
  <c r="F253" i="56" a="1"/>
  <c r="F253" i="56" s="1"/>
  <c r="E253" i="56"/>
  <c r="G252" i="56" a="1"/>
  <c r="G252" i="56" s="1"/>
  <c r="F252" i="56" a="1"/>
  <c r="F252" i="56" s="1"/>
  <c r="E252" i="56"/>
  <c r="G251" i="56" a="1"/>
  <c r="G251" i="56" s="1"/>
  <c r="F251" i="56" a="1"/>
  <c r="F251" i="56" s="1"/>
  <c r="E251" i="56"/>
  <c r="G250" i="56" a="1"/>
  <c r="G250" i="56" s="1"/>
  <c r="F250" i="56" a="1"/>
  <c r="F250" i="56" s="1"/>
  <c r="E250" i="56"/>
  <c r="G249" i="56" a="1"/>
  <c r="G249" i="56" s="1"/>
  <c r="F249" i="56" a="1"/>
  <c r="F249" i="56" s="1"/>
  <c r="E249" i="56"/>
  <c r="G248" i="56" a="1"/>
  <c r="G248" i="56" s="1"/>
  <c r="F248" i="56" a="1"/>
  <c r="F248" i="56" s="1"/>
  <c r="E248" i="56"/>
  <c r="G247" i="56" a="1"/>
  <c r="G247" i="56" s="1"/>
  <c r="F247" i="56" a="1"/>
  <c r="F247" i="56" s="1"/>
  <c r="E247" i="56"/>
  <c r="G246" i="56" a="1"/>
  <c r="G246" i="56" s="1"/>
  <c r="F246" i="56" a="1"/>
  <c r="F246" i="56" s="1"/>
  <c r="E246" i="56"/>
  <c r="G245" i="56" a="1"/>
  <c r="G245" i="56" s="1"/>
  <c r="F245" i="56" a="1"/>
  <c r="F245" i="56" s="1"/>
  <c r="E245" i="56"/>
  <c r="G244" i="56" a="1"/>
  <c r="G244" i="56" s="1"/>
  <c r="F244" i="56" a="1"/>
  <c r="F244" i="56" s="1"/>
  <c r="E244" i="56"/>
  <c r="G242" i="56" a="1"/>
  <c r="G242" i="56" s="1"/>
  <c r="F242" i="56" a="1"/>
  <c r="F242" i="56" s="1"/>
  <c r="E242" i="56"/>
  <c r="G241" i="56" a="1"/>
  <c r="G241" i="56" s="1"/>
  <c r="F241" i="56" a="1"/>
  <c r="F241" i="56" s="1"/>
  <c r="E241" i="56"/>
  <c r="G240" i="56" a="1"/>
  <c r="G240" i="56" s="1"/>
  <c r="F240" i="56" a="1"/>
  <c r="F240" i="56" s="1"/>
  <c r="E240" i="56"/>
  <c r="G239" i="56" a="1"/>
  <c r="G239" i="56" s="1"/>
  <c r="F239" i="56" a="1"/>
  <c r="F239" i="56" s="1"/>
  <c r="E239" i="56"/>
  <c r="G238" i="56" a="1"/>
  <c r="G238" i="56" s="1"/>
  <c r="F238" i="56" a="1"/>
  <c r="F238" i="56" s="1"/>
  <c r="E238" i="56"/>
  <c r="G237" i="56" a="1"/>
  <c r="G237" i="56" s="1"/>
  <c r="F237" i="56" a="1"/>
  <c r="F237" i="56" s="1"/>
  <c r="E237" i="56"/>
  <c r="G236" i="56" a="1"/>
  <c r="G236" i="56" s="1"/>
  <c r="F236" i="56" a="1"/>
  <c r="F236" i="56" s="1"/>
  <c r="E236" i="56"/>
  <c r="G235" i="56" a="1"/>
  <c r="G235" i="56" s="1"/>
  <c r="F235" i="56" a="1"/>
  <c r="F235" i="56" s="1"/>
  <c r="E235" i="56"/>
  <c r="G234" i="56" a="1"/>
  <c r="G234" i="56" s="1"/>
  <c r="F234" i="56" a="1"/>
  <c r="F234" i="56" s="1"/>
  <c r="E234" i="56"/>
  <c r="G233" i="56" a="1"/>
  <c r="G233" i="56" s="1"/>
  <c r="F233" i="56" a="1"/>
  <c r="F233" i="56" s="1"/>
  <c r="E233" i="56"/>
  <c r="G232" i="56" a="1"/>
  <c r="G232" i="56" s="1"/>
  <c r="F232" i="56" a="1"/>
  <c r="F232" i="56" s="1"/>
  <c r="E232" i="56"/>
  <c r="G231" i="56" a="1"/>
  <c r="G231" i="56" s="1"/>
  <c r="F231" i="56" a="1"/>
  <c r="F231" i="56" s="1"/>
  <c r="E231" i="56"/>
  <c r="G230" i="56" a="1"/>
  <c r="G230" i="56" s="1"/>
  <c r="F230" i="56" a="1"/>
  <c r="F230" i="56" s="1"/>
  <c r="E230" i="56"/>
  <c r="G229" i="56" a="1"/>
  <c r="G229" i="56" s="1"/>
  <c r="F229" i="56" a="1"/>
  <c r="F229" i="56" s="1"/>
  <c r="E229" i="56"/>
  <c r="G228" i="56" a="1"/>
  <c r="G228" i="56" s="1"/>
  <c r="F228" i="56" a="1"/>
  <c r="F228" i="56" s="1"/>
  <c r="E228" i="56"/>
  <c r="G227" i="56" a="1"/>
  <c r="G227" i="56" s="1"/>
  <c r="F227" i="56" a="1"/>
  <c r="F227" i="56" s="1"/>
  <c r="E227" i="56"/>
  <c r="G226" i="56" a="1"/>
  <c r="G226" i="56" s="1"/>
  <c r="F226" i="56" a="1"/>
  <c r="F226" i="56" s="1"/>
  <c r="E226" i="56"/>
  <c r="G225" i="56" a="1"/>
  <c r="G225" i="56" s="1"/>
  <c r="F225" i="56" a="1"/>
  <c r="F225" i="56" s="1"/>
  <c r="E225" i="56"/>
  <c r="G224" i="56" a="1"/>
  <c r="G224" i="56" s="1"/>
  <c r="F224" i="56" a="1"/>
  <c r="F224" i="56" s="1"/>
  <c r="E224" i="56"/>
  <c r="G223" i="56" a="1"/>
  <c r="G223" i="56" s="1"/>
  <c r="F223" i="56" a="1"/>
  <c r="F223" i="56" s="1"/>
  <c r="E223" i="56"/>
  <c r="G222" i="56" a="1"/>
  <c r="G222" i="56" s="1"/>
  <c r="F222" i="56" a="1"/>
  <c r="F222" i="56" s="1"/>
  <c r="E222" i="56"/>
  <c r="G221" i="56" a="1"/>
  <c r="G221" i="56" s="1"/>
  <c r="F221" i="56" a="1"/>
  <c r="F221" i="56" s="1"/>
  <c r="E221" i="56"/>
  <c r="G220" i="56" a="1"/>
  <c r="G220" i="56" s="1"/>
  <c r="F220" i="56" a="1"/>
  <c r="F220" i="56" s="1"/>
  <c r="E220" i="56"/>
  <c r="G219" i="56" a="1"/>
  <c r="G219" i="56" s="1"/>
  <c r="F219" i="56" a="1"/>
  <c r="F219" i="56" s="1"/>
  <c r="E219" i="56"/>
  <c r="G218" i="56" a="1"/>
  <c r="G218" i="56" s="1"/>
  <c r="F218" i="56" a="1"/>
  <c r="F218" i="56" s="1"/>
  <c r="E218" i="56"/>
  <c r="G217" i="56" a="1"/>
  <c r="G217" i="56" s="1"/>
  <c r="F217" i="56" a="1"/>
  <c r="F217" i="56" s="1"/>
  <c r="E217" i="56"/>
  <c r="G211" i="56" a="1"/>
  <c r="G211" i="56" s="1"/>
  <c r="F211" i="56" a="1"/>
  <c r="F211" i="56" s="1"/>
  <c r="E211" i="56"/>
  <c r="G210" i="56" a="1"/>
  <c r="G210" i="56" s="1"/>
  <c r="F210" i="56" a="1"/>
  <c r="F210" i="56" s="1"/>
  <c r="E210" i="56"/>
  <c r="G209" i="56" a="1"/>
  <c r="G209" i="56" s="1"/>
  <c r="F209" i="56" a="1"/>
  <c r="F209" i="56" s="1"/>
  <c r="E209" i="56"/>
  <c r="G208" i="56" a="1"/>
  <c r="G208" i="56" s="1"/>
  <c r="F208" i="56" a="1"/>
  <c r="F208" i="56" s="1"/>
  <c r="E208" i="56"/>
  <c r="G207" i="56" a="1"/>
  <c r="G207" i="56" s="1"/>
  <c r="F207" i="56" a="1"/>
  <c r="F207" i="56" s="1"/>
  <c r="E207" i="56"/>
  <c r="G206" i="56" a="1"/>
  <c r="G206" i="56" s="1"/>
  <c r="F206" i="56" a="1"/>
  <c r="F206" i="56" s="1"/>
  <c r="E206" i="56"/>
  <c r="G205" i="56" a="1"/>
  <c r="G205" i="56" s="1"/>
  <c r="F205" i="56" a="1"/>
  <c r="F205" i="56" s="1"/>
  <c r="E205" i="56"/>
  <c r="G204" i="56" a="1"/>
  <c r="G204" i="56" s="1"/>
  <c r="F204" i="56" a="1"/>
  <c r="F204" i="56" s="1"/>
  <c r="E204" i="56"/>
  <c r="G203" i="56" a="1"/>
  <c r="G203" i="56" s="1"/>
  <c r="F203" i="56" a="1"/>
  <c r="F203" i="56" s="1"/>
  <c r="E203" i="56"/>
  <c r="G202" i="56" a="1"/>
  <c r="G202" i="56" s="1"/>
  <c r="F202" i="56" a="1"/>
  <c r="F202" i="56" s="1"/>
  <c r="E202" i="56"/>
  <c r="G201" i="56" a="1"/>
  <c r="G201" i="56" s="1"/>
  <c r="F201" i="56" a="1"/>
  <c r="F201" i="56" s="1"/>
  <c r="E201" i="56"/>
  <c r="G200" i="56" a="1"/>
  <c r="G200" i="56" s="1"/>
  <c r="F200" i="56" a="1"/>
  <c r="F200" i="56" s="1"/>
  <c r="E200" i="56"/>
  <c r="G199" i="56" a="1"/>
  <c r="G199" i="56" s="1"/>
  <c r="F199" i="56" a="1"/>
  <c r="F199" i="56" s="1"/>
  <c r="E199" i="56"/>
  <c r="G198" i="56" a="1"/>
  <c r="G198" i="56" s="1"/>
  <c r="F198" i="56" a="1"/>
  <c r="F198" i="56" s="1"/>
  <c r="E198" i="56"/>
  <c r="G197" i="56" a="1"/>
  <c r="G197" i="56" s="1"/>
  <c r="F197" i="56" a="1"/>
  <c r="F197" i="56" s="1"/>
  <c r="E197" i="56"/>
  <c r="G196" i="56" a="1"/>
  <c r="G196" i="56" s="1"/>
  <c r="F196" i="56" a="1"/>
  <c r="F196" i="56" s="1"/>
  <c r="E196" i="56"/>
  <c r="G195" i="56" a="1"/>
  <c r="G195" i="56" s="1"/>
  <c r="F195" i="56" a="1"/>
  <c r="F195" i="56" s="1"/>
  <c r="E195" i="56"/>
  <c r="G194" i="56" a="1"/>
  <c r="G194" i="56" s="1"/>
  <c r="F194" i="56" a="1"/>
  <c r="F194" i="56" s="1"/>
  <c r="E194" i="56"/>
  <c r="G193" i="56" a="1"/>
  <c r="G193" i="56" s="1"/>
  <c r="F193" i="56" a="1"/>
  <c r="F193" i="56" s="1"/>
  <c r="E193" i="56"/>
  <c r="G192" i="56" a="1"/>
  <c r="G192" i="56" s="1"/>
  <c r="F192" i="56" a="1"/>
  <c r="F192" i="56" s="1"/>
  <c r="E192" i="56"/>
  <c r="G191" i="56" a="1"/>
  <c r="G191" i="56" s="1"/>
  <c r="F191" i="56" a="1"/>
  <c r="F191" i="56" s="1"/>
  <c r="E191" i="56"/>
  <c r="G190" i="56" a="1"/>
  <c r="G190" i="56" s="1"/>
  <c r="F190" i="56" a="1"/>
  <c r="F190" i="56" s="1"/>
  <c r="E190" i="56"/>
  <c r="G189" i="56" a="1"/>
  <c r="G189" i="56" s="1"/>
  <c r="F189" i="56" a="1"/>
  <c r="F189" i="56" s="1"/>
  <c r="E189" i="56"/>
  <c r="G188" i="56" a="1"/>
  <c r="G188" i="56" s="1"/>
  <c r="F188" i="56" a="1"/>
  <c r="F188" i="56" s="1"/>
  <c r="E188" i="56"/>
  <c r="G186" i="56" a="1"/>
  <c r="G186" i="56" s="1"/>
  <c r="F186" i="56" a="1"/>
  <c r="F186" i="56" s="1"/>
  <c r="E186" i="56"/>
  <c r="G185" i="56" a="1"/>
  <c r="G185" i="56" s="1"/>
  <c r="F185" i="56" a="1"/>
  <c r="F185" i="56" s="1"/>
  <c r="E185" i="56"/>
  <c r="G184" i="56" a="1"/>
  <c r="G184" i="56" s="1"/>
  <c r="F184" i="56" a="1"/>
  <c r="F184" i="56" s="1"/>
  <c r="E184" i="56"/>
  <c r="G183" i="56" a="1"/>
  <c r="G183" i="56" s="1"/>
  <c r="F183" i="56" a="1"/>
  <c r="F183" i="56" s="1"/>
  <c r="E183" i="56"/>
  <c r="G182" i="56" a="1"/>
  <c r="G182" i="56" s="1"/>
  <c r="F182" i="56" a="1"/>
  <c r="F182" i="56" s="1"/>
  <c r="E182" i="56"/>
  <c r="G181" i="56" a="1"/>
  <c r="G181" i="56" s="1"/>
  <c r="F181" i="56" a="1"/>
  <c r="F181" i="56" s="1"/>
  <c r="E181" i="56"/>
  <c r="G180" i="56" a="1"/>
  <c r="G180" i="56" s="1"/>
  <c r="F180" i="56" a="1"/>
  <c r="F180" i="56" s="1"/>
  <c r="E180" i="56"/>
  <c r="G179" i="56" a="1"/>
  <c r="G179" i="56" s="1"/>
  <c r="F179" i="56" a="1"/>
  <c r="F179" i="56" s="1"/>
  <c r="E179" i="56"/>
  <c r="G178" i="56" a="1"/>
  <c r="G178" i="56" s="1"/>
  <c r="F178" i="56" a="1"/>
  <c r="F178" i="56" s="1"/>
  <c r="E178" i="56"/>
  <c r="G177" i="56" a="1"/>
  <c r="G177" i="56" s="1"/>
  <c r="F177" i="56" a="1"/>
  <c r="F177" i="56" s="1"/>
  <c r="E177" i="56"/>
  <c r="G176" i="56" a="1"/>
  <c r="G176" i="56" s="1"/>
  <c r="F176" i="56" a="1"/>
  <c r="F176" i="56" s="1"/>
  <c r="E176" i="56"/>
  <c r="G175" i="56" a="1"/>
  <c r="G175" i="56" s="1"/>
  <c r="F175" i="56" a="1"/>
  <c r="F175" i="56" s="1"/>
  <c r="E175" i="56"/>
  <c r="G174" i="56" a="1"/>
  <c r="G174" i="56" s="1"/>
  <c r="F174" i="56" a="1"/>
  <c r="F174" i="56" s="1"/>
  <c r="E174" i="56"/>
  <c r="G173" i="56" a="1"/>
  <c r="G173" i="56" s="1"/>
  <c r="F173" i="56" a="1"/>
  <c r="F173" i="56" s="1"/>
  <c r="E173" i="56"/>
  <c r="G172" i="56" a="1"/>
  <c r="G172" i="56" s="1"/>
  <c r="F172" i="56" a="1"/>
  <c r="F172" i="56" s="1"/>
  <c r="E172" i="56"/>
  <c r="G171" i="56" a="1"/>
  <c r="G171" i="56" s="1"/>
  <c r="F171" i="56" a="1"/>
  <c r="F171" i="56" s="1"/>
  <c r="E171" i="56"/>
  <c r="G170" i="56" a="1"/>
  <c r="G170" i="56" s="1"/>
  <c r="F170" i="56" a="1"/>
  <c r="F170" i="56" s="1"/>
  <c r="E170" i="56"/>
  <c r="G169" i="56" a="1"/>
  <c r="G169" i="56" s="1"/>
  <c r="F169" i="56" a="1"/>
  <c r="F169" i="56" s="1"/>
  <c r="E169" i="56"/>
  <c r="G168" i="56" a="1"/>
  <c r="G168" i="56" s="1"/>
  <c r="F168" i="56" a="1"/>
  <c r="F168" i="56" s="1"/>
  <c r="E168" i="56"/>
  <c r="G167" i="56" a="1"/>
  <c r="G167" i="56" s="1"/>
  <c r="F167" i="56" a="1"/>
  <c r="F167" i="56" s="1"/>
  <c r="E167" i="56"/>
  <c r="G166" i="56" a="1"/>
  <c r="G166" i="56" s="1"/>
  <c r="F166" i="56" a="1"/>
  <c r="F166" i="56" s="1"/>
  <c r="E166" i="56"/>
  <c r="G165" i="56" a="1"/>
  <c r="G165" i="56" s="1"/>
  <c r="F165" i="56" a="1"/>
  <c r="F165" i="56" s="1"/>
  <c r="E165" i="56"/>
  <c r="G164" i="56" a="1"/>
  <c r="G164" i="56" s="1"/>
  <c r="F164" i="56" a="1"/>
  <c r="F164" i="56" s="1"/>
  <c r="E164" i="56"/>
  <c r="G163" i="56" a="1"/>
  <c r="G163" i="56" s="1"/>
  <c r="F163" i="56" a="1"/>
  <c r="F163" i="56" s="1"/>
  <c r="E163" i="56"/>
  <c r="G162" i="56" a="1"/>
  <c r="G162" i="56" s="1"/>
  <c r="F162" i="56" a="1"/>
  <c r="F162" i="56" s="1"/>
  <c r="E162" i="56"/>
  <c r="G161" i="56" a="1"/>
  <c r="G161" i="56" s="1"/>
  <c r="F161" i="56" a="1"/>
  <c r="F161" i="56" s="1"/>
  <c r="E161" i="56"/>
  <c r="G160" i="56" a="1"/>
  <c r="G160" i="56" s="1"/>
  <c r="F160" i="56" a="1"/>
  <c r="F160" i="56" s="1"/>
  <c r="E160" i="56"/>
  <c r="G159" i="56" a="1"/>
  <c r="G159" i="56" s="1"/>
  <c r="F159" i="56" a="1"/>
  <c r="F159" i="56" s="1"/>
  <c r="E159" i="56"/>
  <c r="G158" i="56" a="1"/>
  <c r="G158" i="56" s="1"/>
  <c r="F158" i="56" a="1"/>
  <c r="F158" i="56" s="1"/>
  <c r="E158" i="56"/>
  <c r="G157" i="56" a="1"/>
  <c r="G157" i="56" s="1"/>
  <c r="F157" i="56" a="1"/>
  <c r="F157" i="56" s="1"/>
  <c r="E157" i="56"/>
  <c r="G156" i="56" a="1"/>
  <c r="G156" i="56" s="1"/>
  <c r="F156" i="56" a="1"/>
  <c r="F156" i="56" s="1"/>
  <c r="E156" i="56"/>
  <c r="G155" i="56" a="1"/>
  <c r="G155" i="56" s="1"/>
  <c r="F155" i="56" a="1"/>
  <c r="F155" i="56" s="1"/>
  <c r="E155" i="56"/>
  <c r="G154" i="56" a="1"/>
  <c r="G154" i="56" s="1"/>
  <c r="F154" i="56" a="1"/>
  <c r="F154" i="56" s="1"/>
  <c r="E154" i="56"/>
  <c r="G153" i="56" a="1"/>
  <c r="G153" i="56" s="1"/>
  <c r="F153" i="56" a="1"/>
  <c r="F153" i="56" s="1"/>
  <c r="E153" i="56"/>
  <c r="G152" i="56" a="1"/>
  <c r="G152" i="56" s="1"/>
  <c r="F152" i="56" a="1"/>
  <c r="F152" i="56" s="1"/>
  <c r="E152" i="56"/>
  <c r="G151" i="56" a="1"/>
  <c r="G151" i="56" s="1"/>
  <c r="F151" i="56" a="1"/>
  <c r="F151" i="56" s="1"/>
  <c r="E151" i="56"/>
  <c r="G150" i="56" a="1"/>
  <c r="G150" i="56" s="1"/>
  <c r="F150" i="56" a="1"/>
  <c r="F150" i="56" s="1"/>
  <c r="E150" i="56"/>
  <c r="G149" i="56" a="1"/>
  <c r="G149" i="56" s="1"/>
  <c r="F149" i="56" a="1"/>
  <c r="F149" i="56" s="1"/>
  <c r="E149" i="56"/>
  <c r="G148" i="56" a="1"/>
  <c r="G148" i="56" s="1"/>
  <c r="F148" i="56" a="1"/>
  <c r="F148" i="56" s="1"/>
  <c r="E148" i="56"/>
  <c r="G145" i="56" a="1"/>
  <c r="G145" i="56" s="1"/>
  <c r="F145" i="56" a="1"/>
  <c r="F145" i="56" s="1"/>
  <c r="E145" i="56"/>
  <c r="G144" i="56" a="1"/>
  <c r="G144" i="56" s="1"/>
  <c r="F144" i="56" a="1"/>
  <c r="F144" i="56" s="1"/>
  <c r="E144" i="56"/>
  <c r="G143" i="56" a="1"/>
  <c r="G143" i="56" s="1"/>
  <c r="F143" i="56" a="1"/>
  <c r="F143" i="56" s="1"/>
  <c r="E143" i="56"/>
  <c r="G142" i="56" a="1"/>
  <c r="G142" i="56" s="1"/>
  <c r="F142" i="56" a="1"/>
  <c r="F142" i="56" s="1"/>
  <c r="E142" i="56"/>
  <c r="G141" i="56" a="1"/>
  <c r="G141" i="56" s="1"/>
  <c r="F141" i="56" a="1"/>
  <c r="F141" i="56" s="1"/>
  <c r="E141" i="56"/>
  <c r="G140" i="56" a="1"/>
  <c r="G140" i="56" s="1"/>
  <c r="F140" i="56" a="1"/>
  <c r="F140" i="56" s="1"/>
  <c r="E140" i="56"/>
  <c r="G139" i="56" a="1"/>
  <c r="G139" i="56" s="1"/>
  <c r="F139" i="56" a="1"/>
  <c r="F139" i="56" s="1"/>
  <c r="E139" i="56"/>
  <c r="G138" i="56" a="1"/>
  <c r="G138" i="56" s="1"/>
  <c r="F138" i="56" a="1"/>
  <c r="F138" i="56" s="1"/>
  <c r="E138" i="56"/>
  <c r="G137" i="56" a="1"/>
  <c r="G137" i="56" s="1"/>
  <c r="F137" i="56" a="1"/>
  <c r="F137" i="56" s="1"/>
  <c r="E137" i="56"/>
  <c r="G136" i="56" a="1"/>
  <c r="G136" i="56" s="1"/>
  <c r="F136" i="56" a="1"/>
  <c r="F136" i="56" s="1"/>
  <c r="E136" i="56"/>
  <c r="G135" i="56" a="1"/>
  <c r="G135" i="56" s="1"/>
  <c r="F135" i="56" a="1"/>
  <c r="F135" i="56" s="1"/>
  <c r="E135" i="56"/>
  <c r="G134" i="56" a="1"/>
  <c r="G134" i="56" s="1"/>
  <c r="F134" i="56" a="1"/>
  <c r="F134" i="56" s="1"/>
  <c r="E134" i="56"/>
  <c r="G133" i="56" a="1"/>
  <c r="G133" i="56" s="1"/>
  <c r="F133" i="56" a="1"/>
  <c r="F133" i="56" s="1"/>
  <c r="E133" i="56"/>
  <c r="G132" i="56" a="1"/>
  <c r="G132" i="56" s="1"/>
  <c r="F132" i="56" a="1"/>
  <c r="F132" i="56" s="1"/>
  <c r="E132" i="56"/>
  <c r="G131" i="56" a="1"/>
  <c r="G131" i="56" s="1"/>
  <c r="F131" i="56" a="1"/>
  <c r="F131" i="56" s="1"/>
  <c r="E131" i="56"/>
  <c r="G130" i="56" a="1"/>
  <c r="G130" i="56" s="1"/>
  <c r="F130" i="56" a="1"/>
  <c r="F130" i="56" s="1"/>
  <c r="E130" i="56"/>
  <c r="G129" i="56" a="1"/>
  <c r="G129" i="56" s="1"/>
  <c r="F129" i="56" a="1"/>
  <c r="F129" i="56" s="1"/>
  <c r="E129" i="56"/>
  <c r="G128" i="56" a="1"/>
  <c r="G128" i="56" s="1"/>
  <c r="F128" i="56" a="1"/>
  <c r="F128" i="56" s="1"/>
  <c r="E128" i="56"/>
  <c r="G127" i="56" a="1"/>
  <c r="G127" i="56" s="1"/>
  <c r="F127" i="56" a="1"/>
  <c r="F127" i="56" s="1"/>
  <c r="E127" i="56"/>
  <c r="G126" i="56" a="1"/>
  <c r="G126" i="56" s="1"/>
  <c r="F126" i="56" a="1"/>
  <c r="F126" i="56" s="1"/>
  <c r="E126" i="56"/>
  <c r="G125" i="56" a="1"/>
  <c r="G125" i="56" s="1"/>
  <c r="F125" i="56" a="1"/>
  <c r="F125" i="56" s="1"/>
  <c r="E125" i="56"/>
  <c r="G124" i="56" a="1"/>
  <c r="G124" i="56" s="1"/>
  <c r="F124" i="56" a="1"/>
  <c r="F124" i="56" s="1"/>
  <c r="E124" i="56"/>
  <c r="G123" i="56" a="1"/>
  <c r="G123" i="56" s="1"/>
  <c r="F123" i="56" a="1"/>
  <c r="F123" i="56" s="1"/>
  <c r="E123" i="56"/>
  <c r="G122" i="56" a="1"/>
  <c r="G122" i="56" s="1"/>
  <c r="F122" i="56" a="1"/>
  <c r="F122" i="56" s="1"/>
  <c r="E122" i="56"/>
  <c r="G121" i="56" a="1"/>
  <c r="G121" i="56" s="1"/>
  <c r="F121" i="56" a="1"/>
  <c r="F121" i="56" s="1"/>
  <c r="E121" i="56"/>
  <c r="G120" i="56" a="1"/>
  <c r="G120" i="56" s="1"/>
  <c r="F120" i="56" a="1"/>
  <c r="F120" i="56" s="1"/>
  <c r="E120" i="56"/>
  <c r="G119" i="56" a="1"/>
  <c r="G119" i="56" s="1"/>
  <c r="F119" i="56" a="1"/>
  <c r="F119" i="56" s="1"/>
  <c r="E119" i="56"/>
  <c r="G118" i="56" a="1"/>
  <c r="G118" i="56" s="1"/>
  <c r="F118" i="56" a="1"/>
  <c r="F118" i="56" s="1"/>
  <c r="E118" i="56"/>
  <c r="G117" i="56" a="1"/>
  <c r="G117" i="56" s="1"/>
  <c r="F117" i="56" a="1"/>
  <c r="F117" i="56" s="1"/>
  <c r="E117" i="56"/>
  <c r="G116" i="56" a="1"/>
  <c r="G116" i="56" s="1"/>
  <c r="F116" i="56" a="1"/>
  <c r="F116" i="56" s="1"/>
  <c r="E116" i="56"/>
  <c r="G115" i="56" a="1"/>
  <c r="G115" i="56" s="1"/>
  <c r="F115" i="56" a="1"/>
  <c r="F115" i="56" s="1"/>
  <c r="E115" i="56"/>
  <c r="G114" i="56" a="1"/>
  <c r="G114" i="56" s="1"/>
  <c r="F114" i="56" a="1"/>
  <c r="F114" i="56" s="1"/>
  <c r="E114" i="56"/>
  <c r="G113" i="56" a="1"/>
  <c r="G113" i="56" s="1"/>
  <c r="F113" i="56" a="1"/>
  <c r="F113" i="56" s="1"/>
  <c r="E113" i="56"/>
  <c r="G112" i="56" a="1"/>
  <c r="G112" i="56" s="1"/>
  <c r="F112" i="56" a="1"/>
  <c r="F112" i="56" s="1"/>
  <c r="E112" i="56"/>
  <c r="G110" i="56" a="1"/>
  <c r="G110" i="56" s="1"/>
  <c r="F110" i="56" a="1"/>
  <c r="F110" i="56" s="1"/>
  <c r="E110" i="56"/>
  <c r="G109" i="56" a="1"/>
  <c r="G109" i="56" s="1"/>
  <c r="F109" i="56" a="1"/>
  <c r="F109" i="56" s="1"/>
  <c r="E109" i="56"/>
  <c r="G108" i="56" a="1"/>
  <c r="G108" i="56" s="1"/>
  <c r="F108" i="56" a="1"/>
  <c r="F108" i="56" s="1"/>
  <c r="E108" i="56"/>
  <c r="G107" i="56" a="1"/>
  <c r="G107" i="56" s="1"/>
  <c r="F107" i="56" a="1"/>
  <c r="F107" i="56" s="1"/>
  <c r="E107" i="56"/>
  <c r="G106" i="56" a="1"/>
  <c r="G106" i="56" s="1"/>
  <c r="F106" i="56" a="1"/>
  <c r="F106" i="56" s="1"/>
  <c r="E106" i="56"/>
  <c r="G105" i="56" a="1"/>
  <c r="G105" i="56" s="1"/>
  <c r="F105" i="56" a="1"/>
  <c r="F105" i="56" s="1"/>
  <c r="E105" i="56"/>
  <c r="G104" i="56" a="1"/>
  <c r="G104" i="56" s="1"/>
  <c r="F104" i="56" a="1"/>
  <c r="F104" i="56" s="1"/>
  <c r="E104" i="56"/>
  <c r="G103" i="56" a="1"/>
  <c r="G103" i="56" s="1"/>
  <c r="F103" i="56" a="1"/>
  <c r="F103" i="56" s="1"/>
  <c r="E103" i="56"/>
  <c r="G102" i="56" a="1"/>
  <c r="G102" i="56" s="1"/>
  <c r="F102" i="56" a="1"/>
  <c r="F102" i="56" s="1"/>
  <c r="E102" i="56"/>
  <c r="G101" i="56" a="1"/>
  <c r="G101" i="56" s="1"/>
  <c r="F101" i="56" a="1"/>
  <c r="F101" i="56" s="1"/>
  <c r="E101" i="56"/>
  <c r="G100" i="56" a="1"/>
  <c r="G100" i="56" s="1"/>
  <c r="F100" i="56" a="1"/>
  <c r="F100" i="56" s="1"/>
  <c r="E100" i="56"/>
  <c r="G99" i="56" a="1"/>
  <c r="G99" i="56" s="1"/>
  <c r="F99" i="56" a="1"/>
  <c r="F99" i="56" s="1"/>
  <c r="E99" i="56"/>
  <c r="G98" i="56" a="1"/>
  <c r="G98" i="56" s="1"/>
  <c r="F98" i="56" a="1"/>
  <c r="F98" i="56" s="1"/>
  <c r="E98" i="56"/>
  <c r="G97" i="56" a="1"/>
  <c r="G97" i="56" s="1"/>
  <c r="F97" i="56" a="1"/>
  <c r="F97" i="56" s="1"/>
  <c r="E97" i="56"/>
  <c r="G96" i="56" a="1"/>
  <c r="G96" i="56" s="1"/>
  <c r="F96" i="56" a="1"/>
  <c r="F96" i="56" s="1"/>
  <c r="E96" i="56"/>
  <c r="G95" i="56" a="1"/>
  <c r="G95" i="56" s="1"/>
  <c r="F95" i="56" a="1"/>
  <c r="F95" i="56" s="1"/>
  <c r="E95" i="56"/>
  <c r="G94" i="56" a="1"/>
  <c r="G94" i="56" s="1"/>
  <c r="F94" i="56" a="1"/>
  <c r="F94" i="56" s="1"/>
  <c r="E94" i="56"/>
  <c r="G93" i="56" a="1"/>
  <c r="G93" i="56" s="1"/>
  <c r="F93" i="56" a="1"/>
  <c r="F93" i="56" s="1"/>
  <c r="E93" i="56"/>
  <c r="G92" i="56" a="1"/>
  <c r="G92" i="56" s="1"/>
  <c r="F92" i="56" a="1"/>
  <c r="F92" i="56" s="1"/>
  <c r="E92" i="56"/>
  <c r="G91" i="56" a="1"/>
  <c r="G91" i="56" s="1"/>
  <c r="F91" i="56" a="1"/>
  <c r="F91" i="56" s="1"/>
  <c r="E91" i="56"/>
  <c r="G90" i="56" a="1"/>
  <c r="G90" i="56" s="1"/>
  <c r="F90" i="56" a="1"/>
  <c r="F90" i="56" s="1"/>
  <c r="E90" i="56"/>
  <c r="G89" i="56" a="1"/>
  <c r="G89" i="56" s="1"/>
  <c r="F89" i="56" a="1"/>
  <c r="F89" i="56" s="1"/>
  <c r="E89" i="56"/>
  <c r="G88" i="56" a="1"/>
  <c r="G88" i="56" s="1"/>
  <c r="F88" i="56" a="1"/>
  <c r="F88" i="56" s="1"/>
  <c r="E88" i="56"/>
  <c r="G87" i="56" a="1"/>
  <c r="G87" i="56" s="1"/>
  <c r="F87" i="56" a="1"/>
  <c r="F87" i="56" s="1"/>
  <c r="E87" i="56"/>
  <c r="G86" i="56" a="1"/>
  <c r="G86" i="56" s="1"/>
  <c r="F86" i="56" a="1"/>
  <c r="F86" i="56" s="1"/>
  <c r="E86" i="56"/>
  <c r="G85" i="56" a="1"/>
  <c r="G85" i="56" s="1"/>
  <c r="F85" i="56" a="1"/>
  <c r="F85" i="56" s="1"/>
  <c r="E85" i="56"/>
  <c r="G84" i="56" a="1"/>
  <c r="G84" i="56" s="1"/>
  <c r="F84" i="56" a="1"/>
  <c r="F84" i="56" s="1"/>
  <c r="E84" i="56"/>
  <c r="G83" i="56" a="1"/>
  <c r="G83" i="56" s="1"/>
  <c r="F83" i="56" a="1"/>
  <c r="F83" i="56" s="1"/>
  <c r="E83" i="56"/>
  <c r="G82" i="56" a="1"/>
  <c r="G82" i="56" s="1"/>
  <c r="F82" i="56" a="1"/>
  <c r="F82" i="56" s="1"/>
  <c r="E82" i="56"/>
  <c r="G80" i="56" a="1"/>
  <c r="G80" i="56" s="1"/>
  <c r="F80" i="56" a="1"/>
  <c r="F80" i="56" s="1"/>
  <c r="E80" i="56"/>
  <c r="G79" i="56" a="1"/>
  <c r="G79" i="56" s="1"/>
  <c r="F79" i="56" a="1"/>
  <c r="F79" i="56" s="1"/>
  <c r="E79" i="56"/>
  <c r="G78" i="56" a="1"/>
  <c r="G78" i="56" s="1"/>
  <c r="F78" i="56" a="1"/>
  <c r="F78" i="56" s="1"/>
  <c r="E78" i="56"/>
  <c r="G77" i="56" a="1"/>
  <c r="G77" i="56" s="1"/>
  <c r="F77" i="56" a="1"/>
  <c r="F77" i="56" s="1"/>
  <c r="E77" i="56"/>
  <c r="G76" i="56" a="1"/>
  <c r="G76" i="56" s="1"/>
  <c r="F76" i="56" a="1"/>
  <c r="F76" i="56" s="1"/>
  <c r="E76" i="56"/>
  <c r="G75" i="56" a="1"/>
  <c r="G75" i="56" s="1"/>
  <c r="F75" i="56" a="1"/>
  <c r="F75" i="56" s="1"/>
  <c r="E75" i="56"/>
  <c r="G74" i="56" a="1"/>
  <c r="G74" i="56" s="1"/>
  <c r="F74" i="56" a="1"/>
  <c r="F74" i="56" s="1"/>
  <c r="E74" i="56"/>
  <c r="G73" i="56" a="1"/>
  <c r="G73" i="56" s="1"/>
  <c r="F73" i="56" a="1"/>
  <c r="F73" i="56" s="1"/>
  <c r="E73" i="56"/>
  <c r="G72" i="56" a="1"/>
  <c r="G72" i="56" s="1"/>
  <c r="F72" i="56" a="1"/>
  <c r="F72" i="56" s="1"/>
  <c r="E72" i="56"/>
  <c r="G71" i="56" a="1"/>
  <c r="G71" i="56" s="1"/>
  <c r="F71" i="56" a="1"/>
  <c r="F71" i="56" s="1"/>
  <c r="E71" i="56"/>
  <c r="G70" i="56" a="1"/>
  <c r="G70" i="56" s="1"/>
  <c r="F70" i="56" a="1"/>
  <c r="F70" i="56" s="1"/>
  <c r="E70" i="56"/>
  <c r="G69" i="56" a="1"/>
  <c r="G69" i="56" s="1"/>
  <c r="F69" i="56" a="1"/>
  <c r="F69" i="56" s="1"/>
  <c r="E69" i="56"/>
  <c r="G68" i="56" a="1"/>
  <c r="G68" i="56" s="1"/>
  <c r="F68" i="56" a="1"/>
  <c r="F68" i="56" s="1"/>
  <c r="E68" i="56"/>
  <c r="G67" i="56" a="1"/>
  <c r="G67" i="56" s="1"/>
  <c r="F67" i="56" a="1"/>
  <c r="F67" i="56" s="1"/>
  <c r="E67" i="56"/>
  <c r="G66" i="56" a="1"/>
  <c r="G66" i="56" s="1"/>
  <c r="F66" i="56" a="1"/>
  <c r="F66" i="56" s="1"/>
  <c r="E66" i="56"/>
  <c r="G65" i="56" a="1"/>
  <c r="G65" i="56" s="1"/>
  <c r="F65" i="56" a="1"/>
  <c r="F65" i="56" s="1"/>
  <c r="E65" i="56"/>
  <c r="G64" i="56" a="1"/>
  <c r="G64" i="56" s="1"/>
  <c r="F64" i="56" a="1"/>
  <c r="F64" i="56" s="1"/>
  <c r="E64" i="56"/>
  <c r="G63" i="56" a="1"/>
  <c r="G63" i="56" s="1"/>
  <c r="F63" i="56" a="1"/>
  <c r="F63" i="56" s="1"/>
  <c r="E63" i="56"/>
  <c r="G62" i="56" a="1"/>
  <c r="G62" i="56" s="1"/>
  <c r="F62" i="56" a="1"/>
  <c r="F62" i="56" s="1"/>
  <c r="E62" i="56"/>
  <c r="G61" i="56" a="1"/>
  <c r="G61" i="56" s="1"/>
  <c r="F61" i="56" a="1"/>
  <c r="F61" i="56" s="1"/>
  <c r="E61" i="56"/>
  <c r="G55" i="56" a="1"/>
  <c r="G55" i="56" s="1"/>
  <c r="F55" i="56" a="1"/>
  <c r="F55" i="56" s="1"/>
  <c r="E55" i="56"/>
  <c r="G54" i="56" a="1"/>
  <c r="G54" i="56" s="1"/>
  <c r="F54" i="56" a="1"/>
  <c r="F54" i="56" s="1"/>
  <c r="E54" i="56"/>
  <c r="G53" i="56" a="1"/>
  <c r="G53" i="56" s="1"/>
  <c r="F53" i="56" a="1"/>
  <c r="F53" i="56" s="1"/>
  <c r="E53" i="56"/>
  <c r="G52" i="56" a="1"/>
  <c r="G52" i="56" s="1"/>
  <c r="F52" i="56" a="1"/>
  <c r="F52" i="56" s="1"/>
  <c r="E52" i="56"/>
  <c r="G51" i="56" a="1"/>
  <c r="G51" i="56" s="1"/>
  <c r="F51" i="56" a="1"/>
  <c r="F51" i="56" s="1"/>
  <c r="E51" i="56"/>
  <c r="G50" i="56" a="1"/>
  <c r="G50" i="56" s="1"/>
  <c r="F50" i="56" a="1"/>
  <c r="F50" i="56" s="1"/>
  <c r="E50" i="56"/>
  <c r="G49" i="56" a="1"/>
  <c r="G49" i="56" s="1"/>
  <c r="F49" i="56" a="1"/>
  <c r="F49" i="56" s="1"/>
  <c r="E49" i="56"/>
  <c r="G48" i="56" a="1"/>
  <c r="G48" i="56" s="1"/>
  <c r="F48" i="56" a="1"/>
  <c r="F48" i="56" s="1"/>
  <c r="E48" i="56"/>
  <c r="G47" i="56" a="1"/>
  <c r="G47" i="56" s="1"/>
  <c r="F47" i="56" a="1"/>
  <c r="F47" i="56" s="1"/>
  <c r="E47" i="56"/>
  <c r="G46" i="56" a="1"/>
  <c r="G46" i="56" s="1"/>
  <c r="F46" i="56" a="1"/>
  <c r="F46" i="56" s="1"/>
  <c r="E46" i="56"/>
  <c r="G45" i="56" a="1"/>
  <c r="G45" i="56" s="1"/>
  <c r="F45" i="56" a="1"/>
  <c r="F45" i="56" s="1"/>
  <c r="E45" i="56"/>
  <c r="G44" i="56" a="1"/>
  <c r="G44" i="56" s="1"/>
  <c r="F44" i="56" a="1"/>
  <c r="F44" i="56" s="1"/>
  <c r="E44" i="56"/>
  <c r="G42" i="56" a="1"/>
  <c r="G42" i="56" s="1"/>
  <c r="F42" i="56" a="1"/>
  <c r="F42" i="56" s="1"/>
  <c r="E42" i="56"/>
  <c r="G41" i="56" a="1"/>
  <c r="G41" i="56" s="1"/>
  <c r="F41" i="56" a="1"/>
  <c r="F41" i="56" s="1"/>
  <c r="E41" i="56"/>
  <c r="G40" i="56" a="1"/>
  <c r="G40" i="56" s="1"/>
  <c r="F40" i="56" a="1"/>
  <c r="F40" i="56" s="1"/>
  <c r="E40" i="56"/>
  <c r="G39" i="56" a="1"/>
  <c r="G39" i="56" s="1"/>
  <c r="F39" i="56" a="1"/>
  <c r="F39" i="56" s="1"/>
  <c r="E39" i="56"/>
  <c r="G38" i="56" a="1"/>
  <c r="G38" i="56" s="1"/>
  <c r="F38" i="56" a="1"/>
  <c r="F38" i="56" s="1"/>
  <c r="E38" i="56"/>
  <c r="G37" i="56" a="1"/>
  <c r="G37" i="56" s="1"/>
  <c r="F37" i="56" a="1"/>
  <c r="F37" i="56" s="1"/>
  <c r="E37" i="56"/>
  <c r="G36" i="56" a="1"/>
  <c r="G36" i="56" s="1"/>
  <c r="F36" i="56" a="1"/>
  <c r="F36" i="56" s="1"/>
  <c r="E36" i="56"/>
  <c r="G33" i="56" a="1"/>
  <c r="G33" i="56" s="1"/>
  <c r="F33" i="56" a="1"/>
  <c r="F33" i="56" s="1"/>
  <c r="E33" i="56"/>
  <c r="G32" i="56" a="1"/>
  <c r="G32" i="56" s="1"/>
  <c r="F32" i="56" a="1"/>
  <c r="F32" i="56" s="1"/>
  <c r="E32" i="56"/>
  <c r="G31" i="56" a="1"/>
  <c r="G31" i="56" s="1"/>
  <c r="F31" i="56" a="1"/>
  <c r="F31" i="56" s="1"/>
  <c r="E31" i="56"/>
  <c r="G30" i="56" a="1"/>
  <c r="G30" i="56" s="1"/>
  <c r="F30" i="56" a="1"/>
  <c r="F30" i="56" s="1"/>
  <c r="E30" i="56"/>
  <c r="G29" i="56" a="1"/>
  <c r="G29" i="56" s="1"/>
  <c r="F29" i="56" a="1"/>
  <c r="F29" i="56" s="1"/>
  <c r="E29" i="56"/>
  <c r="G28" i="56" a="1"/>
  <c r="G28" i="56" s="1"/>
  <c r="F28" i="56" a="1"/>
  <c r="F28" i="56" s="1"/>
  <c r="E28" i="56"/>
  <c r="G27" i="56" a="1"/>
  <c r="G27" i="56" s="1"/>
  <c r="F27" i="56" a="1"/>
  <c r="F27" i="56" s="1"/>
  <c r="E27" i="56"/>
  <c r="G26" i="56" a="1"/>
  <c r="G26" i="56" s="1"/>
  <c r="F26" i="56" a="1"/>
  <c r="F26" i="56" s="1"/>
  <c r="E26" i="56"/>
  <c r="G25" i="56" a="1"/>
  <c r="G25" i="56" s="1"/>
  <c r="F25" i="56" a="1"/>
  <c r="F25" i="56" s="1"/>
  <c r="E25" i="56"/>
  <c r="G24" i="56" a="1"/>
  <c r="G24" i="56" s="1"/>
  <c r="F24" i="56" a="1"/>
  <c r="F24" i="56" s="1"/>
  <c r="E24" i="56"/>
  <c r="G23" i="56" a="1"/>
  <c r="G23" i="56" s="1"/>
  <c r="F23" i="56" a="1"/>
  <c r="F23" i="56" s="1"/>
  <c r="E23" i="56"/>
  <c r="G22" i="56" a="1"/>
  <c r="G22" i="56" s="1"/>
  <c r="F22" i="56" a="1"/>
  <c r="F22" i="56" s="1"/>
  <c r="E22" i="56"/>
  <c r="G21" i="56" a="1"/>
  <c r="G21" i="56" s="1"/>
  <c r="F21" i="56" a="1"/>
  <c r="F21" i="56" s="1"/>
  <c r="E21" i="56"/>
  <c r="G20" i="56" a="1"/>
  <c r="G20" i="56" s="1"/>
  <c r="F20" i="56" a="1"/>
  <c r="F20" i="56" s="1"/>
  <c r="E20" i="56"/>
  <c r="G19" i="56" a="1"/>
  <c r="G19" i="56" s="1"/>
  <c r="F19" i="56" a="1"/>
  <c r="F19" i="56" s="1"/>
  <c r="E19" i="56"/>
  <c r="G18" i="56" a="1"/>
  <c r="G18" i="56" s="1"/>
  <c r="F18" i="56" a="1"/>
  <c r="F18" i="56" s="1"/>
  <c r="E18" i="56"/>
  <c r="G16" i="56" a="1"/>
  <c r="G16" i="56" s="1"/>
  <c r="F16" i="56" a="1"/>
  <c r="F16" i="56" s="1"/>
  <c r="E16" i="56"/>
  <c r="G15" i="56" a="1"/>
  <c r="G15" i="56" s="1"/>
  <c r="F15" i="56" a="1"/>
  <c r="F15" i="56" s="1"/>
  <c r="E15" i="56"/>
  <c r="G14" i="56" a="1"/>
  <c r="G14" i="56" s="1"/>
  <c r="F14" i="56" a="1"/>
  <c r="F14" i="56" s="1"/>
  <c r="E14" i="56"/>
  <c r="G13" i="56" a="1"/>
  <c r="G13" i="56" s="1"/>
  <c r="F13" i="56" a="1"/>
  <c r="F13" i="56" s="1"/>
  <c r="E13" i="56"/>
  <c r="G12" i="56" a="1"/>
  <c r="G12" i="56" s="1"/>
  <c r="F12" i="56" a="1"/>
  <c r="F12" i="56" s="1"/>
  <c r="E12" i="56"/>
  <c r="G11" i="56" a="1"/>
  <c r="G11" i="56" s="1"/>
  <c r="F11" i="56" a="1"/>
  <c r="F11" i="56" s="1"/>
  <c r="E11" i="56"/>
  <c r="G9" i="56" a="1"/>
  <c r="G9" i="56" s="1"/>
  <c r="F9" i="56" a="1"/>
  <c r="F9" i="56" s="1"/>
  <c r="E9" i="56"/>
  <c r="G8" i="56" a="1"/>
  <c r="G8" i="56" s="1"/>
  <c r="F8" i="56" a="1"/>
  <c r="F8" i="56" s="1"/>
  <c r="E8" i="56"/>
  <c r="G7" i="56" a="1"/>
  <c r="G7" i="56" s="1"/>
  <c r="F7" i="56" a="1"/>
  <c r="F7" i="56" s="1"/>
  <c r="E7" i="56"/>
  <c r="H276" i="56" l="1"/>
  <c r="H336" i="56"/>
  <c r="H191" i="56"/>
  <c r="H195" i="56"/>
  <c r="H199" i="56"/>
  <c r="H260" i="56"/>
  <c r="H292" i="56"/>
  <c r="H352" i="56"/>
  <c r="H284" i="56"/>
  <c r="H344" i="56"/>
  <c r="H324" i="56"/>
  <c r="H249" i="56"/>
  <c r="H207" i="56"/>
  <c r="H266" i="56"/>
  <c r="H270" i="56"/>
  <c r="H189" i="56"/>
  <c r="H193" i="56"/>
  <c r="H197" i="56"/>
  <c r="H201" i="56"/>
  <c r="H245" i="56"/>
  <c r="H280" i="56"/>
  <c r="H288" i="56"/>
  <c r="H340" i="56"/>
  <c r="H348" i="56"/>
  <c r="H356" i="56"/>
  <c r="H253" i="56"/>
  <c r="H257" i="56"/>
  <c r="H262" i="56"/>
  <c r="H354" i="56"/>
  <c r="H61" i="56"/>
  <c r="H62" i="56"/>
  <c r="H65" i="56"/>
  <c r="H66" i="56"/>
  <c r="H69" i="56"/>
  <c r="H70" i="56"/>
  <c r="H73" i="56"/>
  <c r="H74" i="56"/>
  <c r="H77" i="56"/>
  <c r="H78" i="56"/>
  <c r="H205" i="56"/>
  <c r="H210" i="56"/>
  <c r="H278" i="56"/>
  <c r="H286" i="56"/>
  <c r="H330" i="56"/>
  <c r="H338" i="56"/>
  <c r="H346" i="56"/>
  <c r="H202" i="56"/>
  <c r="H208" i="56"/>
  <c r="H203" i="56"/>
  <c r="H206" i="56"/>
  <c r="H209" i="56"/>
  <c r="H282" i="56"/>
  <c r="H290" i="56"/>
  <c r="H334" i="56"/>
  <c r="H342" i="56"/>
  <c r="H350" i="56"/>
  <c r="H358" i="56"/>
  <c r="H246" i="56"/>
  <c r="H250" i="56"/>
  <c r="H254" i="56"/>
  <c r="H258" i="56"/>
  <c r="H259" i="56"/>
  <c r="H261" i="56"/>
  <c r="H263" i="56"/>
  <c r="H264" i="56"/>
  <c r="H294" i="56"/>
  <c r="H297" i="56"/>
  <c r="H299" i="56"/>
  <c r="H301" i="56"/>
  <c r="H303" i="56"/>
  <c r="H305" i="56"/>
  <c r="H307" i="56"/>
  <c r="H309" i="56"/>
  <c r="H311" i="56"/>
  <c r="H313" i="56"/>
  <c r="H315" i="56"/>
  <c r="H317" i="56"/>
  <c r="H319" i="56"/>
  <c r="H321" i="56"/>
  <c r="H323" i="56"/>
  <c r="H331" i="56"/>
  <c r="H332" i="56"/>
  <c r="H335" i="56"/>
  <c r="H337" i="56"/>
  <c r="H339" i="56"/>
  <c r="H341" i="56"/>
  <c r="H343" i="56"/>
  <c r="H345" i="56"/>
  <c r="H347" i="56"/>
  <c r="H349" i="56"/>
  <c r="H351" i="56"/>
  <c r="H353" i="56"/>
  <c r="H355" i="56"/>
  <c r="H357" i="56"/>
  <c r="H359" i="56"/>
  <c r="H360" i="56"/>
  <c r="H247" i="56"/>
  <c r="H251" i="56"/>
  <c r="H255" i="56"/>
  <c r="H275" i="56"/>
  <c r="H277" i="56"/>
  <c r="H279" i="56"/>
  <c r="H281" i="56"/>
  <c r="H283" i="56"/>
  <c r="H285" i="56"/>
  <c r="H287" i="56"/>
  <c r="H289" i="56"/>
  <c r="H291" i="56"/>
  <c r="H298" i="56"/>
  <c r="H300" i="56"/>
  <c r="H302" i="56"/>
  <c r="H304" i="56"/>
  <c r="H306" i="56"/>
  <c r="H308" i="56"/>
  <c r="H310" i="56"/>
  <c r="H312" i="56"/>
  <c r="H314" i="56"/>
  <c r="H316" i="56"/>
  <c r="H318" i="56"/>
  <c r="H320" i="56"/>
  <c r="H322" i="56"/>
  <c r="H217" i="56"/>
  <c r="H218" i="56"/>
  <c r="H219" i="56"/>
  <c r="H220" i="56"/>
  <c r="H221" i="56"/>
  <c r="H222" i="56"/>
  <c r="H223" i="56"/>
  <c r="H224" i="56"/>
  <c r="H225" i="56"/>
  <c r="H226" i="56"/>
  <c r="H227" i="56"/>
  <c r="H228" i="56"/>
  <c r="H229" i="56"/>
  <c r="H230" i="56"/>
  <c r="H231" i="56"/>
  <c r="H232" i="56"/>
  <c r="H233" i="56"/>
  <c r="H234" i="56"/>
  <c r="H235" i="56"/>
  <c r="H236" i="56"/>
  <c r="H237" i="56"/>
  <c r="H238" i="56"/>
  <c r="H239" i="56"/>
  <c r="H240" i="56"/>
  <c r="H241" i="56"/>
  <c r="H242" i="56"/>
  <c r="H244" i="56"/>
  <c r="H248" i="56"/>
  <c r="H252" i="56"/>
  <c r="H256" i="56"/>
  <c r="H269" i="56"/>
  <c r="H273" i="56"/>
  <c r="H274" i="56"/>
  <c r="H328" i="56"/>
  <c r="H327" i="56"/>
  <c r="H329" i="56"/>
  <c r="H325" i="56"/>
  <c r="H326" i="56"/>
  <c r="H267" i="56"/>
  <c r="H271" i="56"/>
  <c r="H293" i="56"/>
  <c r="H268" i="56"/>
  <c r="H272" i="56"/>
  <c r="H188" i="56"/>
  <c r="H194" i="56"/>
  <c r="H198" i="56"/>
  <c r="H211" i="56"/>
  <c r="H186" i="56"/>
  <c r="H192" i="56"/>
  <c r="H196" i="56"/>
  <c r="H64" i="56"/>
  <c r="H68" i="56"/>
  <c r="H190" i="56"/>
  <c r="H200" i="56"/>
  <c r="H204" i="56"/>
  <c r="H115" i="56"/>
  <c r="H119" i="56"/>
  <c r="H123" i="56"/>
  <c r="H127" i="56"/>
  <c r="H131" i="56"/>
  <c r="H135" i="56"/>
  <c r="H139" i="56"/>
  <c r="H143" i="56"/>
  <c r="H114" i="56"/>
  <c r="H118" i="56"/>
  <c r="H122" i="56"/>
  <c r="H126" i="56"/>
  <c r="H130" i="56"/>
  <c r="H134" i="56"/>
  <c r="H138" i="56"/>
  <c r="H142" i="56"/>
  <c r="H145" i="56"/>
  <c r="H149" i="56"/>
  <c r="H153" i="56"/>
  <c r="H157" i="56"/>
  <c r="H163" i="56"/>
  <c r="H167" i="56"/>
  <c r="H171" i="56"/>
  <c r="H179" i="56"/>
  <c r="H183" i="56"/>
  <c r="H105" i="56"/>
  <c r="H148" i="56"/>
  <c r="H150" i="56"/>
  <c r="H152" i="56"/>
  <c r="H154" i="56"/>
  <c r="H156" i="56"/>
  <c r="H158" i="56"/>
  <c r="H160" i="56"/>
  <c r="H162" i="56"/>
  <c r="H164" i="56"/>
  <c r="H166" i="56"/>
  <c r="H168" i="56"/>
  <c r="H170" i="56"/>
  <c r="H172" i="56"/>
  <c r="H174" i="56"/>
  <c r="H176" i="56"/>
  <c r="H178" i="56"/>
  <c r="H180" i="56"/>
  <c r="H182" i="56"/>
  <c r="H184" i="56"/>
  <c r="H151" i="56"/>
  <c r="H155" i="56"/>
  <c r="H159" i="56"/>
  <c r="H161" i="56"/>
  <c r="H165" i="56"/>
  <c r="H169" i="56"/>
  <c r="H173" i="56"/>
  <c r="H175" i="56"/>
  <c r="H177" i="56"/>
  <c r="H181" i="56"/>
  <c r="H185" i="56"/>
  <c r="H95" i="56"/>
  <c r="H109" i="56"/>
  <c r="H113" i="56"/>
  <c r="H117" i="56"/>
  <c r="H121" i="56"/>
  <c r="H125" i="56"/>
  <c r="H129" i="56"/>
  <c r="H133" i="56"/>
  <c r="H137" i="56"/>
  <c r="H141" i="56"/>
  <c r="H112" i="56"/>
  <c r="H116" i="56"/>
  <c r="H120" i="56"/>
  <c r="H124" i="56"/>
  <c r="H128" i="56"/>
  <c r="H132" i="56"/>
  <c r="H136" i="56"/>
  <c r="H140" i="56"/>
  <c r="H144" i="56"/>
  <c r="H82" i="56"/>
  <c r="H83" i="56"/>
  <c r="H84" i="56"/>
  <c r="H85" i="56"/>
  <c r="H86" i="56"/>
  <c r="H87" i="56"/>
  <c r="H88" i="56"/>
  <c r="H89" i="56"/>
  <c r="H90" i="56"/>
  <c r="H91" i="56"/>
  <c r="H92" i="56"/>
  <c r="H93" i="56"/>
  <c r="H94" i="56"/>
  <c r="H96" i="56"/>
  <c r="H97" i="56"/>
  <c r="H98" i="56"/>
  <c r="H99" i="56"/>
  <c r="H100" i="56"/>
  <c r="H101" i="56"/>
  <c r="H102" i="56"/>
  <c r="H103" i="56"/>
  <c r="H104" i="56"/>
  <c r="H106" i="56"/>
  <c r="H107" i="56"/>
  <c r="H108" i="56"/>
  <c r="H110" i="56"/>
  <c r="H72" i="56"/>
  <c r="H76" i="56"/>
  <c r="H80" i="56"/>
  <c r="H38" i="56"/>
  <c r="H47" i="56"/>
  <c r="H51" i="56"/>
  <c r="H54" i="56"/>
  <c r="H14" i="56"/>
  <c r="H19" i="56"/>
  <c r="H23" i="56"/>
  <c r="H27" i="56"/>
  <c r="H31" i="56"/>
  <c r="H55" i="56"/>
  <c r="H36" i="56"/>
  <c r="H40" i="56"/>
  <c r="H45" i="56"/>
  <c r="H49" i="56"/>
  <c r="H53" i="56"/>
  <c r="H63" i="56"/>
  <c r="H67" i="56"/>
  <c r="H71" i="56"/>
  <c r="H75" i="56"/>
  <c r="H79" i="56"/>
  <c r="H37" i="56"/>
  <c r="H41" i="56"/>
  <c r="H44" i="56"/>
  <c r="H48" i="56"/>
  <c r="H50" i="56"/>
  <c r="H12" i="56"/>
  <c r="H21" i="56"/>
  <c r="H25" i="56"/>
  <c r="H29" i="56"/>
  <c r="H39" i="56"/>
  <c r="H42" i="56"/>
  <c r="H46" i="56"/>
  <c r="H52" i="56"/>
  <c r="H32" i="56"/>
  <c r="H7" i="56"/>
  <c r="H8" i="56"/>
  <c r="H9" i="56"/>
  <c r="H11" i="56"/>
  <c r="H13" i="56"/>
  <c r="H15" i="56"/>
  <c r="H16" i="56"/>
  <c r="H18" i="56"/>
  <c r="H20" i="56"/>
  <c r="H22" i="56"/>
  <c r="H24" i="56"/>
  <c r="H26" i="56"/>
  <c r="H28" i="56"/>
  <c r="H30" i="56"/>
  <c r="H33" i="56"/>
  <c r="N14" i="65"/>
  <c r="H333" i="56" l="1"/>
  <c r="W34" i="18"/>
  <c r="U58" i="18" l="1"/>
  <c r="U57" i="18"/>
  <c r="U56" i="18"/>
  <c r="U55" i="18"/>
  <c r="U54" i="18"/>
  <c r="T58" i="18"/>
  <c r="T57" i="18"/>
  <c r="T56" i="18"/>
  <c r="T55" i="18"/>
  <c r="T54" i="18"/>
  <c r="X31" i="18"/>
  <c r="W50" i="18"/>
  <c r="W33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1" i="18"/>
  <c r="W52" i="18"/>
  <c r="W53" i="18"/>
  <c r="W32" i="18"/>
  <c r="W31" i="18" l="1"/>
  <c r="T59" i="18"/>
  <c r="D26" i="18" s="1"/>
  <c r="E24" i="18"/>
  <c r="E8" i="18" s="1"/>
  <c r="E25" i="18"/>
  <c r="E23" i="18"/>
  <c r="E7" i="18" s="1"/>
  <c r="D24" i="18"/>
  <c r="D25" i="18"/>
  <c r="D23" i="18"/>
  <c r="D7" i="18" s="1"/>
  <c r="C24" i="18"/>
  <c r="C25" i="18"/>
  <c r="C9" i="18" s="1"/>
  <c r="C23" i="18"/>
  <c r="U59" i="18"/>
  <c r="E26" i="18" s="1"/>
  <c r="S59" i="18"/>
  <c r="C26" i="18" s="1"/>
  <c r="C10" i="18" s="1"/>
  <c r="C8" i="18"/>
  <c r="E14" i="18"/>
  <c r="E22" i="18" s="1"/>
  <c r="D14" i="18"/>
  <c r="D22" i="18" s="1"/>
  <c r="C14" i="18"/>
  <c r="C22" i="18" s="1"/>
  <c r="B14" i="18"/>
  <c r="B22" i="18" s="1"/>
  <c r="C7" i="18"/>
  <c r="A22" i="18"/>
  <c r="E19" i="18"/>
  <c r="D19" i="18"/>
  <c r="C19" i="18"/>
  <c r="B18" i="18"/>
  <c r="B17" i="18"/>
  <c r="B16" i="18"/>
  <c r="B15" i="18"/>
  <c r="U17" i="18"/>
  <c r="T17" i="18"/>
  <c r="B19" i="18" l="1"/>
  <c r="C11" i="18"/>
  <c r="C27" i="18"/>
  <c r="E10" i="18"/>
  <c r="B26" i="18"/>
  <c r="D10" i="18"/>
  <c r="B24" i="18"/>
  <c r="D8" i="18"/>
  <c r="E27" i="18"/>
  <c r="E9" i="18"/>
  <c r="B25" i="18"/>
  <c r="D9" i="18"/>
  <c r="B23" i="18"/>
  <c r="D27" i="18"/>
  <c r="E11" i="18" l="1"/>
  <c r="D11" i="18"/>
  <c r="B27" i="18"/>
  <c r="E31" i="70" l="1"/>
  <c r="G16" i="64" l="1"/>
  <c r="G17" i="64"/>
  <c r="G21" i="64"/>
  <c r="G22" i="64"/>
  <c r="G23" i="64"/>
  <c r="K24" i="64"/>
  <c r="K25" i="64" l="1"/>
  <c r="J13" i="66" l="1"/>
  <c r="C12" i="66"/>
  <c r="J12" i="66" s="1"/>
  <c r="B15" i="66"/>
  <c r="J14" i="66" l="1"/>
  <c r="H13" i="20"/>
  <c r="I13" i="20" s="1"/>
  <c r="F10" i="18"/>
  <c r="G10" i="18"/>
  <c r="H10" i="18"/>
  <c r="B10" i="18"/>
  <c r="I10" i="18" l="1"/>
  <c r="N6" i="65"/>
  <c r="N11" i="65"/>
  <c r="N12" i="65"/>
  <c r="N13" i="65"/>
  <c r="N9" i="65" l="1"/>
  <c r="N5" i="65"/>
  <c r="B5" i="65" s="1"/>
  <c r="O43" i="71" l="1"/>
  <c r="O44" i="71"/>
  <c r="O45" i="71"/>
  <c r="O42" i="71"/>
  <c r="N3" i="71" l="1"/>
  <c r="N4" i="71"/>
  <c r="N5" i="71"/>
  <c r="N6" i="71"/>
  <c r="N7" i="71"/>
  <c r="N8" i="71"/>
  <c r="N9" i="71"/>
  <c r="N10" i="71"/>
  <c r="N11" i="71"/>
  <c r="N12" i="71"/>
  <c r="N13" i="71"/>
  <c r="N14" i="71"/>
  <c r="N15" i="71"/>
  <c r="N20" i="71"/>
  <c r="N21" i="71"/>
  <c r="N22" i="71"/>
  <c r="N23" i="71"/>
  <c r="N24" i="71"/>
  <c r="N25" i="71"/>
  <c r="N26" i="71"/>
  <c r="N27" i="71"/>
  <c r="N28" i="71"/>
  <c r="N29" i="71"/>
  <c r="N30" i="71"/>
  <c r="N31" i="71"/>
  <c r="N32" i="71"/>
  <c r="N33" i="71"/>
  <c r="N34" i="71"/>
  <c r="L3" i="71"/>
  <c r="L4" i="71"/>
  <c r="L5" i="71"/>
  <c r="L6" i="71"/>
  <c r="L7" i="71"/>
  <c r="L8" i="71"/>
  <c r="L9" i="71"/>
  <c r="L10" i="71"/>
  <c r="L11" i="71"/>
  <c r="L12" i="71"/>
  <c r="L13" i="71"/>
  <c r="L14" i="71"/>
  <c r="L15" i="71"/>
  <c r="L20" i="71"/>
  <c r="L21" i="71"/>
  <c r="L22" i="71"/>
  <c r="L23" i="71"/>
  <c r="L24" i="71"/>
  <c r="L25" i="71"/>
  <c r="L26" i="71"/>
  <c r="L27" i="71"/>
  <c r="L28" i="71"/>
  <c r="L29" i="71"/>
  <c r="L30" i="71"/>
  <c r="L31" i="71"/>
  <c r="L32" i="71"/>
  <c r="L33" i="71"/>
  <c r="L34" i="71"/>
  <c r="P29" i="71" l="1"/>
  <c r="O29" i="71"/>
  <c r="O20" i="71"/>
  <c r="P20" i="71"/>
  <c r="N43" i="71"/>
  <c r="P4" i="71"/>
  <c r="P34" i="71"/>
  <c r="O34" i="71"/>
  <c r="O30" i="71"/>
  <c r="P30" i="71"/>
  <c r="P35" i="71"/>
  <c r="O35" i="71"/>
  <c r="P15" i="71"/>
  <c r="O15" i="71"/>
  <c r="P14" i="71"/>
  <c r="P33" i="71"/>
  <c r="O33" i="71"/>
  <c r="O14" i="71"/>
  <c r="O24" i="71"/>
  <c r="P31" i="71"/>
  <c r="O31" i="71"/>
  <c r="P6" i="71"/>
  <c r="P24" i="71"/>
  <c r="P12" i="71"/>
  <c r="P13" i="71"/>
  <c r="P21" i="71"/>
  <c r="O21" i="71"/>
  <c r="P25" i="71"/>
  <c r="P10" i="71"/>
  <c r="O26" i="71"/>
  <c r="P26" i="71"/>
  <c r="O28" i="71"/>
  <c r="P9" i="71"/>
  <c r="O25" i="71"/>
  <c r="P28" i="71"/>
  <c r="P11" i="71"/>
  <c r="O23" i="71"/>
  <c r="P23" i="71"/>
  <c r="P5" i="71"/>
  <c r="N45" i="71"/>
  <c r="P7" i="71"/>
  <c r="O27" i="71"/>
  <c r="P27" i="71"/>
  <c r="P8" i="71"/>
  <c r="P3" i="71"/>
  <c r="N42" i="71"/>
  <c r="O22" i="71"/>
  <c r="P22" i="71"/>
  <c r="P16" i="71"/>
  <c r="P32" i="71"/>
  <c r="P17" i="71"/>
  <c r="O32" i="71"/>
  <c r="O16" i="71"/>
  <c r="O37" i="71"/>
  <c r="N44" i="71"/>
  <c r="O17" i="71"/>
  <c r="O10" i="71"/>
  <c r="O9" i="71"/>
  <c r="O11" i="71"/>
  <c r="O5" i="71"/>
  <c r="O6" i="71"/>
  <c r="O12" i="71"/>
  <c r="O13" i="71"/>
  <c r="M12" i="20"/>
  <c r="O2" i="71"/>
  <c r="O36" i="71"/>
  <c r="M11" i="20"/>
  <c r="O4" i="71"/>
  <c r="O8" i="71"/>
  <c r="O7" i="71"/>
  <c r="O3" i="71"/>
  <c r="B5" i="19"/>
  <c r="E7" i="19"/>
  <c r="I7" i="19" s="1"/>
  <c r="C7" i="19"/>
  <c r="G7" i="19" s="1"/>
  <c r="D7" i="19"/>
  <c r="H7" i="19" s="1"/>
  <c r="B7" i="19"/>
  <c r="F7" i="19" s="1"/>
  <c r="E6" i="19"/>
  <c r="I6" i="19" s="1"/>
  <c r="C6" i="19"/>
  <c r="G6" i="19" s="1"/>
  <c r="D6" i="19"/>
  <c r="H6" i="19" s="1"/>
  <c r="B6" i="19"/>
  <c r="F6" i="19" s="1"/>
  <c r="E5" i="19"/>
  <c r="I5" i="19" s="1"/>
  <c r="C5" i="19"/>
  <c r="D5" i="19"/>
  <c r="N46" i="71" l="1"/>
  <c r="O46" i="71" s="1"/>
  <c r="M10" i="20"/>
  <c r="H5" i="19"/>
  <c r="D8" i="19"/>
  <c r="E8" i="19"/>
  <c r="C8" i="19"/>
  <c r="G5" i="19"/>
  <c r="F5" i="19"/>
  <c r="B8" i="19"/>
  <c r="B8" i="64" l="1"/>
  <c r="C6" i="20"/>
  <c r="H19" i="65"/>
  <c r="M13" i="20"/>
  <c r="M14" i="20" s="1"/>
  <c r="C11" i="66"/>
  <c r="C15" i="66" l="1"/>
  <c r="C4" i="66" s="1"/>
  <c r="J11" i="66"/>
  <c r="F11" i="73"/>
  <c r="F9" i="73"/>
  <c r="F8" i="73"/>
  <c r="F7" i="73"/>
  <c r="H29" i="66" l="1"/>
  <c r="L14" i="66" l="1"/>
  <c r="R14" i="66" s="1"/>
  <c r="D20" i="65" l="1"/>
  <c r="H15" i="66"/>
  <c r="G9" i="69" l="1"/>
  <c r="G7" i="69"/>
  <c r="G6" i="69"/>
  <c r="G5" i="69"/>
  <c r="C9" i="69" l="1"/>
  <c r="K14" i="70"/>
  <c r="M14" i="70" s="1"/>
  <c r="K13" i="70"/>
  <c r="M13" i="70" s="1"/>
  <c r="K11" i="70"/>
  <c r="M11" i="70" s="1"/>
  <c r="K10" i="70"/>
  <c r="M10" i="70" s="1"/>
  <c r="K9" i="70"/>
  <c r="M9" i="70" s="1"/>
  <c r="E11" i="70"/>
  <c r="D16" i="69"/>
  <c r="D23" i="65"/>
  <c r="K16" i="70" l="1"/>
  <c r="D21" i="65"/>
  <c r="B4" i="70"/>
  <c r="E35" i="70"/>
  <c r="M15" i="70"/>
  <c r="C21" i="69"/>
  <c r="D6" i="72" l="1"/>
  <c r="G29" i="66" l="1"/>
  <c r="B6" i="72"/>
  <c r="B13" i="72" s="1"/>
  <c r="V8" i="72"/>
  <c r="V7" i="72"/>
  <c r="V6" i="72"/>
  <c r="H9" i="18"/>
  <c r="H8" i="18"/>
  <c r="G7" i="18"/>
  <c r="F9" i="18"/>
  <c r="F8" i="18"/>
  <c r="F7" i="18"/>
  <c r="B34" i="21" l="1"/>
  <c r="F11" i="18"/>
  <c r="N13" i="20"/>
  <c r="D39" i="21"/>
  <c r="E38" i="21"/>
  <c r="F37" i="21"/>
  <c r="L16" i="70"/>
  <c r="B9" i="69" l="1"/>
  <c r="E9" i="69" s="1"/>
  <c r="K20" i="70"/>
  <c r="M16" i="70"/>
  <c r="K23" i="64"/>
  <c r="R15" i="72"/>
  <c r="S15" i="72"/>
  <c r="T15" i="72"/>
  <c r="U15" i="72"/>
  <c r="R9" i="72"/>
  <c r="S9" i="72"/>
  <c r="T9" i="72"/>
  <c r="U9" i="72"/>
  <c r="E138" i="54"/>
  <c r="E137" i="54"/>
  <c r="E136" i="54"/>
  <c r="E134" i="54"/>
  <c r="E132" i="54"/>
  <c r="E131" i="54"/>
  <c r="E133" i="54"/>
  <c r="E135" i="54"/>
  <c r="D17" i="64"/>
  <c r="D15" i="64"/>
  <c r="D16" i="64"/>
  <c r="D14" i="64"/>
  <c r="C16" i="64"/>
  <c r="K12" i="20" s="1"/>
  <c r="C15" i="64"/>
  <c r="K11" i="20" s="1"/>
  <c r="C14" i="64"/>
  <c r="K10" i="20" s="1"/>
  <c r="K22" i="64"/>
  <c r="K17" i="64"/>
  <c r="K18" i="64"/>
  <c r="K19" i="64"/>
  <c r="K20" i="64"/>
  <c r="K21" i="64"/>
  <c r="D37" i="21"/>
  <c r="B8" i="21"/>
  <c r="D8" i="21" s="1"/>
  <c r="B7" i="21"/>
  <c r="D7" i="21" s="1"/>
  <c r="B6" i="21"/>
  <c r="D6" i="21" s="1"/>
  <c r="E37" i="21"/>
  <c r="F38" i="21"/>
  <c r="E39" i="21"/>
  <c r="F39" i="21"/>
  <c r="D38" i="21"/>
  <c r="G34" i="21"/>
  <c r="G9" i="18"/>
  <c r="I9" i="18" s="1"/>
  <c r="K16" i="64"/>
  <c r="E13" i="70"/>
  <c r="F9" i="67"/>
  <c r="F8" i="67"/>
  <c r="F7" i="67"/>
  <c r="E34" i="21"/>
  <c r="F34" i="21"/>
  <c r="C6" i="64"/>
  <c r="D146" i="54"/>
  <c r="D147" i="54"/>
  <c r="D148" i="54"/>
  <c r="D149" i="54"/>
  <c r="D150" i="54"/>
  <c r="D151" i="54"/>
  <c r="D152" i="54"/>
  <c r="D145" i="54"/>
  <c r="C4" i="68"/>
  <c r="P15" i="65"/>
  <c r="B7" i="72"/>
  <c r="B14" i="72" s="1"/>
  <c r="C7" i="72"/>
  <c r="C14" i="72" s="1"/>
  <c r="D7" i="72"/>
  <c r="D14" i="72" s="1"/>
  <c r="B8" i="72"/>
  <c r="B15" i="72" s="1"/>
  <c r="C8" i="72"/>
  <c r="C15" i="72" s="1"/>
  <c r="D8" i="72"/>
  <c r="D15" i="72" s="1"/>
  <c r="C6" i="72"/>
  <c r="C13" i="72" s="1"/>
  <c r="D13" i="72"/>
  <c r="G153" i="54"/>
  <c r="F153" i="54"/>
  <c r="E153" i="54"/>
  <c r="F12" i="68"/>
  <c r="D34" i="21"/>
  <c r="E7" i="73"/>
  <c r="E8" i="73"/>
  <c r="E9" i="73"/>
  <c r="D11" i="73"/>
  <c r="Q11" i="73" s="1"/>
  <c r="E11" i="73"/>
  <c r="F7" i="68"/>
  <c r="F8" i="68"/>
  <c r="F9" i="68"/>
  <c r="F10" i="68"/>
  <c r="B11" i="68"/>
  <c r="F11" i="68" s="1"/>
  <c r="F15" i="68"/>
  <c r="B16" i="68"/>
  <c r="F16" i="68" s="1"/>
  <c r="F29" i="68"/>
  <c r="F31" i="68" s="1"/>
  <c r="D9" i="63"/>
  <c r="O9" i="72"/>
  <c r="P9" i="72"/>
  <c r="Q9" i="72"/>
  <c r="V12" i="72"/>
  <c r="V13" i="72"/>
  <c r="V14" i="72"/>
  <c r="O15" i="72"/>
  <c r="P15" i="72"/>
  <c r="Q15" i="72"/>
  <c r="G7" i="67"/>
  <c r="G8" i="67"/>
  <c r="G9" i="67"/>
  <c r="B10" i="67"/>
  <c r="C10" i="67"/>
  <c r="D10" i="67"/>
  <c r="E10" i="67"/>
  <c r="B7" i="18"/>
  <c r="H7" i="18"/>
  <c r="H11" i="18" s="1"/>
  <c r="B8" i="18"/>
  <c r="G8" i="18"/>
  <c r="B9" i="18"/>
  <c r="F12" i="21"/>
  <c r="F14" i="21" s="1"/>
  <c r="F16" i="21" s="1"/>
  <c r="F19" i="21"/>
  <c r="F20" i="21" s="1"/>
  <c r="B6" i="65"/>
  <c r="B9" i="65"/>
  <c r="N10" i="65"/>
  <c r="B10" i="65" s="1"/>
  <c r="B11" i="65"/>
  <c r="B20" i="65"/>
  <c r="B21" i="65"/>
  <c r="D12" i="69" s="1"/>
  <c r="L15" i="65"/>
  <c r="N15" i="65" s="1"/>
  <c r="K17" i="65"/>
  <c r="D19" i="65"/>
  <c r="N20" i="65"/>
  <c r="D4" i="68" s="1"/>
  <c r="F21" i="68" s="1"/>
  <c r="N21" i="65"/>
  <c r="N25" i="65"/>
  <c r="D17" i="63" s="1"/>
  <c r="N26" i="65"/>
  <c r="F17" i="68"/>
  <c r="B18" i="72" l="1"/>
  <c r="B4" i="68"/>
  <c r="B23" i="65"/>
  <c r="F12" i="69" s="1"/>
  <c r="B24" i="65"/>
  <c r="G12" i="69" s="1"/>
  <c r="C17" i="63"/>
  <c r="B10" i="64"/>
  <c r="B11" i="18"/>
  <c r="D158" i="54"/>
  <c r="D21" i="63" s="1"/>
  <c r="E21" i="63" s="1"/>
  <c r="B18" i="68"/>
  <c r="B19" i="68" s="1"/>
  <c r="I7" i="67"/>
  <c r="E40" i="21"/>
  <c r="G11" i="18"/>
  <c r="I7" i="18"/>
  <c r="I8" i="18"/>
  <c r="E13" i="68"/>
  <c r="D159" i="54"/>
  <c r="D18" i="63" s="1"/>
  <c r="E18" i="63" s="1"/>
  <c r="G155" i="54"/>
  <c r="D157" i="54"/>
  <c r="D20" i="63" s="1"/>
  <c r="E20" i="63" s="1"/>
  <c r="C7" i="63" s="1"/>
  <c r="D153" i="54"/>
  <c r="D136" i="54"/>
  <c r="D138" i="54" s="1"/>
  <c r="E139" i="54"/>
  <c r="D18" i="72"/>
  <c r="I9" i="67"/>
  <c r="D40" i="21"/>
  <c r="P16" i="65"/>
  <c r="B12" i="65"/>
  <c r="D3" i="66"/>
  <c r="D4" i="66" s="1"/>
  <c r="C5" i="63"/>
  <c r="D24" i="65" s="1"/>
  <c r="C19" i="72"/>
  <c r="C20" i="72"/>
  <c r="D20" i="72"/>
  <c r="B20" i="72"/>
  <c r="I8" i="67"/>
  <c r="D156" i="54"/>
  <c r="F40" i="21"/>
  <c r="D19" i="72"/>
  <c r="C18" i="72"/>
  <c r="E18" i="68"/>
  <c r="F10" i="67"/>
  <c r="C18" i="68"/>
  <c r="D18" i="68"/>
  <c r="B19" i="72"/>
  <c r="G10" i="67"/>
  <c r="B3" i="70"/>
  <c r="E36" i="70" s="1"/>
  <c r="H8" i="19"/>
  <c r="J7" i="19"/>
  <c r="H372" i="56" s="1"/>
  <c r="J6" i="19"/>
  <c r="H371" i="56" s="1"/>
  <c r="F8" i="19"/>
  <c r="J5" i="19"/>
  <c r="F10" i="20" s="1"/>
  <c r="I8" i="19"/>
  <c r="G8" i="19"/>
  <c r="J15" i="66"/>
  <c r="E10" i="73"/>
  <c r="E12" i="73" s="1"/>
  <c r="D13" i="68"/>
  <c r="B13" i="68"/>
  <c r="C13" i="68"/>
  <c r="G19" i="69"/>
  <c r="G18" i="69"/>
  <c r="G21" i="69"/>
  <c r="E19" i="65"/>
  <c r="K14" i="20"/>
  <c r="D7" i="69"/>
  <c r="D19" i="69" s="1"/>
  <c r="C19" i="73"/>
  <c r="D6" i="69"/>
  <c r="D18" i="69" s="1"/>
  <c r="C18" i="73"/>
  <c r="D9" i="69"/>
  <c r="D21" i="69" s="1"/>
  <c r="C21" i="73"/>
  <c r="C12" i="69"/>
  <c r="D9" i="21"/>
  <c r="E7" i="21" s="1"/>
  <c r="B9" i="21"/>
  <c r="F10" i="73"/>
  <c r="B17" i="65" l="1"/>
  <c r="B12" i="69"/>
  <c r="C18" i="63"/>
  <c r="C21" i="63"/>
  <c r="F18" i="68"/>
  <c r="C8" i="63"/>
  <c r="D154" i="54"/>
  <c r="H111" i="56"/>
  <c r="I11" i="18"/>
  <c r="I10" i="67"/>
  <c r="I15" i="67" s="1"/>
  <c r="F12" i="20"/>
  <c r="E6" i="21"/>
  <c r="I26" i="64"/>
  <c r="B9" i="64"/>
  <c r="K5" i="69" s="1"/>
  <c r="C20" i="63"/>
  <c r="G9" i="19"/>
  <c r="B380" i="56" s="1"/>
  <c r="E8" i="21"/>
  <c r="K19" i="70"/>
  <c r="B5" i="70"/>
  <c r="E32" i="70" s="1"/>
  <c r="D19" i="63"/>
  <c r="D160" i="54"/>
  <c r="E12" i="69"/>
  <c r="H43" i="56"/>
  <c r="I364" i="56"/>
  <c r="C19" i="68"/>
  <c r="E19" i="68"/>
  <c r="H10" i="67"/>
  <c r="F11" i="20"/>
  <c r="F14" i="20" s="1"/>
  <c r="G10" i="19"/>
  <c r="B383" i="56" s="1"/>
  <c r="H370" i="56"/>
  <c r="J8" i="19"/>
  <c r="J14" i="19" s="1"/>
  <c r="D19" i="68"/>
  <c r="F13" i="68"/>
  <c r="G8" i="69"/>
  <c r="G10" i="69" s="1"/>
  <c r="G13" i="69" s="1"/>
  <c r="F12" i="73"/>
  <c r="G17" i="69"/>
  <c r="G20" i="69" s="1"/>
  <c r="G22" i="69" s="1"/>
  <c r="D5" i="69"/>
  <c r="C17" i="73"/>
  <c r="C20" i="73" s="1"/>
  <c r="C22" i="73" s="1"/>
  <c r="K17" i="70"/>
  <c r="I365" i="56"/>
  <c r="H146" i="56"/>
  <c r="H81" i="56"/>
  <c r="H10" i="56"/>
  <c r="H243" i="56"/>
  <c r="H265" i="56"/>
  <c r="H212" i="56"/>
  <c r="H187" i="56"/>
  <c r="H56" i="56"/>
  <c r="H17" i="56"/>
  <c r="H34" i="56"/>
  <c r="H295" i="56"/>
  <c r="H361" i="56"/>
  <c r="E9" i="21" l="1"/>
  <c r="C383" i="56"/>
  <c r="H213" i="56"/>
  <c r="E371" i="56" s="1"/>
  <c r="F19" i="68"/>
  <c r="D20" i="68" s="1"/>
  <c r="D21" i="68" s="1"/>
  <c r="H57" i="56"/>
  <c r="E370" i="56" s="1"/>
  <c r="I16" i="67"/>
  <c r="I17" i="67" s="1"/>
  <c r="H362" i="56"/>
  <c r="E372" i="56" s="1"/>
  <c r="H147" i="56"/>
  <c r="B371" i="56" s="1"/>
  <c r="J10" i="18"/>
  <c r="J9" i="18"/>
  <c r="J8" i="18"/>
  <c r="J7" i="18"/>
  <c r="G11" i="19"/>
  <c r="B19" i="65"/>
  <c r="E19" i="63"/>
  <c r="D22" i="63"/>
  <c r="I366" i="56"/>
  <c r="C5" i="66"/>
  <c r="H7" i="67"/>
  <c r="H9" i="67"/>
  <c r="H8" i="67"/>
  <c r="C4" i="20"/>
  <c r="F19" i="65"/>
  <c r="H373" i="56"/>
  <c r="G24" i="69"/>
  <c r="D8" i="69"/>
  <c r="D10" i="69" s="1"/>
  <c r="D13" i="69" s="1"/>
  <c r="D17" i="69"/>
  <c r="D20" i="69" s="1"/>
  <c r="D22" i="69" s="1"/>
  <c r="H35" i="56"/>
  <c r="H296" i="56"/>
  <c r="C20" i="68" l="1"/>
  <c r="C21" i="68" s="1"/>
  <c r="B22" i="65"/>
  <c r="B25" i="65" s="1"/>
  <c r="B27" i="65"/>
  <c r="H12" i="69" s="1"/>
  <c r="E20" i="68"/>
  <c r="E21" i="68" s="1"/>
  <c r="E22" i="68" s="1"/>
  <c r="F7" i="69" s="1"/>
  <c r="J7" i="69" s="1"/>
  <c r="C10" i="63"/>
  <c r="D24" i="63"/>
  <c r="E373" i="56"/>
  <c r="B20" i="68"/>
  <c r="B21" i="68" s="1"/>
  <c r="B22" i="68" s="1"/>
  <c r="F9" i="69" s="1"/>
  <c r="F20" i="65"/>
  <c r="H365" i="56"/>
  <c r="K365" i="56" s="1"/>
  <c r="H364" i="56"/>
  <c r="K364" i="56" s="1"/>
  <c r="J11" i="18"/>
  <c r="D24" i="69"/>
  <c r="K5" i="72"/>
  <c r="C26" i="72" s="1"/>
  <c r="D3" i="20"/>
  <c r="D4" i="20" s="1"/>
  <c r="D22" i="68"/>
  <c r="F6" i="69" s="1"/>
  <c r="K7" i="67"/>
  <c r="J10" i="20" s="1"/>
  <c r="L7" i="67"/>
  <c r="I11" i="66" s="1"/>
  <c r="B373" i="56"/>
  <c r="C22" i="68"/>
  <c r="F5" i="69" s="1"/>
  <c r="F17" i="69" s="1"/>
  <c r="K9" i="67"/>
  <c r="J12" i="20" s="1"/>
  <c r="L9" i="67"/>
  <c r="I13" i="66" s="1"/>
  <c r="E22" i="63"/>
  <c r="C6" i="63"/>
  <c r="C9" i="63" s="1"/>
  <c r="C19" i="63"/>
  <c r="C22" i="63" s="1"/>
  <c r="K8" i="67"/>
  <c r="J11" i="20" s="1"/>
  <c r="L8" i="67"/>
  <c r="I12" i="66" s="1"/>
  <c r="H374" i="56"/>
  <c r="F20" i="68" l="1"/>
  <c r="J5" i="69"/>
  <c r="F19" i="69"/>
  <c r="H366" i="56"/>
  <c r="F373" i="56"/>
  <c r="E374" i="56"/>
  <c r="I15" i="66"/>
  <c r="D5" i="66" s="1"/>
  <c r="C24" i="72"/>
  <c r="D26" i="72"/>
  <c r="D24" i="72"/>
  <c r="B25" i="72"/>
  <c r="B26" i="72"/>
  <c r="C25" i="72"/>
  <c r="B24" i="72"/>
  <c r="D25" i="72"/>
  <c r="F8" i="69"/>
  <c r="F10" i="69" s="1"/>
  <c r="F13" i="69" s="1"/>
  <c r="F21" i="69"/>
  <c r="H9" i="69"/>
  <c r="J9" i="69"/>
  <c r="J14" i="20"/>
  <c r="F22" i="68"/>
  <c r="F18" i="69"/>
  <c r="J6" i="69"/>
  <c r="F20" i="69" l="1"/>
  <c r="F22" i="69" s="1"/>
  <c r="F24" i="69" s="1"/>
  <c r="J8" i="69"/>
  <c r="J10" i="69" s="1"/>
  <c r="C373" i="56"/>
  <c r="I26" i="72"/>
  <c r="K26" i="72" s="1"/>
  <c r="K13" i="66" s="1"/>
  <c r="I24" i="72"/>
  <c r="J24" i="72" s="1"/>
  <c r="L10" i="20" s="1"/>
  <c r="I25" i="72"/>
  <c r="J25" i="72" s="1"/>
  <c r="L11" i="20" s="1"/>
  <c r="J26" i="72" l="1"/>
  <c r="L12" i="20" s="1"/>
  <c r="L14" i="20" s="1"/>
  <c r="I27" i="72"/>
  <c r="K24" i="72"/>
  <c r="K11" i="66" s="1"/>
  <c r="K25" i="72"/>
  <c r="K12" i="66" s="1"/>
  <c r="K8" i="72"/>
  <c r="K7" i="72"/>
  <c r="J27" i="72" l="1"/>
  <c r="G19" i="65" s="1"/>
  <c r="K15" i="66"/>
  <c r="K27" i="72"/>
  <c r="C6" i="66" s="1"/>
  <c r="D6" i="66" s="1"/>
  <c r="D7" i="66" s="1"/>
  <c r="G25" i="66" s="1"/>
  <c r="F13" i="66" l="1"/>
  <c r="F12" i="66"/>
  <c r="F11" i="66"/>
  <c r="H25" i="66"/>
  <c r="J28" i="72"/>
  <c r="C5" i="20"/>
  <c r="D5" i="20" s="1"/>
  <c r="D6" i="20" s="1"/>
  <c r="C3" i="21" s="1"/>
  <c r="F6" i="21" s="1"/>
  <c r="G20" i="65"/>
  <c r="K28" i="72"/>
  <c r="G11" i="66" l="1"/>
  <c r="G13" i="66"/>
  <c r="G12" i="66"/>
  <c r="F7" i="21"/>
  <c r="C385" i="56" s="1"/>
  <c r="F8" i="21"/>
  <c r="L11" i="66"/>
  <c r="I25" i="66"/>
  <c r="R11" i="66" l="1"/>
  <c r="L13" i="66"/>
  <c r="L12" i="66"/>
  <c r="F9" i="21"/>
  <c r="G15" i="66"/>
  <c r="F15" i="66"/>
  <c r="F16" i="66" s="1"/>
  <c r="C5" i="69"/>
  <c r="C17" i="69" s="1"/>
  <c r="D7" i="73"/>
  <c r="Q7" i="73" s="1"/>
  <c r="V13" i="66" l="1"/>
  <c r="W13" i="66"/>
  <c r="X13" i="66" s="1"/>
  <c r="C6" i="69"/>
  <c r="C18" i="69" s="1"/>
  <c r="R12" i="66"/>
  <c r="C7" i="69"/>
  <c r="C19" i="69" s="1"/>
  <c r="R13" i="66"/>
  <c r="G16" i="66"/>
  <c r="U14" i="66"/>
  <c r="F10" i="21"/>
  <c r="H6" i="21"/>
  <c r="D9" i="73"/>
  <c r="Q9" i="73" s="1"/>
  <c r="N13" i="66"/>
  <c r="N14" i="66"/>
  <c r="N11" i="66"/>
  <c r="N12" i="66"/>
  <c r="L15" i="66"/>
  <c r="L16" i="66" s="1"/>
  <c r="D8" i="73"/>
  <c r="Q8" i="73" s="1"/>
  <c r="C8" i="69"/>
  <c r="C10" i="69" s="1"/>
  <c r="C13" i="69" s="1"/>
  <c r="C20" i="69"/>
  <c r="C22" i="69" s="1"/>
  <c r="B379" i="56"/>
  <c r="B381" i="56" s="1"/>
  <c r="W11" i="66" l="1"/>
  <c r="X11" i="66" s="1"/>
  <c r="V11" i="66"/>
  <c r="V14" i="66"/>
  <c r="W14" i="66"/>
  <c r="V12" i="66"/>
  <c r="W12" i="66"/>
  <c r="X12" i="66" s="1"/>
  <c r="D10" i="73"/>
  <c r="Q10" i="73" s="1"/>
  <c r="C24" i="69"/>
  <c r="B10" i="20"/>
  <c r="D12" i="73" l="1"/>
  <c r="Q12" i="73" s="1"/>
  <c r="D373" i="56"/>
  <c r="B11" i="20"/>
  <c r="B12" i="20"/>
  <c r="D376" i="56" l="1"/>
  <c r="D393" i="56" s="1"/>
  <c r="D374" i="56"/>
  <c r="B14" i="20"/>
  <c r="C10" i="20" s="1"/>
  <c r="C11" i="20" l="1"/>
  <c r="C12" i="20"/>
  <c r="G7" i="21"/>
  <c r="J13" i="19"/>
  <c r="K14" i="19" s="1"/>
  <c r="B382" i="56"/>
  <c r="B385" i="56" s="1"/>
  <c r="C14" i="20" l="1"/>
  <c r="B384" i="56"/>
  <c r="J15" i="19"/>
  <c r="K15" i="19" s="1"/>
  <c r="G373" i="56" l="1"/>
  <c r="G374" i="56" s="1"/>
  <c r="D10" i="20"/>
  <c r="D11" i="20"/>
  <c r="I371" i="56"/>
  <c r="I372" i="56"/>
  <c r="D12" i="20"/>
  <c r="G10" i="20" l="1"/>
  <c r="D14" i="20"/>
  <c r="E10" i="20" s="1"/>
  <c r="G12" i="20"/>
  <c r="G376" i="56"/>
  <c r="G393" i="56" s="1"/>
  <c r="G11" i="20"/>
  <c r="I373" i="56"/>
  <c r="J372" i="56" l="1"/>
  <c r="J371" i="56"/>
  <c r="E12" i="20"/>
  <c r="I374" i="56"/>
  <c r="E11" i="20"/>
  <c r="G14" i="20"/>
  <c r="H7" i="21"/>
  <c r="K4" i="18"/>
  <c r="K10" i="18" l="1"/>
  <c r="J373" i="56"/>
  <c r="E14" i="20"/>
  <c r="H8" i="21"/>
  <c r="I8" i="21"/>
  <c r="I7" i="21"/>
  <c r="K8" i="18"/>
  <c r="K7" i="18"/>
  <c r="K9" i="18"/>
  <c r="L7" i="18" l="1"/>
  <c r="K11" i="18"/>
  <c r="K12" i="18" s="1"/>
  <c r="L8" i="18"/>
  <c r="H11" i="20" s="1"/>
  <c r="I11" i="20" s="1"/>
  <c r="N11" i="20" s="1"/>
  <c r="B6" i="69" s="1"/>
  <c r="E6" i="69" s="1"/>
  <c r="H6" i="69" s="1"/>
  <c r="L9" i="18"/>
  <c r="H12" i="20" s="1"/>
  <c r="I12" i="20" s="1"/>
  <c r="N12" i="20" s="1"/>
  <c r="B7" i="69" s="1"/>
  <c r="E7" i="69" s="1"/>
  <c r="H7" i="69" s="1"/>
  <c r="H10" i="20" l="1"/>
  <c r="I10" i="20" s="1"/>
  <c r="L11" i="18"/>
  <c r="L12" i="18" s="1"/>
  <c r="H14" i="20" l="1"/>
  <c r="N10" i="20"/>
  <c r="I14" i="20"/>
  <c r="P10" i="20" l="1"/>
  <c r="P13" i="20"/>
  <c r="P11" i="20"/>
  <c r="P12" i="20"/>
  <c r="N14" i="20"/>
  <c r="N15" i="20" s="1"/>
  <c r="B5" i="69"/>
  <c r="B8" i="69" s="1"/>
  <c r="E5" i="69" l="1"/>
  <c r="B10" i="69"/>
  <c r="B13" i="69" s="1"/>
  <c r="H5" i="69" l="1"/>
  <c r="E8" i="69"/>
  <c r="E10" i="69" s="1"/>
  <c r="E13" i="69" s="1"/>
  <c r="H8" i="69" l="1"/>
  <c r="I5" i="69"/>
  <c r="M5" i="69" s="1"/>
  <c r="I7" i="69"/>
  <c r="M7" i="69" s="1"/>
  <c r="B19" i="69" s="1"/>
  <c r="C9" i="77" s="1"/>
  <c r="I6" i="69"/>
  <c r="M6" i="69" s="1"/>
  <c r="B18" i="69" s="1"/>
  <c r="C8" i="77" s="1"/>
  <c r="P9" i="77" l="1"/>
  <c r="H9" i="77"/>
  <c r="V9" i="77" s="1"/>
  <c r="P8" i="77"/>
  <c r="H8" i="77"/>
  <c r="V8" i="77" s="1"/>
  <c r="H10" i="69"/>
  <c r="H13" i="69" s="1"/>
  <c r="C9" i="73"/>
  <c r="O9" i="73" s="1"/>
  <c r="E19" i="69"/>
  <c r="H19" i="69" s="1"/>
  <c r="J19" i="69" s="1"/>
  <c r="M9" i="69"/>
  <c r="B17" i="69"/>
  <c r="C8" i="73"/>
  <c r="O8" i="73" s="1"/>
  <c r="E18" i="69"/>
  <c r="H18" i="69" s="1"/>
  <c r="J18" i="69" s="1"/>
  <c r="C7" i="73" l="1"/>
  <c r="O7" i="73" s="1"/>
  <c r="C7" i="77"/>
  <c r="B21" i="69"/>
  <c r="E21" i="69" s="1"/>
  <c r="H21" i="69" s="1"/>
  <c r="J21" i="69" s="1"/>
  <c r="M10" i="69"/>
  <c r="G9" i="73"/>
  <c r="U9" i="73" s="1"/>
  <c r="G8" i="73"/>
  <c r="U8" i="73" s="1"/>
  <c r="B20" i="69"/>
  <c r="E17" i="69"/>
  <c r="C11" i="73" l="1"/>
  <c r="O11" i="73" s="1"/>
  <c r="C11" i="77"/>
  <c r="P7" i="77"/>
  <c r="H7" i="77"/>
  <c r="C10" i="77"/>
  <c r="G11" i="73"/>
  <c r="U11" i="73" s="1"/>
  <c r="C10" i="73"/>
  <c r="O10" i="73" s="1"/>
  <c r="G7" i="73"/>
  <c r="U7" i="73" s="1"/>
  <c r="H17" i="69"/>
  <c r="J17" i="69" s="1"/>
  <c r="E20" i="69"/>
  <c r="E22" i="69" s="1"/>
  <c r="E24" i="69" s="1"/>
  <c r="B22" i="69"/>
  <c r="B24" i="69" s="1"/>
  <c r="V7" i="77" l="1"/>
  <c r="H10" i="77"/>
  <c r="P11" i="77"/>
  <c r="H11" i="77"/>
  <c r="V11" i="77" s="1"/>
  <c r="P10" i="77"/>
  <c r="C12" i="77"/>
  <c r="P12" i="77" s="1"/>
  <c r="G10" i="73"/>
  <c r="C12" i="73"/>
  <c r="O12" i="73" s="1"/>
  <c r="H20" i="69"/>
  <c r="H12" i="77" l="1"/>
  <c r="V12" i="77" s="1"/>
  <c r="V10" i="77"/>
  <c r="G12" i="73"/>
  <c r="U12" i="73" s="1"/>
  <c r="U10" i="73"/>
  <c r="H22" i="69"/>
  <c r="J20" i="69"/>
  <c r="B26" i="65" l="1"/>
  <c r="H24" i="69"/>
  <c r="J22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Zdeněk Plíva</author>
  </authors>
  <commentList>
    <comment ref="L13" authorId="0" shapeId="0" xr:uid="{5FCE3978-C7A2-4609-82E5-CD109EC6DF1B}">
      <text>
        <r>
          <rPr>
            <b/>
            <sz val="9"/>
            <color indexed="81"/>
            <rFont val="Tahoma"/>
            <charset val="1"/>
          </rPr>
          <t>Zdeněk Plíva:</t>
        </r>
        <r>
          <rPr>
            <sz val="9"/>
            <color indexed="81"/>
            <rFont val="Tahoma"/>
            <charset val="1"/>
          </rPr>
          <t xml:space="preserve">
Vloženo formou dodatku rozpočtu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Olga</author>
  </authors>
  <commentList>
    <comment ref="B6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38"/>
          </rPr>
          <t>Olga:</t>
        </r>
        <r>
          <rPr>
            <sz val="9"/>
            <color indexed="81"/>
            <rFont val="Tahoma"/>
            <family val="2"/>
            <charset val="238"/>
          </rPr>
          <t xml:space="preserve">
současný stav dle mzdové inventury</t>
        </r>
      </text>
    </comment>
    <comment ref="C6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38"/>
          </rPr>
          <t>Olga:</t>
        </r>
        <r>
          <rPr>
            <sz val="9"/>
            <color indexed="81"/>
            <rFont val="Tahoma"/>
            <family val="2"/>
            <charset val="238"/>
          </rPr>
          <t xml:space="preserve">
současný stav dle mzdové inventury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Zdeněk Plíva</author>
    <author>Olga</author>
  </authors>
  <commentList>
    <comment ref="B10" authorId="0" shapeId="0" xr:uid="{00000000-0006-0000-0E00-000001000000}">
      <text>
        <r>
          <rPr>
            <b/>
            <sz val="9"/>
            <color indexed="81"/>
            <rFont val="Tahoma"/>
            <family val="2"/>
            <charset val="238"/>
          </rPr>
          <t>Zdeněk Plíva:</t>
        </r>
        <r>
          <rPr>
            <sz val="9"/>
            <color indexed="81"/>
            <rFont val="Tahoma"/>
            <family val="2"/>
            <charset val="238"/>
          </rPr>
          <t xml:space="preserve">
podle rozpisu stipendií na rok, na základě SD - vyplácí ústavy...</t>
        </r>
      </text>
    </comment>
    <comment ref="G24" authorId="1" shapeId="0" xr:uid="{00000000-0006-0000-0E00-000002000000}">
      <text>
        <r>
          <rPr>
            <b/>
            <sz val="9"/>
            <color indexed="81"/>
            <rFont val="Tahoma"/>
            <family val="2"/>
            <charset val="238"/>
          </rPr>
          <t>Olga:</t>
        </r>
        <r>
          <rPr>
            <sz val="9"/>
            <color indexed="81"/>
            <rFont val="Tahoma"/>
            <family val="2"/>
            <charset val="238"/>
          </rPr>
          <t xml:space="preserve">
Nastavit, kolik ze 117 se bude dělit podle RIV as kolik podle M17+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Zdeněk Plíva</author>
    <author>Olga</author>
  </authors>
  <commentList>
    <comment ref="B9" authorId="0" shapeId="0" xr:uid="{00000000-0006-0000-1000-000001000000}">
      <text>
        <r>
          <rPr>
            <b/>
            <sz val="9"/>
            <color indexed="81"/>
            <rFont val="Tahoma"/>
            <family val="2"/>
            <charset val="238"/>
          </rPr>
          <t>Zdeněk Plíva:</t>
        </r>
        <r>
          <rPr>
            <sz val="9"/>
            <color indexed="81"/>
            <rFont val="Tahoma"/>
            <family val="2"/>
            <charset val="238"/>
          </rPr>
          <t xml:space="preserve">
vyplacení garantům mimo FM</t>
        </r>
      </text>
    </comment>
    <comment ref="H12" authorId="1" shapeId="0" xr:uid="{00000000-0006-0000-1000-000002000000}">
      <text>
        <r>
          <rPr>
            <b/>
            <sz val="9"/>
            <color indexed="81"/>
            <rFont val="Tahoma"/>
            <family val="2"/>
            <charset val="238"/>
          </rPr>
          <t>Olga:</t>
        </r>
        <r>
          <rPr>
            <sz val="9"/>
            <color indexed="81"/>
            <rFont val="Tahoma"/>
            <family val="2"/>
            <charset val="238"/>
          </rPr>
          <t xml:space="preserve">
106+117-Režie-FRIM
</t>
        </r>
      </text>
    </comment>
  </commentList>
</comments>
</file>

<file path=xl/sharedStrings.xml><?xml version="1.0" encoding="utf-8"?>
<sst xmlns="http://schemas.openxmlformats.org/spreadsheetml/2006/main" count="2120" uniqueCount="1020">
  <si>
    <t>Výuka 
NM
Kč</t>
  </si>
  <si>
    <t>NTI</t>
  </si>
  <si>
    <t>MTI</t>
  </si>
  <si>
    <t>ITE</t>
  </si>
  <si>
    <t>Ústav</t>
  </si>
  <si>
    <t>Kč</t>
  </si>
  <si>
    <t>%</t>
  </si>
  <si>
    <t>Celkem</t>
  </si>
  <si>
    <t>Počet studentů * Koeficient</t>
  </si>
  <si>
    <t>DFM</t>
  </si>
  <si>
    <t>Cvič.pro první 2 kroužky</t>
  </si>
  <si>
    <t>Cvič. pro 3. a další kroužky</t>
  </si>
  <si>
    <t>DFM:</t>
  </si>
  <si>
    <t xml:space="preserve">název místnosti        </t>
  </si>
  <si>
    <t>plocha</t>
  </si>
  <si>
    <t>útvar</t>
  </si>
  <si>
    <t>A</t>
  </si>
  <si>
    <t>Šatna</t>
  </si>
  <si>
    <t>I. ročník</t>
  </si>
  <si>
    <t>II. ročník</t>
  </si>
  <si>
    <t>III. ročník</t>
  </si>
  <si>
    <t>IV. ročník</t>
  </si>
  <si>
    <t>V. ročník</t>
  </si>
  <si>
    <t>Před.*Koef.</t>
  </si>
  <si>
    <t>I.-III.</t>
  </si>
  <si>
    <t>IV.- V.</t>
  </si>
  <si>
    <t>DFM 116:</t>
  </si>
  <si>
    <t>DFM 106:</t>
  </si>
  <si>
    <t>budova</t>
  </si>
  <si>
    <t>podlaží</t>
  </si>
  <si>
    <t>B</t>
  </si>
  <si>
    <t>Projekty+BP+DP</t>
  </si>
  <si>
    <t>Vypočt. dotace na I.-III.roč., IV. a V. roč. (vč.navazujících)</t>
  </si>
  <si>
    <t>Počet absolventů za posl. 3 roky</t>
  </si>
  <si>
    <t>Počet bodů</t>
  </si>
  <si>
    <t>Kritérium: vykonaná/nevykonaná státní doktorská zkouška a počet absolventů</t>
  </si>
  <si>
    <t>Ústav
celkem</t>
  </si>
  <si>
    <t>DSP</t>
  </si>
  <si>
    <t xml:space="preserve"> sl. F</t>
  </si>
  <si>
    <t xml:space="preserve"> sl. G</t>
  </si>
  <si>
    <t xml:space="preserve"> sl. J</t>
  </si>
  <si>
    <t>Počet kroužků
ke cvičení
ze STAGu</t>
  </si>
  <si>
    <t>Počet hodin 
přednášek za celý semestr</t>
  </si>
  <si>
    <t>Počet hodin 
cvičení za celý semestr</t>
  </si>
  <si>
    <t xml:space="preserve">FM-zasedací místnost </t>
  </si>
  <si>
    <t>DFM-kancelář děkana FM</t>
  </si>
  <si>
    <t>DFM-kancelář tajemnice+asist.děkana</t>
  </si>
  <si>
    <t>ITE-kancelář sekretářky</t>
  </si>
  <si>
    <t>ITE-pracovna pedagoga</t>
  </si>
  <si>
    <t>MTI-příruční archiv</t>
  </si>
  <si>
    <t>MTI-pracovna pedagoga</t>
  </si>
  <si>
    <t>NTI-pracovna pedagoga</t>
  </si>
  <si>
    <t>NTI-příruční sklad</t>
  </si>
  <si>
    <t>NTI-pracovna pedagogů</t>
  </si>
  <si>
    <t>Ústavy:</t>
  </si>
  <si>
    <t>Celá FM</t>
  </si>
  <si>
    <t>B - bakalářské studijní programy</t>
  </si>
  <si>
    <t>NM - navazující magisterské studijní programy (2leté)</t>
  </si>
  <si>
    <t>DSP - doktorské studijní programy</t>
  </si>
  <si>
    <t>Výuka B 
Kč</t>
  </si>
  <si>
    <t>B:</t>
  </si>
  <si>
    <t>Projekty BP + BP</t>
  </si>
  <si>
    <t>Projekty NM + DP</t>
  </si>
  <si>
    <t>MTI-pracovna ved.ústavu</t>
  </si>
  <si>
    <t>Body celkem</t>
  </si>
  <si>
    <t>Před. *Koef.Př.</t>
  </si>
  <si>
    <t>Cvič.pro první 2 kroužky * Koef.Cv.1</t>
  </si>
  <si>
    <t>Cvič. pro 3. a další kroužky * Koef.Cv.2</t>
  </si>
  <si>
    <t>Počet dokt. do standard +1  se 
st. dokt. zk</t>
  </si>
  <si>
    <t>Počet dokt. do standard +1  bez st. dokt. zk</t>
  </si>
  <si>
    <t xml:space="preserve">Počet dokt. do (stand.+1) celkem
</t>
  </si>
  <si>
    <t>Čajová kuchyňka</t>
  </si>
  <si>
    <t>DFM-příruční archiv</t>
  </si>
  <si>
    <t>ITE - laboratoř</t>
  </si>
  <si>
    <t>MTI-pracovna doktoranda</t>
  </si>
  <si>
    <t>MTI-zasedací místnost</t>
  </si>
  <si>
    <t>NTI - laboratoř</t>
  </si>
  <si>
    <t>NTI-kancelář sekretářky ústavu</t>
  </si>
  <si>
    <t>NTI-pracovna doktorandů</t>
  </si>
  <si>
    <t>Prům.</t>
  </si>
  <si>
    <t>DFM, 7817</t>
  </si>
  <si>
    <t>MTI - šatna</t>
  </si>
  <si>
    <t>MTI - laboratoř                             EL1</t>
  </si>
  <si>
    <t>MTI - laboratoř                             EL2</t>
  </si>
  <si>
    <t>MTI - laboratoř                             EL3</t>
  </si>
  <si>
    <t>MTI-laboratoř  elektroniky  AP11-20</t>
  </si>
  <si>
    <t>NTI-počítačová učebna                A10</t>
  </si>
  <si>
    <t>Příděl 117
celkem</t>
  </si>
  <si>
    <t>Účelová podpora činnost 115</t>
  </si>
  <si>
    <t>Celkem 106, 117, 115</t>
  </si>
  <si>
    <t xml:space="preserve"> sl. I</t>
  </si>
  <si>
    <t xml:space="preserve"> sl. H</t>
  </si>
  <si>
    <t xml:space="preserve"> sl. B</t>
  </si>
  <si>
    <t xml:space="preserve"> sl. C</t>
  </si>
  <si>
    <t xml:space="preserve"> sl. D</t>
  </si>
  <si>
    <t xml:space="preserve"> sl. E</t>
  </si>
  <si>
    <t>NM</t>
  </si>
  <si>
    <t>NTI  - laboratoř</t>
  </si>
  <si>
    <t>ITE, 7620</t>
  </si>
  <si>
    <t>MTI, 7630</t>
  </si>
  <si>
    <t>NTI, 7640</t>
  </si>
  <si>
    <t xml:space="preserve"> </t>
  </si>
  <si>
    <t>Senzory a inteligentni sytemy   SIS  (0)</t>
  </si>
  <si>
    <t>Výuka Bc. a NM</t>
  </si>
  <si>
    <t>DFM+SFM</t>
  </si>
  <si>
    <t>FM</t>
  </si>
  <si>
    <t>Koeficient náročnosti studia</t>
  </si>
  <si>
    <t>B+NM</t>
  </si>
  <si>
    <t>NM:</t>
  </si>
  <si>
    <t>106 výuka vč. projektů, BP, DP</t>
  </si>
  <si>
    <t>SFM-studijní oddělení</t>
  </si>
  <si>
    <t>ITE - laboratoř                          PCB 4</t>
  </si>
  <si>
    <t>ITE - laboratoř                          PCB 2</t>
  </si>
  <si>
    <t>ITE - laboratoř                          PCB 1</t>
  </si>
  <si>
    <t>ITE-laboratoř                          AP9 -16</t>
  </si>
  <si>
    <t>MTI - dílna</t>
  </si>
  <si>
    <t>Ústavy + DFM + SFM:</t>
  </si>
  <si>
    <t>DFM + SFM</t>
  </si>
  <si>
    <t>K</t>
  </si>
  <si>
    <t>FM celkem</t>
  </si>
  <si>
    <t>Podíl na tvorbě FRIMu (20%)</t>
  </si>
  <si>
    <t>činn. 106:</t>
  </si>
  <si>
    <t>115 (SGS)</t>
  </si>
  <si>
    <t>Výuka - B</t>
  </si>
  <si>
    <t>Výuka - NM</t>
  </si>
  <si>
    <t>ITE - laboratoř                          PVB 3</t>
  </si>
  <si>
    <t>MTI-labor.řízení                   TK4 - 24</t>
  </si>
  <si>
    <t>MTI-počítač.laboratoř          TK7 - 20</t>
  </si>
  <si>
    <t>MTI-laboratoř řízení             TK8 - 10</t>
  </si>
  <si>
    <t>ITE-zasedací místnost</t>
  </si>
  <si>
    <t>ITE-pracovna ved.katedry</t>
  </si>
  <si>
    <t>ITE-provozní místnost</t>
  </si>
  <si>
    <t>ITE-kancelář doktorandů</t>
  </si>
  <si>
    <t>NTI-pracovna ved.ústavu</t>
  </si>
  <si>
    <t>ITE-počítačová učebna                 A8</t>
  </si>
  <si>
    <t>MTI-pracovna doktorandů</t>
  </si>
  <si>
    <t>NTI-kancelář ekonomů</t>
  </si>
  <si>
    <t>MTI-provozní místnost</t>
  </si>
  <si>
    <t>NTI-laserová laboratoř    10</t>
  </si>
  <si>
    <t>NTI-laser. výzk.laboratoř      LM5 - 5</t>
  </si>
  <si>
    <t>NTI-laserová laboratoř</t>
  </si>
  <si>
    <t>Režie celoškolská</t>
  </si>
  <si>
    <t xml:space="preserve"> sl. K</t>
  </si>
  <si>
    <t>KVE v RozFak.xls: OK (nezaokrouhleno na tis.)</t>
  </si>
  <si>
    <t>areál</t>
  </si>
  <si>
    <t>Příspěvek na vzděl.č. 
(B, NM)</t>
  </si>
  <si>
    <t>Příspěvek na vzděl.č. 
(B, NM, DSP)</t>
  </si>
  <si>
    <t>N</t>
  </si>
  <si>
    <t>Počet abs. * Počet bodů</t>
  </si>
  <si>
    <t>Počet dokt. se 
st. dokt. zk.* Počet bodů</t>
  </si>
  <si>
    <t>Počet dokt. bez 
st. dokt. zk. * Počet bodů</t>
  </si>
  <si>
    <t>(Počet dokt. + Absolvetů) * Počet bodů celkem</t>
  </si>
  <si>
    <t>PUČ FM</t>
  </si>
  <si>
    <t>FT - Databáze a tvorba dat. skladů  DAT  (0)</t>
  </si>
  <si>
    <t>Cena 1 bodu pro BS</t>
  </si>
  <si>
    <t>Cena 1 bodu pro NMS</t>
  </si>
  <si>
    <t>BS</t>
  </si>
  <si>
    <t>NMS</t>
  </si>
  <si>
    <t>Výuka BS:</t>
  </si>
  <si>
    <t>Výuka NMS:</t>
  </si>
  <si>
    <t>Požadované INV</t>
  </si>
  <si>
    <t>IP 117</t>
  </si>
  <si>
    <t>SV 115</t>
  </si>
  <si>
    <t>Služby poskytované</t>
  </si>
  <si>
    <t>Služby přijímané</t>
  </si>
  <si>
    <t>106+117</t>
  </si>
  <si>
    <t>PRO</t>
  </si>
  <si>
    <t>Výuka v zimním semestru</t>
  </si>
  <si>
    <t>Výuka v letním semestru</t>
  </si>
  <si>
    <t>Real Time Systems   RTS   (0)</t>
  </si>
  <si>
    <t>Elektronika  ELK  (0)</t>
  </si>
  <si>
    <t>MTI-pracovna pedagogů</t>
  </si>
  <si>
    <t>Název předmětu</t>
  </si>
  <si>
    <t>HM děk., proděk.,…</t>
  </si>
  <si>
    <t>20%FRIM</t>
  </si>
  <si>
    <t>106 původní - VK</t>
  </si>
  <si>
    <t>Vše na pracovišti</t>
  </si>
  <si>
    <t>Příděly</t>
  </si>
  <si>
    <t>Režie</t>
  </si>
  <si>
    <t xml:space="preserve">Počet doc. celkem
</t>
  </si>
  <si>
    <t xml:space="preserve">Počet prof. celkem
</t>
  </si>
  <si>
    <t>Počet doc. za posl. 3 roky</t>
  </si>
  <si>
    <t>Počet prof. za 3 roky</t>
  </si>
  <si>
    <t>Fakulta</t>
  </si>
  <si>
    <t>Spos</t>
  </si>
  <si>
    <t>Spři</t>
  </si>
  <si>
    <t>SV</t>
  </si>
  <si>
    <t>Režie upravené o dislokace</t>
  </si>
  <si>
    <t>uživatel</t>
  </si>
  <si>
    <t>*1000</t>
  </si>
  <si>
    <t>změna počtu studentů</t>
  </si>
  <si>
    <t>% ze 106</t>
  </si>
  <si>
    <t>odebrat ze 106</t>
  </si>
  <si>
    <t>odebrat ze 117</t>
  </si>
  <si>
    <t>Studijní obor</t>
  </si>
  <si>
    <t>B2612 Elektrotechnika a informatika</t>
  </si>
  <si>
    <t>2612R011 Elektronické informační a řídicí systémy</t>
  </si>
  <si>
    <t>P</t>
  </si>
  <si>
    <t>1802R022 Informatika a logistika</t>
  </si>
  <si>
    <t>1802R007 Informační technologie</t>
  </si>
  <si>
    <t>B3942 Nanotechnologie</t>
  </si>
  <si>
    <t>3942R002 Nanomateriály</t>
  </si>
  <si>
    <t>B3901 Aplikované vědy v inženýrství</t>
  </si>
  <si>
    <t>3901R055 Aplikované vědy v inženýrství</t>
  </si>
  <si>
    <t>N2612 Elektrotechnika a informatika</t>
  </si>
  <si>
    <t>3906T001 Mechatronika</t>
  </si>
  <si>
    <t>1802T007 Informační technologie</t>
  </si>
  <si>
    <t>N2612 Electrical Engineering and Informatics</t>
  </si>
  <si>
    <t>3906T001 Mechatronics</t>
  </si>
  <si>
    <t>N3942 Nanotechnologie</t>
  </si>
  <si>
    <t>3942T002 Nanomateriály</t>
  </si>
  <si>
    <t>N3901 Aplikované vědy v inženýrství</t>
  </si>
  <si>
    <t>3901T055 Aplikované vědy v inženýrství</t>
  </si>
  <si>
    <t>P2612 Elektrotechnika a informatika</t>
  </si>
  <si>
    <t>2612V045 Technická kybernetika</t>
  </si>
  <si>
    <t>P, K</t>
  </si>
  <si>
    <t>P3901 Aplikované vědy v inženýrství</t>
  </si>
  <si>
    <t>3901V055 Aplikované vědy v inženýrství</t>
  </si>
  <si>
    <t>P3942 Nanotechnologie</t>
  </si>
  <si>
    <t>3942V001 Nanotechnologie</t>
  </si>
  <si>
    <t>3902T005 Automatické řízení a inženýrská informatika</t>
  </si>
  <si>
    <t>EXTERNISTI se nikomu nezapočítají</t>
  </si>
  <si>
    <t>projekty</t>
  </si>
  <si>
    <t>Hardware software codesign  HSC  (0)</t>
  </si>
  <si>
    <t>Elektrické převodníky fyz. veličin  EPV (0)</t>
  </si>
  <si>
    <t>Převodníky fyz. veličin PFV   (0)</t>
  </si>
  <si>
    <r>
      <t xml:space="preserve">Počet  celkem </t>
    </r>
    <r>
      <rPr>
        <sz val="12"/>
        <rFont val="Times New Roman"/>
        <family val="1"/>
        <charset val="238"/>
      </rPr>
      <t xml:space="preserve">(průměr za poslední 3 roky - </t>
    </r>
    <r>
      <rPr>
        <b/>
        <sz val="12"/>
        <rFont val="Times New Roman"/>
        <family val="1"/>
        <charset val="238"/>
      </rPr>
      <t xml:space="preserve">
</t>
    </r>
    <r>
      <rPr>
        <sz val="12"/>
        <rFont val="Times New Roman"/>
        <family val="1"/>
        <charset val="238"/>
      </rPr>
      <t>vždy dle stavu k 31. 10.)</t>
    </r>
  </si>
  <si>
    <r>
      <t xml:space="preserve">Podíl na úhradě FRIM 20% </t>
    </r>
    <r>
      <rPr>
        <sz val="12"/>
        <rFont val="Times New Roman"/>
        <family val="1"/>
        <charset val="238"/>
      </rPr>
      <t>(dle užívaných ploch)</t>
    </r>
  </si>
  <si>
    <r>
      <t xml:space="preserve">Počet 
</t>
    </r>
    <r>
      <rPr>
        <b/>
        <sz val="12"/>
        <color indexed="10"/>
        <rFont val="Times New Roman"/>
        <family val="1"/>
        <charset val="238"/>
      </rPr>
      <t>Bc.</t>
    </r>
    <r>
      <rPr>
        <b/>
        <sz val="12"/>
        <rFont val="Times New Roman"/>
        <family val="1"/>
        <charset val="238"/>
      </rPr>
      <t xml:space="preserve">-projektů </t>
    </r>
    <r>
      <rPr>
        <sz val="12"/>
        <rFont val="Times New Roman"/>
        <family val="1"/>
        <charset val="238"/>
      </rPr>
      <t>(II.r.Bc.)</t>
    </r>
  </si>
  <si>
    <r>
      <t xml:space="preserve">Počet 
</t>
    </r>
    <r>
      <rPr>
        <b/>
        <sz val="12"/>
        <color indexed="48"/>
        <rFont val="Times New Roman"/>
        <family val="1"/>
        <charset val="238"/>
      </rPr>
      <t>Mgr.-</t>
    </r>
    <r>
      <rPr>
        <b/>
        <sz val="12"/>
        <rFont val="Times New Roman"/>
        <family val="1"/>
        <charset val="238"/>
      </rPr>
      <t xml:space="preserve">projektů </t>
    </r>
    <r>
      <rPr>
        <sz val="12"/>
        <rFont val="Times New Roman"/>
        <family val="1"/>
        <charset val="238"/>
      </rPr>
      <t>(I.r.NMgr.)</t>
    </r>
  </si>
  <si>
    <r>
      <t xml:space="preserve">Počet </t>
    </r>
    <r>
      <rPr>
        <b/>
        <sz val="12"/>
        <color indexed="10"/>
        <rFont val="Times New Roman"/>
        <family val="1"/>
        <charset val="238"/>
      </rPr>
      <t xml:space="preserve">BP </t>
    </r>
    <r>
      <rPr>
        <b/>
        <sz val="12"/>
        <rFont val="Times New Roman"/>
        <family val="1"/>
        <charset val="238"/>
      </rPr>
      <t xml:space="preserve">vedených 
na FM </t>
    </r>
  </si>
  <si>
    <r>
      <t xml:space="preserve">Počet </t>
    </r>
    <r>
      <rPr>
        <b/>
        <sz val="12"/>
        <color indexed="48"/>
        <rFont val="Times New Roman"/>
        <family val="1"/>
        <charset val="238"/>
      </rPr>
      <t>DP</t>
    </r>
    <r>
      <rPr>
        <b/>
        <sz val="12"/>
        <rFont val="Times New Roman"/>
        <family val="1"/>
        <charset val="238"/>
      </rPr>
      <t xml:space="preserve"> vedených 
na FM </t>
    </r>
  </si>
  <si>
    <r>
      <t xml:space="preserve">Počet 
</t>
    </r>
    <r>
      <rPr>
        <b/>
        <sz val="12"/>
        <color indexed="10"/>
        <rFont val="Times New Roman"/>
        <family val="1"/>
        <charset val="238"/>
      </rPr>
      <t>Bc.</t>
    </r>
    <r>
      <rPr>
        <b/>
        <sz val="12"/>
        <rFont val="Times New Roman"/>
        <family val="1"/>
        <charset val="238"/>
      </rPr>
      <t xml:space="preserve">-projektů </t>
    </r>
    <r>
      <rPr>
        <sz val="12"/>
        <rFont val="Times New Roman"/>
        <family val="1"/>
        <charset val="238"/>
      </rPr>
      <t>(II.r.Bc.) * Kč</t>
    </r>
  </si>
  <si>
    <r>
      <t xml:space="preserve">Počet 
</t>
    </r>
    <r>
      <rPr>
        <b/>
        <sz val="12"/>
        <color indexed="48"/>
        <rFont val="Times New Roman"/>
        <family val="1"/>
        <charset val="238"/>
      </rPr>
      <t>Mgr.-</t>
    </r>
    <r>
      <rPr>
        <b/>
        <sz val="12"/>
        <rFont val="Times New Roman"/>
        <family val="1"/>
        <charset val="238"/>
      </rPr>
      <t xml:space="preserve">projektů </t>
    </r>
    <r>
      <rPr>
        <sz val="12"/>
        <rFont val="Times New Roman"/>
        <family val="1"/>
        <charset val="238"/>
      </rPr>
      <t>(I.r.NMgr.) * Kč</t>
    </r>
  </si>
  <si>
    <r>
      <t xml:space="preserve">Počet </t>
    </r>
    <r>
      <rPr>
        <b/>
        <sz val="12"/>
        <color indexed="10"/>
        <rFont val="Times New Roman"/>
        <family val="1"/>
        <charset val="238"/>
      </rPr>
      <t xml:space="preserve">BP </t>
    </r>
    <r>
      <rPr>
        <b/>
        <sz val="12"/>
        <rFont val="Times New Roman"/>
        <family val="1"/>
        <charset val="238"/>
      </rPr>
      <t>vedených 
na FM * Kč</t>
    </r>
  </si>
  <si>
    <r>
      <t xml:space="preserve">Počet </t>
    </r>
    <r>
      <rPr>
        <b/>
        <sz val="12"/>
        <color indexed="48"/>
        <rFont val="Times New Roman"/>
        <family val="1"/>
        <charset val="238"/>
      </rPr>
      <t>DP</t>
    </r>
    <r>
      <rPr>
        <b/>
        <sz val="12"/>
        <rFont val="Times New Roman"/>
        <family val="1"/>
        <charset val="238"/>
      </rPr>
      <t xml:space="preserve"> vedených 
na FM * Kč</t>
    </r>
  </si>
  <si>
    <r>
      <t xml:space="preserve">Výpočet podílů na úhradě 20% FRIM </t>
    </r>
    <r>
      <rPr>
        <sz val="14"/>
        <rFont val="Times New Roman"/>
        <family val="1"/>
        <charset val="238"/>
      </rPr>
      <t>(stanoveno podle poměru užívaných ploch)</t>
    </r>
  </si>
  <si>
    <t>Zde přesné částky od KVE (rozpočet TUL vpravo):</t>
  </si>
  <si>
    <t>PUČ [m2]</t>
  </si>
  <si>
    <t>FRIM [Kč]</t>
  </si>
  <si>
    <t>Činn. 106</t>
  </si>
  <si>
    <t xml:space="preserve"> sl. L</t>
  </si>
  <si>
    <r>
      <t xml:space="preserve">Na DSP za publikace </t>
    </r>
    <r>
      <rPr>
        <sz val="12"/>
        <rFont val="Times New Roman"/>
        <family val="1"/>
        <charset val="238"/>
      </rPr>
      <t>(1 měsíc)</t>
    </r>
  </si>
  <si>
    <r>
      <t xml:space="preserve">Na DSP za publikace </t>
    </r>
    <r>
      <rPr>
        <sz val="12"/>
        <rFont val="Times New Roman"/>
        <family val="1"/>
        <charset val="238"/>
      </rPr>
      <t>(12 měsíců)</t>
    </r>
  </si>
  <si>
    <t>Podpora doc. a prof.</t>
  </si>
  <si>
    <t>106 - VK mínus Požadované INV</t>
  </si>
  <si>
    <t>Roční ocenění</t>
  </si>
  <si>
    <t>Přerozdělení za doc./prof.</t>
  </si>
  <si>
    <r>
      <t xml:space="preserve">Na DSP za publikace 
</t>
    </r>
    <r>
      <rPr>
        <sz val="12"/>
        <rFont val="Times New Roman"/>
        <family val="1"/>
        <charset val="238"/>
      </rPr>
      <t>(12 měsíců)</t>
    </r>
  </si>
  <si>
    <t>Z činn. 106</t>
  </si>
  <si>
    <t>Z činn. 117</t>
  </si>
  <si>
    <t>Počet doc. * roční ocenění</t>
  </si>
  <si>
    <t>Počet prof. * roční ocenění</t>
  </si>
  <si>
    <t>Doc./Prof. - k rozdělení</t>
  </si>
  <si>
    <r>
      <t xml:space="preserve">Proděkan </t>
    </r>
    <r>
      <rPr>
        <sz val="12"/>
        <rFont val="Times New Roman"/>
        <family val="1"/>
        <charset val="238"/>
      </rPr>
      <t>(nerozúčtovaný tarif)</t>
    </r>
  </si>
  <si>
    <t>Studenti v předmětech vč. DSP se SDZ</t>
  </si>
  <si>
    <t>Celkem pro přepočet dle studentů</t>
  </si>
  <si>
    <t>Přepočet režie dle studentů na ústavy</t>
  </si>
  <si>
    <t>Přepočet na provedené dislokace</t>
  </si>
  <si>
    <t>Režie pro veškeré činnosti, 7817</t>
  </si>
  <si>
    <t>Studijní režie - služby, 7117</t>
  </si>
  <si>
    <t>Režie pro veškeré činnosti, 7117</t>
  </si>
  <si>
    <t>Celkem pro přepočet dle PPV</t>
  </si>
  <si>
    <t>Přepočet režie dle PPV na pracoviště</t>
  </si>
  <si>
    <r>
      <t xml:space="preserve">Příděl 106
</t>
    </r>
    <r>
      <rPr>
        <sz val="12"/>
        <rFont val="Times New Roman"/>
        <family val="1"/>
        <charset val="238"/>
      </rPr>
      <t>(dle výuky mínus odečet ploch)</t>
    </r>
  </si>
  <si>
    <t>upravený</t>
  </si>
  <si>
    <t>Kvalifikační struktura</t>
  </si>
  <si>
    <t xml:space="preserve"> sl. M</t>
  </si>
  <si>
    <t>Tabulka kvalifikační struktury</t>
  </si>
  <si>
    <t>Přepočet na 10% přídělu</t>
  </si>
  <si>
    <t>Vrátit na ústavy</t>
  </si>
  <si>
    <t>z toho 106</t>
  </si>
  <si>
    <t>z toho 117</t>
  </si>
  <si>
    <t>Příděl části dotace podle kvalifikační struktury</t>
  </si>
  <si>
    <t>Příděl části dotace podle počtu kvalifikační struktury DOC a PROF</t>
  </si>
  <si>
    <t>Režie + 20% FRIM</t>
  </si>
  <si>
    <t>profesor</t>
  </si>
  <si>
    <t>docent</t>
  </si>
  <si>
    <t>odborný asistent s vědeckou hodností</t>
  </si>
  <si>
    <t>odborný asistent bez vědecké hodnosti</t>
  </si>
  <si>
    <t>asistent výzkumu, lektor</t>
  </si>
  <si>
    <t>Akademičtí pracovníci</t>
  </si>
  <si>
    <t>Režie + Přepočet na provedené dislokace- zaokrouhleno</t>
  </si>
  <si>
    <t>Režie vypočtená Full Costem</t>
  </si>
  <si>
    <t>Návrh rozpočtu FMIMS TU v Liberci</t>
  </si>
  <si>
    <t>prof. Ing. Zdeněk Plíva, Ph.D.</t>
  </si>
  <si>
    <t>děkan FMIMS</t>
  </si>
  <si>
    <t>% ze součtu (106+117)</t>
  </si>
  <si>
    <t>Hlavy FM</t>
  </si>
  <si>
    <t>kolik procent odebrat na kvalif. strukturu</t>
  </si>
  <si>
    <t>Úvazky FM</t>
  </si>
  <si>
    <t xml:space="preserve">Část na tarif proděk. </t>
  </si>
  <si>
    <t>Procento režie vypočtené metodou FC</t>
  </si>
  <si>
    <t>Z toho režie vypočtená Full Costem (FC)</t>
  </si>
  <si>
    <t>Rekapitulace</t>
  </si>
  <si>
    <t>Odečet 106 na DFM</t>
  </si>
  <si>
    <t>2017/2018</t>
  </si>
  <si>
    <t>profesoři</t>
  </si>
  <si>
    <t>docenti</t>
  </si>
  <si>
    <t>CELKEM za ústavy</t>
  </si>
  <si>
    <t>CELKEM za DFM</t>
  </si>
  <si>
    <t xml:space="preserve">celkem </t>
  </si>
  <si>
    <t>Diagnostika a spolehlivost  DSP  (0)</t>
  </si>
  <si>
    <t>Metody charakterizace nanomat.   MCN  (0)</t>
  </si>
  <si>
    <t>Bezdotykové metody měření   BMM   (0)</t>
  </si>
  <si>
    <t>MTI-počítačová učebna             TK3</t>
  </si>
  <si>
    <t>MTI-počítačová učebna             TK1</t>
  </si>
  <si>
    <t>MTI-počítačová učebna           TK6 - 25</t>
  </si>
  <si>
    <t>MTI-počítačová učebna              A2 - 20</t>
  </si>
  <si>
    <t>NTI-počítačová učebna                 A3</t>
  </si>
  <si>
    <t>CELKEM</t>
  </si>
  <si>
    <t>pozn. OSTATNÍ</t>
  </si>
  <si>
    <t>provozní, zasedací mistnost</t>
  </si>
  <si>
    <t>šatna, sklad,dílna</t>
  </si>
  <si>
    <t>Návrh rozpočtu určuje podíl na úhradě 20 % FRIMu stanovený podle poměru užívaných ploch</t>
  </si>
  <si>
    <t>plochy pracovišť</t>
  </si>
  <si>
    <t>% vyjádření užitné plochy</t>
  </si>
  <si>
    <t xml:space="preserve">% vyjádření </t>
  </si>
  <si>
    <t>Studijní režie - učebny, 7817</t>
  </si>
  <si>
    <t>Přepočtený počet PP</t>
  </si>
  <si>
    <t>Tabulka mzdových prostředků platba z DFM / SFM</t>
  </si>
  <si>
    <t>Plíva</t>
  </si>
  <si>
    <t>Tůma</t>
  </si>
  <si>
    <t>Hernych</t>
  </si>
  <si>
    <t>Koldovský</t>
  </si>
  <si>
    <t>Nosek</t>
  </si>
  <si>
    <t>Vlasák</t>
  </si>
  <si>
    <t>TARIF</t>
  </si>
  <si>
    <t>VEDENÍ příplatek</t>
  </si>
  <si>
    <t>Garanti</t>
  </si>
  <si>
    <t xml:space="preserve"> sl. N</t>
  </si>
  <si>
    <t>filtr z K:/mzdy/2018-02Uvazky.xls  (kont.Tab: Filtr=Kmen.prac., Osy=Kategorie, Hodnoty=Součet "uvazek v %")</t>
  </si>
  <si>
    <t>zaokrouhleno</t>
  </si>
  <si>
    <t>ostatní **</t>
  </si>
  <si>
    <t>laboratoře/učebny</t>
  </si>
  <si>
    <t>Rozpočítání DFM</t>
  </si>
  <si>
    <t>Březina 3.10.18 (NTI), Kalinová 28.11.18 (NTI)</t>
  </si>
  <si>
    <t>technický pracovník</t>
  </si>
  <si>
    <t>administrativní pracovník</t>
  </si>
  <si>
    <t xml:space="preserve">MTI-kancelář sekretářky </t>
  </si>
  <si>
    <t>MTI -pracovna pedegoga</t>
  </si>
  <si>
    <t>NTI-pracovna pedagogů a doktorandů</t>
  </si>
  <si>
    <t>C</t>
  </si>
  <si>
    <t>menza  Husova</t>
  </si>
  <si>
    <t>zařazení</t>
  </si>
  <si>
    <t>účel</t>
  </si>
  <si>
    <r>
      <t xml:space="preserve">Výpočet 20% FRIM </t>
    </r>
    <r>
      <rPr>
        <i/>
        <sz val="12"/>
        <rFont val="Times New Roman"/>
        <family val="1"/>
        <charset val="238"/>
      </rPr>
      <t xml:space="preserve">(plochy s kódem </t>
    </r>
    <r>
      <rPr>
        <b/>
        <i/>
        <sz val="12"/>
        <rFont val="Times New Roman"/>
        <family val="1"/>
        <charset val="238"/>
      </rPr>
      <t>účelu</t>
    </r>
    <r>
      <rPr>
        <i/>
        <sz val="12"/>
        <rFont val="Times New Roman"/>
        <family val="1"/>
        <charset val="238"/>
      </rPr>
      <t>=1 a 5)</t>
    </r>
  </si>
  <si>
    <t>ITE 7620</t>
  </si>
  <si>
    <t>MTI 7630</t>
  </si>
  <si>
    <t>NTI 7640</t>
  </si>
  <si>
    <t>Pozn.</t>
  </si>
  <si>
    <t>kontrola</t>
  </si>
  <si>
    <t>Mrázková</t>
  </si>
  <si>
    <t>OSOH příplatek</t>
  </si>
  <si>
    <t>výpočet CELKEM</t>
  </si>
  <si>
    <t>RIV</t>
  </si>
  <si>
    <t>ERASMUS</t>
  </si>
  <si>
    <t>režie</t>
  </si>
  <si>
    <t>2018/2019</t>
  </si>
  <si>
    <t>IT podpora</t>
  </si>
  <si>
    <t xml:space="preserve">Režie SGS projektů pod CxI bude převedena na DFM, na pokrytí mzdových nákladů Mrázkové a </t>
  </si>
  <si>
    <t>Systémy reálného času   SRC   (0)</t>
  </si>
  <si>
    <t>Základy logick. řízení  ZALR  (4)</t>
  </si>
  <si>
    <t>KS - Měřicí technika II  MT2  (2)</t>
  </si>
  <si>
    <t>Management bezpečnosti a rizik  MBR  (4)</t>
  </si>
  <si>
    <t>Metody užívané v logistice   MEL   (4)</t>
  </si>
  <si>
    <t>Stavba a řešení poč. modelů  SRM  (4)</t>
  </si>
  <si>
    <t>Obecná chemie 2   OCH2 (1)</t>
  </si>
  <si>
    <t>Operační výzkum    OV    (4)</t>
  </si>
  <si>
    <t>EF - Komunikace a  kom. syst. KSS*H  (0)</t>
  </si>
  <si>
    <t>Semestrální stáž !!!!</t>
  </si>
  <si>
    <t>PFKS - Složitost a vyčíslitelnost SLV   (0)</t>
  </si>
  <si>
    <t>DFM 7817</t>
  </si>
  <si>
    <t>DFM (NANO)</t>
  </si>
  <si>
    <t>DFM, 7817 - Organizace SGS+konference</t>
  </si>
  <si>
    <t>rozdělení v rámci FM</t>
  </si>
  <si>
    <t>organizace</t>
  </si>
  <si>
    <t>konference</t>
  </si>
  <si>
    <t>na projekty</t>
  </si>
  <si>
    <t>na DFM</t>
  </si>
  <si>
    <t>útvar (sl.D)</t>
  </si>
  <si>
    <t>sumif (sl.E)</t>
  </si>
  <si>
    <t>úprava</t>
  </si>
  <si>
    <t>CELKEM za útvary</t>
  </si>
  <si>
    <t>příděl na FM</t>
  </si>
  <si>
    <t>rozpočtová úprava</t>
  </si>
  <si>
    <t>celkem na pracoviště</t>
  </si>
  <si>
    <t>rozdělení REŽIE</t>
  </si>
  <si>
    <t>Výpočet počtu studentů pro stanovení přídělu na BS/MS/DS</t>
  </si>
  <si>
    <t>počty ze STAGu</t>
  </si>
  <si>
    <t>počet měsíců</t>
  </si>
  <si>
    <t>korekce rozpočtu</t>
  </si>
  <si>
    <t>(např. plánované výdaje navíc)</t>
  </si>
  <si>
    <t>příděl 106 na DFM+SFM :</t>
  </si>
  <si>
    <t>Přehled plánovatelných (mzdových) výdajů DFM</t>
  </si>
  <si>
    <t>kontrola součtu</t>
  </si>
  <si>
    <t>kontrola přidělení</t>
  </si>
  <si>
    <t>Vypočtená částka na DSP</t>
  </si>
  <si>
    <t>na pracoviště</t>
  </si>
  <si>
    <t>dalších nákladů spojených se správcováním projektů.</t>
  </si>
  <si>
    <t>T</t>
  </si>
  <si>
    <r>
      <t xml:space="preserve">MTI-pracovna pedagoga                              </t>
    </r>
    <r>
      <rPr>
        <sz val="10"/>
        <color indexed="10"/>
        <rFont val="Times New Roman CE"/>
        <charset val="238"/>
      </rPr>
      <t>3.22</t>
    </r>
  </si>
  <si>
    <r>
      <t xml:space="preserve">MTI-laboratoř                                              </t>
    </r>
    <r>
      <rPr>
        <sz val="10"/>
        <color indexed="10"/>
        <rFont val="Times New Roman CE"/>
        <charset val="238"/>
      </rPr>
      <t>3.23</t>
    </r>
  </si>
  <si>
    <r>
      <t xml:space="preserve">MTI-laboratoř                                              </t>
    </r>
    <r>
      <rPr>
        <sz val="10"/>
        <color indexed="10"/>
        <rFont val="Times New Roman CE"/>
        <charset val="238"/>
      </rPr>
      <t>3.24</t>
    </r>
  </si>
  <si>
    <r>
      <t xml:space="preserve">NTI-laboratoř                                               </t>
    </r>
    <r>
      <rPr>
        <sz val="10"/>
        <color indexed="10"/>
        <rFont val="Times New Roman CE"/>
        <charset val="238"/>
      </rPr>
      <t>3.25</t>
    </r>
  </si>
  <si>
    <r>
      <t xml:space="preserve">NTI-laboratoř                                               </t>
    </r>
    <r>
      <rPr>
        <sz val="10"/>
        <color indexed="10"/>
        <rFont val="Times New Roman CE"/>
        <charset val="238"/>
      </rPr>
      <t>3.30</t>
    </r>
  </si>
  <si>
    <r>
      <t xml:space="preserve">MTI-učebna                                                  </t>
    </r>
    <r>
      <rPr>
        <sz val="10"/>
        <color indexed="10"/>
        <rFont val="Times New Roman CE"/>
        <charset val="238"/>
      </rPr>
      <t>3.29</t>
    </r>
  </si>
  <si>
    <r>
      <t xml:space="preserve">MTI-pracovna pedagoga                              </t>
    </r>
    <r>
      <rPr>
        <sz val="10"/>
        <color indexed="10"/>
        <rFont val="Times New Roman CE"/>
        <charset val="238"/>
      </rPr>
      <t>3.28</t>
    </r>
  </si>
  <si>
    <r>
      <t xml:space="preserve">MTI-laboratoř                                              </t>
    </r>
    <r>
      <rPr>
        <sz val="10"/>
        <color indexed="10"/>
        <rFont val="Times New Roman CE"/>
        <charset val="238"/>
      </rPr>
      <t>3.27</t>
    </r>
  </si>
  <si>
    <r>
      <t xml:space="preserve">MTI-pracovna pedagoga                              </t>
    </r>
    <r>
      <rPr>
        <sz val="10"/>
        <color indexed="10"/>
        <rFont val="Times New Roman CE"/>
        <charset val="238"/>
      </rPr>
      <t>3.26</t>
    </r>
  </si>
  <si>
    <t>kanceláře/pracovny</t>
  </si>
  <si>
    <t>Interní číslo projektu</t>
  </si>
  <si>
    <t>Bakalářský seminář   BS  (34)</t>
  </si>
  <si>
    <t>Pokročilé program. na platf. Java  PPJ  (6)</t>
  </si>
  <si>
    <t>Digitální signálové procesory SIP  (0)</t>
  </si>
  <si>
    <t>Biologické signály  BSI  (0)</t>
  </si>
  <si>
    <t>PF - Základy programování   PRG*P  (0)</t>
  </si>
  <si>
    <t>Vybrané kapitoly z matematiky   VKM  (2)</t>
  </si>
  <si>
    <t>Základy kybernetiky   ZAK   (4)</t>
  </si>
  <si>
    <t>Mechatronika   MECH  (0)</t>
  </si>
  <si>
    <t>Moderní program. techniky  MPT  (0)</t>
  </si>
  <si>
    <t xml:space="preserve">Základy mechaniky tekutin  ZMT   (2) </t>
  </si>
  <si>
    <t>KS   Bakalářský seminář  BS  (2)</t>
  </si>
  <si>
    <t>KS - Počítače a mikropočítače  PMP (2)</t>
  </si>
  <si>
    <t>Data mining    DM   (0)</t>
  </si>
  <si>
    <t>MEA  Inteligentní roboty  IRO  (0)</t>
  </si>
  <si>
    <t>MEA   Smart Sens. and Actuators  SSA  (0)</t>
  </si>
  <si>
    <t>MEA  Technická diagnostika   TDG   (0)</t>
  </si>
  <si>
    <t>Úvod do studia materiálů   USM   (4)</t>
  </si>
  <si>
    <t>KS  Počítačové sítě  PST  (0)  +  PST-P (1)</t>
  </si>
  <si>
    <t>PF - Algoritmy a datové str.  ADS-P   (0)</t>
  </si>
  <si>
    <t>PF - Programování I PG1-P   (0)</t>
  </si>
  <si>
    <t>PF - Osobní počítače  PCS-P   (0)</t>
  </si>
  <si>
    <t>PFKS - Programování I PG1-P   (0)</t>
  </si>
  <si>
    <t>PFKS - Osobní počítače  PCS-P   (0)</t>
  </si>
  <si>
    <t>Aplikace počítačových modelů  APM  (3)</t>
  </si>
  <si>
    <t>PFKS - Programovací jazyk C  PJCPE  (2)</t>
  </si>
  <si>
    <t xml:space="preserve">Senzorika   SEN   (5)  </t>
  </si>
  <si>
    <t xml:space="preserve">Technologie optické výroby   TOV   (4)  </t>
  </si>
  <si>
    <t>Zpracování obrazu  ZPO  (5)</t>
  </si>
  <si>
    <t>2019/2020</t>
  </si>
  <si>
    <t>Stebel 1.7.19 (NTI), Barilla 12.12.19 (Externí)</t>
  </si>
  <si>
    <t>IP stabilitační</t>
  </si>
  <si>
    <t>bez odvodů</t>
  </si>
  <si>
    <t>Jeníček</t>
  </si>
  <si>
    <t>správa dat</t>
  </si>
  <si>
    <t>Dělení SGS</t>
  </si>
  <si>
    <t>Kritérium: jmenovaný DOC/PROF jako zaměstnanec FM "A")</t>
  </si>
  <si>
    <t>IP motivační</t>
  </si>
  <si>
    <t>mezisoučet</t>
  </si>
  <si>
    <t>na další dělení</t>
  </si>
  <si>
    <t>na Projekty+BP+DP vyčleněno</t>
  </si>
  <si>
    <t>K dalšímu dělení za výuku zbývá:</t>
  </si>
  <si>
    <t>Příděl dotace na Bc:</t>
  </si>
  <si>
    <t>z toho Projekty BP + BP</t>
  </si>
  <si>
    <t>na Výuku Bc.</t>
  </si>
  <si>
    <t>Příděl dotace na NM:</t>
  </si>
  <si>
    <t>z toho na Projekty NM + DP</t>
  </si>
  <si>
    <t>na Výuku Mg.</t>
  </si>
  <si>
    <t>Příděl 117 celkem</t>
  </si>
  <si>
    <t>Náklad DFM</t>
  </si>
  <si>
    <t>součet</t>
  </si>
  <si>
    <t>Celkem 106, 117, mínus Režie, mínus FRIM</t>
  </si>
  <si>
    <t>Provoz</t>
  </si>
  <si>
    <t>K rozdělení na ústavy po odečtení -publ</t>
  </si>
  <si>
    <t>přerozdělení  Doc/Prof</t>
  </si>
  <si>
    <t>kvalif.struktura</t>
  </si>
  <si>
    <t>přehled úprav přídělu</t>
  </si>
  <si>
    <t>Příděl 106 na FM</t>
  </si>
  <si>
    <t>odečet na Doc/Prof</t>
  </si>
  <si>
    <t>Na provoz 117 na DFM</t>
  </si>
  <si>
    <t>K rozdělení:</t>
  </si>
  <si>
    <t>NE</t>
  </si>
  <si>
    <t>STAB</t>
  </si>
  <si>
    <t>MOT</t>
  </si>
  <si>
    <t>Příděl 117 STAB</t>
  </si>
  <si>
    <t>Příděl 117 MOT</t>
  </si>
  <si>
    <r>
      <rPr>
        <b/>
        <sz val="11"/>
        <color rgb="FFFF0000"/>
        <rFont val="Times New Roman"/>
        <family val="1"/>
        <charset val="238"/>
      </rPr>
      <t>106+117+režie</t>
    </r>
    <r>
      <rPr>
        <b/>
        <sz val="11"/>
        <rFont val="Times New Roman"/>
        <family val="1"/>
        <charset val="238"/>
      </rPr>
      <t xml:space="preserve"> (před odečtením DFM)</t>
    </r>
  </si>
  <si>
    <r>
      <rPr>
        <b/>
        <sz val="11"/>
        <color rgb="FFFF0000"/>
        <rFont val="Times New Roman"/>
        <family val="1"/>
        <charset val="238"/>
      </rPr>
      <t>106+117+režie</t>
    </r>
    <r>
      <rPr>
        <b/>
        <sz val="11"/>
        <rFont val="Times New Roman"/>
        <family val="1"/>
        <charset val="238"/>
      </rPr>
      <t xml:space="preserve"> - se započtením DFM</t>
    </r>
  </si>
  <si>
    <t>(vč. 115)</t>
  </si>
  <si>
    <t>Bak. projekty</t>
  </si>
  <si>
    <t>Bak. práce</t>
  </si>
  <si>
    <t>Mag. projekt</t>
  </si>
  <si>
    <t>Diplomky</t>
  </si>
  <si>
    <t>PRJ1</t>
  </si>
  <si>
    <t>PRJ2</t>
  </si>
  <si>
    <t>PRJ</t>
  </si>
  <si>
    <t>PRN</t>
  </si>
  <si>
    <t>BP1</t>
  </si>
  <si>
    <t>BP2</t>
  </si>
  <si>
    <t>BPA1</t>
  </si>
  <si>
    <t>BPA2</t>
  </si>
  <si>
    <t>BPN</t>
  </si>
  <si>
    <t>PD1</t>
  </si>
  <si>
    <t>PD2</t>
  </si>
  <si>
    <t>DP1</t>
  </si>
  <si>
    <t>DP2</t>
  </si>
  <si>
    <t>DPA1</t>
  </si>
  <si>
    <t>DPA2</t>
  </si>
  <si>
    <t>DPN</t>
  </si>
  <si>
    <t>DPR</t>
  </si>
  <si>
    <t>portál STAG - prohlížení - předmět - zkratka předmětu</t>
  </si>
  <si>
    <t>fix z RIV (od 2014)</t>
  </si>
  <si>
    <t>old</t>
  </si>
  <si>
    <t>Typ studijního programu</t>
  </si>
  <si>
    <t>Kód a název studijního programu</t>
  </si>
  <si>
    <t>Garant SO</t>
  </si>
  <si>
    <t>Datum získání akreditace</t>
  </si>
  <si>
    <t>Platnost akreditace do</t>
  </si>
  <si>
    <t>Garant studijního programu</t>
  </si>
  <si>
    <t>Bakalářský</t>
  </si>
  <si>
    <t>B0588A110003 Aplikované vědy v inženýrství</t>
  </si>
  <si>
    <t>3 roky</t>
  </si>
  <si>
    <t>doc. Mgr. Jan Stebel, Ph.D.</t>
  </si>
  <si>
    <t>B0613A140005 Informační technologie</t>
  </si>
  <si>
    <t>doc. Ing. Josef Chaloupka, Ph.D.</t>
  </si>
  <si>
    <t>B0714A270001 Mechatronika</t>
  </si>
  <si>
    <t>doc. Ing. Josef Černohorský, Ph.D.</t>
  </si>
  <si>
    <t>B0719A130001 Nanotechnologie</t>
  </si>
  <si>
    <t>prof. Ing. Josef Šedlbauer, Ph.D.</t>
  </si>
  <si>
    <t>Navazující magisterský</t>
  </si>
  <si>
    <t>N0588A110001 Aplikované vědy v inženýrství</t>
  </si>
  <si>
    <t>2 roky</t>
  </si>
  <si>
    <t>doc. Ing. Petr Šidlof, Ph.D.</t>
  </si>
  <si>
    <t>N0613A140028 Informační technologie</t>
  </si>
  <si>
    <t>doc. RNDr. Pavel Satrapa, Ph.D.</t>
  </si>
  <si>
    <t xml:space="preserve">N0613A140029 Information Technology
 </t>
  </si>
  <si>
    <t>N0714A270010 Mechatronika</t>
  </si>
  <si>
    <t>doc. Dr. Mgr. Ing. Jaroslav Hlava</t>
  </si>
  <si>
    <t>N0714A150003 Mechatronics</t>
  </si>
  <si>
    <t>N0719A270001 Nanotechnologie</t>
  </si>
  <si>
    <t>Doktorský</t>
  </si>
  <si>
    <t>P0788D270007 Aplikované vědy v inženýrství</t>
  </si>
  <si>
    <t>4 roky</t>
  </si>
  <si>
    <t>P0788D270006 Applied Sciences in Engineering</t>
  </si>
  <si>
    <t>P0714D150008 Technická kybernetika</t>
  </si>
  <si>
    <t>prof. Ing. Zbyněk Koldovský, Ph.D.</t>
  </si>
  <si>
    <t>P0714D150007 Technical Cybernetics</t>
  </si>
  <si>
    <t>S</t>
  </si>
  <si>
    <t>doc. Ing. Libor Tůma, CSc.</t>
  </si>
  <si>
    <t>B2646 Informační technologie</t>
  </si>
  <si>
    <t>prof. Ing. Jaroslav Nosek, CSc.</t>
  </si>
  <si>
    <t>2612T071 Engineering of Interactive Systems</t>
  </si>
  <si>
    <t>prof. Dr. Ing. Miroslav Černík, CSc.</t>
  </si>
  <si>
    <t>doc. Ing. Jan Šembera, Ph.D.</t>
  </si>
  <si>
    <t>3901T025 Přírodovědné inženýrství</t>
  </si>
  <si>
    <t>doc. Ing. Milan Hokr, Ph.D. </t>
  </si>
  <si>
    <t>Forma</t>
  </si>
  <si>
    <t>SDS</t>
  </si>
  <si>
    <t>X</t>
  </si>
  <si>
    <t>KCH</t>
  </si>
  <si>
    <t>KAT</t>
  </si>
  <si>
    <t>poč</t>
  </si>
  <si>
    <t>A/N</t>
  </si>
  <si>
    <t>částka</t>
  </si>
  <si>
    <t>Vracet na ústav?  ANO/NE</t>
  </si>
  <si>
    <t>//'6_Garanti'!O38</t>
  </si>
  <si>
    <t>korekce na FM</t>
  </si>
  <si>
    <t>korekce</t>
  </si>
  <si>
    <t>režie za studenty CXI a FP</t>
  </si>
  <si>
    <t>Rozpočet FM na rok 2021</t>
  </si>
  <si>
    <t>ROZPOČET TUL na 2021  (KVE: NavRoz21.xls)</t>
  </si>
  <si>
    <t>Počty vedených projektů, bakalářských a diplomových prací za akad. rok 2020/2021</t>
  </si>
  <si>
    <t>částky OK i pro rok 2021</t>
  </si>
  <si>
    <t>koeficienty platné i pro rok 2021</t>
  </si>
  <si>
    <t>Příděl části dotace na vzdělávací činnost (činnost 106) podle počtu doktorandů (studujících standardní dobu + 1 rok) na rok 2021</t>
  </si>
  <si>
    <r>
      <t xml:space="preserve">Zdroj: </t>
    </r>
    <r>
      <rPr>
        <b/>
        <sz val="12"/>
        <rFont val="Times New Roman"/>
        <family val="1"/>
        <charset val="238"/>
      </rPr>
      <t>Pasporty21.xls</t>
    </r>
  </si>
  <si>
    <t>I pro rok 2021 zůstává beze změny</t>
  </si>
  <si>
    <t>I pro rok 2021 beze změny</t>
  </si>
  <si>
    <t>k 28. 2. 2021</t>
  </si>
  <si>
    <t>Úvazky FM k 28. 2. 2021</t>
  </si>
  <si>
    <t>2020-21</t>
  </si>
  <si>
    <t>PUČ na 2021</t>
  </si>
  <si>
    <r>
      <t xml:space="preserve">Plochy FM </t>
    </r>
    <r>
      <rPr>
        <sz val="11"/>
        <rFont val="Times New Roman"/>
        <family val="1"/>
        <charset val="238"/>
      </rPr>
      <t>(Pasporty21 - K:\Rozpocet\Rok2021\Vypocet.xls)</t>
    </r>
  </si>
  <si>
    <t>KVE PUČ 2021:</t>
  </si>
  <si>
    <t>Rozpočet FM na rok 2021 - DFM, činnost 106</t>
  </si>
  <si>
    <t>2021 - mzdové náklady zaměstanců, kteří nejsou kmenovými pracovníky FM, ale podílejí se na vedení FM</t>
  </si>
  <si>
    <t>Jedličková</t>
  </si>
  <si>
    <t>porady</t>
  </si>
  <si>
    <t>Rozpočet FM na rok 2021 - činn. 106</t>
  </si>
  <si>
    <r>
      <t xml:space="preserve">Rozpočet FM na rok 2021 - činn. 115 - SGS </t>
    </r>
    <r>
      <rPr>
        <sz val="14"/>
        <rFont val="Times New Roman"/>
        <family val="1"/>
        <charset val="238"/>
      </rPr>
      <t>(Specifický výzkum)</t>
    </r>
  </si>
  <si>
    <r>
      <t xml:space="preserve">Rozpočet FM na rok 2021 - činn. 117 </t>
    </r>
    <r>
      <rPr>
        <sz val="14"/>
        <rFont val="Times New Roman"/>
        <family val="1"/>
        <charset val="238"/>
      </rPr>
      <t>(institucionální podpora z MŠMT)</t>
    </r>
  </si>
  <si>
    <t>Rozpočet FM na rok 2021 - rozdělení celoškolské režie</t>
  </si>
  <si>
    <t>Stanovení režií, RozRez21.xls</t>
  </si>
  <si>
    <t>Rozpočet FM na rok 2021, započtení DFM</t>
  </si>
  <si>
    <t>Rozpočet FM na rok 2021 - celkový přehled po započtení DFM</t>
  </si>
  <si>
    <t>pro rok 2021</t>
  </si>
  <si>
    <t>ze dne xx. xx. 2021</t>
  </si>
  <si>
    <t>2020/2021</t>
  </si>
  <si>
    <t>Rozdělení dotace (celé) na vzdělávací činnost - 106 - podle počtu bak., magisterských studentů a doktorandů na rok 2020/2021</t>
  </si>
  <si>
    <t>prof. Koldovský (ITE) 17.6.20</t>
  </si>
  <si>
    <t>Poznámka:</t>
  </si>
  <si>
    <t>NTI -pracovna pedagoga</t>
  </si>
  <si>
    <t>NTI-laboratoř techn. diagn.         C221</t>
  </si>
  <si>
    <t xml:space="preserve">MTI kancelář </t>
  </si>
  <si>
    <t>MTI zasedací místnost</t>
  </si>
  <si>
    <t>MTI učebna</t>
  </si>
  <si>
    <t>děkan</t>
  </si>
  <si>
    <t>proděkan</t>
  </si>
  <si>
    <t>Severýn</t>
  </si>
  <si>
    <t>AS FM</t>
  </si>
  <si>
    <t>Seznam studentů studijního programu P3942 studujících k 31.10.2020</t>
  </si>
  <si>
    <t>Studijní program</t>
  </si>
  <si>
    <t>Student</t>
  </si>
  <si>
    <t>Školitel</t>
  </si>
  <si>
    <t>Jméno</t>
  </si>
  <si>
    <t>Fak.</t>
  </si>
  <si>
    <t>Prac.</t>
  </si>
  <si>
    <t>P3942</t>
  </si>
  <si>
    <t>Asatiani Nikifor</t>
  </si>
  <si>
    <t>Mikeš Jan, Ing. Ph.D.</t>
  </si>
  <si>
    <t>FP</t>
  </si>
  <si>
    <t>Ettel David</t>
  </si>
  <si>
    <t>Torres Rafael, Dr.</t>
  </si>
  <si>
    <t>Gončuková Zuzanna Renata</t>
  </si>
  <si>
    <t>Černík Miroslav, prof. Dr. Ing. CSc.</t>
  </si>
  <si>
    <t>Hauzerová Šárka</t>
  </si>
  <si>
    <t>Jenčová Věra, Ing. Ph.D.</t>
  </si>
  <si>
    <t>Havlíček Karel</t>
  </si>
  <si>
    <t>Lederer Tomáš, Ing. Ph.D.</t>
  </si>
  <si>
    <t>Havlíčková Kristýna</t>
  </si>
  <si>
    <t>Hrubošová Zuzana</t>
  </si>
  <si>
    <t>Petrík Stanislav, Ing. CSc.</t>
  </si>
  <si>
    <t>Ibrahim Mayza Mohamed Hassan</t>
  </si>
  <si>
    <t>Kopřivová Barbora</t>
  </si>
  <si>
    <t>Lukáš David, prof. RNDr. CSc.</t>
  </si>
  <si>
    <t>Košková Stanislava</t>
  </si>
  <si>
    <t>Hrabák Pavel, Mgr. Ph.D.</t>
  </si>
  <si>
    <t>Krabicová Ilona</t>
  </si>
  <si>
    <t>Řezanka Michal, RNDr. Ph.D.</t>
  </si>
  <si>
    <t>Krejčík Michal</t>
  </si>
  <si>
    <t>Kulhánková Johana</t>
  </si>
  <si>
    <t>Kunjiparambil Ramakrishnan Rohith</t>
  </si>
  <si>
    <t>Padil Vinod Vellora Thekkae, Dr. Ph.D.</t>
  </si>
  <si>
    <t>Nechanická Magda</t>
  </si>
  <si>
    <t>Dvořák Lukáš, Mgr. Ing. Ph.D.</t>
  </si>
  <si>
    <t>Silvestri Daniele</t>
  </si>
  <si>
    <t>Waclawek Stanislaw, Ing. Ph.D.</t>
  </si>
  <si>
    <t>REK</t>
  </si>
  <si>
    <t>CXI</t>
  </si>
  <si>
    <t>Šourková Hana</t>
  </si>
  <si>
    <t>Exnar Petr, doc. Ing. CSc.</t>
  </si>
  <si>
    <t>Vaněk Tomáš</t>
  </si>
  <si>
    <t>Hulicius Eduard, prof. Ing. CSc.</t>
  </si>
  <si>
    <t>Venkateshaiah Abhilash</t>
  </si>
  <si>
    <t>Vološčuková Ondřejka</t>
  </si>
  <si>
    <t>Nosek Jaroslav, Ing. Ph.D.</t>
  </si>
  <si>
    <t>Yeap Cheryl Soo Yean</t>
  </si>
  <si>
    <t>Ševců Alena, RNDr. Ph.D.</t>
  </si>
  <si>
    <t>Žižková Radmila</t>
  </si>
  <si>
    <t>součty</t>
  </si>
  <si>
    <t>Počty studentů TK+AVI</t>
  </si>
  <si>
    <t>DFM,7817</t>
  </si>
  <si>
    <t>Počty studentů NANO</t>
  </si>
  <si>
    <t>NANO-ITE, 7620</t>
  </si>
  <si>
    <t>NANO-MTI, 7630</t>
  </si>
  <si>
    <t>NANO-NTI, 7640</t>
  </si>
  <si>
    <t>NANO-DFM, 7817</t>
  </si>
  <si>
    <t>počet</t>
  </si>
  <si>
    <t>3_DSP</t>
  </si>
  <si>
    <t>úprava tabulky studentů NANO</t>
  </si>
  <si>
    <t>Opravit data v takto barevných oknech</t>
  </si>
  <si>
    <t>12_IP 117</t>
  </si>
  <si>
    <t>aktualizace stabilizační složky</t>
  </si>
  <si>
    <t>0_PRIDEL</t>
  </si>
  <si>
    <t>AKTUALIZOVÁNO</t>
  </si>
  <si>
    <t>Výpočty, simul. a vizual. Matlab MTLB   (75)</t>
  </si>
  <si>
    <t>Číslicová technika   CITE  (73)</t>
  </si>
  <si>
    <t>Elektronická dokumentace   EDK   (65)</t>
  </si>
  <si>
    <t>Signály a informace    SGI   (79+1)</t>
  </si>
  <si>
    <t>FZS - Úvod do syst. a signálů  USS*Z  (12)</t>
  </si>
  <si>
    <t xml:space="preserve">Databáze pro big data  DPB  (28) </t>
  </si>
  <si>
    <t xml:space="preserve">Základy elektroniky  ZELB  (1) </t>
  </si>
  <si>
    <t xml:space="preserve">Základy konstruování  ZKO  (35) </t>
  </si>
  <si>
    <t>FSB - Elektrot. a elektronika  ELE (106+9)  1/2 MTI</t>
  </si>
  <si>
    <t>Číslicová elektronika  CIE  (29+0)</t>
  </si>
  <si>
    <t>Číslicová technika  CIT+CIT-L  (10+4)</t>
  </si>
  <si>
    <t>Úvod do strojového učení   USU  (8)</t>
  </si>
  <si>
    <t>Aplikace neuronových sítí  ANS  (10)</t>
  </si>
  <si>
    <t>Elektronická zařízení   EZA  (29)</t>
  </si>
  <si>
    <t>Multimediální technologie  MT  (30)</t>
  </si>
  <si>
    <t>Nástroje pro práci s daty - office  OFF+NOF  (4+0)</t>
  </si>
  <si>
    <t>Programovatelné obvody   PO  (7)</t>
  </si>
  <si>
    <t>KS   Číslicová elektronika  CIE  (3) + CIT-L (0)</t>
  </si>
  <si>
    <t>KS - Elektronická zařízení   EZA  (2)</t>
  </si>
  <si>
    <t xml:space="preserve">FSB - Elektronika a měření EM (52) </t>
  </si>
  <si>
    <t xml:space="preserve">FSBKS - Elektronika a měření EM (2) </t>
  </si>
  <si>
    <t>FZS - Elektronika ELM*Z  (18)</t>
  </si>
  <si>
    <t>FZS - Snímání, digit. a zpr. dat  DZD*Z  (20)</t>
  </si>
  <si>
    <t>5_Vyuka</t>
  </si>
  <si>
    <t>Aktualizace tabulky předmětů</t>
  </si>
  <si>
    <t>Počítačové zpracování řeči   PZR   (7)</t>
  </si>
  <si>
    <t>Počítačové zpracování signálů  PZS  (39+1)</t>
  </si>
  <si>
    <t>FZS - Vybrané kap. z teorie signálu  KSA  (8)</t>
  </si>
  <si>
    <t>FZS - Počítačové zpr. signálů  PZS*Z  (8)</t>
  </si>
  <si>
    <t>FZS - Technická dok., řízení proj.  TDO  (8)</t>
  </si>
  <si>
    <t>FZS - Interakce člověk počítač   ICP*Z  (8)</t>
  </si>
  <si>
    <t>Počítačové vidění  PVI  (16)</t>
  </si>
  <si>
    <t>Pokročilé met. rozpoznávání řeči  PMR  (0)</t>
  </si>
  <si>
    <t>Interakce člověka s počítačem  ICP  (12)</t>
  </si>
  <si>
    <t>Image Processing  IMA (1)</t>
  </si>
  <si>
    <t>Počítačové zpracování signálů   PZS (0)</t>
  </si>
  <si>
    <t>Interakce člověka s počítačem  ICP (0) MEA</t>
  </si>
  <si>
    <t>Počítačová lingvistika  PLI  (1)</t>
  </si>
  <si>
    <t>FZS - Rozpoznávání a zprac. obrazu RZO  (9)</t>
  </si>
  <si>
    <t>Algoritmizace a programov. 1  ALG1  (75)</t>
  </si>
  <si>
    <t>Elektrotechnika  ELT  (63+1)</t>
  </si>
  <si>
    <t>Informatika  INF  (11)</t>
  </si>
  <si>
    <t>Programování 1   PRG1  (66)</t>
  </si>
  <si>
    <t>Přístrojová technika   PTE    (11)</t>
  </si>
  <si>
    <t xml:space="preserve">Úvod do inženýrství   UDI  (129) </t>
  </si>
  <si>
    <t>Algoritmizace a programov. 2  ALG2  (72+1)</t>
  </si>
  <si>
    <t>Algoritmizace a programov. 2  ALP2  (0+2)</t>
  </si>
  <si>
    <t>Seminář z programování 2  ALP2S  (0+2)</t>
  </si>
  <si>
    <t>Elektrické obvody ELO   (1)</t>
  </si>
  <si>
    <t>Měření neelektrických veličin   MNV (62)</t>
  </si>
  <si>
    <t>Programovatelné automaty   PRA (61)</t>
  </si>
  <si>
    <t>Programování 2   PRG2  (75+6)</t>
  </si>
  <si>
    <t>FA - Elektrické ovody  ELO*A  (0)</t>
  </si>
  <si>
    <t>FZS  Informační systémy ve zdravotnictví ISZ*Z  (30)</t>
  </si>
  <si>
    <t>FA - Základy logického řízení   ZLR*A   (23)</t>
  </si>
  <si>
    <t>FZS - Informační technologie   IT*Z  (30)</t>
  </si>
  <si>
    <t>FZS - Mikr. technika v biom.  MIT*Z  (41)</t>
  </si>
  <si>
    <t>Václavík</t>
  </si>
  <si>
    <t>Martinec</t>
  </si>
  <si>
    <t>Číslicové počítace   CIP  (32)</t>
  </si>
  <si>
    <t>Databázové systémy   DBS  (46+0)</t>
  </si>
  <si>
    <t>Elektronika   ELE  (42)</t>
  </si>
  <si>
    <t>Oborový seminář 2     OS2   (2)</t>
  </si>
  <si>
    <t>Mokrý</t>
  </si>
  <si>
    <t>Programování v jazyce C/C++  PRJC+PJC (37+14)</t>
  </si>
  <si>
    <t>Řízení kvality a integrace syst. v p.  RKI (2)</t>
  </si>
  <si>
    <t>Spolehlivost a údržba  SAU (2)</t>
  </si>
  <si>
    <t>Teoretická elektrotechnika  TLT (41)</t>
  </si>
  <si>
    <t>Údržba a skladové hospodářství    USH (2)</t>
  </si>
  <si>
    <t>Základy automatického řízení  ZAR (41)</t>
  </si>
  <si>
    <t>Analogová elektronika  AEL  (0+1)</t>
  </si>
  <si>
    <t>Elektrické pohony a aktuátory  EPA  (41)</t>
  </si>
  <si>
    <t>Elektroprojektování   EPRO  (45)</t>
  </si>
  <si>
    <t>Grafické a databázové aplikace  GDA  (3)</t>
  </si>
  <si>
    <t>Měření elektrických veličin  MEV  (45)</t>
  </si>
  <si>
    <t>Prostředky automat. řízení   PAR   (3)</t>
  </si>
  <si>
    <t>Teorie systémů pro techniky    TES   (2)</t>
  </si>
  <si>
    <t>Technické a program. prostředky řízení   TPR   (43)</t>
  </si>
  <si>
    <t>Vývoj aplikací pro Windows  VAPW+VAW  (22+2)</t>
  </si>
  <si>
    <t>KS  Grafické a datab. aplikace  GDA  (1)</t>
  </si>
  <si>
    <t>KS  Prostředky automat. řízení   PAR   (3)</t>
  </si>
  <si>
    <t>FSB - Elektrot. a elektronika  ELE (106)  1/2 ITE</t>
  </si>
  <si>
    <r>
      <t xml:space="preserve">FPKS - Vývoj progr. vybavení   VPV-P   (1) </t>
    </r>
    <r>
      <rPr>
        <sz val="12"/>
        <color indexed="10"/>
        <rFont val="Times New Roman"/>
        <family val="1"/>
        <charset val="238"/>
      </rPr>
      <t xml:space="preserve"> </t>
    </r>
  </si>
  <si>
    <t>FZS  Měření fyzik. veličin   MFV-Z  (11)</t>
  </si>
  <si>
    <t>FZS - Databázové systémy  DAS*Z  (12)</t>
  </si>
  <si>
    <t>FZS - Informatika a kybernet.  IAK*Z  (13)</t>
  </si>
  <si>
    <t>FZS - Silnopr. elektrot. a elektron.  SEE*Z  (12)</t>
  </si>
  <si>
    <t>FZS  Senzory v lékařství   SVL-Z  (13)</t>
  </si>
  <si>
    <t>FZS - Teoretická elektrotechn. TEE-Z  (43)</t>
  </si>
  <si>
    <t>Elektrické výkonové členy   EVC  (26+1)</t>
  </si>
  <si>
    <t>Kvantová mechanika 1  KM1 (12+2)</t>
  </si>
  <si>
    <t>Měřicí technika II  MT2  (35)</t>
  </si>
  <si>
    <t>Metodika vědecké práce  MVPB  (12)</t>
  </si>
  <si>
    <t>Počítačový hardware a rozhraní  PHS  (8)</t>
  </si>
  <si>
    <t>Simulace dynamických systémů  SDS  (28)</t>
  </si>
  <si>
    <t>Vestavné systémy   VES   (6)</t>
  </si>
  <si>
    <t>Bakalářský seminář  BS  (30)</t>
  </si>
  <si>
    <t>Bezdrátové technologie a sítě   BTS  (24)</t>
  </si>
  <si>
    <t>Číslicové měřicí systémy   CMS  (27)</t>
  </si>
  <si>
    <t>Ekonomika rizik v technice   ERT  (4)</t>
  </si>
  <si>
    <t>Počítače a mikropočítače  PMP (27)</t>
  </si>
  <si>
    <t xml:space="preserve">Simulace diskrétních systémů  SDI  (1) </t>
  </si>
  <si>
    <t>Softwarové inženýrství   STI+STIN   (27+32)</t>
  </si>
  <si>
    <t>Základy robotiky  ZRO   (27)</t>
  </si>
  <si>
    <t>KS   Elektrické výkonové členy   EVC  (2)</t>
  </si>
  <si>
    <t>KS - Simulace dynam. systémů  SDS  (0)</t>
  </si>
  <si>
    <t>KS - Číslicové měřicí systémy   CMS  (0)</t>
  </si>
  <si>
    <t>KS - Základy robotiky  ZRO   (1)</t>
  </si>
  <si>
    <t>FS - Eletrotechnika    ELE-P   (48+1)</t>
  </si>
  <si>
    <t>FSKS - Eletrotechnika    ELE-K   (1)</t>
  </si>
  <si>
    <t>PF - Moderní metody program.  MMP  (1)</t>
  </si>
  <si>
    <t>FZS  Elektr. a magn. pole živ.org. EMPO (23+0)</t>
  </si>
  <si>
    <t>FZS  Zobrazovací systémy    ZOS*Z  (18)</t>
  </si>
  <si>
    <t>FZS - Bezpečnost el. zařízení   BEZ*Z  (20)</t>
  </si>
  <si>
    <t xml:space="preserve">Akustika a elektroakustika AEA  (6+1) </t>
  </si>
  <si>
    <t>Automatické řízení   ARI  (1+1)</t>
  </si>
  <si>
    <t>Architektura počítačů  ARP  (18)</t>
  </si>
  <si>
    <t>Experimentální m. v mechanice  EMM+EMMA (18+2)</t>
  </si>
  <si>
    <t>Bílek</t>
  </si>
  <si>
    <t>Elektrické pohony a servom.  EPS  (17+2)</t>
  </si>
  <si>
    <t>Gramatiky a automaty  GRA  (18+0)</t>
  </si>
  <si>
    <t>Kódování a šifrování   KAS  (18)</t>
  </si>
  <si>
    <t>Kvantová fyzika pevných látek   KFP  (6)</t>
  </si>
  <si>
    <t>Metamateriály     MTM  (1)</t>
  </si>
  <si>
    <t>Oborový seminář 4    OS4  (7)</t>
  </si>
  <si>
    <t>Úvod do numerického modelování  UNM  (6)</t>
  </si>
  <si>
    <t>Projektováni el. systémů  ESY  (10)</t>
  </si>
  <si>
    <t>Identifikace systémů  IDS (1)</t>
  </si>
  <si>
    <t>Komunikační technologie  KOT  (2)</t>
  </si>
  <si>
    <t>Elektrické a elektron. syst. vozidel  ESV  (15)</t>
  </si>
  <si>
    <t>Návrh hardwar. komponent  NHK  (27)</t>
  </si>
  <si>
    <t>Práce s informačními zdroji   PIZ   (7)</t>
  </si>
  <si>
    <t>Robotika    RBT  (17)</t>
  </si>
  <si>
    <t>Řízení databází    RDB   (20)</t>
  </si>
  <si>
    <t>Řídicí systémy v mechatronice  RSM   (16)</t>
  </si>
  <si>
    <t>Stavová regulace    STR   (2)</t>
  </si>
  <si>
    <t>MEA  Real Time Control Systems RTC+FUC(2)</t>
  </si>
  <si>
    <t>MEA  Virtual Instrumentation VI(2)</t>
  </si>
  <si>
    <t>FP - Úvod do hodnocení spolehlivosti a rizik SPR (1)</t>
  </si>
  <si>
    <t>FP - Metody a nástroje optimalizace údržby  OPU  (1)</t>
  </si>
  <si>
    <t>FP - Softwarové nástroje ve spolehlivosti   SNS  (1)</t>
  </si>
  <si>
    <t>FZS - Progr. techniky a datamining PDI  (8)</t>
  </si>
  <si>
    <t>FZS - Vybrané kapitoly z elektrot.  VRI   (8)</t>
  </si>
  <si>
    <t>FZS - Architektury elektron. syst.  AES (8)</t>
  </si>
  <si>
    <t>FZS - Elektrot. měření, prov. bezp. EMZ  (8)</t>
  </si>
  <si>
    <t>FZS - Měření elektr. a neel. veličin  MBI (8)</t>
  </si>
  <si>
    <t>FZS - Rizikový management, spol.  RMA  (10)</t>
  </si>
  <si>
    <t>FZS - Zákl. principy elektrot. a kyb.  ZEK  (8)</t>
  </si>
  <si>
    <t>Číslicové řízení   CRI  (14+0)</t>
  </si>
  <si>
    <t>Projektování automat. systémů   PAS  (7)</t>
  </si>
  <si>
    <t>Řídicí počítačové systémy   RPS  (23)</t>
  </si>
  <si>
    <t>Systémy pro řízení v reálném čase  RTC  (0)</t>
  </si>
  <si>
    <t>Teorie algoritmů a složitosti   TAS  (11)</t>
  </si>
  <si>
    <t>Tenké vrstvy   TV  (3)</t>
  </si>
  <si>
    <t>Výkonová elektronika  VKE  (4)</t>
  </si>
  <si>
    <t>Algebr. syntéza reg. obv.  ASR  (6)</t>
  </si>
  <si>
    <t>Charakterizace tenkých vrstev  CTV  (5)</t>
  </si>
  <si>
    <t>Elektromagnetická kompatibilita  EMC  (11)</t>
  </si>
  <si>
    <t>Inteligentní roboty  IRO  (2)</t>
  </si>
  <si>
    <t>Kalibrace modelů   KM   (0)</t>
  </si>
  <si>
    <t>Metody řízení v aplikacích  MRA  (6)</t>
  </si>
  <si>
    <t>Řízení vícerozměrových systémů   RVS  (6)</t>
  </si>
  <si>
    <t>Technická diagnostika   TDG  (5)  učí KVM</t>
  </si>
  <si>
    <t>MEA Číslicové řízení   CRI  (1)</t>
  </si>
  <si>
    <t>MEA Communication Technology   CT  (3)</t>
  </si>
  <si>
    <t>MEA Stavová regulace   STR  (0)</t>
  </si>
  <si>
    <t>FZS - Lékařské systémy  LSY   (9)</t>
  </si>
  <si>
    <t>FZS - Robotika 1  RO1   (2)</t>
  </si>
  <si>
    <t>FZS - Biokybernetika   BIK   (8)</t>
  </si>
  <si>
    <t>Lineární algebra a diskrétní mat.  LADM  (5)</t>
  </si>
  <si>
    <t>Seminář z matematiky 1   SEM1    (71)</t>
  </si>
  <si>
    <t>Šembera</t>
  </si>
  <si>
    <t>Úvod do Shellu   SH   (77)</t>
  </si>
  <si>
    <t>Snímání a zpracování obrazu   SZO   (5)</t>
  </si>
  <si>
    <t xml:space="preserve"> + MTI</t>
  </si>
  <si>
    <t>Počítačové sítě  PST  (106)  +   PST-P (1)</t>
  </si>
  <si>
    <t>Seminář z matematiky  SEM2   (69)</t>
  </si>
  <si>
    <t>Úvod do studia nanomateriálů   USTN  (11)</t>
  </si>
  <si>
    <t>EF, NISA - Pragramming I   PG1-N  (0)</t>
  </si>
  <si>
    <t>PF - Architektura počítačů  ARP  (30)</t>
  </si>
  <si>
    <t>PF - Úvod do programování   UDP   (30)</t>
  </si>
  <si>
    <t>PF - Op. syst. UNIX OSU  (0)</t>
  </si>
  <si>
    <t>PF - Tvorba statického webu  TSW  (16)</t>
  </si>
  <si>
    <t>FA - Počítačové sítě HTML  PS*A   (0)</t>
  </si>
  <si>
    <t>FZS - Úvod do počítačových sítí  US*Z  (41)</t>
  </si>
  <si>
    <t>FZS - Zákl. algoritm. a progr.  ZAP*Z  (41)</t>
  </si>
  <si>
    <t>PFKS - Architektura počítačů  ARP  (12)</t>
  </si>
  <si>
    <t>PFKS - Úvod do programování   UDP   (12)</t>
  </si>
  <si>
    <t>PFKS - Tvorba statického webu  TSW  (5)</t>
  </si>
  <si>
    <t>Algoritmy a datové struktury  ALD   (34)</t>
  </si>
  <si>
    <t>Mechanika  MEC  (12+1)</t>
  </si>
  <si>
    <t>Obecná chemie 1   OCH1 (3)</t>
  </si>
  <si>
    <t>Operační systémy OPS  (70)</t>
  </si>
  <si>
    <t xml:space="preserve"> +MTI</t>
  </si>
  <si>
    <t>Technická mechanika  TME  (42)</t>
  </si>
  <si>
    <t>PF - Programování PRG   (3)</t>
  </si>
  <si>
    <t>Matematika 4   MA4   (5)</t>
  </si>
  <si>
    <t>Programovací jazyk Python   PJPA   (41)</t>
  </si>
  <si>
    <t>Teorie her  TGHE + THE + TGH   (26+1+11)</t>
  </si>
  <si>
    <t>Tvorba WWW stránek  TWS  (31)</t>
  </si>
  <si>
    <t>Úvod do statistické analýzy  USA  (39)</t>
  </si>
  <si>
    <t>Webové aplikace  WEAP  (6)</t>
  </si>
  <si>
    <t>PF - Aut. a form. jaz. AFJ-P (4)</t>
  </si>
  <si>
    <t>EF - Operační systémy IM2   (18)</t>
  </si>
  <si>
    <r>
      <t xml:space="preserve">FA - Programování pro WWW*A   (1) </t>
    </r>
    <r>
      <rPr>
        <sz val="12"/>
        <color indexed="10"/>
        <rFont val="Times New Roman"/>
        <family val="1"/>
        <charset val="238"/>
      </rPr>
      <t xml:space="preserve"> </t>
    </r>
  </si>
  <si>
    <t>FZS - Model. fyziolog. dějů  MFD*Z  (14)</t>
  </si>
  <si>
    <t>FZS - Mechanika   MCH*Z  (15)</t>
  </si>
  <si>
    <t>PFKS - Operační systémy  OPS   (2)</t>
  </si>
  <si>
    <t>PFKS - Programování PRG   (3)</t>
  </si>
  <si>
    <t>PFKS - Aut. a form. jaz.   AFJ-P  (2)</t>
  </si>
  <si>
    <t>Počítačová bezpečnost   PBE  (24)</t>
  </si>
  <si>
    <t>Počítačová grafika   PG  (20)</t>
  </si>
  <si>
    <t>Programovací jazyk Python   PJP  (24)</t>
  </si>
  <si>
    <t>Počítačové sítě  PST  (29)</t>
  </si>
  <si>
    <t>Unix a Internet   UI  (24)</t>
  </si>
  <si>
    <t>Šembera, Žabka</t>
  </si>
  <si>
    <t>Bakalářský seminář  BS  (7)</t>
  </si>
  <si>
    <t>Konstrukce optických přístrojů  KOP   (5)</t>
  </si>
  <si>
    <t>Počítačová bezpečnost  POB    (5)</t>
  </si>
  <si>
    <t>Úvod do ekon. a managementu UEM (22)</t>
  </si>
  <si>
    <t xml:space="preserve">Zobrazování obrazových dat  ZOD   (1) </t>
  </si>
  <si>
    <t>Jašíková</t>
  </si>
  <si>
    <t>KS - Počítačové sítě  PST  (2)</t>
  </si>
  <si>
    <t>PF - Hardware osobních počítačů  HWP (1)</t>
  </si>
  <si>
    <t>PFKS - Jazyky pro popis dat  JPD (5)</t>
  </si>
  <si>
    <t>PFKS - Počítačová typografie  PTO-P   (3)</t>
  </si>
  <si>
    <t>PF - Programovací jazyk C  PJCPE (5)</t>
  </si>
  <si>
    <t>FZS  Laserová techn. a vl. opt. LTE*Z  (20)</t>
  </si>
  <si>
    <t>FZS  Tomografické zobr. syst. TZS*Z  (19)</t>
  </si>
  <si>
    <t>FA - Počítačová grafika   PG*A   (0)</t>
  </si>
  <si>
    <t>Diferenciální rovnice   DR   (30)</t>
  </si>
  <si>
    <t>Elektromagnetismus   ELMG    (27)</t>
  </si>
  <si>
    <t xml:space="preserve"> cv MTI</t>
  </si>
  <si>
    <t>Experimentální mechanika tekutin  EMT (4)</t>
  </si>
  <si>
    <t>Fyzikální jevy v geovědách   FJG (4)</t>
  </si>
  <si>
    <t xml:space="preserve">Instrumentace v analytické chemii  IAC (0)  </t>
  </si>
  <si>
    <t>Jazyky pro popis dat   JPD (24)</t>
  </si>
  <si>
    <t xml:space="preserve">Metoda konečných prvků   MKP (10)  </t>
  </si>
  <si>
    <t xml:space="preserve">Mechanika kontinua a termod.  MKT  (1)  </t>
  </si>
  <si>
    <t xml:space="preserve">Mechanika poddajných těles   MPT  (6)  </t>
  </si>
  <si>
    <t>Optimalizační úlohy   OPT (27)</t>
  </si>
  <si>
    <t>Programování mobilních aplikací PAA (18)</t>
  </si>
  <si>
    <t xml:space="preserve">Pravděpodobnost a statistika  PAS  (35)  </t>
  </si>
  <si>
    <t>Polymerní materiály   PM (1)</t>
  </si>
  <si>
    <t>Žabka</t>
  </si>
  <si>
    <t>Alternativní metody programování  AMP  (12)</t>
  </si>
  <si>
    <t>Aplikace nanomateriálů    ANO   (1)</t>
  </si>
  <si>
    <t>Fotonika    FOT    (9)</t>
  </si>
  <si>
    <t>Simulační softwary v techn. praxi  STP  (1)</t>
  </si>
  <si>
    <t>PF - Složitost a vyčíslitelnost SLV   (0)</t>
  </si>
  <si>
    <t>PF -  Operační systém Unix   OUP  (4)</t>
  </si>
  <si>
    <t>PF - Tvorba dynamického webu  TDW  (3)</t>
  </si>
  <si>
    <t>PF - Vytv. intern. služeb VIS+VISPE  (21+5)</t>
  </si>
  <si>
    <t>PFKS -  Operační systém Unix   OUP  (2)</t>
  </si>
  <si>
    <t>PFKS - Tvorba dynamického webu  TDW  (2)</t>
  </si>
  <si>
    <t>PFKS - Vytv. intern. služeb VISPE  (2)</t>
  </si>
  <si>
    <t>EF - Počítačová typografie  PT + PTO   (19+5)</t>
  </si>
  <si>
    <t>EF - Počítačové sítě  PCT*H  (22)</t>
  </si>
  <si>
    <t>FZS - Aplik. mat. a fyz. výpočty AMI  (10)</t>
  </si>
  <si>
    <t>FZS - Principy studia biolog. systémů  PBS  (8)</t>
  </si>
  <si>
    <t>Aplikace nanotechnologií v medicíně  ANM (3)</t>
  </si>
  <si>
    <t>Global Imaging Methods  GIM  (4)</t>
  </si>
  <si>
    <t>Membránové a separační procesy  MSP (2)</t>
  </si>
  <si>
    <t xml:space="preserve">Matematická teorie pružnosti  MTP  (0)  </t>
  </si>
  <si>
    <t xml:space="preserve">Měřicí technika 3   MT3  (8)  </t>
  </si>
  <si>
    <t>Numerické modelování a počítače  NMP (3)</t>
  </si>
  <si>
    <t>Numerické m. v proudění a transportu  NMPT (0)</t>
  </si>
  <si>
    <t>Pokročilé webové aplikace  PWA (9)</t>
  </si>
  <si>
    <t>Simulace elektrom. syst.  SES  (9)</t>
  </si>
  <si>
    <t>Biomedicínské aplikace nanomateriálů   BAN  (2)</t>
  </si>
  <si>
    <t>Bezpečnost a legislativa materiálů  BLM  (1)</t>
  </si>
  <si>
    <t>Distribuované programování   DPG  (10)</t>
  </si>
  <si>
    <t>Diplomový seminář   DSA  (4)</t>
  </si>
  <si>
    <t>Diplomový seminář   DSI  (13)</t>
  </si>
  <si>
    <t>Laserové technologie  LAST  (2)</t>
  </si>
  <si>
    <t>Minipočítače a jejich prakt. aplikace MIP  (9)</t>
  </si>
  <si>
    <t>Python pro aplikované vědy  PAV  (0)</t>
  </si>
  <si>
    <t>Překladače   PRK  (10)</t>
  </si>
  <si>
    <t>Prostředky pro symbolické výpočty  PSV  (2)</t>
  </si>
  <si>
    <t>Zedek</t>
  </si>
  <si>
    <t>Rizika nanotechnologií   RNT   (5)</t>
  </si>
  <si>
    <t>Recyklace polymerních materiálů   RPO  (2)</t>
  </si>
  <si>
    <t>Základy navrhování optických soustav  ZNOS  (3)</t>
  </si>
  <si>
    <t>EF - Unix a Internet UXI (20)</t>
  </si>
  <si>
    <t>PFKS - Operační systém Linux  LNXPE (3)</t>
  </si>
  <si>
    <t>PF - Programování pro WEB  PGWE (1)</t>
  </si>
  <si>
    <t>FZS - Metody měření a int. 3D obrazů MID (8)</t>
  </si>
  <si>
    <t>12_117</t>
  </si>
  <si>
    <t>sl.B (aktualizace publikací) + H24 (neseděl součet procent)</t>
  </si>
  <si>
    <t>doplnění částek z NavRoz21 vloženo 26.3.</t>
  </si>
  <si>
    <t>Odpočet</t>
  </si>
  <si>
    <t>Oprava 2020</t>
  </si>
  <si>
    <t>7_plochy</t>
  </si>
  <si>
    <t>8_FRIM</t>
  </si>
  <si>
    <t>aktualizace výpočtu</t>
  </si>
  <si>
    <t>Přepočet na provedené dislokace 2020 - rozdíl</t>
  </si>
  <si>
    <t>Celkový počet doc. a prof. je brán ze mzdové inventury platné k 28.2.2021</t>
  </si>
  <si>
    <t>4_DOC_PROF</t>
  </si>
  <si>
    <t>0 - 12_PRIDEL 11</t>
  </si>
  <si>
    <t>kontrola výpočtů</t>
  </si>
  <si>
    <t>13_Režie</t>
  </si>
  <si>
    <t>aktualizace + kontrola</t>
  </si>
  <si>
    <t>Úpravy</t>
  </si>
  <si>
    <t>doplnění částek z NavRoz21 vloženo 29.3.</t>
  </si>
  <si>
    <t>Výpočet</t>
  </si>
  <si>
    <t>Kolik ústavy měsíčně vyplácí na DSP publikace (SK - publikační činnost stip.)</t>
  </si>
  <si>
    <t>sl.H doplnění procent MOT</t>
  </si>
  <si>
    <t>ze souboru M17+ hodnoceni 2019 FM.xlsx od ZK</t>
  </si>
  <si>
    <t>doplnění částek z NavRoz21 vloženo 31.3.</t>
  </si>
  <si>
    <t>Výpočet - aktualizace</t>
  </si>
  <si>
    <t xml:space="preserve">14_Přehled </t>
  </si>
  <si>
    <t>Celkem 106, 117, 115 mínus odvody REK</t>
  </si>
  <si>
    <t>oprava H12 výpočet</t>
  </si>
  <si>
    <t>Schváleno Akademickým senátem FMIMS dne x.x.2021</t>
  </si>
  <si>
    <t>ROZPOČET</t>
  </si>
  <si>
    <t>oprava C11 výpočet</t>
  </si>
  <si>
    <t>xxxxxxxx  Environmental Engineering</t>
  </si>
  <si>
    <t>xxxxxxxx  Environmentální inženýrství</t>
  </si>
  <si>
    <t>opačná kontrola</t>
  </si>
  <si>
    <t>6_garanti</t>
  </si>
  <si>
    <t>doplnění odměn EE (jmenování až od 05-2021 neřeším)</t>
  </si>
  <si>
    <t>příděl A</t>
  </si>
  <si>
    <t>Vyplní SO  b+m</t>
  </si>
  <si>
    <r>
      <t xml:space="preserve">Tarify tříd  </t>
    </r>
    <r>
      <rPr>
        <sz val="13"/>
        <rFont val="Times New Roman"/>
        <family val="1"/>
        <charset val="238"/>
      </rPr>
      <t>(dolní hranice)</t>
    </r>
  </si>
  <si>
    <t>4a - úvazky</t>
  </si>
  <si>
    <t>dolní tarify tříd</t>
  </si>
  <si>
    <t>Dotace celkem na B + NM:</t>
  </si>
  <si>
    <t>přiděleno "na FM"</t>
  </si>
  <si>
    <r>
      <t>C7 - odstraněn přípočet - je v C4 a tedy i ve sloupci J  (=300000</t>
    </r>
    <r>
      <rPr>
        <sz val="10"/>
        <color rgb="FFFF0000"/>
        <rFont val="Arial CE"/>
        <charset val="238"/>
      </rPr>
      <t>+C14</t>
    </r>
    <r>
      <rPr>
        <sz val="10"/>
        <rFont val="Arial CE"/>
        <charset val="238"/>
      </rPr>
      <t>)</t>
    </r>
  </si>
  <si>
    <r>
      <t xml:space="preserve">C14 a C13 - co je to +24900? </t>
    </r>
    <r>
      <rPr>
        <sz val="10"/>
        <color rgb="FFFF0000"/>
        <rFont val="Arial CE"/>
        <charset val="238"/>
      </rPr>
      <t xml:space="preserve"> Asi smazat pokud jsem 22.3. upravil celkovou částku?</t>
    </r>
  </si>
  <si>
    <t>kontrola výpoočtu - oprava výpočtu publ.</t>
  </si>
  <si>
    <t>aktualizace 5.4.2021</t>
  </si>
  <si>
    <t>OK kontrola</t>
  </si>
  <si>
    <t>hodnoty pro výpočet na ústavy</t>
  </si>
  <si>
    <t>oprava počtů stusdentů v C15..E17</t>
  </si>
  <si>
    <t>podle poměru MOT</t>
  </si>
  <si>
    <t>tj.celkem</t>
  </si>
  <si>
    <t>dodatek 117-MOT, jen výpočet</t>
  </si>
  <si>
    <t>DODATEK 117 - MOTIVAČNÍ</t>
  </si>
  <si>
    <t>ze dne 25. 6. 2021</t>
  </si>
  <si>
    <t>117 dodatek-1</t>
  </si>
  <si>
    <t>celkem za FM</t>
  </si>
  <si>
    <t>celkem ústavy FM</t>
  </si>
  <si>
    <t>podíl</t>
  </si>
  <si>
    <t>Příděl pro FM</t>
  </si>
  <si>
    <t>K rozdělení</t>
  </si>
  <si>
    <t>Mezifakultní vyrovnání</t>
  </si>
  <si>
    <t>117-d1</t>
  </si>
  <si>
    <t>dod1 + ROZPvč-dod1</t>
  </si>
  <si>
    <t>rozdělení MOT a celkový součet za FM - podlesní listy</t>
  </si>
  <si>
    <t>5-výuka</t>
  </si>
  <si>
    <t>přepsána procenta (odstr. násobení 100)</t>
  </si>
  <si>
    <t>Schváleno Akademickým senátem FMIMS dne 20.4.2021</t>
  </si>
  <si>
    <t>Schváleno Akademickým senátem FMIMS dne 13.7.2021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</si>
</sst>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#,##0.00\ &quot;Kč&quot;;\-#,##0.00\ &quot;Kč&quot;"/>
    <numFmt numFmtId="44" formatCode="_-* #,##0.00\ &quot;Kč&quot;_-;\-* #,##0.00\ &quot;Kč&quot;_-;_-* &quot;-&quot;??\ &quot;Kč&quot;_-;_-@_-"/>
    <numFmt numFmtId="43" formatCode="_-* #,##0.00\ _K_č_-;\-* #,##0.00\ _K_č_-;_-* &quot;-&quot;??\ _K_č_-;_-@_-"/>
    <numFmt numFmtId="164" formatCode="#,##0.0000"/>
    <numFmt numFmtId="165" formatCode="0.000"/>
    <numFmt numFmtId="166" formatCode="0.0%"/>
    <numFmt numFmtId="167" formatCode="0.000%"/>
    <numFmt numFmtId="168" formatCode="#,##0.00_ ;\-#,##0.00\ "/>
    <numFmt numFmtId="169" formatCode="_-* #,##0.000\ &quot;Kč&quot;_-;\-* #,##0.000\ &quot;Kč&quot;_-;_-* &quot;-&quot;??\ &quot;Kč&quot;_-;_-@_-"/>
    <numFmt numFmtId="170" formatCode="_-* #,##0.000\ &quot;Kč&quot;_-;\-* #,##0.000\ &quot;Kč&quot;_-;_-* &quot;-&quot;???\ &quot;Kč&quot;_-;_-@_-"/>
    <numFmt numFmtId="171" formatCode="_-* #,##0\ &quot;Kč&quot;_-;\-* #,##0\ &quot;Kč&quot;_-;_-* &quot;-&quot;???\ &quot;Kč&quot;_-;_-@_-"/>
    <numFmt numFmtId="172" formatCode="_-* #,##0\ &quot;Kč&quot;_-;\-* #,##0\ &quot;Kč&quot;_-;_-* &quot;-&quot;??\ &quot;Kč&quot;_-;_-@_-"/>
  </numFmts>
  <fonts count="121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i/>
      <sz val="10"/>
      <name val="Arial CE"/>
      <charset val="238"/>
    </font>
    <font>
      <sz val="10"/>
      <name val="Arial CE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4"/>
      <name val="Times New Roman"/>
      <family val="1"/>
      <charset val="238"/>
    </font>
    <font>
      <sz val="14"/>
      <name val="Times New Roman"/>
      <family val="1"/>
      <charset val="238"/>
    </font>
    <font>
      <b/>
      <sz val="12"/>
      <color indexed="10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name val="Times New Roman"/>
      <family val="1"/>
      <charset val="238"/>
    </font>
    <font>
      <sz val="11"/>
      <color indexed="12"/>
      <name val="Times New Roman"/>
      <family val="1"/>
      <charset val="238"/>
    </font>
    <font>
      <sz val="12"/>
      <color indexed="10"/>
      <name val="Times New Roman"/>
      <family val="1"/>
      <charset val="238"/>
    </font>
    <font>
      <sz val="12"/>
      <color indexed="12"/>
      <name val="Times New Roman"/>
      <family val="1"/>
      <charset val="238"/>
    </font>
    <font>
      <b/>
      <sz val="12"/>
      <color indexed="12"/>
      <name val="Times New Roman"/>
      <family val="1"/>
      <charset val="238"/>
    </font>
    <font>
      <b/>
      <i/>
      <sz val="12"/>
      <name val="Times New Roman"/>
      <family val="1"/>
      <charset val="238"/>
    </font>
    <font>
      <b/>
      <sz val="12"/>
      <color indexed="9"/>
      <name val="Times New Roman"/>
      <family val="1"/>
      <charset val="238"/>
    </font>
    <font>
      <sz val="10"/>
      <name val="Times New Roman"/>
      <family val="1"/>
      <charset val="238"/>
    </font>
    <font>
      <b/>
      <sz val="13"/>
      <name val="Times New Roman"/>
      <family val="1"/>
      <charset val="238"/>
    </font>
    <font>
      <sz val="7"/>
      <name val="Times New Roman"/>
      <family val="1"/>
      <charset val="238"/>
    </font>
    <font>
      <sz val="13"/>
      <name val="Times New Roman"/>
      <family val="1"/>
      <charset val="238"/>
    </font>
    <font>
      <i/>
      <sz val="12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0.5"/>
      <name val="Times New Roman"/>
      <family val="1"/>
      <charset val="238"/>
    </font>
    <font>
      <b/>
      <sz val="12"/>
      <color indexed="17"/>
      <name val="Times New Roman"/>
      <family val="1"/>
      <charset val="238"/>
    </font>
    <font>
      <b/>
      <sz val="12"/>
      <color indexed="61"/>
      <name val="Times New Roman"/>
      <family val="1"/>
      <charset val="238"/>
    </font>
    <font>
      <b/>
      <sz val="12"/>
      <color indexed="14"/>
      <name val="Times New Roman"/>
      <family val="1"/>
      <charset val="238"/>
    </font>
    <font>
      <b/>
      <sz val="12"/>
      <color indexed="50"/>
      <name val="Times New Roman"/>
      <family val="1"/>
      <charset val="238"/>
    </font>
    <font>
      <b/>
      <sz val="14"/>
      <color indexed="10"/>
      <name val="Times New Roman"/>
      <family val="1"/>
      <charset val="238"/>
    </font>
    <font>
      <b/>
      <sz val="12"/>
      <color indexed="48"/>
      <name val="Times New Roman"/>
      <family val="1"/>
      <charset val="238"/>
    </font>
    <font>
      <b/>
      <sz val="14"/>
      <color indexed="50"/>
      <name val="Times New Roman"/>
      <family val="1"/>
      <charset val="238"/>
    </font>
    <font>
      <i/>
      <sz val="7"/>
      <name val="Times New Roman"/>
      <family val="1"/>
      <charset val="238"/>
    </font>
    <font>
      <sz val="14"/>
      <color indexed="50"/>
      <name val="Times New Roman"/>
      <family val="1"/>
      <charset val="238"/>
    </font>
    <font>
      <sz val="11"/>
      <color indexed="48"/>
      <name val="Times New Roman"/>
      <family val="1"/>
      <charset val="238"/>
    </font>
    <font>
      <b/>
      <sz val="16"/>
      <name val="Times New Roman"/>
      <family val="1"/>
      <charset val="238"/>
    </font>
    <font>
      <b/>
      <sz val="14"/>
      <color indexed="14"/>
      <name val="Times New Roman"/>
      <family val="1"/>
      <charset val="238"/>
    </font>
    <font>
      <b/>
      <sz val="14"/>
      <color indexed="61"/>
      <name val="Times New Roman"/>
      <family val="1"/>
      <charset val="238"/>
    </font>
    <font>
      <i/>
      <sz val="10"/>
      <name val="Times New Roman"/>
      <family val="1"/>
      <charset val="238"/>
    </font>
    <font>
      <b/>
      <i/>
      <sz val="10"/>
      <name val="Times New Roman"/>
      <family val="1"/>
      <charset val="238"/>
    </font>
    <font>
      <b/>
      <i/>
      <sz val="14"/>
      <name val="Times New Roman"/>
      <family val="1"/>
      <charset val="238"/>
    </font>
    <font>
      <b/>
      <sz val="9"/>
      <name val="Times New Roman"/>
      <family val="1"/>
      <charset val="238"/>
    </font>
    <font>
      <sz val="9"/>
      <name val="Times New Roman"/>
      <family val="1"/>
      <charset val="238"/>
    </font>
    <font>
      <b/>
      <sz val="20"/>
      <name val="Times New Roman"/>
      <family val="1"/>
      <charset val="238"/>
    </font>
    <font>
      <sz val="10"/>
      <color indexed="61"/>
      <name val="Times New Roman"/>
      <family val="1"/>
      <charset val="238"/>
    </font>
    <font>
      <i/>
      <sz val="11"/>
      <name val="Times New Roman"/>
      <family val="1"/>
      <charset val="238"/>
    </font>
    <font>
      <sz val="10"/>
      <name val="Times New Roman CE"/>
      <family val="1"/>
      <charset val="238"/>
    </font>
    <font>
      <b/>
      <sz val="11"/>
      <color indexed="9"/>
      <name val="Times New Roman CE"/>
      <family val="1"/>
      <charset val="238"/>
    </font>
    <font>
      <i/>
      <u/>
      <sz val="12"/>
      <name val="Times New Roman"/>
      <family val="1"/>
      <charset val="238"/>
    </font>
    <font>
      <i/>
      <sz val="10.5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8"/>
      <name val="Times New Roman"/>
      <family val="1"/>
      <charset val="238"/>
    </font>
    <font>
      <sz val="10"/>
      <color indexed="10"/>
      <name val="Times New Roman CE"/>
      <charset val="238"/>
    </font>
    <font>
      <sz val="11"/>
      <color theme="1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0"/>
      <color rgb="FFFF0000"/>
      <name val="Times New Roman"/>
      <family val="1"/>
      <charset val="238"/>
    </font>
    <font>
      <sz val="12"/>
      <color theme="9" tint="-0.249977111117893"/>
      <name val="Times New Roman"/>
      <family val="1"/>
      <charset val="238"/>
    </font>
    <font>
      <b/>
      <sz val="12"/>
      <color theme="0" tint="-0.34998626667073579"/>
      <name val="Times New Roman"/>
      <family val="1"/>
      <charset val="238"/>
    </font>
    <font>
      <sz val="12"/>
      <color theme="3" tint="0.39997558519241921"/>
      <name val="Times New Roman"/>
      <family val="1"/>
      <charset val="238"/>
    </font>
    <font>
      <sz val="14"/>
      <color theme="0" tint="-0.34998626667073579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2"/>
      <color rgb="FF0000FF"/>
      <name val="Times New Roman"/>
      <family val="1"/>
      <charset val="238"/>
    </font>
    <font>
      <b/>
      <sz val="12"/>
      <color theme="3" tint="0.39997558519241921"/>
      <name val="Times New Roman"/>
      <family val="1"/>
      <charset val="238"/>
    </font>
    <font>
      <b/>
      <sz val="12"/>
      <color theme="9" tint="-0.249977111117893"/>
      <name val="Times New Roman"/>
      <family val="1"/>
      <charset val="238"/>
    </font>
    <font>
      <b/>
      <sz val="14"/>
      <color theme="0"/>
      <name val="Times New Roman"/>
      <family val="1"/>
      <charset val="238"/>
    </font>
    <font>
      <sz val="12"/>
      <color theme="5" tint="-0.249977111117893"/>
      <name val="Times New Roman"/>
      <family val="1"/>
      <charset val="238"/>
    </font>
    <font>
      <b/>
      <sz val="14"/>
      <color theme="6" tint="-0.249977111117893"/>
      <name val="Times New Roman"/>
      <family val="1"/>
      <charset val="238"/>
    </font>
    <font>
      <b/>
      <sz val="14"/>
      <color theme="3" tint="0.39997558519241921"/>
      <name val="Times New Roman"/>
      <family val="1"/>
      <charset val="238"/>
    </font>
    <font>
      <b/>
      <sz val="12"/>
      <color theme="0"/>
      <name val="Times New Roman"/>
      <family val="1"/>
      <charset val="238"/>
    </font>
    <font>
      <sz val="12"/>
      <color theme="0"/>
      <name val="Times New Roman"/>
      <family val="1"/>
      <charset val="238"/>
    </font>
    <font>
      <sz val="12"/>
      <color theme="1"/>
      <name val="Times New Roman"/>
      <family val="1"/>
      <charset val="238"/>
    </font>
    <font>
      <i/>
      <sz val="10"/>
      <color theme="0" tint="-0.34998626667073579"/>
      <name val="Times New Roman"/>
      <family val="1"/>
      <charset val="238"/>
    </font>
    <font>
      <sz val="10"/>
      <color theme="0"/>
      <name val="Times New Roman"/>
      <family val="1"/>
      <charset val="238"/>
    </font>
    <font>
      <b/>
      <sz val="13"/>
      <color theme="0"/>
      <name val="Times New Roman"/>
      <family val="1"/>
      <charset val="238"/>
    </font>
    <font>
      <sz val="10"/>
      <color theme="3" tint="0.39997558519241921"/>
      <name val="Arial CE"/>
      <charset val="238"/>
    </font>
    <font>
      <b/>
      <sz val="12"/>
      <color theme="0" tint="-0.499984740745262"/>
      <name val="Times New Roman"/>
      <family val="1"/>
      <charset val="238"/>
    </font>
    <font>
      <sz val="12"/>
      <color theme="0" tint="-0.499984740745262"/>
      <name val="Times New Roman"/>
      <family val="1"/>
      <charset val="238"/>
    </font>
    <font>
      <sz val="10"/>
      <color theme="3" tint="0.39997558519241921"/>
      <name val="Times New Roman"/>
      <family val="1"/>
      <charset val="238"/>
    </font>
    <font>
      <b/>
      <sz val="11"/>
      <color theme="0" tint="-0.34998626667073579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2"/>
      <color rgb="FF0000FF"/>
      <name val="Times New Roman"/>
      <family val="1"/>
      <charset val="238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0" tint="-0.499984740745262"/>
      <name val="Times New Roman"/>
      <family val="1"/>
      <charset val="238"/>
    </font>
    <font>
      <sz val="10"/>
      <color theme="5" tint="0.39997558519241921"/>
      <name val="Times New Roman"/>
      <family val="1"/>
      <charset val="238"/>
    </font>
    <font>
      <b/>
      <sz val="12"/>
      <color theme="4" tint="-0.249977111117893"/>
      <name val="Times New Roman"/>
      <family val="1"/>
      <charset val="238"/>
    </font>
    <font>
      <b/>
      <sz val="12"/>
      <color rgb="FF00B050"/>
      <name val="Times New Roman"/>
      <family val="1"/>
      <charset val="238"/>
    </font>
    <font>
      <sz val="12"/>
      <color theme="4" tint="0.39997558519241921"/>
      <name val="Times New Roman"/>
      <family val="1"/>
      <charset val="238"/>
    </font>
    <font>
      <b/>
      <sz val="16"/>
      <color theme="1"/>
      <name val="Times New Roman"/>
      <family val="1"/>
      <charset val="238"/>
    </font>
    <font>
      <sz val="10"/>
      <color rgb="FF0000FF"/>
      <name val="Times New Roman"/>
      <family val="1"/>
      <charset val="238"/>
    </font>
    <font>
      <b/>
      <sz val="10"/>
      <color theme="0" tint="-0.499984740745262"/>
      <name val="Times New Roman"/>
      <family val="1"/>
      <charset val="238"/>
    </font>
    <font>
      <sz val="11"/>
      <color theme="0" tint="-0.499984740745262"/>
      <name val="Times New Roman"/>
      <family val="1"/>
      <charset val="238"/>
    </font>
    <font>
      <sz val="11"/>
      <color theme="0" tint="-0.14999847407452621"/>
      <name val="Times New Roman"/>
      <family val="1"/>
      <charset val="238"/>
    </font>
    <font>
      <b/>
      <sz val="14"/>
      <color theme="0" tint="-0.499984740745262"/>
      <name val="Times New Roman"/>
      <family val="1"/>
      <charset val="238"/>
    </font>
    <font>
      <sz val="14"/>
      <color theme="0" tint="-0.499984740745262"/>
      <name val="Times New Roman"/>
      <family val="1"/>
      <charset val="238"/>
    </font>
    <font>
      <sz val="12"/>
      <color theme="5" tint="0.39997558519241921"/>
      <name val="Times New Roman"/>
      <family val="1"/>
      <charset val="238"/>
    </font>
    <font>
      <sz val="9"/>
      <color theme="9" tint="-0.249977111117893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color theme="8" tint="0.39997558519241921"/>
      <name val="Times New Roman"/>
      <family val="1"/>
      <charset val="238"/>
    </font>
    <font>
      <b/>
      <sz val="12"/>
      <color theme="8" tint="0.39997558519241921"/>
      <name val="Times New Roman"/>
      <family val="1"/>
      <charset val="238"/>
    </font>
    <font>
      <b/>
      <sz val="12"/>
      <color rgb="FF00B0F0"/>
      <name val="Times New Roman"/>
      <family val="1"/>
      <charset val="238"/>
    </font>
    <font>
      <b/>
      <sz val="14"/>
      <color rgb="FFFF0000"/>
      <name val="Times New Roman"/>
      <family val="1"/>
      <charset val="238"/>
    </font>
    <font>
      <i/>
      <sz val="12"/>
      <color theme="0" tint="-0.499984740745262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sz val="12"/>
      <color theme="0" tint="-4.9989318521683403E-2"/>
      <name val="Times New Roman"/>
      <family val="1"/>
      <charset val="238"/>
    </font>
    <font>
      <u/>
      <sz val="10"/>
      <name val="Times New Roman"/>
      <family val="1"/>
      <charset val="238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0"/>
      <name val="Arial CE"/>
      <charset val="238"/>
    </font>
    <font>
      <i/>
      <sz val="11"/>
      <name val="Calibri"/>
      <family val="2"/>
      <charset val="238"/>
      <scheme val="minor"/>
    </font>
    <font>
      <b/>
      <sz val="10"/>
      <color rgb="FFFF0000"/>
      <name val="Arial CE"/>
      <charset val="238"/>
    </font>
    <font>
      <sz val="12"/>
      <color theme="9"/>
      <name val="Times New Roman"/>
      <family val="1"/>
      <charset val="238"/>
    </font>
    <font>
      <sz val="11"/>
      <color theme="0" tint="-0.249977111117893"/>
      <name val="Times New Roman"/>
      <family val="1"/>
      <charset val="238"/>
    </font>
    <font>
      <sz val="12"/>
      <color theme="0" tint="-0.249977111117893"/>
      <name val="Times New Roman"/>
      <family val="1"/>
      <charset val="238"/>
    </font>
    <font>
      <b/>
      <sz val="10"/>
      <name val="Arial"/>
      <family val="2"/>
      <charset val="238"/>
    </font>
    <font>
      <sz val="10"/>
      <color rgb="FFFF0000"/>
      <name val="Arial CE"/>
      <charset val="238"/>
    </font>
    <font>
      <sz val="14"/>
      <color rgb="FFFF0000"/>
      <name val="Times New Roman"/>
      <family val="1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0CED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D6A3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3" fillId="0" borderId="0"/>
    <xf numFmtId="0" fontId="53" fillId="0" borderId="0"/>
    <xf numFmtId="0" fontId="3" fillId="7" borderId="48" applyNumberFormat="0" applyFont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54" fillId="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3" fontId="4" fillId="0" borderId="0" xfId="0" applyNumberFormat="1" applyFont="1" applyFill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horizontal="right"/>
    </xf>
    <xf numFmtId="0" fontId="10" fillId="0" borderId="0" xfId="0" applyFont="1" applyFill="1"/>
    <xf numFmtId="0" fontId="10" fillId="0" borderId="0" xfId="0" applyFont="1"/>
    <xf numFmtId="0" fontId="12" fillId="0" borderId="0" xfId="0" applyFont="1" applyAlignment="1">
      <alignment horizontal="center"/>
    </xf>
    <xf numFmtId="0" fontId="5" fillId="0" borderId="0" xfId="0" applyFont="1" applyFill="1"/>
    <xf numFmtId="3" fontId="13" fillId="0" borderId="0" xfId="0" applyNumberFormat="1" applyFont="1" applyFill="1" applyBorder="1" applyAlignment="1">
      <alignment horizontal="center"/>
    </xf>
    <xf numFmtId="3" fontId="13" fillId="0" borderId="0" xfId="0" applyNumberFormat="1" applyFont="1" applyFill="1" applyBorder="1"/>
    <xf numFmtId="3" fontId="4" fillId="0" borderId="0" xfId="0" applyNumberFormat="1" applyFont="1" applyFill="1"/>
    <xf numFmtId="3" fontId="14" fillId="0" borderId="0" xfId="0" applyNumberFormat="1" applyFont="1" applyFill="1" applyBorder="1"/>
    <xf numFmtId="3" fontId="13" fillId="0" borderId="0" xfId="0" applyNumberFormat="1" applyFont="1" applyBorder="1"/>
    <xf numFmtId="0" fontId="12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4" fontId="5" fillId="0" borderId="0" xfId="0" applyNumberFormat="1" applyFont="1" applyFill="1" applyBorder="1" applyAlignment="1">
      <alignment horizontal="right"/>
    </xf>
    <xf numFmtId="0" fontId="15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 wrapText="1"/>
    </xf>
    <xf numFmtId="4" fontId="5" fillId="0" borderId="1" xfId="0" applyNumberFormat="1" applyFont="1" applyBorder="1" applyAlignment="1">
      <alignment horizontal="center"/>
    </xf>
    <xf numFmtId="4" fontId="4" fillId="0" borderId="0" xfId="0" applyNumberFormat="1" applyFont="1"/>
    <xf numFmtId="4" fontId="5" fillId="0" borderId="0" xfId="0" applyNumberFormat="1" applyFont="1"/>
    <xf numFmtId="4" fontId="5" fillId="0" borderId="1" xfId="0" applyNumberFormat="1" applyFont="1" applyBorder="1"/>
    <xf numFmtId="4" fontId="5" fillId="0" borderId="2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4" fontId="5" fillId="0" borderId="1" xfId="0" applyNumberFormat="1" applyFont="1" applyFill="1" applyBorder="1" applyAlignment="1">
      <alignment horizontal="center"/>
    </xf>
    <xf numFmtId="4" fontId="5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7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8" fillId="0" borderId="0" xfId="0" applyFont="1"/>
    <xf numFmtId="0" fontId="5" fillId="0" borderId="1" xfId="0" applyFont="1" applyBorder="1" applyAlignment="1">
      <alignment horizontal="right"/>
    </xf>
    <xf numFmtId="0" fontId="5" fillId="0" borderId="0" xfId="0" applyFont="1" applyFill="1" applyBorder="1"/>
    <xf numFmtId="0" fontId="5" fillId="0" borderId="3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3" fontId="7" fillId="0" borderId="0" xfId="0" applyNumberFormat="1" applyFont="1" applyAlignment="1">
      <alignment horizontal="center"/>
    </xf>
    <xf numFmtId="0" fontId="55" fillId="0" borderId="0" xfId="0" applyFont="1"/>
    <xf numFmtId="0" fontId="7" fillId="0" borderId="0" xfId="0" applyFont="1" applyFill="1" applyBorder="1"/>
    <xf numFmtId="3" fontId="6" fillId="0" borderId="2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0" fontId="20" fillId="0" borderId="0" xfId="0" applyFont="1"/>
    <xf numFmtId="4" fontId="5" fillId="0" borderId="1" xfId="0" applyNumberFormat="1" applyFont="1" applyBorder="1" applyAlignment="1">
      <alignment horizontal="right"/>
    </xf>
    <xf numFmtId="49" fontId="4" fillId="0" borderId="0" xfId="0" applyNumberFormat="1" applyFont="1" applyFill="1" applyBorder="1"/>
    <xf numFmtId="0" fontId="16" fillId="0" borderId="0" xfId="0" applyFont="1" applyFill="1"/>
    <xf numFmtId="2" fontId="4" fillId="0" borderId="0" xfId="0" applyNumberFormat="1" applyFont="1"/>
    <xf numFmtId="1" fontId="4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4" fontId="57" fillId="0" borderId="0" xfId="0" applyNumberFormat="1" applyFont="1"/>
    <xf numFmtId="4" fontId="58" fillId="0" borderId="0" xfId="0" applyNumberFormat="1" applyFont="1"/>
    <xf numFmtId="4" fontId="56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4" fontId="4" fillId="0" borderId="0" xfId="0" applyNumberFormat="1" applyFont="1" applyFill="1" applyBorder="1"/>
    <xf numFmtId="3" fontId="6" fillId="9" borderId="2" xfId="0" applyNumberFormat="1" applyFont="1" applyFill="1" applyBorder="1"/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Fill="1" applyAlignment="1">
      <alignment horizontal="right"/>
    </xf>
    <xf numFmtId="0" fontId="7" fillId="0" borderId="0" xfId="0" applyFont="1" applyFill="1"/>
    <xf numFmtId="3" fontId="5" fillId="0" borderId="0" xfId="0" applyNumberFormat="1" applyFont="1" applyBorder="1" applyAlignment="1">
      <alignment horizontal="center"/>
    </xf>
    <xf numFmtId="0" fontId="17" fillId="0" borderId="0" xfId="0" applyFont="1" applyBorder="1"/>
    <xf numFmtId="3" fontId="6" fillId="0" borderId="0" xfId="0" applyNumberFormat="1" applyFont="1" applyFill="1" applyBorder="1" applyAlignment="1"/>
    <xf numFmtId="3" fontId="6" fillId="0" borderId="0" xfId="0" applyNumberFormat="1" applyFont="1" applyBorder="1" applyAlignment="1"/>
    <xf numFmtId="0" fontId="6" fillId="0" borderId="0" xfId="0" applyFont="1" applyFill="1"/>
    <xf numFmtId="0" fontId="5" fillId="0" borderId="0" xfId="0" applyFont="1" applyFill="1" applyAlignment="1">
      <alignment horizontal="center"/>
    </xf>
    <xf numFmtId="4" fontId="5" fillId="0" borderId="0" xfId="0" applyNumberFormat="1" applyFont="1" applyFill="1" applyAlignment="1">
      <alignment horizontal="center" wrapText="1"/>
    </xf>
    <xf numFmtId="0" fontId="23" fillId="0" borderId="0" xfId="0" applyFont="1" applyAlignment="1">
      <alignment horizontal="right"/>
    </xf>
    <xf numFmtId="4" fontId="7" fillId="0" borderId="0" xfId="0" applyNumberFormat="1" applyFont="1" applyBorder="1" applyAlignment="1">
      <alignment horizontal="right"/>
    </xf>
    <xf numFmtId="3" fontId="4" fillId="0" borderId="0" xfId="0" applyNumberFormat="1" applyFont="1" applyFill="1" applyBorder="1" applyAlignment="1" applyProtection="1"/>
    <xf numFmtId="4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0" fontId="16" fillId="0" borderId="0" xfId="0" applyFont="1" applyFill="1" applyBorder="1"/>
    <xf numFmtId="4" fontId="58" fillId="0" borderId="0" xfId="0" applyNumberFormat="1" applyFont="1" applyFill="1" applyBorder="1"/>
    <xf numFmtId="3" fontId="9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3" fontId="7" fillId="0" borderId="0" xfId="0" applyNumberFormat="1" applyFont="1"/>
    <xf numFmtId="3" fontId="59" fillId="0" borderId="0" xfId="0" applyNumberFormat="1" applyFont="1" applyFill="1" applyAlignment="1">
      <alignment horizontal="right"/>
    </xf>
    <xf numFmtId="0" fontId="59" fillId="0" borderId="0" xfId="0" applyFont="1" applyFill="1"/>
    <xf numFmtId="3" fontId="7" fillId="0" borderId="0" xfId="0" applyNumberFormat="1" applyFont="1" applyFill="1" applyBorder="1" applyAlignment="1">
      <alignment horizontal="center"/>
    </xf>
    <xf numFmtId="4" fontId="7" fillId="0" borderId="0" xfId="0" applyNumberFormat="1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4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9" fontId="5" fillId="0" borderId="0" xfId="0" applyNumberFormat="1" applyFont="1" applyFill="1" applyBorder="1" applyAlignment="1">
      <alignment horizontal="center" wrapText="1"/>
    </xf>
    <xf numFmtId="4" fontId="7" fillId="0" borderId="0" xfId="6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9" fontId="6" fillId="0" borderId="0" xfId="6" applyFont="1" applyFill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/>
    <xf numFmtId="0" fontId="21" fillId="0" borderId="0" xfId="0" applyFont="1" applyFill="1"/>
    <xf numFmtId="4" fontId="60" fillId="0" borderId="0" xfId="0" applyNumberFormat="1" applyFont="1" applyFill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9" fontId="4" fillId="0" borderId="0" xfId="6" applyFont="1"/>
    <xf numFmtId="4" fontId="4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right"/>
    </xf>
    <xf numFmtId="49" fontId="4" fillId="0" borderId="0" xfId="0" applyNumberFormat="1" applyFont="1" applyFill="1" applyAlignment="1">
      <alignment horizontal="center"/>
    </xf>
    <xf numFmtId="4" fontId="5" fillId="0" borderId="0" xfId="0" applyNumberFormat="1" applyFont="1" applyFill="1" applyAlignment="1">
      <alignment horizontal="center"/>
    </xf>
    <xf numFmtId="4" fontId="5" fillId="2" borderId="0" xfId="0" applyNumberFormat="1" applyFont="1" applyFill="1" applyAlignment="1">
      <alignment horizontal="center"/>
    </xf>
    <xf numFmtId="0" fontId="13" fillId="0" borderId="0" xfId="0" applyFont="1" applyFill="1"/>
    <xf numFmtId="4" fontId="5" fillId="3" borderId="0" xfId="0" applyNumberFormat="1" applyFont="1" applyFill="1" applyAlignment="1">
      <alignment horizontal="center"/>
    </xf>
    <xf numFmtId="3" fontId="4" fillId="0" borderId="0" xfId="0" applyNumberFormat="1" applyFont="1" applyFill="1" applyAlignment="1">
      <alignment horizontal="right"/>
    </xf>
    <xf numFmtId="0" fontId="24" fillId="0" borderId="1" xfId="0" applyFont="1" applyFill="1" applyBorder="1"/>
    <xf numFmtId="0" fontId="5" fillId="0" borderId="1" xfId="0" applyFont="1" applyFill="1" applyBorder="1" applyAlignment="1">
      <alignment horizontal="center" wrapText="1"/>
    </xf>
    <xf numFmtId="3" fontId="5" fillId="0" borderId="1" xfId="0" applyNumberFormat="1" applyFont="1" applyFill="1" applyBorder="1" applyAlignment="1">
      <alignment horizontal="center" wrapText="1"/>
    </xf>
    <xf numFmtId="49" fontId="25" fillId="0" borderId="1" xfId="0" applyNumberFormat="1" applyFont="1" applyFill="1" applyBorder="1" applyAlignment="1">
      <alignment horizontal="center" wrapText="1"/>
    </xf>
    <xf numFmtId="4" fontId="5" fillId="0" borderId="1" xfId="0" applyNumberFormat="1" applyFont="1" applyFill="1" applyBorder="1" applyAlignment="1">
      <alignment horizontal="center" wrapText="1"/>
    </xf>
    <xf numFmtId="3" fontId="5" fillId="0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/>
    </xf>
    <xf numFmtId="4" fontId="5" fillId="0" borderId="2" xfId="0" applyNumberFormat="1" applyFont="1" applyFill="1" applyBorder="1" applyAlignment="1">
      <alignment horizontal="center"/>
    </xf>
    <xf numFmtId="0" fontId="14" fillId="0" borderId="0" xfId="0" applyFont="1" applyFill="1"/>
    <xf numFmtId="1" fontId="4" fillId="0" borderId="0" xfId="0" applyNumberFormat="1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21" fillId="0" borderId="0" xfId="0" applyFont="1" applyFill="1" applyBorder="1"/>
    <xf numFmtId="4" fontId="4" fillId="0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center"/>
    </xf>
    <xf numFmtId="0" fontId="61" fillId="0" borderId="0" xfId="0" applyFont="1" applyFill="1"/>
    <xf numFmtId="2" fontId="4" fillId="0" borderId="0" xfId="0" applyNumberFormat="1" applyFont="1" applyFill="1" applyAlignment="1">
      <alignment horizontal="center"/>
    </xf>
    <xf numFmtId="0" fontId="4" fillId="0" borderId="0" xfId="8" applyFont="1" applyFill="1" applyAlignment="1">
      <alignment horizontal="center"/>
    </xf>
    <xf numFmtId="3" fontId="4" fillId="0" borderId="0" xfId="8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  <xf numFmtId="3" fontId="4" fillId="0" borderId="0" xfId="0" applyNumberFormat="1" applyFont="1" applyFill="1" applyBorder="1"/>
    <xf numFmtId="4" fontId="5" fillId="0" borderId="0" xfId="0" applyNumberFormat="1" applyFont="1" applyFill="1" applyBorder="1"/>
    <xf numFmtId="3" fontId="21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4" fillId="0" borderId="4" xfId="0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center"/>
    </xf>
    <xf numFmtId="4" fontId="4" fillId="0" borderId="6" xfId="0" applyNumberFormat="1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  <xf numFmtId="3" fontId="5" fillId="0" borderId="6" xfId="0" applyNumberFormat="1" applyFont="1" applyFill="1" applyBorder="1" applyAlignment="1">
      <alignment horizontal="right"/>
    </xf>
    <xf numFmtId="4" fontId="4" fillId="0" borderId="8" xfId="0" applyNumberFormat="1" applyFont="1" applyFill="1" applyBorder="1" applyAlignment="1">
      <alignment horizontal="right"/>
    </xf>
    <xf numFmtId="3" fontId="5" fillId="0" borderId="9" xfId="0" applyNumberFormat="1" applyFont="1" applyFill="1" applyBorder="1" applyAlignment="1">
      <alignment horizontal="right"/>
    </xf>
    <xf numFmtId="4" fontId="5" fillId="0" borderId="2" xfId="0" applyNumberFormat="1" applyFont="1" applyFill="1" applyBorder="1" applyAlignment="1">
      <alignment horizontal="right"/>
    </xf>
    <xf numFmtId="3" fontId="26" fillId="0" borderId="2" xfId="0" applyNumberFormat="1" applyFont="1" applyFill="1" applyBorder="1" applyAlignment="1">
      <alignment horizontal="right"/>
    </xf>
    <xf numFmtId="3" fontId="62" fillId="0" borderId="2" xfId="0" applyNumberFormat="1" applyFont="1" applyFill="1" applyBorder="1" applyAlignment="1">
      <alignment horizontal="right"/>
    </xf>
    <xf numFmtId="3" fontId="27" fillId="0" borderId="11" xfId="0" applyNumberFormat="1" applyFont="1" applyFill="1" applyBorder="1" applyAlignment="1">
      <alignment horizontal="right"/>
    </xf>
    <xf numFmtId="3" fontId="8" fillId="0" borderId="2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27" fillId="0" borderId="0" xfId="0" applyNumberFormat="1" applyFont="1" applyFill="1" applyAlignment="1">
      <alignment horizontal="right"/>
    </xf>
    <xf numFmtId="3" fontId="26" fillId="0" borderId="0" xfId="0" applyNumberFormat="1" applyFont="1" applyFill="1" applyAlignment="1">
      <alignment horizontal="right"/>
    </xf>
    <xf numFmtId="0" fontId="60" fillId="0" borderId="0" xfId="0" applyFont="1" applyAlignment="1">
      <alignment horizontal="center"/>
    </xf>
    <xf numFmtId="0" fontId="10" fillId="0" borderId="0" xfId="0" applyFont="1" applyFill="1" applyAlignment="1">
      <alignment horizontal="left"/>
    </xf>
    <xf numFmtId="3" fontId="11" fillId="0" borderId="0" xfId="0" applyNumberFormat="1" applyFont="1" applyFill="1" applyBorder="1"/>
    <xf numFmtId="0" fontId="63" fillId="0" borderId="0" xfId="0" applyFont="1"/>
    <xf numFmtId="1" fontId="4" fillId="0" borderId="0" xfId="0" applyNumberFormat="1" applyFont="1" applyAlignment="1">
      <alignment horizontal="center"/>
    </xf>
    <xf numFmtId="3" fontId="5" fillId="11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3" fontId="6" fillId="4" borderId="2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3" fontId="5" fillId="3" borderId="0" xfId="0" applyNumberFormat="1" applyFont="1" applyFill="1" applyAlignment="1">
      <alignment horizontal="center"/>
    </xf>
    <xf numFmtId="3" fontId="4" fillId="0" borderId="12" xfId="0" applyNumberFormat="1" applyFont="1" applyBorder="1" applyAlignment="1">
      <alignment horizontal="center"/>
    </xf>
    <xf numFmtId="3" fontId="4" fillId="3" borderId="12" xfId="0" applyNumberFormat="1" applyFont="1" applyFill="1" applyBorder="1" applyAlignment="1">
      <alignment horizontal="center"/>
    </xf>
    <xf numFmtId="3" fontId="8" fillId="0" borderId="0" xfId="0" applyNumberFormat="1" applyFont="1" applyAlignment="1">
      <alignment horizontal="center"/>
    </xf>
    <xf numFmtId="3" fontId="4" fillId="3" borderId="0" xfId="0" applyNumberFormat="1" applyFont="1" applyFill="1" applyAlignment="1">
      <alignment horizontal="center"/>
    </xf>
    <xf numFmtId="0" fontId="10" fillId="0" borderId="0" xfId="0" applyFont="1" applyAlignment="1">
      <alignment horizontal="right"/>
    </xf>
    <xf numFmtId="9" fontId="4" fillId="0" borderId="0" xfId="6" applyFont="1" applyAlignment="1">
      <alignment horizontal="center"/>
    </xf>
    <xf numFmtId="0" fontId="4" fillId="12" borderId="0" xfId="0" applyFont="1" applyFill="1" applyAlignment="1">
      <alignment horizontal="center"/>
    </xf>
    <xf numFmtId="2" fontId="5" fillId="0" borderId="1" xfId="0" applyNumberFormat="1" applyFont="1" applyBorder="1" applyAlignment="1">
      <alignment horizontal="center"/>
    </xf>
    <xf numFmtId="46" fontId="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13" borderId="0" xfId="0" applyFont="1" applyFill="1"/>
    <xf numFmtId="0" fontId="4" fillId="13" borderId="0" xfId="0" applyFont="1" applyFill="1" applyAlignment="1">
      <alignment horizontal="right"/>
    </xf>
    <xf numFmtId="44" fontId="4" fillId="13" borderId="0" xfId="2" applyFont="1" applyFill="1"/>
    <xf numFmtId="44" fontId="4" fillId="0" borderId="0" xfId="0" applyNumberFormat="1" applyFont="1"/>
    <xf numFmtId="4" fontId="4" fillId="0" borderId="0" xfId="0" applyNumberFormat="1" applyFont="1" applyAlignment="1">
      <alignment horizontal="right"/>
    </xf>
    <xf numFmtId="44" fontId="17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14" borderId="2" xfId="0" applyNumberFormat="1" applyFont="1" applyFill="1" applyBorder="1" applyAlignment="1">
      <alignment horizontal="right"/>
    </xf>
    <xf numFmtId="3" fontId="5" fillId="15" borderId="2" xfId="0" applyNumberFormat="1" applyFont="1" applyFill="1" applyBorder="1" applyAlignment="1">
      <alignment horizontal="right"/>
    </xf>
    <xf numFmtId="3" fontId="5" fillId="0" borderId="13" xfId="0" applyNumberFormat="1" applyFont="1" applyFill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30" fillId="0" borderId="1" xfId="0" applyNumberFormat="1" applyFont="1" applyBorder="1" applyAlignment="1">
      <alignment horizontal="center"/>
    </xf>
    <xf numFmtId="0" fontId="4" fillId="0" borderId="14" xfId="0" applyFont="1" applyBorder="1" applyAlignment="1">
      <alignment horizontal="right"/>
    </xf>
    <xf numFmtId="3" fontId="32" fillId="0" borderId="15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16" xfId="0" applyFont="1" applyBorder="1" applyAlignment="1">
      <alignment horizontal="right"/>
    </xf>
    <xf numFmtId="3" fontId="32" fillId="0" borderId="17" xfId="0" applyNumberFormat="1" applyFont="1" applyBorder="1" applyAlignment="1">
      <alignment horizontal="center"/>
    </xf>
    <xf numFmtId="0" fontId="33" fillId="0" borderId="0" xfId="0" applyFont="1" applyFill="1" applyBorder="1" applyAlignment="1">
      <alignment horizontal="left"/>
    </xf>
    <xf numFmtId="0" fontId="17" fillId="0" borderId="18" xfId="0" applyFont="1" applyBorder="1" applyAlignment="1">
      <alignment horizontal="center"/>
    </xf>
    <xf numFmtId="3" fontId="30" fillId="0" borderId="2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6" fillId="0" borderId="2" xfId="0" applyNumberFormat="1" applyFont="1" applyBorder="1" applyAlignment="1">
      <alignment horizontal="right"/>
    </xf>
    <xf numFmtId="10" fontId="4" fillId="0" borderId="0" xfId="0" applyNumberFormat="1" applyFont="1"/>
    <xf numFmtId="3" fontId="30" fillId="0" borderId="2" xfId="0" applyNumberFormat="1" applyFont="1" applyBorder="1" applyAlignment="1">
      <alignment horizontal="right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60" fillId="0" borderId="0" xfId="0" applyFont="1"/>
    <xf numFmtId="0" fontId="7" fillId="2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right"/>
    </xf>
    <xf numFmtId="3" fontId="6" fillId="11" borderId="2" xfId="0" applyNumberFormat="1" applyFont="1" applyFill="1" applyBorder="1" applyAlignment="1">
      <alignment horizontal="right"/>
    </xf>
    <xf numFmtId="44" fontId="4" fillId="2" borderId="0" xfId="2" applyFont="1" applyFill="1" applyBorder="1" applyAlignment="1">
      <alignment horizontal="center"/>
    </xf>
    <xf numFmtId="3" fontId="5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center"/>
    </xf>
    <xf numFmtId="0" fontId="64" fillId="0" borderId="0" xfId="0" applyFont="1" applyFill="1"/>
    <xf numFmtId="0" fontId="5" fillId="0" borderId="0" xfId="0" applyFont="1" applyAlignment="1">
      <alignment horizontal="center" vertical="center" wrapText="1"/>
    </xf>
    <xf numFmtId="4" fontId="56" fillId="0" borderId="0" xfId="0" applyNumberFormat="1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13" borderId="1" xfId="0" applyFont="1" applyFill="1" applyBorder="1" applyAlignment="1">
      <alignment horizontal="center" wrapText="1"/>
    </xf>
    <xf numFmtId="0" fontId="5" fillId="0" borderId="1" xfId="0" applyFont="1" applyFill="1" applyBorder="1"/>
    <xf numFmtId="4" fontId="4" fillId="13" borderId="1" xfId="0" applyNumberFormat="1" applyFont="1" applyFill="1" applyBorder="1"/>
    <xf numFmtId="0" fontId="4" fillId="0" borderId="1" xfId="0" applyFont="1" applyFill="1" applyBorder="1"/>
    <xf numFmtId="4" fontId="5" fillId="13" borderId="1" xfId="0" applyNumberFormat="1" applyFont="1" applyFill="1" applyBorder="1"/>
    <xf numFmtId="0" fontId="65" fillId="0" borderId="0" xfId="0" applyFont="1"/>
    <xf numFmtId="0" fontId="4" fillId="0" borderId="0" xfId="0" applyFont="1" applyBorder="1" applyAlignment="1">
      <alignment horizontal="center"/>
    </xf>
    <xf numFmtId="0" fontId="9" fillId="0" borderId="0" xfId="0" applyFont="1" applyAlignment="1">
      <alignment horizontal="right"/>
    </xf>
    <xf numFmtId="3" fontId="4" fillId="0" borderId="0" xfId="0" applyNumberFormat="1" applyFont="1" applyBorder="1"/>
    <xf numFmtId="3" fontId="66" fillId="0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4" fontId="5" fillId="12" borderId="1" xfId="0" applyNumberFormat="1" applyFont="1" applyFill="1" applyBorder="1"/>
    <xf numFmtId="4" fontId="57" fillId="0" borderId="0" xfId="0" applyNumberFormat="1" applyFont="1" applyFill="1" applyBorder="1" applyAlignment="1">
      <alignment horizontal="right"/>
    </xf>
    <xf numFmtId="168" fontId="4" fillId="0" borderId="0" xfId="0" applyNumberFormat="1" applyFont="1"/>
    <xf numFmtId="0" fontId="5" fillId="13" borderId="0" xfId="2" applyNumberFormat="1" applyFont="1" applyFill="1"/>
    <xf numFmtId="44" fontId="5" fillId="13" borderId="0" xfId="2" applyFont="1" applyFill="1" applyAlignment="1">
      <alignment horizontal="right"/>
    </xf>
    <xf numFmtId="44" fontId="5" fillId="0" borderId="0" xfId="0" applyNumberFormat="1" applyFont="1"/>
    <xf numFmtId="169" fontId="4" fillId="13" borderId="0" xfId="2" applyNumberFormat="1" applyFont="1" applyFill="1"/>
    <xf numFmtId="169" fontId="5" fillId="13" borderId="0" xfId="2" applyNumberFormat="1" applyFont="1" applyFill="1"/>
    <xf numFmtId="169" fontId="5" fillId="0" borderId="2" xfId="0" applyNumberFormat="1" applyFont="1" applyBorder="1"/>
    <xf numFmtId="3" fontId="4" fillId="0" borderId="0" xfId="0" applyNumberFormat="1" applyFont="1" applyFill="1" applyAlignment="1"/>
    <xf numFmtId="0" fontId="4" fillId="18" borderId="0" xfId="0" applyFont="1" applyFill="1" applyAlignment="1">
      <alignment horizontal="right"/>
    </xf>
    <xf numFmtId="3" fontId="5" fillId="0" borderId="1" xfId="0" applyNumberFormat="1" applyFont="1" applyBorder="1"/>
    <xf numFmtId="0" fontId="34" fillId="0" borderId="0" xfId="0" applyFont="1"/>
    <xf numFmtId="0" fontId="6" fillId="0" borderId="1" xfId="0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center" wrapText="1"/>
    </xf>
    <xf numFmtId="3" fontId="7" fillId="0" borderId="1" xfId="0" applyNumberFormat="1" applyFont="1" applyFill="1" applyBorder="1" applyAlignment="1">
      <alignment horizontal="right"/>
    </xf>
    <xf numFmtId="4" fontId="7" fillId="0" borderId="1" xfId="0" applyNumberFormat="1" applyFont="1" applyFill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35" fillId="0" borderId="2" xfId="0" applyNumberFormat="1" applyFont="1" applyFill="1" applyBorder="1" applyAlignment="1">
      <alignment horizontal="right"/>
    </xf>
    <xf numFmtId="4" fontId="7" fillId="0" borderId="2" xfId="0" applyNumberFormat="1" applyFont="1" applyFill="1" applyBorder="1" applyAlignment="1">
      <alignment horizontal="right"/>
    </xf>
    <xf numFmtId="3" fontId="67" fillId="0" borderId="2" xfId="0" applyNumberFormat="1" applyFont="1" applyFill="1" applyBorder="1" applyAlignment="1">
      <alignment horizontal="right"/>
    </xf>
    <xf numFmtId="3" fontId="30" fillId="0" borderId="11" xfId="0" applyNumberFormat="1" applyFont="1" applyFill="1" applyBorder="1" applyAlignment="1">
      <alignment horizontal="right"/>
    </xf>
    <xf numFmtId="3" fontId="28" fillId="0" borderId="2" xfId="0" applyNumberFormat="1" applyFont="1" applyFill="1" applyBorder="1" applyAlignment="1">
      <alignment horizontal="right"/>
    </xf>
    <xf numFmtId="3" fontId="6" fillId="19" borderId="2" xfId="0" applyNumberFormat="1" applyFont="1" applyFill="1" applyBorder="1" applyAlignment="1">
      <alignment horizontal="right"/>
    </xf>
    <xf numFmtId="3" fontId="6" fillId="20" borderId="2" xfId="0" applyNumberFormat="1" applyFont="1" applyFill="1" applyBorder="1" applyAlignment="1">
      <alignment horizontal="right"/>
    </xf>
    <xf numFmtId="3" fontId="6" fillId="14" borderId="2" xfId="0" applyNumberFormat="1" applyFont="1" applyFill="1" applyBorder="1" applyAlignment="1">
      <alignment horizontal="right"/>
    </xf>
    <xf numFmtId="3" fontId="63" fillId="0" borderId="0" xfId="0" applyNumberFormat="1" applyFont="1" applyBorder="1" applyAlignment="1">
      <alignment horizontal="right"/>
    </xf>
    <xf numFmtId="3" fontId="4" fillId="0" borderId="13" xfId="0" applyNumberFormat="1" applyFont="1" applyFill="1" applyBorder="1" applyAlignment="1"/>
    <xf numFmtId="3" fontId="57" fillId="0" borderId="0" xfId="0" applyNumberFormat="1" applyFont="1"/>
    <xf numFmtId="0" fontId="5" fillId="0" borderId="3" xfId="0" applyFont="1" applyFill="1" applyBorder="1" applyAlignment="1">
      <alignment horizontal="center" wrapText="1"/>
    </xf>
    <xf numFmtId="0" fontId="5" fillId="0" borderId="19" xfId="0" applyFont="1" applyFill="1" applyBorder="1" applyAlignment="1">
      <alignment horizontal="center" wrapText="1"/>
    </xf>
    <xf numFmtId="3" fontId="4" fillId="0" borderId="3" xfId="0" applyNumberFormat="1" applyFont="1" applyBorder="1" applyAlignment="1">
      <alignment horizontal="right"/>
    </xf>
    <xf numFmtId="3" fontId="4" fillId="0" borderId="1" xfId="0" applyNumberFormat="1" applyFont="1" applyFill="1" applyBorder="1"/>
    <xf numFmtId="3" fontId="5" fillId="0" borderId="19" xfId="0" applyNumberFormat="1" applyFont="1" applyBorder="1" applyAlignment="1">
      <alignment horizontal="right"/>
    </xf>
    <xf numFmtId="169" fontId="5" fillId="13" borderId="2" xfId="2" applyNumberFormat="1" applyFont="1" applyFill="1" applyBorder="1"/>
    <xf numFmtId="0" fontId="69" fillId="0" borderId="0" xfId="0" applyFont="1" applyFill="1"/>
    <xf numFmtId="3" fontId="4" fillId="0" borderId="13" xfId="0" applyNumberFormat="1" applyFont="1" applyFill="1" applyBorder="1"/>
    <xf numFmtId="3" fontId="5" fillId="21" borderId="2" xfId="0" applyNumberFormat="1" applyFont="1" applyFill="1" applyBorder="1" applyAlignment="1">
      <alignment horizontal="right"/>
    </xf>
    <xf numFmtId="3" fontId="4" fillId="16" borderId="0" xfId="0" applyNumberFormat="1" applyFont="1" applyFill="1" applyAlignment="1">
      <alignment horizontal="right"/>
    </xf>
    <xf numFmtId="3" fontId="5" fillId="16" borderId="2" xfId="0" applyNumberFormat="1" applyFont="1" applyFill="1" applyBorder="1" applyAlignment="1">
      <alignment horizontal="right"/>
    </xf>
    <xf numFmtId="3" fontId="5" fillId="16" borderId="13" xfId="0" applyNumberFormat="1" applyFont="1" applyFill="1" applyBorder="1" applyAlignment="1">
      <alignment horizontal="right"/>
    </xf>
    <xf numFmtId="3" fontId="4" fillId="0" borderId="0" xfId="2" applyNumberFormat="1" applyFont="1"/>
    <xf numFmtId="3" fontId="5" fillId="0" borderId="1" xfId="2" applyNumberFormat="1" applyFont="1" applyBorder="1"/>
    <xf numFmtId="3" fontId="5" fillId="0" borderId="3" xfId="2" applyNumberFormat="1" applyFont="1" applyBorder="1"/>
    <xf numFmtId="3" fontId="4" fillId="0" borderId="1" xfId="0" applyNumberFormat="1" applyFont="1" applyBorder="1"/>
    <xf numFmtId="0" fontId="17" fillId="0" borderId="0" xfId="0" applyFont="1" applyAlignment="1">
      <alignment horizontal="center" vertical="center"/>
    </xf>
    <xf numFmtId="3" fontId="5" fillId="0" borderId="0" xfId="0" applyNumberFormat="1" applyFont="1" applyBorder="1" applyAlignment="1">
      <alignment horizontal="center" vertical="center" wrapText="1"/>
    </xf>
    <xf numFmtId="44" fontId="4" fillId="0" borderId="0" xfId="2" applyFont="1" applyFill="1"/>
    <xf numFmtId="3" fontId="6" fillId="22" borderId="2" xfId="0" applyNumberFormat="1" applyFont="1" applyFill="1" applyBorder="1" applyAlignment="1">
      <alignment horizontal="right"/>
    </xf>
    <xf numFmtId="4" fontId="5" fillId="0" borderId="0" xfId="0" applyNumberFormat="1" applyFont="1" applyAlignment="1">
      <alignment horizontal="right"/>
    </xf>
    <xf numFmtId="4" fontId="5" fillId="12" borderId="0" xfId="0" applyNumberFormat="1" applyFont="1" applyFill="1" applyAlignment="1">
      <alignment horizontal="right"/>
    </xf>
    <xf numFmtId="3" fontId="5" fillId="16" borderId="21" xfId="0" applyNumberFormat="1" applyFont="1" applyFill="1" applyBorder="1" applyAlignment="1">
      <alignment horizontal="right"/>
    </xf>
    <xf numFmtId="3" fontId="5" fillId="0" borderId="0" xfId="0" applyNumberFormat="1" applyFont="1" applyAlignment="1">
      <alignment horizontal="center" wrapText="1"/>
    </xf>
    <xf numFmtId="3" fontId="58" fillId="0" borderId="0" xfId="0" applyNumberFormat="1" applyFont="1"/>
    <xf numFmtId="3" fontId="34" fillId="9" borderId="0" xfId="0" applyNumberFormat="1" applyFont="1" applyFill="1" applyAlignment="1">
      <alignment horizontal="center"/>
    </xf>
    <xf numFmtId="4" fontId="6" fillId="16" borderId="2" xfId="0" applyNumberFormat="1" applyFont="1" applyFill="1" applyBorder="1"/>
    <xf numFmtId="4" fontId="5" fillId="0" borderId="12" xfId="0" applyNumberFormat="1" applyFont="1" applyBorder="1" applyAlignment="1">
      <alignment horizontal="right"/>
    </xf>
    <xf numFmtId="4" fontId="5" fillId="0" borderId="22" xfId="0" applyNumberFormat="1" applyFont="1" applyBorder="1" applyAlignment="1">
      <alignment horizontal="right"/>
    </xf>
    <xf numFmtId="4" fontId="5" fillId="0" borderId="3" xfId="0" applyNumberFormat="1" applyFont="1" applyBorder="1" applyAlignment="1">
      <alignment horizontal="right"/>
    </xf>
    <xf numFmtId="4" fontId="5" fillId="0" borderId="21" xfId="0" applyNumberFormat="1" applyFont="1" applyBorder="1" applyAlignment="1">
      <alignment horizontal="right"/>
    </xf>
    <xf numFmtId="0" fontId="22" fillId="0" borderId="0" xfId="0" applyFont="1" applyAlignment="1">
      <alignment horizontal="center" wrapText="1"/>
    </xf>
    <xf numFmtId="4" fontId="18" fillId="23" borderId="2" xfId="0" applyNumberFormat="1" applyFont="1" applyFill="1" applyBorder="1" applyAlignment="1">
      <alignment horizontal="right"/>
    </xf>
    <xf numFmtId="4" fontId="4" fillId="0" borderId="12" xfId="0" applyNumberFormat="1" applyFont="1" applyBorder="1" applyAlignment="1">
      <alignment horizontal="right"/>
    </xf>
    <xf numFmtId="4" fontId="5" fillId="0" borderId="13" xfId="0" applyNumberFormat="1" applyFont="1" applyBorder="1" applyAlignment="1">
      <alignment horizontal="right"/>
    </xf>
    <xf numFmtId="4" fontId="18" fillId="0" borderId="23" xfId="0" applyNumberFormat="1" applyFont="1" applyBorder="1" applyAlignment="1">
      <alignment horizontal="right"/>
    </xf>
    <xf numFmtId="4" fontId="18" fillId="0" borderId="24" xfId="0" applyNumberFormat="1" applyFont="1" applyBorder="1" applyAlignment="1">
      <alignment horizontal="right"/>
    </xf>
    <xf numFmtId="4" fontId="4" fillId="0" borderId="25" xfId="0" applyNumberFormat="1" applyFont="1" applyBorder="1" applyAlignment="1">
      <alignment horizontal="right"/>
    </xf>
    <xf numFmtId="4" fontId="4" fillId="0" borderId="15" xfId="0" applyNumberFormat="1" applyFont="1" applyBorder="1" applyAlignment="1">
      <alignment horizontal="right"/>
    </xf>
    <xf numFmtId="4" fontId="4" fillId="0" borderId="22" xfId="0" applyNumberFormat="1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26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70" fillId="0" borderId="13" xfId="0" applyFont="1" applyBorder="1" applyAlignment="1">
      <alignment horizontal="right"/>
    </xf>
    <xf numFmtId="0" fontId="70" fillId="0" borderId="26" xfId="0" applyFont="1" applyBorder="1" applyAlignment="1">
      <alignment horizontal="right"/>
    </xf>
    <xf numFmtId="4" fontId="18" fillId="24" borderId="2" xfId="0" applyNumberFormat="1" applyFont="1" applyFill="1" applyBorder="1" applyAlignment="1">
      <alignment horizontal="right"/>
    </xf>
    <xf numFmtId="4" fontId="6" fillId="0" borderId="2" xfId="0" applyNumberFormat="1" applyFont="1" applyFill="1" applyBorder="1" applyAlignment="1">
      <alignment horizontal="right"/>
    </xf>
    <xf numFmtId="44" fontId="71" fillId="0" borderId="0" xfId="0" applyNumberFormat="1" applyFont="1"/>
    <xf numFmtId="0" fontId="60" fillId="0" borderId="0" xfId="0" applyFont="1" applyAlignment="1">
      <alignment horizontal="left"/>
    </xf>
    <xf numFmtId="3" fontId="4" fillId="0" borderId="19" xfId="0" applyNumberFormat="1" applyFont="1" applyBorder="1"/>
    <xf numFmtId="44" fontId="4" fillId="2" borderId="0" xfId="2" applyFont="1" applyFill="1" applyBorder="1" applyAlignment="1"/>
    <xf numFmtId="165" fontId="4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18" fillId="0" borderId="2" xfId="0" applyNumberFormat="1" applyFont="1" applyBorder="1"/>
    <xf numFmtId="3" fontId="4" fillId="0" borderId="14" xfId="0" applyNumberFormat="1" applyFont="1" applyBorder="1" applyAlignment="1">
      <alignment horizontal="center"/>
    </xf>
    <xf numFmtId="3" fontId="4" fillId="0" borderId="25" xfId="0" applyNumberFormat="1" applyFont="1" applyBorder="1" applyAlignment="1">
      <alignment horizontal="center"/>
    </xf>
    <xf numFmtId="3" fontId="4" fillId="0" borderId="16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10" fontId="4" fillId="0" borderId="14" xfId="6" applyNumberFormat="1" applyFont="1" applyBorder="1" applyAlignment="1">
      <alignment horizontal="center"/>
    </xf>
    <xf numFmtId="10" fontId="4" fillId="0" borderId="25" xfId="6" applyNumberFormat="1" applyFont="1" applyBorder="1" applyAlignment="1">
      <alignment horizontal="center"/>
    </xf>
    <xf numFmtId="10" fontId="4" fillId="0" borderId="16" xfId="6" applyNumberFormat="1" applyFont="1" applyBorder="1" applyAlignment="1">
      <alignment horizontal="center"/>
    </xf>
    <xf numFmtId="10" fontId="4" fillId="0" borderId="0" xfId="6" applyNumberFormat="1" applyFont="1" applyBorder="1" applyAlignment="1">
      <alignment horizontal="center"/>
    </xf>
    <xf numFmtId="10" fontId="4" fillId="0" borderId="18" xfId="6" applyNumberFormat="1" applyFont="1" applyBorder="1" applyAlignment="1">
      <alignment horizontal="center"/>
    </xf>
    <xf numFmtId="10" fontId="4" fillId="0" borderId="12" xfId="6" applyNumberFormat="1" applyFont="1" applyBorder="1" applyAlignment="1">
      <alignment horizontal="center"/>
    </xf>
    <xf numFmtId="3" fontId="5" fillId="20" borderId="2" xfId="0" applyNumberFormat="1" applyFont="1" applyFill="1" applyBorder="1" applyAlignment="1">
      <alignment horizontal="right"/>
    </xf>
    <xf numFmtId="0" fontId="18" fillId="0" borderId="12" xfId="0" applyFont="1" applyBorder="1" applyAlignment="1"/>
    <xf numFmtId="3" fontId="4" fillId="0" borderId="14" xfId="0" applyNumberFormat="1" applyFont="1" applyBorder="1" applyAlignment="1">
      <alignment horizontal="right"/>
    </xf>
    <xf numFmtId="3" fontId="4" fillId="0" borderId="25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3" fontId="4" fillId="0" borderId="18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18" fillId="0" borderId="2" xfId="0" applyNumberFormat="1" applyFont="1" applyBorder="1" applyAlignment="1">
      <alignment horizontal="right"/>
    </xf>
    <xf numFmtId="0" fontId="5" fillId="0" borderId="0" xfId="0" applyFont="1" applyAlignment="1">
      <alignment horizontal="right" wrapText="1"/>
    </xf>
    <xf numFmtId="0" fontId="4" fillId="0" borderId="2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2" xfId="0" applyFont="1" applyBorder="1" applyAlignment="1">
      <alignment horizontal="right"/>
    </xf>
    <xf numFmtId="0" fontId="72" fillId="0" borderId="0" xfId="0" applyFont="1" applyFill="1" applyBorder="1"/>
    <xf numFmtId="0" fontId="69" fillId="0" borderId="0" xfId="0" applyFont="1" applyFill="1" applyBorder="1"/>
    <xf numFmtId="0" fontId="68" fillId="0" borderId="0" xfId="0" applyFont="1" applyFill="1" applyBorder="1"/>
    <xf numFmtId="4" fontId="68" fillId="0" borderId="0" xfId="0" applyNumberFormat="1" applyFont="1" applyFill="1" applyBorder="1" applyAlignment="1">
      <alignment horizontal="right"/>
    </xf>
    <xf numFmtId="4" fontId="73" fillId="0" borderId="0" xfId="0" applyNumberFormat="1" applyFont="1" applyFill="1" applyBorder="1" applyAlignment="1">
      <alignment horizontal="right"/>
    </xf>
    <xf numFmtId="0" fontId="69" fillId="0" borderId="0" xfId="0" applyFont="1" applyFill="1" applyBorder="1" applyAlignment="1">
      <alignment horizontal="center"/>
    </xf>
    <xf numFmtId="4" fontId="64" fillId="0" borderId="0" xfId="0" applyNumberFormat="1" applyFont="1" applyFill="1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left"/>
    </xf>
    <xf numFmtId="167" fontId="4" fillId="0" borderId="0" xfId="6" applyNumberFormat="1" applyFont="1"/>
    <xf numFmtId="9" fontId="17" fillId="0" borderId="0" xfId="6" applyFont="1"/>
    <xf numFmtId="3" fontId="0" fillId="0" borderId="0" xfId="0" applyNumberFormat="1"/>
    <xf numFmtId="0" fontId="17" fillId="0" borderId="0" xfId="0" applyFont="1" applyAlignment="1">
      <alignment horizontal="right"/>
    </xf>
    <xf numFmtId="3" fontId="5" fillId="0" borderId="15" xfId="0" applyNumberFormat="1" applyFont="1" applyBorder="1" applyAlignment="1">
      <alignment horizontal="right"/>
    </xf>
    <xf numFmtId="164" fontId="5" fillId="0" borderId="21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/>
    <xf numFmtId="0" fontId="5" fillId="0" borderId="18" xfId="0" applyFont="1" applyBorder="1" applyAlignment="1">
      <alignment horizontal="right"/>
    </xf>
    <xf numFmtId="4" fontId="18" fillId="24" borderId="11" xfId="0" applyNumberFormat="1" applyFont="1" applyFill="1" applyBorder="1" applyAlignment="1">
      <alignment horizontal="right"/>
    </xf>
    <xf numFmtId="4" fontId="18" fillId="0" borderId="13" xfId="0" applyNumberFormat="1" applyFont="1" applyFill="1" applyBorder="1" applyAlignment="1">
      <alignment horizontal="right"/>
    </xf>
    <xf numFmtId="10" fontId="20" fillId="0" borderId="21" xfId="6" applyNumberFormat="1" applyFont="1" applyBorder="1" applyAlignment="1">
      <alignment horizontal="right"/>
    </xf>
    <xf numFmtId="0" fontId="9" fillId="0" borderId="0" xfId="0" applyFont="1" applyAlignment="1">
      <alignment horizontal="center" wrapText="1"/>
    </xf>
    <xf numFmtId="9" fontId="5" fillId="0" borderId="1" xfId="6" applyFont="1" applyBorder="1" applyAlignment="1">
      <alignment horizontal="right"/>
    </xf>
    <xf numFmtId="3" fontId="74" fillId="0" borderId="0" xfId="0" applyNumberFormat="1" applyFont="1"/>
    <xf numFmtId="4" fontId="4" fillId="12" borderId="0" xfId="0" applyNumberFormat="1" applyFont="1" applyFill="1" applyBorder="1"/>
    <xf numFmtId="3" fontId="69" fillId="0" borderId="0" xfId="0" applyNumberFormat="1" applyFont="1" applyFill="1" applyAlignment="1">
      <alignment horizontal="center"/>
    </xf>
    <xf numFmtId="0" fontId="76" fillId="0" borderId="0" xfId="0" applyFont="1"/>
    <xf numFmtId="9" fontId="4" fillId="0" borderId="0" xfId="6" applyFont="1" applyFill="1" applyBorder="1"/>
    <xf numFmtId="171" fontId="4" fillId="0" borderId="0" xfId="0" applyNumberFormat="1" applyFont="1" applyFill="1" applyBorder="1"/>
    <xf numFmtId="171" fontId="5" fillId="0" borderId="0" xfId="0" applyNumberFormat="1" applyFont="1" applyFill="1" applyBorder="1"/>
    <xf numFmtId="3" fontId="5" fillId="0" borderId="0" xfId="2" applyNumberFormat="1" applyFont="1" applyBorder="1"/>
    <xf numFmtId="0" fontId="60" fillId="0" borderId="0" xfId="0" applyFont="1" applyFill="1"/>
    <xf numFmtId="3" fontId="36" fillId="0" borderId="2" xfId="0" applyNumberFormat="1" applyFont="1" applyFill="1" applyBorder="1" applyAlignment="1">
      <alignment horizontal="right"/>
    </xf>
    <xf numFmtId="3" fontId="4" fillId="0" borderId="0" xfId="2" applyNumberFormat="1" applyFont="1" applyFill="1"/>
    <xf numFmtId="0" fontId="9" fillId="0" borderId="1" xfId="0" applyFont="1" applyFill="1" applyBorder="1" applyAlignment="1">
      <alignment horizontal="center"/>
    </xf>
    <xf numFmtId="3" fontId="5" fillId="0" borderId="0" xfId="2" applyNumberFormat="1" applyFont="1"/>
    <xf numFmtId="3" fontId="5" fillId="0" borderId="2" xfId="2" applyNumberFormat="1" applyFont="1" applyBorder="1"/>
    <xf numFmtId="3" fontId="4" fillId="0" borderId="1" xfId="2" applyNumberFormat="1" applyFont="1" applyBorder="1"/>
    <xf numFmtId="3" fontId="4" fillId="0" borderId="13" xfId="2" applyNumberFormat="1" applyFont="1" applyBorder="1"/>
    <xf numFmtId="3" fontId="4" fillId="0" borderId="26" xfId="2" applyNumberFormat="1" applyFont="1" applyBorder="1"/>
    <xf numFmtId="0" fontId="5" fillId="16" borderId="0" xfId="0" applyFont="1" applyFill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37" fillId="0" borderId="0" xfId="0" applyFont="1"/>
    <xf numFmtId="0" fontId="38" fillId="0" borderId="0" xfId="0" applyFont="1"/>
    <xf numFmtId="0" fontId="21" fillId="0" borderId="0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18" borderId="0" xfId="0" applyFont="1" applyFill="1"/>
    <xf numFmtId="0" fontId="21" fillId="18" borderId="0" xfId="0" applyFont="1" applyFill="1" applyAlignment="1">
      <alignment horizontal="right"/>
    </xf>
    <xf numFmtId="3" fontId="21" fillId="18" borderId="0" xfId="0" applyNumberFormat="1" applyFont="1" applyFill="1"/>
    <xf numFmtId="3" fontId="39" fillId="22" borderId="2" xfId="0" applyNumberFormat="1" applyFont="1" applyFill="1" applyBorder="1" applyAlignment="1">
      <alignment horizontal="right"/>
    </xf>
    <xf numFmtId="4" fontId="77" fillId="0" borderId="0" xfId="0" applyNumberFormat="1" applyFont="1"/>
    <xf numFmtId="3" fontId="5" fillId="12" borderId="0" xfId="0" applyNumberFormat="1" applyFont="1" applyFill="1" applyAlignment="1">
      <alignment horizontal="right"/>
    </xf>
    <xf numFmtId="4" fontId="4" fillId="12" borderId="25" xfId="0" applyNumberFormat="1" applyFont="1" applyFill="1" applyBorder="1" applyAlignment="1">
      <alignment horizontal="right"/>
    </xf>
    <xf numFmtId="0" fontId="4" fillId="12" borderId="0" xfId="0" applyFont="1" applyFill="1"/>
    <xf numFmtId="3" fontId="21" fillId="12" borderId="26" xfId="0" applyNumberFormat="1" applyFont="1" applyFill="1" applyBorder="1" applyAlignment="1"/>
    <xf numFmtId="3" fontId="21" fillId="12" borderId="13" xfId="0" applyNumberFormat="1" applyFont="1" applyFill="1" applyBorder="1" applyAlignment="1"/>
    <xf numFmtId="3" fontId="21" fillId="12" borderId="1" xfId="0" applyNumberFormat="1" applyFont="1" applyFill="1" applyBorder="1" applyAlignment="1"/>
    <xf numFmtId="0" fontId="56" fillId="0" borderId="0" xfId="0" applyFont="1"/>
    <xf numFmtId="0" fontId="21" fillId="16" borderId="0" xfId="0" applyFont="1" applyFill="1"/>
    <xf numFmtId="0" fontId="37" fillId="16" borderId="0" xfId="0" applyFont="1" applyFill="1"/>
    <xf numFmtId="0" fontId="17" fillId="16" borderId="0" xfId="0" applyFont="1" applyFill="1"/>
    <xf numFmtId="3" fontId="5" fillId="0" borderId="0" xfId="0" applyNumberFormat="1" applyFont="1" applyFill="1" applyBorder="1" applyAlignment="1"/>
    <xf numFmtId="3" fontId="21" fillId="0" borderId="0" xfId="0" applyNumberFormat="1" applyFont="1" applyFill="1" applyBorder="1" applyAlignment="1"/>
    <xf numFmtId="3" fontId="5" fillId="25" borderId="2" xfId="0" applyNumberFormat="1" applyFont="1" applyFill="1" applyBorder="1"/>
    <xf numFmtId="3" fontId="5" fillId="26" borderId="2" xfId="0" applyNumberFormat="1" applyFont="1" applyFill="1" applyBorder="1"/>
    <xf numFmtId="3" fontId="21" fillId="0" borderId="0" xfId="0" applyNumberFormat="1" applyFont="1" applyAlignment="1">
      <alignment horizontal="right"/>
    </xf>
    <xf numFmtId="4" fontId="78" fillId="0" borderId="0" xfId="0" applyNumberFormat="1" applyFont="1"/>
    <xf numFmtId="4" fontId="70" fillId="0" borderId="0" xfId="0" applyNumberFormat="1" applyFont="1" applyFill="1" applyBorder="1"/>
    <xf numFmtId="4" fontId="70" fillId="16" borderId="1" xfId="0" applyNumberFormat="1" applyFont="1" applyFill="1" applyBorder="1"/>
    <xf numFmtId="0" fontId="40" fillId="0" borderId="0" xfId="0" applyFont="1" applyAlignment="1">
      <alignment horizontal="center"/>
    </xf>
    <xf numFmtId="0" fontId="41" fillId="0" borderId="0" xfId="0" applyFont="1"/>
    <xf numFmtId="4" fontId="79" fillId="0" borderId="0" xfId="0" applyNumberFormat="1" applyFont="1"/>
    <xf numFmtId="4" fontId="80" fillId="0" borderId="0" xfId="0" applyNumberFormat="1" applyFont="1"/>
    <xf numFmtId="2" fontId="4" fillId="0" borderId="28" xfId="0" applyNumberFormat="1" applyFont="1" applyBorder="1"/>
    <xf numFmtId="0" fontId="5" fillId="9" borderId="24" xfId="0" applyFont="1" applyFill="1" applyBorder="1" applyAlignment="1">
      <alignment horizontal="center" wrapText="1"/>
    </xf>
    <xf numFmtId="0" fontId="5" fillId="16" borderId="24" xfId="0" applyFont="1" applyFill="1" applyBorder="1" applyAlignment="1">
      <alignment horizontal="center" vertical="center"/>
    </xf>
    <xf numFmtId="0" fontId="5" fillId="16" borderId="29" xfId="0" applyFont="1" applyFill="1" applyBorder="1" applyAlignment="1">
      <alignment horizontal="center" vertical="center" wrapText="1"/>
    </xf>
    <xf numFmtId="4" fontId="4" fillId="0" borderId="1" xfId="0" applyNumberFormat="1" applyFont="1" applyBorder="1"/>
    <xf numFmtId="10" fontId="80" fillId="0" borderId="0" xfId="0" applyNumberFormat="1" applyFont="1"/>
    <xf numFmtId="0" fontId="5" fillId="12" borderId="26" xfId="0" applyFont="1" applyFill="1" applyBorder="1"/>
    <xf numFmtId="0" fontId="5" fillId="0" borderId="30" xfId="0" applyFont="1" applyFill="1" applyBorder="1"/>
    <xf numFmtId="4" fontId="4" fillId="0" borderId="31" xfId="0" applyNumberFormat="1" applyFont="1" applyBorder="1"/>
    <xf numFmtId="10" fontId="4" fillId="0" borderId="32" xfId="0" applyNumberFormat="1" applyFont="1" applyBorder="1"/>
    <xf numFmtId="0" fontId="5" fillId="0" borderId="33" xfId="0" applyFont="1" applyFill="1" applyBorder="1"/>
    <xf numFmtId="10" fontId="4" fillId="0" borderId="34" xfId="0" applyNumberFormat="1" applyFont="1" applyBorder="1"/>
    <xf numFmtId="0" fontId="5" fillId="0" borderId="35" xfId="0" applyFont="1" applyFill="1" applyBorder="1"/>
    <xf numFmtId="4" fontId="4" fillId="0" borderId="36" xfId="0" applyNumberFormat="1" applyFont="1" applyBorder="1"/>
    <xf numFmtId="10" fontId="4" fillId="0" borderId="37" xfId="0" applyNumberFormat="1" applyFont="1" applyBorder="1"/>
    <xf numFmtId="4" fontId="15" fillId="12" borderId="26" xfId="0" applyNumberFormat="1" applyFont="1" applyFill="1" applyBorder="1" applyAlignment="1">
      <alignment horizontal="center"/>
    </xf>
    <xf numFmtId="10" fontId="15" fillId="12" borderId="26" xfId="0" applyNumberFormat="1" applyFont="1" applyFill="1" applyBorder="1" applyAlignment="1">
      <alignment horizontal="center"/>
    </xf>
    <xf numFmtId="0" fontId="42" fillId="0" borderId="23" xfId="0" applyFont="1" applyFill="1" applyBorder="1" applyAlignment="1">
      <alignment horizontal="center" vertical="center"/>
    </xf>
    <xf numFmtId="4" fontId="4" fillId="27" borderId="31" xfId="0" applyNumberFormat="1" applyFont="1" applyFill="1" applyBorder="1"/>
    <xf numFmtId="4" fontId="4" fillId="27" borderId="1" xfId="0" applyNumberFormat="1" applyFont="1" applyFill="1" applyBorder="1"/>
    <xf numFmtId="4" fontId="4" fillId="27" borderId="36" xfId="0" applyNumberFormat="1" applyFont="1" applyFill="1" applyBorder="1"/>
    <xf numFmtId="1" fontId="5" fillId="16" borderId="1" xfId="0" applyNumberFormat="1" applyFont="1" applyFill="1" applyBorder="1" applyAlignment="1">
      <alignment horizontal="center" vertical="center" wrapText="1"/>
    </xf>
    <xf numFmtId="3" fontId="4" fillId="12" borderId="0" xfId="0" applyNumberFormat="1" applyFont="1" applyFill="1"/>
    <xf numFmtId="4" fontId="4" fillId="12" borderId="16" xfId="0" applyNumberFormat="1" applyFont="1" applyFill="1" applyBorder="1"/>
    <xf numFmtId="3" fontId="4" fillId="0" borderId="1" xfId="0" applyNumberFormat="1" applyFont="1" applyBorder="1" applyAlignment="1">
      <alignment horizontal="center"/>
    </xf>
    <xf numFmtId="0" fontId="21" fillId="16" borderId="0" xfId="0" applyFont="1" applyFill="1" applyAlignment="1">
      <alignment horizontal="right"/>
    </xf>
    <xf numFmtId="0" fontId="15" fillId="16" borderId="0" xfId="0" applyFont="1" applyFill="1" applyAlignment="1">
      <alignment horizontal="right"/>
    </xf>
    <xf numFmtId="0" fontId="5" fillId="16" borderId="0" xfId="0" applyFont="1" applyFill="1"/>
    <xf numFmtId="3" fontId="4" fillId="12" borderId="33" xfId="0" applyNumberFormat="1" applyFont="1" applyFill="1" applyBorder="1" applyAlignment="1">
      <alignment horizontal="center"/>
    </xf>
    <xf numFmtId="3" fontId="4" fillId="12" borderId="1" xfId="0" applyNumberFormat="1" applyFont="1" applyFill="1" applyBorder="1" applyAlignment="1">
      <alignment horizontal="center"/>
    </xf>
    <xf numFmtId="3" fontId="9" fillId="17" borderId="1" xfId="0" applyNumberFormat="1" applyFont="1" applyFill="1" applyBorder="1" applyAlignment="1">
      <alignment horizontal="center" wrapText="1"/>
    </xf>
    <xf numFmtId="3" fontId="9" fillId="27" borderId="1" xfId="0" applyNumberFormat="1" applyFont="1" applyFill="1" applyBorder="1" applyAlignment="1">
      <alignment horizontal="center" wrapText="1"/>
    </xf>
    <xf numFmtId="3" fontId="9" fillId="27" borderId="3" xfId="0" applyNumberFormat="1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right"/>
    </xf>
    <xf numFmtId="3" fontId="5" fillId="12" borderId="1" xfId="2" applyNumberFormat="1" applyFont="1" applyFill="1" applyBorder="1"/>
    <xf numFmtId="3" fontId="5" fillId="12" borderId="3" xfId="2" applyNumberFormat="1" applyFont="1" applyFill="1" applyBorder="1"/>
    <xf numFmtId="3" fontId="5" fillId="12" borderId="2" xfId="2" applyNumberFormat="1" applyFont="1" applyFill="1" applyBorder="1"/>
    <xf numFmtId="3" fontId="5" fillId="16" borderId="2" xfId="2" applyNumberFormat="1" applyFont="1" applyFill="1" applyBorder="1"/>
    <xf numFmtId="0" fontId="9" fillId="17" borderId="1" xfId="0" applyFont="1" applyFill="1" applyBorder="1" applyAlignment="1">
      <alignment horizontal="center"/>
    </xf>
    <xf numFmtId="3" fontId="9" fillId="17" borderId="3" xfId="0" applyNumberFormat="1" applyFont="1" applyFill="1" applyBorder="1" applyAlignment="1">
      <alignment horizontal="center" wrapText="1"/>
    </xf>
    <xf numFmtId="3" fontId="9" fillId="17" borderId="13" xfId="0" applyNumberFormat="1" applyFont="1" applyFill="1" applyBorder="1" applyAlignment="1">
      <alignment horizontal="center" wrapText="1"/>
    </xf>
    <xf numFmtId="0" fontId="5" fillId="16" borderId="1" xfId="0" applyFont="1" applyFill="1" applyBorder="1" applyAlignment="1">
      <alignment horizontal="center"/>
    </xf>
    <xf numFmtId="3" fontId="5" fillId="16" borderId="1" xfId="0" applyNumberFormat="1" applyFont="1" applyFill="1" applyBorder="1" applyAlignment="1">
      <alignment horizontal="center" wrapText="1"/>
    </xf>
    <xf numFmtId="3" fontId="5" fillId="16" borderId="3" xfId="0" applyNumberFormat="1" applyFont="1" applyFill="1" applyBorder="1" applyAlignment="1">
      <alignment horizontal="center" wrapText="1"/>
    </xf>
    <xf numFmtId="3" fontId="5" fillId="9" borderId="13" xfId="0" applyNumberFormat="1" applyFont="1" applyFill="1" applyBorder="1" applyAlignment="1">
      <alignment horizontal="center" wrapText="1"/>
    </xf>
    <xf numFmtId="3" fontId="5" fillId="16" borderId="1" xfId="2" applyNumberFormat="1" applyFont="1" applyFill="1" applyBorder="1"/>
    <xf numFmtId="3" fontId="5" fillId="16" borderId="13" xfId="2" applyNumberFormat="1" applyFont="1" applyFill="1" applyBorder="1"/>
    <xf numFmtId="3" fontId="6" fillId="16" borderId="2" xfId="2" applyNumberFormat="1" applyFont="1" applyFill="1" applyBorder="1"/>
    <xf numFmtId="3" fontId="5" fillId="16" borderId="26" xfId="2" applyNumberFormat="1" applyFont="1" applyFill="1" applyBorder="1"/>
    <xf numFmtId="0" fontId="5" fillId="17" borderId="1" xfId="0" applyFont="1" applyFill="1" applyBorder="1" applyAlignment="1">
      <alignment horizontal="right"/>
    </xf>
    <xf numFmtId="3" fontId="79" fillId="0" borderId="0" xfId="0" applyNumberFormat="1" applyFont="1"/>
    <xf numFmtId="3" fontId="4" fillId="12" borderId="0" xfId="2" applyNumberFormat="1" applyFont="1" applyFill="1"/>
    <xf numFmtId="3" fontId="5" fillId="12" borderId="0" xfId="2" applyNumberFormat="1" applyFont="1" applyFill="1"/>
    <xf numFmtId="3" fontId="4" fillId="12" borderId="26" xfId="2" applyNumberFormat="1" applyFont="1" applyFill="1" applyBorder="1"/>
    <xf numFmtId="4" fontId="4" fillId="0" borderId="0" xfId="0" applyNumberFormat="1" applyFont="1" applyBorder="1"/>
    <xf numFmtId="4" fontId="5" fillId="0" borderId="0" xfId="0" applyNumberFormat="1" applyFont="1" applyBorder="1"/>
    <xf numFmtId="0" fontId="81" fillId="0" borderId="0" xfId="0" applyFont="1"/>
    <xf numFmtId="0" fontId="82" fillId="0" borderId="0" xfId="0" applyFont="1"/>
    <xf numFmtId="3" fontId="43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/>
    <xf numFmtId="3" fontId="5" fillId="0" borderId="0" xfId="0" applyNumberFormat="1" applyFont="1" applyFill="1" applyBorder="1"/>
    <xf numFmtId="0" fontId="21" fillId="16" borderId="17" xfId="0" applyFont="1" applyFill="1" applyBorder="1"/>
    <xf numFmtId="0" fontId="17" fillId="16" borderId="17" xfId="0" applyFont="1" applyFill="1" applyBorder="1"/>
    <xf numFmtId="0" fontId="37" fillId="0" borderId="0" xfId="0" applyFont="1" applyAlignment="1">
      <alignment horizontal="right"/>
    </xf>
    <xf numFmtId="10" fontId="4" fillId="0" borderId="0" xfId="6" applyNumberFormat="1" applyFont="1" applyBorder="1"/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right"/>
    </xf>
    <xf numFmtId="0" fontId="70" fillId="0" borderId="0" xfId="0" applyFont="1" applyFill="1" applyBorder="1"/>
    <xf numFmtId="2" fontId="4" fillId="0" borderId="0" xfId="0" applyNumberFormat="1" applyFont="1" applyFill="1" applyBorder="1"/>
    <xf numFmtId="4" fontId="80" fillId="0" borderId="0" xfId="0" applyNumberFormat="1" applyFont="1" applyFill="1" applyBorder="1"/>
    <xf numFmtId="4" fontId="57" fillId="0" borderId="0" xfId="0" applyNumberFormat="1" applyFont="1" applyFill="1" applyBorder="1"/>
    <xf numFmtId="0" fontId="40" fillId="0" borderId="0" xfId="0" applyFont="1" applyFill="1" applyBorder="1" applyAlignment="1">
      <alignment horizontal="center"/>
    </xf>
    <xf numFmtId="4" fontId="79" fillId="0" borderId="0" xfId="0" applyNumberFormat="1" applyFont="1" applyFill="1" applyBorder="1"/>
    <xf numFmtId="0" fontId="41" fillId="0" borderId="0" xfId="0" applyFont="1" applyFill="1" applyBorder="1"/>
    <xf numFmtId="0" fontId="5" fillId="0" borderId="0" xfId="0" applyFont="1" applyFill="1" applyBorder="1" applyAlignment="1">
      <alignment horizontal="left"/>
    </xf>
    <xf numFmtId="1" fontId="5" fillId="16" borderId="1" xfId="0" applyNumberFormat="1" applyFont="1" applyFill="1" applyBorder="1" applyAlignment="1">
      <alignment horizontal="center" vertical="center"/>
    </xf>
    <xf numFmtId="4" fontId="6" fillId="0" borderId="0" xfId="0" applyNumberFormat="1" applyFont="1" applyFill="1" applyBorder="1"/>
    <xf numFmtId="0" fontId="5" fillId="0" borderId="0" xfId="0" applyFont="1" applyFill="1" applyBorder="1" applyAlignment="1"/>
    <xf numFmtId="164" fontId="60" fillId="0" borderId="0" xfId="0" applyNumberFormat="1" applyFont="1" applyFill="1" applyBorder="1" applyAlignment="1">
      <alignment horizontal="right"/>
    </xf>
    <xf numFmtId="164" fontId="56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/>
    </xf>
    <xf numFmtId="164" fontId="5" fillId="0" borderId="0" xfId="0" applyNumberFormat="1" applyFont="1" applyFill="1" applyBorder="1" applyAlignment="1">
      <alignment horizontal="right"/>
    </xf>
    <xf numFmtId="0" fontId="55" fillId="0" borderId="0" xfId="0" applyFont="1" applyFill="1" applyBorder="1" applyAlignment="1">
      <alignment horizontal="right"/>
    </xf>
    <xf numFmtId="2" fontId="17" fillId="0" borderId="0" xfId="0" applyNumberFormat="1" applyFont="1" applyFill="1" applyBorder="1"/>
    <xf numFmtId="9" fontId="17" fillId="0" borderId="0" xfId="6" applyFont="1" applyFill="1" applyBorder="1"/>
    <xf numFmtId="2" fontId="77" fillId="0" borderId="0" xfId="0" applyNumberFormat="1" applyFont="1" applyFill="1" applyBorder="1"/>
    <xf numFmtId="166" fontId="10" fillId="0" borderId="0" xfId="6" applyNumberFormat="1" applyFont="1" applyFill="1" applyBorder="1"/>
    <xf numFmtId="0" fontId="10" fillId="0" borderId="0" xfId="0" applyFont="1" applyFill="1" applyBorder="1"/>
    <xf numFmtId="9" fontId="69" fillId="0" borderId="0" xfId="6" applyFont="1" applyFill="1" applyBorder="1"/>
    <xf numFmtId="0" fontId="4" fillId="0" borderId="0" xfId="0" applyFont="1" applyBorder="1" applyAlignment="1"/>
    <xf numFmtId="0" fontId="4" fillId="0" borderId="0" xfId="0" applyFont="1" applyAlignment="1"/>
    <xf numFmtId="3" fontId="80" fillId="0" borderId="0" xfId="0" applyNumberFormat="1" applyFont="1" applyFill="1" applyBorder="1"/>
    <xf numFmtId="3" fontId="79" fillId="0" borderId="0" xfId="0" applyNumberFormat="1" applyFont="1" applyFill="1" applyBorder="1"/>
    <xf numFmtId="165" fontId="76" fillId="0" borderId="0" xfId="0" applyNumberFormat="1" applyFont="1" applyFill="1" applyBorder="1" applyAlignment="1">
      <alignment horizontal="center"/>
    </xf>
    <xf numFmtId="0" fontId="79" fillId="0" borderId="0" xfId="0" applyFont="1" applyFill="1" applyBorder="1"/>
    <xf numFmtId="0" fontId="84" fillId="0" borderId="0" xfId="0" applyFont="1" applyFill="1" applyBorder="1"/>
    <xf numFmtId="0" fontId="75" fillId="0" borderId="0" xfId="0" applyFont="1" applyFill="1" applyBorder="1" applyAlignment="1">
      <alignment horizontal="center" vertical="center" wrapText="1"/>
    </xf>
    <xf numFmtId="0" fontId="76" fillId="0" borderId="0" xfId="0" applyFont="1" applyFill="1" applyBorder="1" applyAlignment="1">
      <alignment horizontal="center"/>
    </xf>
    <xf numFmtId="165" fontId="75" fillId="0" borderId="0" xfId="0" applyNumberFormat="1" applyFont="1" applyFill="1" applyBorder="1" applyAlignment="1">
      <alignment horizontal="center"/>
    </xf>
    <xf numFmtId="0" fontId="75" fillId="0" borderId="0" xfId="0" applyFont="1" applyFill="1" applyBorder="1"/>
    <xf numFmtId="165" fontId="76" fillId="0" borderId="0" xfId="0" applyNumberFormat="1" applyFont="1" applyFill="1" applyBorder="1"/>
    <xf numFmtId="0" fontId="5" fillId="29" borderId="0" xfId="0" applyFont="1" applyFill="1"/>
    <xf numFmtId="9" fontId="7" fillId="0" borderId="0" xfId="6" applyFont="1"/>
    <xf numFmtId="0" fontId="82" fillId="7" borderId="48" xfId="5" applyFont="1" applyAlignment="1">
      <alignment horizontal="center"/>
    </xf>
    <xf numFmtId="0" fontId="22" fillId="16" borderId="0" xfId="0" applyFont="1" applyFill="1"/>
    <xf numFmtId="0" fontId="15" fillId="16" borderId="0" xfId="0" applyFont="1" applyFill="1"/>
    <xf numFmtId="1" fontId="45" fillId="5" borderId="1" xfId="0" applyNumberFormat="1" applyFont="1" applyFill="1" applyBorder="1" applyAlignment="1">
      <alignment horizontal="center"/>
    </xf>
    <xf numFmtId="0" fontId="45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" fontId="0" fillId="5" borderId="1" xfId="0" applyNumberForma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" fontId="0" fillId="0" borderId="21" xfId="0" applyNumberFormat="1" applyFill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0" fontId="45" fillId="0" borderId="1" xfId="0" applyFont="1" applyBorder="1" applyAlignment="1">
      <alignment horizontal="left"/>
    </xf>
    <xf numFmtId="2" fontId="45" fillId="5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/>
    </xf>
    <xf numFmtId="1" fontId="45" fillId="30" borderId="1" xfId="0" applyNumberFormat="1" applyFont="1" applyFill="1" applyBorder="1" applyAlignment="1">
      <alignment horizontal="center"/>
    </xf>
    <xf numFmtId="2" fontId="0" fillId="30" borderId="1" xfId="0" applyNumberFormat="1" applyFill="1" applyBorder="1" applyAlignment="1">
      <alignment horizontal="center"/>
    </xf>
    <xf numFmtId="1" fontId="46" fillId="6" borderId="36" xfId="0" applyNumberFormat="1" applyFont="1" applyFill="1" applyBorder="1" applyAlignment="1">
      <alignment horizontal="center" vertical="center"/>
    </xf>
    <xf numFmtId="0" fontId="46" fillId="6" borderId="36" xfId="0" applyFont="1" applyFill="1" applyBorder="1" applyAlignment="1">
      <alignment horizontal="center" vertical="center"/>
    </xf>
    <xf numFmtId="49" fontId="46" fillId="6" borderId="36" xfId="0" applyNumberFormat="1" applyFont="1" applyFill="1" applyBorder="1" applyAlignment="1">
      <alignment horizontal="center" vertical="center" wrapText="1"/>
    </xf>
    <xf numFmtId="2" fontId="46" fillId="6" borderId="36" xfId="0" applyNumberFormat="1" applyFont="1" applyFill="1" applyBorder="1" applyAlignment="1">
      <alignment horizontal="center" vertical="center" wrapText="1"/>
    </xf>
    <xf numFmtId="0" fontId="46" fillId="6" borderId="36" xfId="0" applyNumberFormat="1" applyFont="1" applyFill="1" applyBorder="1" applyAlignment="1">
      <alignment horizontal="center" vertical="center" wrapText="1"/>
    </xf>
    <xf numFmtId="2" fontId="46" fillId="6" borderId="39" xfId="0" applyNumberFormat="1" applyFont="1" applyFill="1" applyBorder="1" applyAlignment="1">
      <alignment horizontal="center" vertical="center" wrapText="1"/>
    </xf>
    <xf numFmtId="0" fontId="0" fillId="5" borderId="1" xfId="0" applyNumberFormat="1" applyFill="1" applyBorder="1" applyAlignment="1">
      <alignment horizontal="center"/>
    </xf>
    <xf numFmtId="0" fontId="45" fillId="5" borderId="1" xfId="0" applyNumberFormat="1" applyFont="1" applyFill="1" applyBorder="1" applyAlignment="1">
      <alignment horizontal="center"/>
    </xf>
    <xf numFmtId="0" fontId="0" fillId="30" borderId="1" xfId="0" applyNumberFormat="1" applyFill="1" applyBorder="1" applyAlignment="1">
      <alignment horizontal="center"/>
    </xf>
    <xf numFmtId="0" fontId="44" fillId="0" borderId="0" xfId="0" applyFont="1" applyFill="1"/>
    <xf numFmtId="3" fontId="60" fillId="0" borderId="0" xfId="0" applyNumberFormat="1" applyFont="1"/>
    <xf numFmtId="0" fontId="47" fillId="0" borderId="0" xfId="0" applyFont="1"/>
    <xf numFmtId="0" fontId="77" fillId="0" borderId="0" xfId="0" applyFont="1" applyFill="1" applyBorder="1"/>
    <xf numFmtId="3" fontId="80" fillId="0" borderId="0" xfId="0" applyNumberFormat="1" applyFont="1" applyFill="1" applyBorder="1" applyAlignment="1">
      <alignment horizontal="center"/>
    </xf>
    <xf numFmtId="4" fontId="4" fillId="12" borderId="14" xfId="0" applyNumberFormat="1" applyFont="1" applyFill="1" applyBorder="1"/>
    <xf numFmtId="4" fontId="4" fillId="12" borderId="18" xfId="0" applyNumberFormat="1" applyFont="1" applyFill="1" applyBorder="1"/>
    <xf numFmtId="0" fontId="17" fillId="9" borderId="0" xfId="0" applyFont="1" applyFill="1"/>
    <xf numFmtId="2" fontId="4" fillId="12" borderId="0" xfId="0" applyNumberFormat="1" applyFont="1" applyFill="1"/>
    <xf numFmtId="0" fontId="17" fillId="31" borderId="0" xfId="0" applyFont="1" applyFill="1"/>
    <xf numFmtId="0" fontId="55" fillId="31" borderId="0" xfId="0" applyFont="1" applyFill="1"/>
    <xf numFmtId="3" fontId="5" fillId="15" borderId="21" xfId="0" applyNumberFormat="1" applyFont="1" applyFill="1" applyBorder="1" applyAlignment="1">
      <alignment horizontal="right"/>
    </xf>
    <xf numFmtId="3" fontId="5" fillId="14" borderId="1" xfId="0" applyNumberFormat="1" applyFont="1" applyFill="1" applyBorder="1" applyAlignment="1">
      <alignment horizontal="right"/>
    </xf>
    <xf numFmtId="0" fontId="13" fillId="32" borderId="0" xfId="0" applyFont="1" applyFill="1"/>
    <xf numFmtId="0" fontId="4" fillId="0" borderId="48" xfId="5" applyFont="1" applyFill="1" applyAlignment="1">
      <alignment horizontal="center"/>
    </xf>
    <xf numFmtId="0" fontId="48" fillId="0" borderId="0" xfId="0" applyFont="1"/>
    <xf numFmtId="0" fontId="4" fillId="33" borderId="0" xfId="0" applyFont="1" applyFill="1" applyAlignment="1">
      <alignment horizontal="center"/>
    </xf>
    <xf numFmtId="4" fontId="4" fillId="33" borderId="0" xfId="0" applyNumberFormat="1" applyFont="1" applyFill="1" applyAlignment="1">
      <alignment horizontal="center"/>
    </xf>
    <xf numFmtId="0" fontId="37" fillId="16" borderId="17" xfId="0" applyFont="1" applyFill="1" applyBorder="1"/>
    <xf numFmtId="0" fontId="18" fillId="16" borderId="0" xfId="0" applyFont="1" applyFill="1"/>
    <xf numFmtId="3" fontId="85" fillId="0" borderId="0" xfId="0" applyNumberFormat="1" applyFont="1"/>
    <xf numFmtId="0" fontId="85" fillId="0" borderId="0" xfId="0" applyFont="1" applyAlignment="1">
      <alignment horizontal="right"/>
    </xf>
    <xf numFmtId="3" fontId="86" fillId="0" borderId="0" xfId="0" applyNumberFormat="1" applyFont="1" applyAlignment="1">
      <alignment horizontal="left"/>
    </xf>
    <xf numFmtId="3" fontId="86" fillId="0" borderId="0" xfId="0" applyNumberFormat="1" applyFont="1"/>
    <xf numFmtId="0" fontId="4" fillId="16" borderId="0" xfId="0" applyFont="1" applyFill="1"/>
    <xf numFmtId="3" fontId="5" fillId="16" borderId="0" xfId="0" applyNumberFormat="1" applyFont="1" applyFill="1" applyBorder="1" applyAlignment="1"/>
    <xf numFmtId="3" fontId="5" fillId="16" borderId="0" xfId="0" applyNumberFormat="1" applyFont="1" applyFill="1" applyAlignment="1">
      <alignment horizontal="right"/>
    </xf>
    <xf numFmtId="0" fontId="5" fillId="16" borderId="0" xfId="0" applyFont="1" applyFill="1" applyAlignment="1">
      <alignment horizontal="right"/>
    </xf>
    <xf numFmtId="1" fontId="76" fillId="0" borderId="0" xfId="0" applyNumberFormat="1" applyFont="1"/>
    <xf numFmtId="2" fontId="4" fillId="12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3" fontId="87" fillId="0" borderId="0" xfId="0" applyNumberFormat="1" applyFont="1" applyFill="1" applyBorder="1"/>
    <xf numFmtId="3" fontId="60" fillId="0" borderId="0" xfId="0" applyNumberFormat="1" applyFont="1" applyFill="1" applyBorder="1"/>
    <xf numFmtId="3" fontId="88" fillId="0" borderId="0" xfId="0" applyNumberFormat="1" applyFont="1" applyFill="1" applyBorder="1"/>
    <xf numFmtId="3" fontId="80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9" fontId="21" fillId="10" borderId="0" xfId="6" applyFont="1" applyFill="1"/>
    <xf numFmtId="3" fontId="5" fillId="28" borderId="2" xfId="0" applyNumberFormat="1" applyFont="1" applyFill="1" applyBorder="1" applyAlignment="1">
      <alignment horizontal="right"/>
    </xf>
    <xf numFmtId="3" fontId="68" fillId="32" borderId="0" xfId="0" applyNumberFormat="1" applyFont="1" applyFill="1"/>
    <xf numFmtId="3" fontId="89" fillId="33" borderId="1" xfId="0" applyNumberFormat="1" applyFont="1" applyFill="1" applyBorder="1" applyAlignment="1">
      <alignment horizontal="right"/>
    </xf>
    <xf numFmtId="0" fontId="76" fillId="0" borderId="0" xfId="0" applyFont="1" applyAlignment="1">
      <alignment horizontal="right"/>
    </xf>
    <xf numFmtId="3" fontId="76" fillId="0" borderId="0" xfId="0" applyNumberFormat="1" applyFont="1" applyBorder="1" applyAlignment="1">
      <alignment horizontal="right"/>
    </xf>
    <xf numFmtId="3" fontId="76" fillId="0" borderId="0" xfId="0" applyNumberFormat="1" applyFont="1" applyBorder="1"/>
    <xf numFmtId="3" fontId="4" fillId="0" borderId="25" xfId="0" applyNumberFormat="1" applyFont="1" applyFill="1" applyBorder="1" applyAlignment="1">
      <alignment horizontal="center"/>
    </xf>
    <xf numFmtId="0" fontId="4" fillId="0" borderId="25" xfId="0" applyFont="1" applyFill="1" applyBorder="1"/>
    <xf numFmtId="0" fontId="4" fillId="0" borderId="15" xfId="0" applyFont="1" applyFill="1" applyBorder="1"/>
    <xf numFmtId="0" fontId="4" fillId="0" borderId="16" xfId="0" applyFont="1" applyBorder="1"/>
    <xf numFmtId="0" fontId="4" fillId="0" borderId="17" xfId="0" applyFont="1" applyBorder="1"/>
    <xf numFmtId="0" fontId="5" fillId="0" borderId="16" xfId="0" applyFont="1" applyBorder="1"/>
    <xf numFmtId="0" fontId="5" fillId="0" borderId="16" xfId="0" applyFont="1" applyBorder="1" applyAlignment="1">
      <alignment horizontal="right"/>
    </xf>
    <xf numFmtId="2" fontId="5" fillId="0" borderId="0" xfId="0" applyNumberFormat="1" applyFont="1" applyBorder="1" applyAlignment="1">
      <alignment horizontal="center"/>
    </xf>
    <xf numFmtId="9" fontId="4" fillId="0" borderId="0" xfId="6" applyFont="1" applyBorder="1"/>
    <xf numFmtId="9" fontId="4" fillId="0" borderId="0" xfId="6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8" xfId="0" applyFont="1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4" fillId="0" borderId="22" xfId="0" applyFont="1" applyBorder="1"/>
    <xf numFmtId="0" fontId="4" fillId="0" borderId="25" xfId="0" applyFont="1" applyBorder="1" applyAlignment="1">
      <alignment horizontal="left"/>
    </xf>
    <xf numFmtId="10" fontId="4" fillId="0" borderId="0" xfId="0" applyNumberFormat="1" applyFont="1" applyAlignment="1">
      <alignment horizontal="right"/>
    </xf>
    <xf numFmtId="0" fontId="90" fillId="0" borderId="0" xfId="0" applyFont="1"/>
    <xf numFmtId="0" fontId="60" fillId="0" borderId="0" xfId="0" applyFont="1" applyFill="1" applyBorder="1"/>
    <xf numFmtId="0" fontId="91" fillId="0" borderId="0" xfId="0" applyFont="1"/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5" fontId="60" fillId="0" borderId="16" xfId="0" applyNumberFormat="1" applyFont="1" applyFill="1" applyBorder="1" applyAlignment="1">
      <alignment horizontal="center"/>
    </xf>
    <xf numFmtId="0" fontId="5" fillId="0" borderId="0" xfId="0" applyFont="1" applyBorder="1"/>
    <xf numFmtId="3" fontId="25" fillId="0" borderId="0" xfId="0" applyNumberFormat="1" applyFont="1" applyFill="1" applyBorder="1" applyAlignment="1">
      <alignment horizontal="right"/>
    </xf>
    <xf numFmtId="0" fontId="76" fillId="0" borderId="0" xfId="0" applyFont="1" applyBorder="1"/>
    <xf numFmtId="0" fontId="76" fillId="0" borderId="0" xfId="0" applyFont="1" applyBorder="1" applyAlignment="1">
      <alignment horizontal="right"/>
    </xf>
    <xf numFmtId="9" fontId="76" fillId="0" borderId="0" xfId="6" applyFont="1" applyBorder="1" applyAlignment="1">
      <alignment horizontal="right"/>
    </xf>
    <xf numFmtId="3" fontId="4" fillId="0" borderId="41" xfId="0" applyNumberFormat="1" applyFont="1" applyBorder="1" applyAlignment="1">
      <alignment horizontal="center"/>
    </xf>
    <xf numFmtId="3" fontId="4" fillId="0" borderId="42" xfId="0" applyNumberFormat="1" applyFont="1" applyBorder="1" applyAlignment="1">
      <alignment horizontal="center"/>
    </xf>
    <xf numFmtId="3" fontId="4" fillId="12" borderId="43" xfId="0" applyNumberFormat="1" applyFont="1" applyFill="1" applyBorder="1" applyAlignment="1">
      <alignment horizontal="center"/>
    </xf>
    <xf numFmtId="3" fontId="4" fillId="12" borderId="44" xfId="0" applyNumberFormat="1" applyFont="1" applyFill="1" applyBorder="1" applyAlignment="1">
      <alignment horizontal="center"/>
    </xf>
    <xf numFmtId="3" fontId="4" fillId="0" borderId="43" xfId="0" applyNumberFormat="1" applyFont="1" applyBorder="1" applyAlignment="1">
      <alignment horizontal="center"/>
    </xf>
    <xf numFmtId="3" fontId="4" fillId="0" borderId="44" xfId="0" applyNumberFormat="1" applyFont="1" applyBorder="1" applyAlignment="1">
      <alignment horizontal="center"/>
    </xf>
    <xf numFmtId="3" fontId="4" fillId="0" borderId="45" xfId="0" applyNumberFormat="1" applyFont="1" applyBorder="1" applyAlignment="1">
      <alignment horizontal="center"/>
    </xf>
    <xf numFmtId="3" fontId="4" fillId="0" borderId="46" xfId="0" applyNumberFormat="1" applyFont="1" applyBorder="1" applyAlignment="1">
      <alignment horizontal="center"/>
    </xf>
    <xf numFmtId="3" fontId="4" fillId="0" borderId="47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3" fontId="36" fillId="0" borderId="1" xfId="0" applyNumberFormat="1" applyFont="1" applyFill="1" applyBorder="1" applyAlignment="1">
      <alignment horizontal="right"/>
    </xf>
    <xf numFmtId="0" fontId="37" fillId="29" borderId="1" xfId="0" applyFont="1" applyFill="1" applyBorder="1" applyAlignment="1">
      <alignment horizontal="right"/>
    </xf>
    <xf numFmtId="3" fontId="5" fillId="29" borderId="1" xfId="0" applyNumberFormat="1" applyFont="1" applyFill="1" applyBorder="1" applyAlignment="1">
      <alignment horizontal="center"/>
    </xf>
    <xf numFmtId="0" fontId="5" fillId="29" borderId="1" xfId="0" applyFont="1" applyFill="1" applyBorder="1" applyAlignment="1">
      <alignment horizontal="right"/>
    </xf>
    <xf numFmtId="3" fontId="6" fillId="16" borderId="1" xfId="0" applyNumberFormat="1" applyFont="1" applyFill="1" applyBorder="1" applyAlignment="1">
      <alignment horizontal="right"/>
    </xf>
    <xf numFmtId="3" fontId="92" fillId="0" borderId="0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center"/>
    </xf>
    <xf numFmtId="9" fontId="10" fillId="0" borderId="0" xfId="6" applyFont="1" applyFill="1" applyBorder="1" applyAlignment="1">
      <alignment horizontal="center"/>
    </xf>
    <xf numFmtId="3" fontId="76" fillId="0" borderId="0" xfId="0" applyNumberFormat="1" applyFont="1" applyFill="1" applyBorder="1" applyAlignment="1">
      <alignment horizontal="right"/>
    </xf>
    <xf numFmtId="3" fontId="92" fillId="0" borderId="0" xfId="0" applyNumberFormat="1" applyFont="1" applyAlignment="1">
      <alignment horizontal="right"/>
    </xf>
    <xf numFmtId="3" fontId="5" fillId="34" borderId="0" xfId="0" applyNumberFormat="1" applyFont="1" applyFill="1" applyAlignment="1">
      <alignment horizontal="center"/>
    </xf>
    <xf numFmtId="3" fontId="6" fillId="34" borderId="2" xfId="0" applyNumberFormat="1" applyFont="1" applyFill="1" applyBorder="1" applyAlignment="1">
      <alignment horizontal="right"/>
    </xf>
    <xf numFmtId="3" fontId="5" fillId="29" borderId="0" xfId="0" applyNumberFormat="1" applyFont="1" applyFill="1" applyBorder="1" applyAlignment="1">
      <alignment horizontal="right"/>
    </xf>
    <xf numFmtId="3" fontId="4" fillId="29" borderId="0" xfId="0" applyNumberFormat="1" applyFont="1" applyFill="1" applyBorder="1" applyAlignment="1">
      <alignment horizontal="right"/>
    </xf>
    <xf numFmtId="10" fontId="5" fillId="12" borderId="0" xfId="6" applyNumberFormat="1" applyFont="1" applyFill="1"/>
    <xf numFmtId="165" fontId="4" fillId="28" borderId="1" xfId="0" applyNumberFormat="1" applyFont="1" applyFill="1" applyBorder="1" applyAlignment="1">
      <alignment horizontal="center"/>
    </xf>
    <xf numFmtId="165" fontId="4" fillId="28" borderId="3" xfId="0" applyNumberFormat="1" applyFont="1" applyFill="1" applyBorder="1" applyAlignment="1">
      <alignment horizontal="center"/>
    </xf>
    <xf numFmtId="3" fontId="4" fillId="28" borderId="25" xfId="0" applyNumberFormat="1" applyFont="1" applyFill="1" applyBorder="1" applyAlignment="1">
      <alignment horizontal="center"/>
    </xf>
    <xf numFmtId="3" fontId="4" fillId="28" borderId="15" xfId="0" applyNumberFormat="1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4" fillId="28" borderId="3" xfId="0" applyFont="1" applyFill="1" applyBorder="1" applyAlignment="1">
      <alignment horizontal="center"/>
    </xf>
    <xf numFmtId="3" fontId="4" fillId="28" borderId="0" xfId="0" applyNumberFormat="1" applyFont="1" applyFill="1" applyBorder="1" applyAlignment="1">
      <alignment horizontal="center"/>
    </xf>
    <xf numFmtId="3" fontId="4" fillId="28" borderId="17" xfId="0" applyNumberFormat="1" applyFont="1" applyFill="1" applyBorder="1" applyAlignment="1">
      <alignment horizontal="center"/>
    </xf>
    <xf numFmtId="3" fontId="4" fillId="28" borderId="12" xfId="0" applyNumberFormat="1" applyFont="1" applyFill="1" applyBorder="1" applyAlignment="1">
      <alignment horizontal="center"/>
    </xf>
    <xf numFmtId="3" fontId="4" fillId="28" borderId="22" xfId="0" applyNumberFormat="1" applyFont="1" applyFill="1" applyBorder="1" applyAlignment="1">
      <alignment horizontal="center"/>
    </xf>
    <xf numFmtId="10" fontId="4" fillId="28" borderId="25" xfId="6" applyNumberFormat="1" applyFont="1" applyFill="1" applyBorder="1" applyAlignment="1">
      <alignment horizontal="center"/>
    </xf>
    <xf numFmtId="10" fontId="4" fillId="28" borderId="15" xfId="6" applyNumberFormat="1" applyFont="1" applyFill="1" applyBorder="1" applyAlignment="1">
      <alignment horizontal="center"/>
    </xf>
    <xf numFmtId="10" fontId="4" fillId="28" borderId="0" xfId="6" applyNumberFormat="1" applyFont="1" applyFill="1" applyBorder="1" applyAlignment="1">
      <alignment horizontal="center"/>
    </xf>
    <xf numFmtId="10" fontId="4" fillId="28" borderId="17" xfId="6" applyNumberFormat="1" applyFont="1" applyFill="1" applyBorder="1" applyAlignment="1">
      <alignment horizontal="center"/>
    </xf>
    <xf numFmtId="10" fontId="4" fillId="28" borderId="12" xfId="6" applyNumberFormat="1" applyFont="1" applyFill="1" applyBorder="1" applyAlignment="1">
      <alignment horizontal="center"/>
    </xf>
    <xf numFmtId="10" fontId="4" fillId="28" borderId="22" xfId="6" applyNumberFormat="1" applyFont="1" applyFill="1" applyBorder="1" applyAlignment="1">
      <alignment horizontal="center"/>
    </xf>
    <xf numFmtId="3" fontId="4" fillId="28" borderId="25" xfId="0" applyNumberFormat="1" applyFont="1" applyFill="1" applyBorder="1" applyAlignment="1">
      <alignment horizontal="right"/>
    </xf>
    <xf numFmtId="3" fontId="4" fillId="28" borderId="15" xfId="0" applyNumberFormat="1" applyFont="1" applyFill="1" applyBorder="1" applyAlignment="1">
      <alignment horizontal="right"/>
    </xf>
    <xf numFmtId="3" fontId="4" fillId="28" borderId="0" xfId="0" applyNumberFormat="1" applyFont="1" applyFill="1" applyBorder="1" applyAlignment="1">
      <alignment horizontal="right"/>
    </xf>
    <xf numFmtId="3" fontId="4" fillId="28" borderId="17" xfId="0" applyNumberFormat="1" applyFont="1" applyFill="1" applyBorder="1" applyAlignment="1">
      <alignment horizontal="right"/>
    </xf>
    <xf numFmtId="3" fontId="4" fillId="28" borderId="12" xfId="0" applyNumberFormat="1" applyFont="1" applyFill="1" applyBorder="1" applyAlignment="1">
      <alignment horizontal="right"/>
    </xf>
    <xf numFmtId="3" fontId="4" fillId="28" borderId="22" xfId="0" applyNumberFormat="1" applyFont="1" applyFill="1" applyBorder="1" applyAlignment="1">
      <alignment horizontal="right"/>
    </xf>
    <xf numFmtId="44" fontId="51" fillId="2" borderId="0" xfId="2" applyFont="1" applyFill="1" applyBorder="1" applyAlignment="1">
      <alignment horizontal="center"/>
    </xf>
    <xf numFmtId="3" fontId="84" fillId="0" borderId="0" xfId="0" applyNumberFormat="1" applyFont="1"/>
    <xf numFmtId="0" fontId="84" fillId="0" borderId="0" xfId="0" applyFont="1" applyAlignment="1">
      <alignment horizontal="right"/>
    </xf>
    <xf numFmtId="46" fontId="93" fillId="0" borderId="0" xfId="0" quotePrefix="1" applyNumberFormat="1" applyFont="1" applyFill="1" applyAlignment="1">
      <alignment horizontal="right"/>
    </xf>
    <xf numFmtId="3" fontId="93" fillId="0" borderId="0" xfId="0" applyNumberFormat="1" applyFont="1" applyFill="1" applyAlignment="1">
      <alignment horizontal="right"/>
    </xf>
    <xf numFmtId="9" fontId="93" fillId="0" borderId="0" xfId="6" applyFont="1" applyFill="1" applyAlignment="1">
      <alignment horizontal="center"/>
    </xf>
    <xf numFmtId="0" fontId="4" fillId="28" borderId="1" xfId="0" applyFont="1" applyFill="1" applyBorder="1" applyAlignment="1">
      <alignment horizontal="right"/>
    </xf>
    <xf numFmtId="9" fontId="94" fillId="0" borderId="0" xfId="6" applyFont="1" applyFill="1" applyAlignment="1">
      <alignment horizontal="right"/>
    </xf>
    <xf numFmtId="3" fontId="95" fillId="0" borderId="0" xfId="0" applyNumberFormat="1" applyFont="1" applyBorder="1" applyAlignment="1">
      <alignment horizontal="right"/>
    </xf>
    <xf numFmtId="0" fontId="76" fillId="0" borderId="0" xfId="0" applyFont="1" applyFill="1" applyBorder="1"/>
    <xf numFmtId="0" fontId="45" fillId="0" borderId="1" xfId="0" applyFont="1" applyBorder="1" applyAlignment="1">
      <alignment horizontal="center"/>
    </xf>
    <xf numFmtId="0" fontId="5" fillId="16" borderId="1" xfId="0" applyFont="1" applyFill="1" applyBorder="1" applyAlignment="1">
      <alignment horizontal="center" vertical="center" wrapText="1"/>
    </xf>
    <xf numFmtId="3" fontId="21" fillId="12" borderId="46" xfId="0" applyNumberFormat="1" applyFont="1" applyFill="1" applyBorder="1" applyAlignment="1"/>
    <xf numFmtId="0" fontId="5" fillId="0" borderId="0" xfId="3" applyFont="1" applyBorder="1" applyAlignment="1">
      <alignment horizontal="center"/>
    </xf>
    <xf numFmtId="0" fontId="4" fillId="12" borderId="0" xfId="3" applyFont="1" applyFill="1" applyBorder="1" applyAlignment="1">
      <alignment horizontal="center"/>
    </xf>
    <xf numFmtId="0" fontId="17" fillId="16" borderId="12" xfId="0" applyFont="1" applyFill="1" applyBorder="1"/>
    <xf numFmtId="0" fontId="17" fillId="16" borderId="22" xfId="0" applyFont="1" applyFill="1" applyBorder="1"/>
    <xf numFmtId="0" fontId="22" fillId="16" borderId="12" xfId="0" applyFont="1" applyFill="1" applyBorder="1"/>
    <xf numFmtId="14" fontId="6" fillId="10" borderId="0" xfId="0" applyNumberFormat="1" applyFont="1" applyFill="1"/>
    <xf numFmtId="0" fontId="5" fillId="10" borderId="0" xfId="0" applyFont="1" applyFill="1"/>
    <xf numFmtId="0" fontId="17" fillId="10" borderId="0" xfId="0" applyFont="1" applyFill="1"/>
    <xf numFmtId="3" fontId="96" fillId="0" borderId="0" xfId="0" applyNumberFormat="1" applyFont="1"/>
    <xf numFmtId="3" fontId="27" fillId="0" borderId="0" xfId="0" applyNumberFormat="1" applyFont="1" applyFill="1" applyBorder="1" applyAlignment="1">
      <alignment horizontal="right"/>
    </xf>
    <xf numFmtId="3" fontId="62" fillId="0" borderId="0" xfId="0" applyNumberFormat="1" applyFont="1" applyFill="1" applyBorder="1" applyAlignment="1">
      <alignment horizontal="right"/>
    </xf>
    <xf numFmtId="3" fontId="76" fillId="0" borderId="0" xfId="0" applyNumberFormat="1" applyFont="1" applyFill="1" applyAlignment="1">
      <alignment horizontal="right"/>
    </xf>
    <xf numFmtId="4" fontId="76" fillId="0" borderId="0" xfId="0" applyNumberFormat="1" applyFont="1" applyFill="1" applyAlignment="1">
      <alignment horizontal="center"/>
    </xf>
    <xf numFmtId="4" fontId="76" fillId="0" borderId="0" xfId="0" applyNumberFormat="1" applyFont="1" applyFill="1" applyAlignment="1">
      <alignment horizontal="left"/>
    </xf>
    <xf numFmtId="172" fontId="75" fillId="0" borderId="2" xfId="2" applyNumberFormat="1" applyFont="1" applyFill="1" applyBorder="1" applyAlignment="1">
      <alignment horizontal="right"/>
    </xf>
    <xf numFmtId="0" fontId="97" fillId="0" borderId="0" xfId="0" applyFont="1" applyAlignment="1">
      <alignment horizontal="left"/>
    </xf>
    <xf numFmtId="0" fontId="9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9" fontId="5" fillId="0" borderId="0" xfId="6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26" fillId="0" borderId="0" xfId="0" applyNumberFormat="1" applyFont="1" applyFill="1" applyBorder="1" applyAlignment="1">
      <alignment horizontal="right"/>
    </xf>
    <xf numFmtId="3" fontId="76" fillId="0" borderId="0" xfId="0" applyNumberFormat="1" applyFont="1" applyFill="1"/>
    <xf numFmtId="0" fontId="5" fillId="23" borderId="1" xfId="0" applyFont="1" applyFill="1" applyBorder="1" applyAlignment="1">
      <alignment horizontal="center" wrapText="1"/>
    </xf>
    <xf numFmtId="3" fontId="7" fillId="23" borderId="1" xfId="0" applyNumberFormat="1" applyFont="1" applyFill="1" applyBorder="1" applyAlignment="1">
      <alignment horizontal="right"/>
    </xf>
    <xf numFmtId="0" fontId="5" fillId="36" borderId="1" xfId="0" applyFont="1" applyFill="1" applyBorder="1" applyAlignment="1">
      <alignment horizontal="center" wrapText="1"/>
    </xf>
    <xf numFmtId="3" fontId="7" fillId="36" borderId="1" xfId="0" applyNumberFormat="1" applyFont="1" applyFill="1" applyBorder="1" applyAlignment="1">
      <alignment horizontal="right"/>
    </xf>
    <xf numFmtId="3" fontId="7" fillId="0" borderId="52" xfId="0" applyNumberFormat="1" applyFont="1" applyFill="1" applyBorder="1" applyAlignment="1">
      <alignment horizontal="right"/>
    </xf>
    <xf numFmtId="4" fontId="7" fillId="0" borderId="52" xfId="0" applyNumberFormat="1" applyFont="1" applyFill="1" applyBorder="1" applyAlignment="1">
      <alignment horizontal="right"/>
    </xf>
    <xf numFmtId="3" fontId="7" fillId="0" borderId="52" xfId="0" applyNumberFormat="1" applyFont="1" applyBorder="1" applyAlignment="1">
      <alignment horizontal="right"/>
    </xf>
    <xf numFmtId="4" fontId="7" fillId="0" borderId="52" xfId="0" applyNumberFormat="1" applyFont="1" applyBorder="1" applyAlignment="1">
      <alignment horizontal="right"/>
    </xf>
    <xf numFmtId="3" fontId="7" fillId="23" borderId="52" xfId="0" applyNumberFormat="1" applyFont="1" applyFill="1" applyBorder="1" applyAlignment="1">
      <alignment horizontal="right"/>
    </xf>
    <xf numFmtId="3" fontId="7" fillId="0" borderId="46" xfId="0" applyNumberFormat="1" applyFont="1" applyFill="1" applyBorder="1" applyAlignment="1">
      <alignment horizontal="right"/>
    </xf>
    <xf numFmtId="0" fontId="5" fillId="0" borderId="40" xfId="0" applyFont="1" applyFill="1" applyBorder="1"/>
    <xf numFmtId="10" fontId="4" fillId="0" borderId="42" xfId="0" applyNumberFormat="1" applyFont="1" applyBorder="1"/>
    <xf numFmtId="0" fontId="5" fillId="0" borderId="43" xfId="0" applyFont="1" applyFill="1" applyBorder="1"/>
    <xf numFmtId="10" fontId="4" fillId="0" borderId="44" xfId="0" applyNumberFormat="1" applyFont="1" applyBorder="1"/>
    <xf numFmtId="0" fontId="5" fillId="0" borderId="45" xfId="0" applyFont="1" applyFill="1" applyBorder="1"/>
    <xf numFmtId="3" fontId="5" fillId="0" borderId="50" xfId="2" applyNumberFormat="1" applyFont="1" applyBorder="1"/>
    <xf numFmtId="3" fontId="5" fillId="16" borderId="49" xfId="2" applyNumberFormat="1" applyFont="1" applyFill="1" applyBorder="1"/>
    <xf numFmtId="3" fontId="5" fillId="16" borderId="27" xfId="2" applyNumberFormat="1" applyFont="1" applyFill="1" applyBorder="1"/>
    <xf numFmtId="3" fontId="4" fillId="0" borderId="1" xfId="2" applyNumberFormat="1" applyFont="1" applyFill="1" applyBorder="1"/>
    <xf numFmtId="1" fontId="4" fillId="0" borderId="0" xfId="6" applyNumberFormat="1" applyFont="1"/>
    <xf numFmtId="1" fontId="4" fillId="0" borderId="0" xfId="0" applyNumberFormat="1" applyFont="1"/>
    <xf numFmtId="4" fontId="17" fillId="32" borderId="0" xfId="0" applyNumberFormat="1" applyFont="1" applyFill="1"/>
    <xf numFmtId="44" fontId="98" fillId="0" borderId="0" xfId="2" applyFont="1" applyFill="1" applyBorder="1"/>
    <xf numFmtId="3" fontId="99" fillId="0" borderId="0" xfId="0" applyNumberFormat="1" applyFont="1"/>
    <xf numFmtId="0" fontId="68" fillId="0" borderId="0" xfId="0" applyFont="1" applyFill="1" applyAlignment="1"/>
    <xf numFmtId="3" fontId="5" fillId="14" borderId="19" xfId="0" applyNumberFormat="1" applyFont="1" applyFill="1" applyBorder="1" applyAlignment="1">
      <alignment horizontal="right"/>
    </xf>
    <xf numFmtId="3" fontId="5" fillId="15" borderId="22" xfId="0" applyNumberFormat="1" applyFont="1" applyFill="1" applyBorder="1" applyAlignment="1">
      <alignment horizontal="right"/>
    </xf>
    <xf numFmtId="3" fontId="5" fillId="0" borderId="15" xfId="0" applyNumberFormat="1" applyFont="1" applyFill="1" applyBorder="1" applyAlignment="1">
      <alignment horizontal="right"/>
    </xf>
    <xf numFmtId="3" fontId="5" fillId="0" borderId="19" xfId="0" applyNumberFormat="1" applyFont="1" applyFill="1" applyBorder="1" applyAlignment="1">
      <alignment horizontal="right"/>
    </xf>
    <xf numFmtId="3" fontId="5" fillId="16" borderId="22" xfId="0" applyNumberFormat="1" applyFont="1" applyFill="1" applyBorder="1" applyAlignment="1">
      <alignment horizontal="right"/>
    </xf>
    <xf numFmtId="3" fontId="5" fillId="16" borderId="15" xfId="0" applyNumberFormat="1" applyFont="1" applyFill="1" applyBorder="1" applyAlignment="1">
      <alignment horizontal="right"/>
    </xf>
    <xf numFmtId="3" fontId="6" fillId="0" borderId="19" xfId="0" applyNumberFormat="1" applyFont="1" applyFill="1" applyBorder="1" applyAlignment="1">
      <alignment horizontal="right"/>
    </xf>
    <xf numFmtId="3" fontId="5" fillId="0" borderId="8" xfId="0" applyNumberFormat="1" applyFont="1" applyFill="1" applyBorder="1" applyAlignment="1">
      <alignment horizontal="center"/>
    </xf>
    <xf numFmtId="3" fontId="5" fillId="0" borderId="0" xfId="0" applyNumberFormat="1" applyFont="1" applyBorder="1" applyAlignment="1">
      <alignment horizontal="center" wrapText="1"/>
    </xf>
    <xf numFmtId="3" fontId="5" fillId="0" borderId="9" xfId="0" applyNumberFormat="1" applyFont="1" applyBorder="1" applyAlignment="1">
      <alignment horizontal="center" wrapText="1"/>
    </xf>
    <xf numFmtId="3" fontId="5" fillId="21" borderId="43" xfId="0" applyNumberFormat="1" applyFont="1" applyFill="1" applyBorder="1" applyAlignment="1">
      <alignment horizontal="right"/>
    </xf>
    <xf numFmtId="3" fontId="5" fillId="29" borderId="9" xfId="0" applyNumberFormat="1" applyFont="1" applyFill="1" applyBorder="1" applyAlignment="1">
      <alignment horizontal="right"/>
    </xf>
    <xf numFmtId="3" fontId="5" fillId="0" borderId="43" xfId="0" applyNumberFormat="1" applyFont="1" applyFill="1" applyBorder="1" applyAlignment="1">
      <alignment horizontal="right"/>
    </xf>
    <xf numFmtId="3" fontId="5" fillId="14" borderId="43" xfId="0" applyNumberFormat="1" applyFont="1" applyFill="1" applyBorder="1" applyAlignment="1">
      <alignment horizontal="right"/>
    </xf>
    <xf numFmtId="3" fontId="5" fillId="14" borderId="44" xfId="0" applyNumberFormat="1" applyFont="1" applyFill="1" applyBorder="1" applyAlignment="1">
      <alignment horizontal="right"/>
    </xf>
    <xf numFmtId="3" fontId="5" fillId="15" borderId="53" xfId="0" applyNumberFormat="1" applyFont="1" applyFill="1" applyBorder="1" applyAlignment="1">
      <alignment horizontal="right"/>
    </xf>
    <xf numFmtId="3" fontId="5" fillId="15" borderId="54" xfId="0" applyNumberFormat="1" applyFont="1" applyFill="1" applyBorder="1" applyAlignment="1">
      <alignment horizontal="right"/>
    </xf>
    <xf numFmtId="3" fontId="5" fillId="0" borderId="51" xfId="0" applyNumberFormat="1" applyFont="1" applyFill="1" applyBorder="1" applyAlignment="1">
      <alignment horizontal="right"/>
    </xf>
    <xf numFmtId="3" fontId="5" fillId="0" borderId="55" xfId="0" applyNumberFormat="1" applyFont="1" applyFill="1" applyBorder="1" applyAlignment="1">
      <alignment horizontal="right"/>
    </xf>
    <xf numFmtId="3" fontId="5" fillId="0" borderId="43" xfId="0" applyNumberFormat="1" applyFont="1" applyBorder="1" applyAlignment="1">
      <alignment horizontal="right"/>
    </xf>
    <xf numFmtId="3" fontId="5" fillId="0" borderId="44" xfId="0" applyNumberFormat="1" applyFont="1" applyBorder="1" applyAlignment="1">
      <alignment horizontal="right"/>
    </xf>
    <xf numFmtId="3" fontId="5" fillId="16" borderId="53" xfId="0" applyNumberFormat="1" applyFont="1" applyFill="1" applyBorder="1" applyAlignment="1">
      <alignment horizontal="right"/>
    </xf>
    <xf numFmtId="3" fontId="5" fillId="16" borderId="54" xfId="0" applyNumberFormat="1" applyFont="1" applyFill="1" applyBorder="1" applyAlignment="1">
      <alignment horizontal="right"/>
    </xf>
    <xf numFmtId="3" fontId="5" fillId="16" borderId="51" xfId="0" applyNumberFormat="1" applyFont="1" applyFill="1" applyBorder="1" applyAlignment="1">
      <alignment horizontal="right"/>
    </xf>
    <xf numFmtId="3" fontId="5" fillId="16" borderId="55" xfId="0" applyNumberFormat="1" applyFont="1" applyFill="1" applyBorder="1" applyAlignment="1">
      <alignment horizontal="right"/>
    </xf>
    <xf numFmtId="3" fontId="6" fillId="0" borderId="45" xfId="0" applyNumberFormat="1" applyFont="1" applyBorder="1" applyAlignment="1">
      <alignment horizontal="right"/>
    </xf>
    <xf numFmtId="3" fontId="6" fillId="0" borderId="46" xfId="0" applyNumberFormat="1" applyFont="1" applyBorder="1" applyAlignment="1">
      <alignment horizontal="right"/>
    </xf>
    <xf numFmtId="3" fontId="6" fillId="0" borderId="47" xfId="0" applyNumberFormat="1" applyFont="1" applyBorder="1" applyAlignment="1">
      <alignment horizontal="right"/>
    </xf>
    <xf numFmtId="3" fontId="5" fillId="11" borderId="50" xfId="0" applyNumberFormat="1" applyFont="1" applyFill="1" applyBorder="1" applyAlignment="1">
      <alignment horizontal="right"/>
    </xf>
    <xf numFmtId="3" fontId="5" fillId="0" borderId="25" xfId="0" applyNumberFormat="1" applyFont="1" applyBorder="1" applyAlignment="1">
      <alignment horizontal="right"/>
    </xf>
    <xf numFmtId="3" fontId="5" fillId="0" borderId="27" xfId="0" applyNumberFormat="1" applyFont="1" applyBorder="1" applyAlignment="1">
      <alignment horizontal="right"/>
    </xf>
    <xf numFmtId="0" fontId="5" fillId="0" borderId="13" xfId="0" applyFont="1" applyBorder="1" applyAlignment="1">
      <alignment horizontal="center" vertical="center" wrapText="1"/>
    </xf>
    <xf numFmtId="3" fontId="5" fillId="11" borderId="40" xfId="0" applyNumberFormat="1" applyFont="1" applyFill="1" applyBorder="1" applyAlignment="1">
      <alignment horizontal="right"/>
    </xf>
    <xf numFmtId="3" fontId="5" fillId="11" borderId="42" xfId="0" applyNumberFormat="1" applyFont="1" applyFill="1" applyBorder="1" applyAlignment="1">
      <alignment horizontal="right"/>
    </xf>
    <xf numFmtId="3" fontId="5" fillId="11" borderId="43" xfId="0" applyNumberFormat="1" applyFont="1" applyFill="1" applyBorder="1" applyAlignment="1">
      <alignment horizontal="right"/>
    </xf>
    <xf numFmtId="3" fontId="5" fillId="11" borderId="44" xfId="0" applyNumberFormat="1" applyFont="1" applyFill="1" applyBorder="1" applyAlignment="1">
      <alignment horizontal="right"/>
    </xf>
    <xf numFmtId="3" fontId="5" fillId="11" borderId="45" xfId="0" applyNumberFormat="1" applyFont="1" applyFill="1" applyBorder="1" applyAlignment="1">
      <alignment horizontal="right"/>
    </xf>
    <xf numFmtId="3" fontId="5" fillId="11" borderId="47" xfId="0" applyNumberFormat="1" applyFont="1" applyFill="1" applyBorder="1" applyAlignment="1">
      <alignment horizontal="right"/>
    </xf>
    <xf numFmtId="4" fontId="99" fillId="0" borderId="0" xfId="0" applyNumberFormat="1" applyFont="1" applyFill="1" applyAlignment="1">
      <alignment horizontal="right"/>
    </xf>
    <xf numFmtId="0" fontId="5" fillId="9" borderId="0" xfId="0" applyFont="1" applyFill="1" applyAlignment="1">
      <alignment horizontal="right"/>
    </xf>
    <xf numFmtId="3" fontId="5" fillId="9" borderId="0" xfId="0" applyNumberFormat="1" applyFont="1" applyFill="1"/>
    <xf numFmtId="3" fontId="5" fillId="37" borderId="2" xfId="0" applyNumberFormat="1" applyFont="1" applyFill="1" applyBorder="1" applyAlignment="1"/>
    <xf numFmtId="0" fontId="99" fillId="0" borderId="0" xfId="0" applyFont="1" applyFill="1" applyBorder="1" applyAlignment="1">
      <alignment horizontal="right"/>
    </xf>
    <xf numFmtId="3" fontId="100" fillId="0" borderId="0" xfId="0" applyNumberFormat="1" applyFont="1" applyFill="1" applyBorder="1" applyAlignment="1"/>
    <xf numFmtId="0" fontId="5" fillId="38" borderId="0" xfId="0" applyFont="1" applyFill="1" applyAlignment="1">
      <alignment horizontal="right"/>
    </xf>
    <xf numFmtId="3" fontId="5" fillId="38" borderId="0" xfId="0" applyNumberFormat="1" applyFont="1" applyFill="1"/>
    <xf numFmtId="0" fontId="56" fillId="0" borderId="0" xfId="0" applyFont="1" applyFill="1"/>
    <xf numFmtId="0" fontId="99" fillId="0" borderId="0" xfId="0" applyFont="1" applyAlignment="1">
      <alignment horizontal="right"/>
    </xf>
    <xf numFmtId="3" fontId="4" fillId="0" borderId="15" xfId="0" applyNumberFormat="1" applyFont="1" applyBorder="1"/>
    <xf numFmtId="3" fontId="5" fillId="20" borderId="49" xfId="0" applyNumberFormat="1" applyFont="1" applyFill="1" applyBorder="1" applyAlignment="1">
      <alignment horizontal="right"/>
    </xf>
    <xf numFmtId="3" fontId="5" fillId="3" borderId="49" xfId="0" applyNumberFormat="1" applyFont="1" applyFill="1" applyBorder="1" applyAlignment="1">
      <alignment horizontal="right"/>
    </xf>
    <xf numFmtId="3" fontId="5" fillId="15" borderId="50" xfId="0" applyNumberFormat="1" applyFont="1" applyFill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3" fontId="5" fillId="0" borderId="50" xfId="0" applyNumberFormat="1" applyFont="1" applyFill="1" applyBorder="1"/>
    <xf numFmtId="4" fontId="102" fillId="16" borderId="2" xfId="0" applyNumberFormat="1" applyFont="1" applyFill="1" applyBorder="1"/>
    <xf numFmtId="3" fontId="5" fillId="37" borderId="0" xfId="2" applyNumberFormat="1" applyFont="1" applyFill="1"/>
    <xf numFmtId="3" fontId="4" fillId="0" borderId="40" xfId="0" applyNumberFormat="1" applyFont="1" applyBorder="1" applyAlignment="1">
      <alignment horizontal="center"/>
    </xf>
    <xf numFmtId="0" fontId="5" fillId="9" borderId="29" xfId="0" applyFont="1" applyFill="1" applyBorder="1" applyAlignment="1">
      <alignment horizontal="center" vertical="center" wrapText="1"/>
    </xf>
    <xf numFmtId="0" fontId="5" fillId="16" borderId="23" xfId="0" applyFont="1" applyFill="1" applyBorder="1"/>
    <xf numFmtId="44" fontId="98" fillId="0" borderId="0" xfId="2" applyFont="1" applyFill="1" applyBorder="1" applyAlignment="1"/>
    <xf numFmtId="0" fontId="75" fillId="0" borderId="0" xfId="0" applyFont="1" applyFill="1" applyAlignment="1">
      <alignment horizontal="center"/>
    </xf>
    <xf numFmtId="7" fontId="76" fillId="0" borderId="0" xfId="1" applyNumberFormat="1" applyFont="1" applyFill="1" applyBorder="1"/>
    <xf numFmtId="7" fontId="75" fillId="0" borderId="0" xfId="1" applyNumberFormat="1" applyFont="1" applyFill="1" applyBorder="1"/>
    <xf numFmtId="170" fontId="103" fillId="0" borderId="0" xfId="0" applyNumberFormat="1" applyFont="1" applyFill="1" applyBorder="1"/>
    <xf numFmtId="169" fontId="76" fillId="0" borderId="0" xfId="2" applyNumberFormat="1" applyFont="1" applyFill="1" applyBorder="1"/>
    <xf numFmtId="4" fontId="7" fillId="0" borderId="0" xfId="0" applyNumberFormat="1" applyFont="1" applyAlignment="1">
      <alignment horizontal="right"/>
    </xf>
    <xf numFmtId="3" fontId="6" fillId="33" borderId="0" xfId="0" applyNumberFormat="1" applyFont="1" applyFill="1" applyAlignment="1">
      <alignment horizontal="center"/>
    </xf>
    <xf numFmtId="3" fontId="5" fillId="33" borderId="0" xfId="0" applyNumberFormat="1" applyFont="1" applyFill="1" applyAlignment="1">
      <alignment horizontal="center"/>
    </xf>
    <xf numFmtId="3" fontId="100" fillId="0" borderId="0" xfId="0" applyNumberFormat="1" applyFont="1" applyFill="1" applyAlignment="1">
      <alignment horizontal="right"/>
    </xf>
    <xf numFmtId="0" fontId="5" fillId="9" borderId="56" xfId="0" applyFont="1" applyFill="1" applyBorder="1" applyAlignment="1">
      <alignment horizontal="center" wrapText="1"/>
    </xf>
    <xf numFmtId="0" fontId="4" fillId="0" borderId="23" xfId="0" applyFont="1" applyFill="1" applyBorder="1" applyAlignment="1">
      <alignment horizontal="center" vertical="center"/>
    </xf>
    <xf numFmtId="3" fontId="100" fillId="0" borderId="29" xfId="0" applyNumberFormat="1" applyFont="1" applyFill="1" applyBorder="1" applyAlignment="1">
      <alignment horizontal="right" vertical="center" wrapText="1"/>
    </xf>
    <xf numFmtId="9" fontId="4" fillId="10" borderId="24" xfId="6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center" vertical="center" wrapText="1"/>
    </xf>
    <xf numFmtId="9" fontId="4" fillId="12" borderId="41" xfId="6" applyFont="1" applyFill="1" applyBorder="1"/>
    <xf numFmtId="9" fontId="4" fillId="12" borderId="1" xfId="6" applyFont="1" applyFill="1" applyBorder="1"/>
    <xf numFmtId="167" fontId="80" fillId="0" borderId="0" xfId="6" applyNumberFormat="1" applyFont="1" applyFill="1" applyBorder="1"/>
    <xf numFmtId="167" fontId="4" fillId="0" borderId="0" xfId="6" applyNumberFormat="1" applyFont="1" applyFill="1" applyBorder="1"/>
    <xf numFmtId="0" fontId="8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4" xfId="0" applyFont="1" applyBorder="1"/>
    <xf numFmtId="3" fontId="5" fillId="0" borderId="5" xfId="0" applyNumberFormat="1" applyFont="1" applyBorder="1" applyAlignment="1">
      <alignment horizontal="right"/>
    </xf>
    <xf numFmtId="0" fontId="4" fillId="0" borderId="5" xfId="0" applyFont="1" applyBorder="1"/>
    <xf numFmtId="3" fontId="4" fillId="0" borderId="5" xfId="0" applyNumberFormat="1" applyFont="1" applyBorder="1"/>
    <xf numFmtId="0" fontId="4" fillId="0" borderId="6" xfId="0" applyFont="1" applyBorder="1"/>
    <xf numFmtId="0" fontId="4" fillId="0" borderId="8" xfId="0" applyFont="1" applyBorder="1"/>
    <xf numFmtId="0" fontId="83" fillId="0" borderId="8" xfId="0" applyFont="1" applyBorder="1"/>
    <xf numFmtId="0" fontId="4" fillId="0" borderId="9" xfId="0" applyFont="1" applyBorder="1"/>
    <xf numFmtId="0" fontId="4" fillId="0" borderId="8" xfId="0" applyFont="1" applyBorder="1" applyAlignment="1"/>
    <xf numFmtId="3" fontId="5" fillId="0" borderId="9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49" xfId="0" applyFont="1" applyBorder="1" applyAlignment="1"/>
    <xf numFmtId="0" fontId="4" fillId="0" borderId="27" xfId="0" applyFont="1" applyFill="1" applyBorder="1"/>
    <xf numFmtId="0" fontId="4" fillId="0" borderId="27" xfId="0" applyFont="1" applyBorder="1"/>
    <xf numFmtId="3" fontId="80" fillId="0" borderId="57" xfId="0" applyNumberFormat="1" applyFont="1" applyFill="1" applyBorder="1"/>
    <xf numFmtId="4" fontId="41" fillId="0" borderId="0" xfId="0" applyNumberFormat="1" applyFont="1"/>
    <xf numFmtId="0" fontId="4" fillId="0" borderId="45" xfId="0" applyFont="1" applyBorder="1"/>
    <xf numFmtId="0" fontId="4" fillId="0" borderId="46" xfId="0" applyFont="1" applyBorder="1"/>
    <xf numFmtId="0" fontId="4" fillId="0" borderId="58" xfId="0" applyFont="1" applyBorder="1"/>
    <xf numFmtId="0" fontId="4" fillId="33" borderId="53" xfId="0" applyFont="1" applyFill="1" applyBorder="1"/>
    <xf numFmtId="0" fontId="4" fillId="33" borderId="21" xfId="0" applyFont="1" applyFill="1" applyBorder="1"/>
    <xf numFmtId="0" fontId="4" fillId="33" borderId="22" xfId="0" applyFont="1" applyFill="1" applyBorder="1"/>
    <xf numFmtId="0" fontId="4" fillId="33" borderId="43" xfId="0" applyFont="1" applyFill="1" applyBorder="1"/>
    <xf numFmtId="0" fontId="4" fillId="33" borderId="1" xfId="0" applyFont="1" applyFill="1" applyBorder="1"/>
    <xf numFmtId="0" fontId="4" fillId="33" borderId="19" xfId="0" applyFont="1" applyFill="1" applyBorder="1"/>
    <xf numFmtId="0" fontId="4" fillId="33" borderId="45" xfId="0" applyFont="1" applyFill="1" applyBorder="1"/>
    <xf numFmtId="0" fontId="4" fillId="33" borderId="46" xfId="0" applyFont="1" applyFill="1" applyBorder="1"/>
    <xf numFmtId="0" fontId="4" fillId="33" borderId="58" xfId="0" applyFont="1" applyFill="1" applyBorder="1"/>
    <xf numFmtId="0" fontId="5" fillId="33" borderId="1" xfId="0" applyFont="1" applyFill="1" applyBorder="1"/>
    <xf numFmtId="0" fontId="105" fillId="0" borderId="0" xfId="0" applyFont="1"/>
    <xf numFmtId="0" fontId="4" fillId="12" borderId="1" xfId="3" applyFont="1" applyFill="1" applyBorder="1" applyAlignment="1">
      <alignment horizontal="center"/>
    </xf>
    <xf numFmtId="0" fontId="4" fillId="0" borderId="47" xfId="0" applyFont="1" applyBorder="1"/>
    <xf numFmtId="0" fontId="4" fillId="33" borderId="54" xfId="0" applyFont="1" applyFill="1" applyBorder="1"/>
    <xf numFmtId="0" fontId="4" fillId="33" borderId="44" xfId="0" applyFont="1" applyFill="1" applyBorder="1"/>
    <xf numFmtId="0" fontId="4" fillId="33" borderId="47" xfId="0" applyFont="1" applyFill="1" applyBorder="1"/>
    <xf numFmtId="9" fontId="5" fillId="0" borderId="0" xfId="6" applyFont="1" applyFill="1" applyBorder="1"/>
    <xf numFmtId="4" fontId="4" fillId="0" borderId="0" xfId="0" applyNumberFormat="1" applyFont="1" applyFill="1" applyBorder="1" applyAlignment="1">
      <alignment horizontal="right"/>
    </xf>
    <xf numFmtId="9" fontId="4" fillId="0" borderId="0" xfId="6" applyFont="1" applyFill="1" applyBorder="1" applyAlignment="1">
      <alignment horizontal="right"/>
    </xf>
    <xf numFmtId="3" fontId="79" fillId="0" borderId="0" xfId="0" applyNumberFormat="1" applyFont="1" applyFill="1" applyBorder="1" applyAlignment="1">
      <alignment horizontal="right"/>
    </xf>
    <xf numFmtId="0" fontId="19" fillId="0" borderId="0" xfId="0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0" fontId="60" fillId="0" borderId="0" xfId="3" applyFont="1" applyFill="1" applyAlignment="1">
      <alignment horizontal="center"/>
    </xf>
    <xf numFmtId="0" fontId="58" fillId="0" borderId="0" xfId="0" applyFont="1" applyFill="1" applyAlignment="1">
      <alignment horizontal="center"/>
    </xf>
    <xf numFmtId="2" fontId="4" fillId="12" borderId="21" xfId="0" applyNumberFormat="1" applyFont="1" applyFill="1" applyBorder="1" applyAlignment="1">
      <alignment horizontal="right"/>
    </xf>
    <xf numFmtId="2" fontId="4" fillId="12" borderId="1" xfId="0" applyNumberFormat="1" applyFont="1" applyFill="1" applyBorder="1" applyAlignment="1">
      <alignment horizontal="right"/>
    </xf>
    <xf numFmtId="10" fontId="21" fillId="0" borderId="27" xfId="0" applyNumberFormat="1" applyFont="1" applyBorder="1"/>
    <xf numFmtId="4" fontId="21" fillId="0" borderId="59" xfId="0" applyNumberFormat="1" applyFont="1" applyBorder="1" applyAlignment="1">
      <alignment horizontal="right"/>
    </xf>
    <xf numFmtId="10" fontId="4" fillId="0" borderId="55" xfId="0" applyNumberFormat="1" applyFont="1" applyBorder="1"/>
    <xf numFmtId="9" fontId="4" fillId="12" borderId="13" xfId="6" applyFont="1" applyFill="1" applyBorder="1"/>
    <xf numFmtId="10" fontId="61" fillId="0" borderId="1" xfId="0" applyNumberFormat="1" applyFont="1" applyBorder="1"/>
    <xf numFmtId="0" fontId="5" fillId="0" borderId="0" xfId="0" applyFont="1" applyAlignment="1">
      <alignment horizontal="center"/>
    </xf>
    <xf numFmtId="4" fontId="7" fillId="0" borderId="0" xfId="0" quotePrefix="1" applyNumberFormat="1" applyFont="1" applyAlignment="1">
      <alignment horizontal="left"/>
    </xf>
    <xf numFmtId="14" fontId="81" fillId="0" borderId="0" xfId="0" applyNumberFormat="1" applyFont="1"/>
    <xf numFmtId="0" fontId="81" fillId="10" borderId="0" xfId="0" applyFont="1" applyFill="1"/>
    <xf numFmtId="0" fontId="81" fillId="10" borderId="0" xfId="0" applyFont="1" applyFill="1" applyAlignment="1">
      <alignment horizontal="center"/>
    </xf>
    <xf numFmtId="44" fontId="82" fillId="10" borderId="0" xfId="2" applyFont="1" applyFill="1"/>
    <xf numFmtId="44" fontId="82" fillId="0" borderId="0" xfId="0" applyNumberFormat="1" applyFont="1"/>
    <xf numFmtId="44" fontId="81" fillId="0" borderId="0" xfId="2" applyFont="1"/>
    <xf numFmtId="0" fontId="8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4" fontId="5" fillId="0" borderId="0" xfId="2" applyFont="1" applyFill="1" applyAlignment="1">
      <alignment horizontal="right"/>
    </xf>
    <xf numFmtId="169" fontId="4" fillId="0" borderId="0" xfId="2" applyNumberFormat="1" applyFont="1" applyFill="1"/>
    <xf numFmtId="169" fontId="5" fillId="0" borderId="0" xfId="2" applyNumberFormat="1" applyFont="1" applyFill="1"/>
    <xf numFmtId="169" fontId="5" fillId="0" borderId="0" xfId="2" applyNumberFormat="1" applyFont="1" applyFill="1" applyBorder="1"/>
    <xf numFmtId="0" fontId="5" fillId="0" borderId="0" xfId="2" applyNumberFormat="1" applyFont="1" applyFill="1"/>
    <xf numFmtId="44" fontId="5" fillId="0" borderId="0" xfId="2" applyFont="1" applyFill="1"/>
    <xf numFmtId="169" fontId="60" fillId="0" borderId="0" xfId="2" applyNumberFormat="1" applyFont="1" applyFill="1"/>
    <xf numFmtId="172" fontId="4" fillId="0" borderId="0" xfId="0" applyNumberFormat="1" applyFont="1" applyFill="1"/>
    <xf numFmtId="2" fontId="6" fillId="0" borderId="3" xfId="0" applyNumberFormat="1" applyFont="1" applyBorder="1" applyAlignment="1">
      <alignment horizontal="center"/>
    </xf>
    <xf numFmtId="3" fontId="79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0" fontId="4" fillId="12" borderId="0" xfId="9" applyFont="1" applyFill="1" applyBorder="1" applyAlignment="1">
      <alignment horizontal="center"/>
    </xf>
    <xf numFmtId="0" fontId="10" fillId="0" borderId="0" xfId="9" applyFont="1" applyBorder="1" applyAlignment="1">
      <alignment horizontal="right"/>
    </xf>
    <xf numFmtId="14" fontId="10" fillId="0" borderId="0" xfId="9" applyNumberFormat="1" applyFont="1" applyBorder="1"/>
    <xf numFmtId="0" fontId="10" fillId="0" borderId="0" xfId="9" applyFont="1" applyBorder="1" applyAlignment="1">
      <alignment horizontal="right"/>
    </xf>
    <xf numFmtId="14" fontId="10" fillId="0" borderId="0" xfId="9" applyNumberFormat="1" applyFont="1" applyBorder="1"/>
    <xf numFmtId="3" fontId="4" fillId="33" borderId="60" xfId="0" applyNumberFormat="1" applyFont="1" applyFill="1" applyBorder="1"/>
    <xf numFmtId="0" fontId="17" fillId="33" borderId="19" xfId="0" applyFont="1" applyFill="1" applyBorder="1"/>
    <xf numFmtId="0" fontId="22" fillId="16" borderId="18" xfId="0" applyFont="1" applyFill="1" applyBorder="1"/>
    <xf numFmtId="0" fontId="106" fillId="0" borderId="0" xfId="0" applyFont="1"/>
    <xf numFmtId="0" fontId="4" fillId="33" borderId="1" xfId="9" applyFont="1" applyFill="1" applyBorder="1"/>
    <xf numFmtId="0" fontId="4" fillId="33" borderId="21" xfId="9" applyFont="1" applyFill="1" applyBorder="1"/>
    <xf numFmtId="0" fontId="4" fillId="33" borderId="53" xfId="9" applyFont="1" applyFill="1" applyBorder="1"/>
    <xf numFmtId="0" fontId="4" fillId="33" borderId="43" xfId="9" applyFont="1" applyFill="1" applyBorder="1"/>
    <xf numFmtId="0" fontId="4" fillId="33" borderId="45" xfId="9" applyFont="1" applyFill="1" applyBorder="1"/>
    <xf numFmtId="0" fontId="4" fillId="33" borderId="46" xfId="9" applyFont="1" applyFill="1" applyBorder="1"/>
    <xf numFmtId="49" fontId="0" fillId="40" borderId="1" xfId="0" applyNumberFormat="1" applyFill="1" applyBorder="1"/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3" fontId="4" fillId="0" borderId="51" xfId="0" applyNumberFormat="1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3" fontId="4" fillId="0" borderId="55" xfId="0" applyNumberFormat="1" applyFont="1" applyBorder="1" applyAlignment="1">
      <alignment horizontal="center"/>
    </xf>
    <xf numFmtId="0" fontId="83" fillId="0" borderId="1" xfId="0" applyFon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07" fillId="0" borderId="1" xfId="0" quotePrefix="1" applyFont="1" applyBorder="1" applyAlignment="1">
      <alignment vertical="top" wrapText="1"/>
    </xf>
    <xf numFmtId="0" fontId="108" fillId="0" borderId="1" xfId="0" applyFont="1" applyFill="1" applyBorder="1" applyAlignment="1">
      <alignment horizontal="center" vertical="top" wrapText="1"/>
    </xf>
    <xf numFmtId="0" fontId="108" fillId="13" borderId="1" xfId="0" applyFont="1" applyFill="1" applyBorder="1" applyAlignment="1">
      <alignment horizontal="center" vertical="top" wrapText="1"/>
    </xf>
    <xf numFmtId="0" fontId="108" fillId="0" borderId="1" xfId="0" applyFont="1" applyBorder="1" applyAlignment="1">
      <alignment vertical="top" wrapText="1"/>
    </xf>
    <xf numFmtId="0" fontId="83" fillId="41" borderId="0" xfId="0" applyFont="1" applyFill="1" applyAlignment="1">
      <alignment horizontal="right"/>
    </xf>
    <xf numFmtId="0" fontId="0" fillId="33" borderId="0" xfId="0" applyFill="1"/>
    <xf numFmtId="0" fontId="4" fillId="1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110" fillId="33" borderId="0" xfId="0" applyFont="1" applyFill="1"/>
    <xf numFmtId="0" fontId="110" fillId="0" borderId="0" xfId="0" applyFont="1"/>
    <xf numFmtId="0" fontId="111" fillId="0" borderId="1" xfId="0" quotePrefix="1" applyFont="1" applyBorder="1" applyAlignment="1">
      <alignment vertical="top" wrapText="1"/>
    </xf>
    <xf numFmtId="0" fontId="0" fillId="0" borderId="0" xfId="0" applyAlignment="1">
      <alignment textRotation="90" wrapText="1"/>
    </xf>
    <xf numFmtId="0" fontId="108" fillId="42" borderId="1" xfId="0" applyFont="1" applyFill="1" applyBorder="1" applyAlignment="1">
      <alignment vertical="top" wrapText="1"/>
    </xf>
    <xf numFmtId="0" fontId="108" fillId="42" borderId="1" xfId="0" applyFont="1" applyFill="1" applyBorder="1" applyAlignment="1">
      <alignment horizontal="center" vertical="top" wrapText="1"/>
    </xf>
    <xf numFmtId="0" fontId="109" fillId="42" borderId="1" xfId="0" applyFont="1" applyFill="1" applyBorder="1" applyAlignment="1">
      <alignment horizontal="center" vertical="top" wrapText="1"/>
    </xf>
    <xf numFmtId="14" fontId="0" fillId="0" borderId="0" xfId="0" applyNumberFormat="1"/>
    <xf numFmtId="0" fontId="4" fillId="10" borderId="0" xfId="0" applyFont="1" applyFill="1"/>
    <xf numFmtId="0" fontId="4" fillId="42" borderId="48" xfId="5" applyFont="1" applyFill="1" applyAlignment="1">
      <alignment horizontal="center"/>
    </xf>
    <xf numFmtId="3" fontId="4" fillId="12" borderId="1" xfId="0" applyNumberFormat="1" applyFont="1" applyFill="1" applyBorder="1" applyAlignment="1"/>
    <xf numFmtId="3" fontId="4" fillId="12" borderId="13" xfId="0" applyNumberFormat="1" applyFont="1" applyFill="1" applyBorder="1" applyAlignment="1"/>
    <xf numFmtId="0" fontId="113" fillId="0" borderId="0" xfId="0" applyFont="1"/>
    <xf numFmtId="9" fontId="4" fillId="12" borderId="56" xfId="0" applyNumberFormat="1" applyFont="1" applyFill="1" applyBorder="1" applyAlignment="1">
      <alignment horizontal="center" wrapText="1"/>
    </xf>
    <xf numFmtId="0" fontId="113" fillId="0" borderId="0" xfId="0" applyFont="1" applyAlignment="1">
      <alignment horizontal="right"/>
    </xf>
    <xf numFmtId="44" fontId="60" fillId="0" borderId="0" xfId="0" applyNumberFormat="1" applyFont="1"/>
    <xf numFmtId="4" fontId="78" fillId="0" borderId="0" xfId="0" applyNumberFormat="1" applyFont="1" applyAlignment="1">
      <alignment vertical="top"/>
    </xf>
    <xf numFmtId="169" fontId="60" fillId="13" borderId="0" xfId="2" applyNumberFormat="1" applyFont="1" applyFill="1"/>
    <xf numFmtId="3" fontId="60" fillId="0" borderId="0" xfId="0" applyNumberFormat="1" applyFont="1" applyFill="1" applyAlignment="1"/>
    <xf numFmtId="10" fontId="5" fillId="0" borderId="0" xfId="6" applyNumberFormat="1" applyFont="1" applyFill="1" applyBorder="1" applyAlignment="1">
      <alignment horizontal="right"/>
    </xf>
    <xf numFmtId="10" fontId="17" fillId="0" borderId="0" xfId="6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4" fontId="4" fillId="0" borderId="0" xfId="0" applyNumberFormat="1" applyFont="1" applyFill="1"/>
    <xf numFmtId="0" fontId="81" fillId="0" borderId="0" xfId="0" applyFont="1" applyFill="1"/>
    <xf numFmtId="14" fontId="81" fillId="0" borderId="0" xfId="0" applyNumberFormat="1" applyFont="1" applyFill="1"/>
    <xf numFmtId="0" fontId="81" fillId="42" borderId="0" xfId="0" applyFont="1" applyFill="1"/>
    <xf numFmtId="0" fontId="114" fillId="0" borderId="0" xfId="0" applyFont="1" applyAlignment="1">
      <alignment horizontal="right"/>
    </xf>
    <xf numFmtId="3" fontId="115" fillId="0" borderId="0" xfId="2" applyNumberFormat="1" applyFont="1" applyBorder="1" applyAlignment="1">
      <alignment horizontal="right"/>
    </xf>
    <xf numFmtId="44" fontId="0" fillId="0" borderId="0" xfId="2" applyFont="1"/>
    <xf numFmtId="9" fontId="0" fillId="0" borderId="0" xfId="6" applyFont="1"/>
    <xf numFmtId="44" fontId="116" fillId="0" borderId="0" xfId="2" applyFont="1" applyFill="1" applyBorder="1"/>
    <xf numFmtId="0" fontId="110" fillId="0" borderId="0" xfId="0" applyNumberFormat="1" applyFont="1"/>
    <xf numFmtId="44" fontId="110" fillId="0" borderId="0" xfId="0" applyNumberFormat="1" applyFont="1"/>
    <xf numFmtId="0" fontId="110" fillId="0" borderId="0" xfId="0" applyNumberFormat="1" applyFont="1" applyAlignment="1">
      <alignment horizontal="center"/>
    </xf>
    <xf numFmtId="0" fontId="117" fillId="0" borderId="0" xfId="0" applyFont="1"/>
    <xf numFmtId="0" fontId="79" fillId="0" borderId="0" xfId="0" applyFont="1" applyAlignment="1">
      <alignment horizontal="center"/>
    </xf>
    <xf numFmtId="0" fontId="79" fillId="0" borderId="0" xfId="0" applyFont="1"/>
    <xf numFmtId="3" fontId="79" fillId="29" borderId="0" xfId="0" applyNumberFormat="1" applyFont="1" applyFill="1" applyAlignment="1">
      <alignment horizontal="center"/>
    </xf>
    <xf numFmtId="10" fontId="60" fillId="0" borderId="0" xfId="0" applyNumberFormat="1" applyFont="1" applyAlignment="1">
      <alignment horizontal="right"/>
    </xf>
    <xf numFmtId="3" fontId="79" fillId="0" borderId="0" xfId="0" applyNumberFormat="1" applyFont="1" applyFill="1" applyAlignment="1">
      <alignment horizontal="center"/>
    </xf>
    <xf numFmtId="0" fontId="118" fillId="0" borderId="0" xfId="0" applyFont="1"/>
    <xf numFmtId="9" fontId="26" fillId="0" borderId="0" xfId="6" applyFont="1" applyFill="1" applyBorder="1" applyAlignment="1">
      <alignment horizontal="right"/>
    </xf>
    <xf numFmtId="3" fontId="79" fillId="0" borderId="0" xfId="0" applyNumberFormat="1" applyFont="1" applyBorder="1" applyAlignment="1">
      <alignment horizontal="right"/>
    </xf>
    <xf numFmtId="9" fontId="60" fillId="0" borderId="0" xfId="6" applyFont="1" applyBorder="1"/>
    <xf numFmtId="0" fontId="60" fillId="1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9" fontId="4" fillId="0" borderId="1" xfId="6" applyFont="1" applyBorder="1"/>
    <xf numFmtId="0" fontId="4" fillId="0" borderId="0" xfId="0" applyFont="1" applyBorder="1" applyAlignment="1">
      <alignment horizontal="center"/>
    </xf>
    <xf numFmtId="0" fontId="0" fillId="0" borderId="0" xfId="0" applyFill="1" applyBorder="1"/>
    <xf numFmtId="3" fontId="5" fillId="0" borderId="0" xfId="0" applyNumberFormat="1" applyFont="1" applyFill="1" applyBorder="1" applyAlignment="1">
      <alignment horizontal="center" wrapText="1"/>
    </xf>
    <xf numFmtId="3" fontId="4" fillId="0" borderId="0" xfId="2" applyNumberFormat="1" applyFont="1" applyFill="1" applyBorder="1"/>
    <xf numFmtId="3" fontId="79" fillId="0" borderId="0" xfId="2" applyNumberFormat="1" applyFont="1" applyFill="1" applyBorder="1"/>
    <xf numFmtId="3" fontId="5" fillId="0" borderId="0" xfId="2" applyNumberFormat="1" applyFont="1" applyFill="1" applyBorder="1"/>
    <xf numFmtId="3" fontId="102" fillId="0" borderId="0" xfId="2" applyNumberFormat="1" applyFont="1" applyFill="1" applyBorder="1"/>
    <xf numFmtId="3" fontId="102" fillId="0" borderId="0" xfId="0" applyNumberFormat="1" applyFont="1" applyFill="1" applyBorder="1"/>
    <xf numFmtId="3" fontId="0" fillId="0" borderId="0" xfId="0" applyNumberForma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9" fontId="0" fillId="0" borderId="0" xfId="0" applyNumberFormat="1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4" fillId="0" borderId="0" xfId="0" applyFont="1" applyBorder="1" applyAlignment="1">
      <alignment horizontal="center"/>
    </xf>
    <xf numFmtId="9" fontId="5" fillId="0" borderId="5" xfId="6" applyFont="1" applyFill="1" applyBorder="1" applyAlignment="1">
      <alignment horizontal="right"/>
    </xf>
    <xf numFmtId="9" fontId="5" fillId="0" borderId="2" xfId="6" applyFont="1" applyFill="1" applyBorder="1" applyAlignment="1">
      <alignment horizontal="right"/>
    </xf>
    <xf numFmtId="9" fontId="4" fillId="0" borderId="7" xfId="6" applyFont="1" applyBorder="1"/>
    <xf numFmtId="9" fontId="4" fillId="0" borderId="10" xfId="6" applyFont="1" applyBorder="1"/>
    <xf numFmtId="0" fontId="101" fillId="0" borderId="20" xfId="0" applyFont="1" applyFill="1" applyBorder="1" applyAlignment="1">
      <alignment horizontal="center"/>
    </xf>
    <xf numFmtId="0" fontId="101" fillId="0" borderId="38" xfId="0" applyFont="1" applyFill="1" applyBorder="1" applyAlignment="1">
      <alignment horizontal="center"/>
    </xf>
    <xf numFmtId="0" fontId="101" fillId="0" borderId="11" xfId="0" applyFont="1" applyFill="1" applyBorder="1" applyAlignment="1">
      <alignment horizontal="center"/>
    </xf>
    <xf numFmtId="0" fontId="68" fillId="39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10" fillId="24" borderId="14" xfId="0" applyFont="1" applyFill="1" applyBorder="1" applyAlignment="1">
      <alignment horizontal="left"/>
    </xf>
    <xf numFmtId="0" fontId="10" fillId="24" borderId="25" xfId="0" applyFont="1" applyFill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7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 textRotation="90" wrapText="1"/>
    </xf>
    <xf numFmtId="0" fontId="112" fillId="0" borderId="0" xfId="0" applyFont="1" applyAlignment="1">
      <alignment horizontal="center" textRotation="90" wrapText="1"/>
    </xf>
    <xf numFmtId="0" fontId="83" fillId="0" borderId="12" xfId="0" applyFont="1" applyBorder="1" applyAlignment="1">
      <alignment horizontal="center" vertical="top" wrapText="1"/>
    </xf>
    <xf numFmtId="0" fontId="83" fillId="0" borderId="1" xfId="0" applyFont="1" applyBorder="1" applyAlignment="1">
      <alignment horizontal="center" vertical="top" wrapText="1"/>
    </xf>
    <xf numFmtId="0" fontId="83" fillId="0" borderId="1" xfId="0" applyFont="1" applyBorder="1" applyAlignment="1">
      <alignment horizontal="left" vertical="top" wrapText="1"/>
    </xf>
    <xf numFmtId="0" fontId="5" fillId="29" borderId="12" xfId="0" applyFont="1" applyFill="1" applyBorder="1" applyAlignment="1">
      <alignment horizontal="left"/>
    </xf>
    <xf numFmtId="0" fontId="5" fillId="16" borderId="0" xfId="0" applyFont="1" applyFill="1" applyAlignment="1">
      <alignment horizontal="center"/>
    </xf>
    <xf numFmtId="0" fontId="5" fillId="35" borderId="27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3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1">
    <cellStyle name="Čárka" xfId="1" builtinId="3"/>
    <cellStyle name="Měna" xfId="2" builtinId="4"/>
    <cellStyle name="Normální" xfId="0" builtinId="0"/>
    <cellStyle name="Normální 2" xfId="3" xr:uid="{00000000-0005-0000-0000-000003000000}"/>
    <cellStyle name="Normální 3" xfId="4" xr:uid="{00000000-0005-0000-0000-000004000000}"/>
    <cellStyle name="Normální 4" xfId="9" xr:uid="{00000000-0005-0000-0000-000005000000}"/>
    <cellStyle name="Poznámka" xfId="5" builtinId="10"/>
    <cellStyle name="Procenta" xfId="6" builtinId="5"/>
    <cellStyle name="Procenta 2" xfId="7" xr:uid="{00000000-0005-0000-0000-000008000000}"/>
    <cellStyle name="Procenta 3" xfId="10" xr:uid="{00000000-0005-0000-0000-000009000000}"/>
    <cellStyle name="Špatně" xfId="8" builtinId="27"/>
  </cellStyles>
  <dxfs count="1">
    <dxf>
      <font>
        <b/>
        <i val="0"/>
        <color rgb="FFFF00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3"/>
  <sheetViews>
    <sheetView workbookViewId="0">
      <selection activeCell="C34" sqref="C34"/>
    </sheetView>
  </sheetViews>
  <sheetFormatPr defaultRowHeight="12.75" x14ac:dyDescent="0.2"/>
  <cols>
    <col min="1" max="1" width="10.140625" bestFit="1" customWidth="1"/>
    <col min="2" max="2" width="18.85546875" bestFit="1" customWidth="1"/>
  </cols>
  <sheetData>
    <row r="2" spans="1:3" x14ac:dyDescent="0.2">
      <c r="A2" s="936">
        <v>44260</v>
      </c>
      <c r="B2" t="s">
        <v>659</v>
      </c>
      <c r="C2" t="s">
        <v>660</v>
      </c>
    </row>
    <row r="3" spans="1:3" x14ac:dyDescent="0.2">
      <c r="A3" s="936">
        <v>44260</v>
      </c>
      <c r="B3" t="s">
        <v>662</v>
      </c>
      <c r="C3" t="s">
        <v>663</v>
      </c>
    </row>
    <row r="4" spans="1:3" x14ac:dyDescent="0.2">
      <c r="B4" t="s">
        <v>664</v>
      </c>
    </row>
    <row r="5" spans="1:3" x14ac:dyDescent="0.2">
      <c r="A5" s="936">
        <v>44264</v>
      </c>
      <c r="B5" t="s">
        <v>689</v>
      </c>
      <c r="C5" t="s">
        <v>690</v>
      </c>
    </row>
    <row r="6" spans="1:3" x14ac:dyDescent="0.2">
      <c r="A6" s="936">
        <v>44277</v>
      </c>
      <c r="B6" t="s">
        <v>953</v>
      </c>
      <c r="C6" t="s">
        <v>954</v>
      </c>
    </row>
    <row r="7" spans="1:3" x14ac:dyDescent="0.2">
      <c r="A7" s="936">
        <v>44281</v>
      </c>
      <c r="B7" t="s">
        <v>664</v>
      </c>
      <c r="C7" t="s">
        <v>955</v>
      </c>
    </row>
    <row r="8" spans="1:3" x14ac:dyDescent="0.2">
      <c r="B8" t="s">
        <v>958</v>
      </c>
      <c r="C8" t="s">
        <v>960</v>
      </c>
    </row>
    <row r="9" spans="1:3" x14ac:dyDescent="0.2">
      <c r="B9" t="s">
        <v>959</v>
      </c>
      <c r="C9" t="s">
        <v>960</v>
      </c>
    </row>
    <row r="10" spans="1:3" x14ac:dyDescent="0.2">
      <c r="A10" s="936">
        <v>44284</v>
      </c>
      <c r="B10" t="s">
        <v>963</v>
      </c>
    </row>
    <row r="11" spans="1:3" x14ac:dyDescent="0.2">
      <c r="B11" t="s">
        <v>964</v>
      </c>
      <c r="C11" t="s">
        <v>965</v>
      </c>
    </row>
    <row r="12" spans="1:3" x14ac:dyDescent="0.2">
      <c r="B12" t="s">
        <v>966</v>
      </c>
      <c r="C12" t="s">
        <v>967</v>
      </c>
    </row>
    <row r="13" spans="1:3" x14ac:dyDescent="0.2">
      <c r="A13" s="936">
        <v>44285</v>
      </c>
      <c r="B13" t="s">
        <v>664</v>
      </c>
      <c r="C13" t="s">
        <v>969</v>
      </c>
    </row>
    <row r="14" spans="1:3" x14ac:dyDescent="0.2">
      <c r="B14" t="s">
        <v>966</v>
      </c>
      <c r="C14" t="s">
        <v>970</v>
      </c>
    </row>
    <row r="15" spans="1:3" x14ac:dyDescent="0.2">
      <c r="B15" t="s">
        <v>953</v>
      </c>
      <c r="C15" t="s">
        <v>972</v>
      </c>
    </row>
    <row r="16" spans="1:3" x14ac:dyDescent="0.2">
      <c r="A16" s="936">
        <v>44286</v>
      </c>
      <c r="B16" t="s">
        <v>664</v>
      </c>
      <c r="C16" t="s">
        <v>974</v>
      </c>
    </row>
    <row r="17" spans="1:3" x14ac:dyDescent="0.2">
      <c r="B17" t="s">
        <v>966</v>
      </c>
      <c r="C17" t="s">
        <v>975</v>
      </c>
    </row>
    <row r="18" spans="1:3" x14ac:dyDescent="0.2">
      <c r="B18" t="s">
        <v>976</v>
      </c>
      <c r="C18" t="s">
        <v>978</v>
      </c>
    </row>
    <row r="19" spans="1:3" x14ac:dyDescent="0.2">
      <c r="B19" t="s">
        <v>980</v>
      </c>
      <c r="C19" t="s">
        <v>981</v>
      </c>
    </row>
    <row r="21" spans="1:3" x14ac:dyDescent="0.2">
      <c r="A21" s="936">
        <v>44286</v>
      </c>
      <c r="B21" t="s">
        <v>985</v>
      </c>
      <c r="C21" t="s">
        <v>986</v>
      </c>
    </row>
    <row r="22" spans="1:3" x14ac:dyDescent="0.2">
      <c r="A22" s="936">
        <v>44288</v>
      </c>
      <c r="B22" t="s">
        <v>990</v>
      </c>
      <c r="C22" t="s">
        <v>991</v>
      </c>
    </row>
    <row r="23" spans="1:3" x14ac:dyDescent="0.2">
      <c r="B23" t="s">
        <v>953</v>
      </c>
      <c r="C23" t="s">
        <v>995</v>
      </c>
    </row>
    <row r="24" spans="1:3" x14ac:dyDescent="0.2">
      <c r="C24" t="s">
        <v>994</v>
      </c>
    </row>
    <row r="26" spans="1:3" x14ac:dyDescent="0.2">
      <c r="A26" s="936">
        <v>44291</v>
      </c>
      <c r="B26" t="s">
        <v>953</v>
      </c>
      <c r="C26" t="s">
        <v>996</v>
      </c>
    </row>
    <row r="28" spans="1:3" x14ac:dyDescent="0.2">
      <c r="A28" s="936">
        <v>44299</v>
      </c>
      <c r="B28" t="s">
        <v>659</v>
      </c>
      <c r="C28" t="s">
        <v>1000</v>
      </c>
    </row>
    <row r="30" spans="1:3" x14ac:dyDescent="0.2">
      <c r="A30" s="936">
        <v>44372</v>
      </c>
      <c r="B30" t="s">
        <v>953</v>
      </c>
      <c r="C30" t="s">
        <v>1003</v>
      </c>
    </row>
    <row r="31" spans="1:3" x14ac:dyDescent="0.2">
      <c r="A31" s="936">
        <v>44378</v>
      </c>
      <c r="B31" t="s">
        <v>1014</v>
      </c>
      <c r="C31" t="s">
        <v>1015</v>
      </c>
    </row>
    <row r="33" spans="1:3" x14ac:dyDescent="0.2">
      <c r="A33" s="936">
        <v>44391</v>
      </c>
      <c r="B33" t="s">
        <v>1016</v>
      </c>
      <c r="C33" t="s">
        <v>1017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31"/>
  <sheetViews>
    <sheetView workbookViewId="0">
      <selection activeCell="H7" sqref="H7"/>
    </sheetView>
  </sheetViews>
  <sheetFormatPr defaultColWidth="9.140625" defaultRowHeight="15.75" x14ac:dyDescent="0.25"/>
  <cols>
    <col min="1" max="1" width="44.140625" style="1" bestFit="1" customWidth="1"/>
    <col min="2" max="2" width="16.7109375" style="1" bestFit="1" customWidth="1"/>
    <col min="3" max="3" width="5.7109375" style="27" customWidth="1"/>
    <col min="4" max="4" width="13.85546875" style="1" customWidth="1"/>
    <col min="5" max="5" width="14.7109375" style="1" bestFit="1" customWidth="1"/>
    <col min="6" max="8" width="16.85546875" style="1" customWidth="1"/>
    <col min="9" max="9" width="16.140625" style="1" hidden="1" customWidth="1"/>
    <col min="10" max="10" width="9.7109375" style="1" customWidth="1"/>
    <col min="11" max="11" width="42.42578125" style="1" customWidth="1"/>
    <col min="12" max="12" width="20.5703125" style="1" bestFit="1" customWidth="1"/>
    <col min="13" max="13" width="20.5703125" style="1" customWidth="1"/>
    <col min="14" max="14" width="22" style="1" customWidth="1"/>
    <col min="15" max="15" width="3.140625" style="1" customWidth="1"/>
    <col min="16" max="16" width="23.28515625" style="1" bestFit="1" customWidth="1"/>
    <col min="17" max="18" width="9.140625" style="1"/>
    <col min="19" max="19" width="17.28515625" style="1" bestFit="1" customWidth="1"/>
    <col min="20" max="20" width="21.28515625" style="1" customWidth="1"/>
    <col min="21" max="16384" width="9.140625" style="1"/>
  </cols>
  <sheetData>
    <row r="1" spans="1:20" ht="18.75" x14ac:dyDescent="0.3">
      <c r="A1" s="8" t="s">
        <v>560</v>
      </c>
    </row>
    <row r="2" spans="1:20" x14ac:dyDescent="0.25">
      <c r="O2" s="937"/>
      <c r="P2" s="937" t="s">
        <v>665</v>
      </c>
    </row>
    <row r="3" spans="1:20" x14ac:dyDescent="0.25">
      <c r="K3" s="999" t="s">
        <v>561</v>
      </c>
      <c r="L3" s="999"/>
      <c r="M3" s="999"/>
      <c r="N3" s="999"/>
      <c r="O3" s="999"/>
      <c r="P3" s="999"/>
    </row>
    <row r="4" spans="1:20" ht="31.5" x14ac:dyDescent="0.25">
      <c r="A4" s="401" t="s">
        <v>237</v>
      </c>
      <c r="B4" s="193" t="s">
        <v>121</v>
      </c>
      <c r="K4" s="195" t="s">
        <v>183</v>
      </c>
      <c r="L4" s="256" t="s">
        <v>105</v>
      </c>
      <c r="M4" s="824" t="s">
        <v>557</v>
      </c>
      <c r="N4" s="12" t="s">
        <v>189</v>
      </c>
      <c r="P4" s="805">
        <v>2020</v>
      </c>
    </row>
    <row r="5" spans="1:20" x14ac:dyDescent="0.25">
      <c r="A5" s="199" t="s">
        <v>16</v>
      </c>
      <c r="B5" s="261">
        <f t="shared" ref="B5:B11" si="0">N5</f>
        <v>42222172.105530404</v>
      </c>
      <c r="K5" s="196" t="s">
        <v>16</v>
      </c>
      <c r="L5" s="258">
        <v>42222.172105530401</v>
      </c>
      <c r="M5" s="891"/>
      <c r="N5" s="198">
        <f>L5*1000-M5</f>
        <v>42222172.105530404</v>
      </c>
      <c r="O5" s="937"/>
      <c r="P5" s="806">
        <v>38301622</v>
      </c>
    </row>
    <row r="6" spans="1:20" x14ac:dyDescent="0.25">
      <c r="A6" s="199" t="s">
        <v>957</v>
      </c>
      <c r="B6" s="261">
        <f t="shared" si="0"/>
        <v>1870467.6694262701</v>
      </c>
      <c r="K6" s="196" t="s">
        <v>957</v>
      </c>
      <c r="L6" s="258">
        <v>1870.46766942627</v>
      </c>
      <c r="M6" s="891"/>
      <c r="N6" s="198">
        <f>L6*1000-M6</f>
        <v>1870467.6694262701</v>
      </c>
      <c r="O6" s="937"/>
      <c r="P6" s="806">
        <v>0</v>
      </c>
      <c r="Q6" s="44"/>
      <c r="R6" s="44"/>
      <c r="S6" s="44"/>
      <c r="T6" s="44"/>
    </row>
    <row r="7" spans="1:20" x14ac:dyDescent="0.25">
      <c r="A7" s="199" t="s">
        <v>968</v>
      </c>
      <c r="B7" s="947">
        <f t="shared" si="0"/>
        <v>-585000</v>
      </c>
      <c r="K7" s="196" t="s">
        <v>968</v>
      </c>
      <c r="L7" s="946">
        <v>-585</v>
      </c>
      <c r="M7" s="891"/>
      <c r="N7" s="944">
        <f>L7*1000-M7</f>
        <v>-585000</v>
      </c>
      <c r="O7" s="937"/>
      <c r="P7" s="806"/>
      <c r="Q7" s="44"/>
      <c r="R7" s="44"/>
      <c r="S7" s="44"/>
      <c r="T7" s="44"/>
    </row>
    <row r="8" spans="1:20" x14ac:dyDescent="0.25">
      <c r="A8" s="199" t="s">
        <v>956</v>
      </c>
      <c r="B8" s="947">
        <f t="shared" si="0"/>
        <v>-34954.153144361298</v>
      </c>
      <c r="K8" s="196" t="s">
        <v>956</v>
      </c>
      <c r="L8" s="946">
        <v>-34.9541531443613</v>
      </c>
      <c r="M8" s="891"/>
      <c r="N8" s="944">
        <f>L8*1000-M8</f>
        <v>-34954.153144361298</v>
      </c>
      <c r="O8" s="937"/>
      <c r="P8" s="806">
        <v>0</v>
      </c>
      <c r="Q8" s="44"/>
      <c r="R8" s="44"/>
      <c r="S8" s="44"/>
      <c r="T8" s="44"/>
    </row>
    <row r="9" spans="1:20" x14ac:dyDescent="0.25">
      <c r="A9" s="199" t="s">
        <v>163</v>
      </c>
      <c r="B9" s="261">
        <f t="shared" si="0"/>
        <v>5738639.7174735703</v>
      </c>
      <c r="K9" s="196" t="s">
        <v>184</v>
      </c>
      <c r="L9" s="258">
        <v>5738.6397174735703</v>
      </c>
      <c r="M9" s="886"/>
      <c r="N9" s="198">
        <f>L9*1000</f>
        <v>5738639.7174735703</v>
      </c>
      <c r="O9" s="937"/>
      <c r="P9" s="806">
        <v>4169582</v>
      </c>
      <c r="Q9" s="44"/>
      <c r="R9" s="44"/>
      <c r="S9" s="44"/>
      <c r="T9" s="44"/>
    </row>
    <row r="10" spans="1:20" x14ac:dyDescent="0.25">
      <c r="A10" s="12" t="s">
        <v>164</v>
      </c>
      <c r="B10" s="947">
        <f t="shared" si="0"/>
        <v>-9396780.3780397102</v>
      </c>
      <c r="K10" s="196" t="s">
        <v>185</v>
      </c>
      <c r="L10" s="946">
        <v>-9396.7803780397098</v>
      </c>
      <c r="M10" s="886"/>
      <c r="N10" s="944">
        <f t="shared" ref="N10" si="1">L10*1000</f>
        <v>-9396780.3780397102</v>
      </c>
      <c r="O10" s="937"/>
      <c r="P10" s="806">
        <v>-10309659</v>
      </c>
      <c r="Q10" s="44"/>
      <c r="R10" s="44"/>
      <c r="S10" s="44"/>
      <c r="T10" s="44"/>
    </row>
    <row r="11" spans="1:20" ht="16.5" thickBot="1" x14ac:dyDescent="0.3">
      <c r="A11" s="194" t="s">
        <v>118</v>
      </c>
      <c r="B11" s="261">
        <f t="shared" si="0"/>
        <v>7520891.6734275604</v>
      </c>
      <c r="K11" s="196" t="s">
        <v>118</v>
      </c>
      <c r="L11" s="258">
        <v>7520.8916734275599</v>
      </c>
      <c r="M11" s="892">
        <v>0</v>
      </c>
      <c r="N11" s="892">
        <f t="shared" ref="N11:N12" si="2">L11*1000-M11</f>
        <v>7520891.6734275604</v>
      </c>
      <c r="O11" s="937"/>
      <c r="P11" s="806">
        <v>8081248</v>
      </c>
      <c r="Q11" s="44"/>
      <c r="R11" s="44"/>
      <c r="S11" s="44"/>
      <c r="T11" s="44"/>
    </row>
    <row r="12" spans="1:20" ht="16.5" thickBot="1" x14ac:dyDescent="0.3">
      <c r="A12" s="194" t="s">
        <v>143</v>
      </c>
      <c r="B12" s="171">
        <f>SUM(B5:B11)</f>
        <v>47335436.63467373</v>
      </c>
      <c r="D12" s="225"/>
      <c r="K12" s="196" t="s">
        <v>442</v>
      </c>
      <c r="L12" s="259">
        <v>20863.301459572798</v>
      </c>
      <c r="M12" s="892">
        <v>0</v>
      </c>
      <c r="N12" s="892">
        <f t="shared" si="2"/>
        <v>20863301.4595728</v>
      </c>
      <c r="O12" s="937"/>
      <c r="P12" s="806">
        <v>22827420</v>
      </c>
      <c r="Q12" s="44"/>
      <c r="R12" s="44"/>
      <c r="S12" s="44"/>
      <c r="T12" s="44"/>
    </row>
    <row r="13" spans="1:20" x14ac:dyDescent="0.25">
      <c r="A13" s="194"/>
      <c r="B13" s="109"/>
      <c r="D13" s="225"/>
      <c r="K13" s="196" t="s">
        <v>448</v>
      </c>
      <c r="L13" s="259">
        <v>0</v>
      </c>
      <c r="M13" s="892">
        <v>0</v>
      </c>
      <c r="N13" s="892">
        <f>L13*1000-M13</f>
        <v>0</v>
      </c>
      <c r="P13" s="806">
        <v>1295000</v>
      </c>
      <c r="Q13" s="44"/>
      <c r="R13" s="44"/>
      <c r="S13" s="44"/>
      <c r="T13" s="388"/>
    </row>
    <row r="14" spans="1:20" ht="16.5" thickBot="1" x14ac:dyDescent="0.3">
      <c r="A14" s="114"/>
      <c r="B14" s="109"/>
      <c r="K14" s="196" t="s">
        <v>186</v>
      </c>
      <c r="L14" s="259">
        <v>4623.0004894172198</v>
      </c>
      <c r="M14" s="892">
        <v>0</v>
      </c>
      <c r="N14" s="892">
        <f>L14*1000-M14</f>
        <v>4623000.4894172195</v>
      </c>
      <c r="O14" s="937"/>
      <c r="P14" s="806">
        <v>4716482</v>
      </c>
      <c r="Q14" s="387"/>
      <c r="R14" s="44"/>
      <c r="S14" s="44"/>
      <c r="T14" s="388"/>
    </row>
    <row r="15" spans="1:20" ht="16.5" thickBot="1" x14ac:dyDescent="0.3">
      <c r="A15" s="44"/>
      <c r="B15" s="109"/>
      <c r="D15" s="996" t="s">
        <v>467</v>
      </c>
      <c r="E15" s="997"/>
      <c r="F15" s="997"/>
      <c r="G15" s="997"/>
      <c r="H15" s="998"/>
      <c r="I15" s="744"/>
      <c r="K15" s="196" t="s">
        <v>7</v>
      </c>
      <c r="L15" s="288">
        <f>SUM(L5:L14)</f>
        <v>72821.73858366374</v>
      </c>
      <c r="M15" s="888"/>
      <c r="N15" s="257">
        <f>L15*1000</f>
        <v>72821738.583663747</v>
      </c>
      <c r="P15" s="807">
        <f>SUM(P5:P14)</f>
        <v>69081695</v>
      </c>
      <c r="Q15" s="387"/>
      <c r="R15" s="44"/>
      <c r="S15" s="44"/>
      <c r="T15" s="389"/>
    </row>
    <row r="16" spans="1:20" ht="48.75" thickBot="1" x14ac:dyDescent="0.35">
      <c r="A16" s="308" t="s">
        <v>177</v>
      </c>
      <c r="C16" s="89"/>
      <c r="D16" s="752" t="s">
        <v>104</v>
      </c>
      <c r="E16" s="753" t="s">
        <v>254</v>
      </c>
      <c r="F16" s="753" t="s">
        <v>253</v>
      </c>
      <c r="G16" s="753" t="s">
        <v>266</v>
      </c>
      <c r="H16" s="754" t="s">
        <v>329</v>
      </c>
      <c r="I16" s="306"/>
      <c r="K16" s="15" t="s">
        <v>240</v>
      </c>
      <c r="L16" s="301"/>
      <c r="M16" s="301"/>
      <c r="N16" s="198"/>
      <c r="P16" s="808">
        <f>N15-P15</f>
        <v>3740043.5836637467</v>
      </c>
      <c r="Q16" s="44"/>
      <c r="R16" s="44"/>
      <c r="S16" s="44"/>
      <c r="T16" s="44"/>
    </row>
    <row r="17" spans="1:18" ht="16.5" thickBot="1" x14ac:dyDescent="0.3">
      <c r="A17" s="201" t="s">
        <v>175</v>
      </c>
      <c r="B17" s="291">
        <f>B12</f>
        <v>47335436.63467373</v>
      </c>
      <c r="C17" s="126"/>
      <c r="D17" s="755">
        <v>0</v>
      </c>
      <c r="E17" s="660"/>
      <c r="F17" s="661"/>
      <c r="G17" s="660"/>
      <c r="H17" s="756"/>
      <c r="I17" s="660"/>
      <c r="K17" s="260">
        <f>SUM(L5:L11)</f>
        <v>47335.43663467373</v>
      </c>
      <c r="M17" s="27"/>
      <c r="P17" s="694"/>
      <c r="Q17" s="44"/>
      <c r="R17" s="44"/>
    </row>
    <row r="18" spans="1:18" ht="16.5" thickBot="1" x14ac:dyDescent="0.3">
      <c r="A18" s="127" t="s">
        <v>160</v>
      </c>
      <c r="B18" s="171">
        <v>0</v>
      </c>
      <c r="C18" s="126"/>
      <c r="D18" s="757">
        <v>0</v>
      </c>
      <c r="E18" s="660"/>
      <c r="F18" s="661"/>
      <c r="G18" s="660"/>
      <c r="H18" s="756"/>
      <c r="I18" s="660" t="s">
        <v>450</v>
      </c>
      <c r="K18" s="195" t="s">
        <v>183</v>
      </c>
      <c r="L18" s="256" t="s">
        <v>105</v>
      </c>
      <c r="M18" s="885"/>
      <c r="N18" s="198"/>
      <c r="P18" s="805">
        <v>2020</v>
      </c>
    </row>
    <row r="19" spans="1:18" ht="16.5" thickBot="1" x14ac:dyDescent="0.3">
      <c r="A19" s="201" t="s">
        <v>245</v>
      </c>
      <c r="B19" s="202">
        <f>B17-B18</f>
        <v>47335436.63467373</v>
      </c>
      <c r="D19" s="758">
        <f>D17-D18</f>
        <v>0</v>
      </c>
      <c r="E19" s="578">
        <f>SUMIF('9_DFM'!B14:B18,"ITE",'9_DFM'!C14:C18)+SUMIF('9_DFM'!B14:B18,"MTI",'9_DFM'!C14:C18)+SUMIF('9_DFM'!B14:B18,"NTI",'9_DFM'!C14:C18)</f>
        <v>0</v>
      </c>
      <c r="F19" s="578">
        <f>'4_DOC_PROF'!I15</f>
        <v>85000</v>
      </c>
      <c r="G19" s="578">
        <f>'4a_úvazky-na-FM'!J27</f>
        <v>245515.45713928752</v>
      </c>
      <c r="H19" s="759">
        <f>'6_Garanti'!O46</f>
        <v>385344</v>
      </c>
      <c r="I19" s="745"/>
      <c r="K19" s="195" t="s">
        <v>178</v>
      </c>
      <c r="L19" s="258">
        <v>19050.8302599854</v>
      </c>
      <c r="M19" s="886"/>
      <c r="N19" s="198">
        <f>L19*1000</f>
        <v>19050830.259985399</v>
      </c>
      <c r="O19" s="937"/>
      <c r="P19" s="809">
        <v>18360211</v>
      </c>
    </row>
    <row r="20" spans="1:18" ht="16.5" thickBot="1" x14ac:dyDescent="0.3">
      <c r="A20" s="201" t="s">
        <v>161</v>
      </c>
      <c r="B20" s="203">
        <f>N12+N13</f>
        <v>20863301.4595728</v>
      </c>
      <c r="C20" s="126"/>
      <c r="D20" s="760">
        <f>'12_Celkem_117'!L14</f>
        <v>444000</v>
      </c>
      <c r="E20" s="577"/>
      <c r="F20" s="577">
        <f>'4_DOC_PROF'!I16</f>
        <v>85000</v>
      </c>
      <c r="G20" s="577">
        <f>'4a_úvazky-na-FM'!K27</f>
        <v>368273.18570893124</v>
      </c>
      <c r="H20" s="761"/>
      <c r="I20" s="746"/>
      <c r="K20" s="195" t="s">
        <v>961</v>
      </c>
      <c r="L20" s="258">
        <v>305.71973336496001</v>
      </c>
      <c r="M20" s="886"/>
      <c r="N20" s="198">
        <f>L20*1000</f>
        <v>305719.73336496</v>
      </c>
      <c r="O20" s="937"/>
      <c r="P20" s="809">
        <v>33369.19</v>
      </c>
    </row>
    <row r="21" spans="1:18" ht="16.5" thickBot="1" x14ac:dyDescent="0.3">
      <c r="A21" s="201" t="s">
        <v>162</v>
      </c>
      <c r="B21" s="171">
        <f>N14</f>
        <v>4623000.4894172195</v>
      </c>
      <c r="C21" s="126"/>
      <c r="D21" s="762">
        <f>'11_Celkem_115'!E11</f>
        <v>285000</v>
      </c>
      <c r="E21" s="204"/>
      <c r="F21" s="204"/>
      <c r="G21" s="204"/>
      <c r="H21" s="763"/>
      <c r="I21" s="747"/>
      <c r="K21" s="195" t="s">
        <v>187</v>
      </c>
      <c r="L21" s="259">
        <f>SUM(L19:L20)</f>
        <v>19356.54999335036</v>
      </c>
      <c r="M21" s="887"/>
      <c r="N21" s="198">
        <f>L21*1000</f>
        <v>19356549.993350361</v>
      </c>
      <c r="O21" s="937"/>
      <c r="P21" s="809">
        <v>18393581</v>
      </c>
    </row>
    <row r="22" spans="1:18" ht="16.5" thickBot="1" x14ac:dyDescent="0.3">
      <c r="A22" s="201" t="s">
        <v>89</v>
      </c>
      <c r="B22" s="205">
        <f>SUM(B19:B21)</f>
        <v>72821738.583663762</v>
      </c>
      <c r="C22" s="126"/>
      <c r="D22" s="764"/>
      <c r="E22" s="231"/>
      <c r="F22" s="231"/>
      <c r="G22" s="231"/>
      <c r="H22" s="765"/>
      <c r="I22" s="748"/>
      <c r="J22" s="225"/>
      <c r="K22" s="195"/>
      <c r="L22" s="197"/>
      <c r="M22" s="301"/>
      <c r="N22" s="198"/>
      <c r="P22" s="809"/>
    </row>
    <row r="23" spans="1:18" ht="16.5" thickBot="1" x14ac:dyDescent="0.3">
      <c r="A23" s="292" t="s">
        <v>141</v>
      </c>
      <c r="B23" s="293">
        <f>-N21</f>
        <v>-19356549.993350361</v>
      </c>
      <c r="C23" s="126"/>
      <c r="D23" s="766">
        <f>-'13_CeloškolskáRežie'!F25</f>
        <v>-67658</v>
      </c>
      <c r="E23" s="305">
        <v>0</v>
      </c>
      <c r="F23" s="305">
        <v>0</v>
      </c>
      <c r="G23" s="305"/>
      <c r="H23" s="767"/>
      <c r="I23" s="749"/>
      <c r="J23" s="225"/>
      <c r="K23" s="195" t="s">
        <v>183</v>
      </c>
      <c r="L23" s="256" t="s">
        <v>105</v>
      </c>
      <c r="M23" s="885"/>
      <c r="N23" s="198"/>
      <c r="P23" s="809"/>
    </row>
    <row r="24" spans="1:18" ht="32.25" thickBot="1" x14ac:dyDescent="0.3">
      <c r="A24" s="400" t="s">
        <v>227</v>
      </c>
      <c r="B24" s="293">
        <f>-N26</f>
        <v>-426715.94882107503</v>
      </c>
      <c r="C24" s="126"/>
      <c r="D24" s="768">
        <f>'8_Výpočet_20%_FRIM'!C5</f>
        <v>186.4</v>
      </c>
      <c r="E24" s="294">
        <v>0</v>
      </c>
      <c r="F24" s="294">
        <v>0</v>
      </c>
      <c r="G24" s="294"/>
      <c r="H24" s="769"/>
      <c r="I24" s="750"/>
      <c r="K24" s="195" t="s">
        <v>188</v>
      </c>
      <c r="L24" s="255">
        <v>3332471</v>
      </c>
      <c r="M24" s="889"/>
      <c r="N24" s="200"/>
      <c r="P24" s="809"/>
    </row>
    <row r="25" spans="1:18" ht="19.5" thickBot="1" x14ac:dyDescent="0.35">
      <c r="A25" s="201" t="s">
        <v>977</v>
      </c>
      <c r="B25" s="220">
        <f>SUM(B22:B24)</f>
        <v>53038472.64149233</v>
      </c>
      <c r="C25" s="126"/>
      <c r="D25" s="770"/>
      <c r="E25" s="771"/>
      <c r="F25" s="771"/>
      <c r="G25" s="771"/>
      <c r="H25" s="772"/>
      <c r="I25" s="751"/>
      <c r="J25" s="225"/>
      <c r="K25" s="195" t="s">
        <v>238</v>
      </c>
      <c r="L25" s="259">
        <v>3567.36</v>
      </c>
      <c r="M25" s="890"/>
      <c r="N25" s="254">
        <f>L25</f>
        <v>3567.36</v>
      </c>
      <c r="O25" s="937"/>
      <c r="P25" s="809">
        <v>3686.54</v>
      </c>
    </row>
    <row r="26" spans="1:18" x14ac:dyDescent="0.25">
      <c r="B26" s="743">
        <f>ROZPOČET!G12</f>
        <v>48415472.094246514</v>
      </c>
      <c r="I26" s="12"/>
      <c r="K26" s="195" t="s">
        <v>239</v>
      </c>
      <c r="L26" s="259">
        <v>426.71594882107502</v>
      </c>
      <c r="M26" s="890"/>
      <c r="N26" s="198">
        <f>L26*1000</f>
        <v>426715.94882107503</v>
      </c>
      <c r="O26" s="937"/>
      <c r="P26" s="809">
        <v>420868.22</v>
      </c>
    </row>
    <row r="27" spans="1:18" x14ac:dyDescent="0.25">
      <c r="A27" s="201" t="s">
        <v>462</v>
      </c>
      <c r="B27" s="14">
        <f>B19+B20+B23+B24</f>
        <v>48415472.152075104</v>
      </c>
    </row>
    <row r="28" spans="1:18" x14ac:dyDescent="0.25">
      <c r="B28" s="14"/>
    </row>
    <row r="31" spans="1:18" x14ac:dyDescent="0.25">
      <c r="B31" s="14"/>
    </row>
  </sheetData>
  <mergeCells count="2">
    <mergeCell ref="D15:H15"/>
    <mergeCell ref="K3:P3"/>
  </mergeCells>
  <printOptions horizontalCentered="1" gridLines="1"/>
  <pageMargins left="0" right="0" top="1.1811023622047245" bottom="0" header="0.70866141732283472" footer="0"/>
  <pageSetup paperSize="9" orientation="landscape" r:id="rId1"/>
  <headerFooter>
    <oddHeader>&amp;R&amp;Z&amp;F
List: &amp;A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workbookViewId="0">
      <selection activeCell="N29" sqref="N29"/>
    </sheetView>
  </sheetViews>
  <sheetFormatPr defaultColWidth="9.140625" defaultRowHeight="15.75" x14ac:dyDescent="0.25"/>
  <cols>
    <col min="1" max="1" width="16" style="2" customWidth="1"/>
    <col min="2" max="2" width="24.140625" style="3" customWidth="1"/>
    <col min="3" max="3" width="12.85546875" style="3" customWidth="1"/>
    <col min="4" max="4" width="13.140625" style="3" customWidth="1"/>
    <col min="5" max="5" width="16.5703125" style="3" customWidth="1"/>
    <col min="6" max="6" width="16.5703125" style="5" customWidth="1"/>
    <col min="7" max="8" width="16.5703125" style="1" customWidth="1"/>
    <col min="9" max="9" width="11" style="1" customWidth="1"/>
    <col min="10" max="10" width="13.7109375" style="1" customWidth="1"/>
    <col min="11" max="11" width="11" style="1" customWidth="1"/>
    <col min="12" max="12" width="10.140625" style="1" bestFit="1" customWidth="1"/>
    <col min="13" max="13" width="10.7109375" style="1" customWidth="1"/>
    <col min="14" max="16384" width="9.140625" style="1"/>
  </cols>
  <sheetData>
    <row r="1" spans="1:14" ht="24" customHeight="1" x14ac:dyDescent="0.3">
      <c r="A1" s="8" t="s">
        <v>589</v>
      </c>
    </row>
    <row r="2" spans="1:14" ht="16.5" x14ac:dyDescent="0.25">
      <c r="A2" s="51"/>
    </row>
    <row r="3" spans="1:14" ht="16.5" x14ac:dyDescent="0.25">
      <c r="A3" s="51"/>
      <c r="B3" s="15" t="s">
        <v>471</v>
      </c>
      <c r="C3" s="812">
        <f>'10_Celkem_106'!D6</f>
        <v>46619577.177534439</v>
      </c>
    </row>
    <row r="4" spans="1:14" x14ac:dyDescent="0.25">
      <c r="A4" s="1"/>
    </row>
    <row r="5" spans="1:14" s="2" customFormat="1" ht="47.25" x14ac:dyDescent="0.25">
      <c r="B5" s="10" t="s">
        <v>226</v>
      </c>
      <c r="C5" s="10" t="s">
        <v>106</v>
      </c>
      <c r="D5" s="10" t="s">
        <v>8</v>
      </c>
      <c r="E5" s="4" t="s">
        <v>6</v>
      </c>
      <c r="F5" s="6" t="s">
        <v>5</v>
      </c>
      <c r="G5" s="12" t="s">
        <v>107</v>
      </c>
      <c r="J5" s="177"/>
      <c r="M5" s="965" t="s">
        <v>987</v>
      </c>
      <c r="N5" s="966"/>
    </row>
    <row r="6" spans="1:14" x14ac:dyDescent="0.25">
      <c r="A6" s="2" t="s">
        <v>30</v>
      </c>
      <c r="B6" s="149">
        <f>B31</f>
        <v>343.33333333333331</v>
      </c>
      <c r="C6" s="26">
        <v>0.8</v>
      </c>
      <c r="D6" s="178">
        <f>B6*C6</f>
        <v>274.66666666666669</v>
      </c>
      <c r="E6" s="178">
        <f>D6/$D$9*100</f>
        <v>54.955315459517138</v>
      </c>
      <c r="F6" s="658">
        <f>$C$3*E6/100</f>
        <v>25619935.703807104</v>
      </c>
      <c r="G6" s="12"/>
      <c r="H6" s="626">
        <f>F6/$F$9</f>
        <v>0.5495531545951714</v>
      </c>
      <c r="I6" s="626"/>
      <c r="M6" s="967">
        <v>26970.774162373214</v>
      </c>
      <c r="N6" s="968">
        <f>M6/$M$9</f>
        <v>0.63878225153746826</v>
      </c>
    </row>
    <row r="7" spans="1:14" x14ac:dyDescent="0.25">
      <c r="A7" s="2" t="s">
        <v>96</v>
      </c>
      <c r="B7" s="149">
        <f>B32</f>
        <v>107.33333333333333</v>
      </c>
      <c r="C7" s="26">
        <v>1.2</v>
      </c>
      <c r="D7" s="178">
        <f>B7*C7</f>
        <v>128.79999999999998</v>
      </c>
      <c r="E7" s="178">
        <f>D7/$D$9*100</f>
        <v>25.770308123249297</v>
      </c>
      <c r="F7" s="658">
        <f>$C$3*E7/100</f>
        <v>12014008.684406633</v>
      </c>
      <c r="G7" s="194">
        <f>SUM(F6:F7)</f>
        <v>37633944.388213739</v>
      </c>
      <c r="H7" s="626">
        <f>F7/$F$9</f>
        <v>0.25770308123249303</v>
      </c>
      <c r="I7" s="626">
        <f>G7/$F$9</f>
        <v>0.80725623582766448</v>
      </c>
      <c r="M7" s="967">
        <v>8058.7352687094362</v>
      </c>
      <c r="N7" s="968">
        <f t="shared" ref="N7:N8" si="0">M7/$M$9</f>
        <v>0.1908650092318171</v>
      </c>
    </row>
    <row r="8" spans="1:14" ht="16.5" thickBot="1" x14ac:dyDescent="0.3">
      <c r="A8" s="2" t="s">
        <v>37</v>
      </c>
      <c r="B8" s="149">
        <f>B33</f>
        <v>56.666666666666664</v>
      </c>
      <c r="C8" s="26">
        <v>1.7</v>
      </c>
      <c r="D8" s="178">
        <f>B8*C8</f>
        <v>96.333333333333329</v>
      </c>
      <c r="E8" s="178">
        <f>D8/$D$9*100</f>
        <v>19.274376417233558</v>
      </c>
      <c r="F8" s="179">
        <f>$C$3*E8/100</f>
        <v>8985632.7893206961</v>
      </c>
      <c r="H8" s="626">
        <f>F8/$F$9</f>
        <v>0.19274376417233563</v>
      </c>
      <c r="I8" s="626">
        <f>F8/$F$9</f>
        <v>0.19274376417233563</v>
      </c>
      <c r="M8" s="967">
        <v>7192.6626744477735</v>
      </c>
      <c r="N8" s="968">
        <f t="shared" si="0"/>
        <v>0.17035273923071451</v>
      </c>
    </row>
    <row r="9" spans="1:14" s="9" customFormat="1" ht="19.5" thickBot="1" x14ac:dyDescent="0.35">
      <c r="A9" s="8"/>
      <c r="B9" s="180">
        <f>SUM(B6:B8)</f>
        <v>507.33333333333331</v>
      </c>
      <c r="C9" s="11"/>
      <c r="D9" s="181">
        <f>SUM(D6:D8)</f>
        <v>499.8</v>
      </c>
      <c r="E9" s="11">
        <f>SUM(E6:E8)</f>
        <v>99.999999999999986</v>
      </c>
      <c r="F9" s="182">
        <f>SUM(F6:F8)</f>
        <v>46619577.177534431</v>
      </c>
      <c r="M9" s="969">
        <f>SUM(M6:M8)</f>
        <v>42222.17210553043</v>
      </c>
      <c r="N9" s="970"/>
    </row>
    <row r="10" spans="1:14" x14ac:dyDescent="0.25">
      <c r="B10" s="18"/>
      <c r="C10" s="714" t="s">
        <v>564</v>
      </c>
      <c r="F10" s="813">
        <f>F9-C3</f>
        <v>0</v>
      </c>
    </row>
    <row r="11" spans="1:14" hidden="1" x14ac:dyDescent="0.25"/>
    <row r="12" spans="1:14" hidden="1" x14ac:dyDescent="0.25">
      <c r="B12" s="183"/>
      <c r="F12" s="184" t="e">
        <f>'10_Celkem_106'!#REF!</f>
        <v>#REF!</v>
      </c>
    </row>
    <row r="13" spans="1:14" hidden="1" x14ac:dyDescent="0.25">
      <c r="B13" s="18"/>
      <c r="E13" s="12"/>
      <c r="F13" s="185"/>
    </row>
    <row r="14" spans="1:14" hidden="1" x14ac:dyDescent="0.25">
      <c r="F14" s="5" t="e">
        <f>SUM(F12:F13)</f>
        <v>#REF!</v>
      </c>
    </row>
    <row r="15" spans="1:14" hidden="1" x14ac:dyDescent="0.25">
      <c r="E15" s="12" t="s">
        <v>12</v>
      </c>
      <c r="F15" s="186">
        <v>0</v>
      </c>
    </row>
    <row r="16" spans="1:14" hidden="1" x14ac:dyDescent="0.25">
      <c r="F16" s="187" t="e">
        <f>SUM(F14:F15)</f>
        <v>#REF!</v>
      </c>
    </row>
    <row r="17" spans="1:12" hidden="1" x14ac:dyDescent="0.25"/>
    <row r="18" spans="1:12" hidden="1" x14ac:dyDescent="0.25">
      <c r="E18" s="3" t="s">
        <v>26</v>
      </c>
      <c r="F18" s="188">
        <v>0</v>
      </c>
    </row>
    <row r="19" spans="1:12" hidden="1" x14ac:dyDescent="0.25">
      <c r="B19" s="183"/>
      <c r="E19" s="3" t="s">
        <v>27</v>
      </c>
      <c r="F19" s="13">
        <f>-F15</f>
        <v>0</v>
      </c>
    </row>
    <row r="20" spans="1:12" hidden="1" x14ac:dyDescent="0.25">
      <c r="E20" s="3" t="s">
        <v>12</v>
      </c>
      <c r="F20" s="6">
        <f>SUM(F18:F19)</f>
        <v>0</v>
      </c>
    </row>
    <row r="21" spans="1:12" hidden="1" x14ac:dyDescent="0.25"/>
    <row r="22" spans="1:12" hidden="1" x14ac:dyDescent="0.25"/>
    <row r="23" spans="1:12" x14ac:dyDescent="0.25">
      <c r="A23" s="1" t="s">
        <v>56</v>
      </c>
    </row>
    <row r="24" spans="1:12" x14ac:dyDescent="0.25">
      <c r="A24" s="1" t="s">
        <v>57</v>
      </c>
      <c r="E24" s="42"/>
      <c r="F24" s="42"/>
    </row>
    <row r="25" spans="1:12" x14ac:dyDescent="0.25">
      <c r="A25" s="1" t="s">
        <v>58</v>
      </c>
      <c r="E25" s="42"/>
      <c r="F25" s="42"/>
    </row>
    <row r="26" spans="1:12" x14ac:dyDescent="0.25">
      <c r="A26" s="1"/>
      <c r="E26" s="42"/>
      <c r="F26" s="42"/>
    </row>
    <row r="27" spans="1:12" x14ac:dyDescent="0.25">
      <c r="A27" s="1001" t="s">
        <v>388</v>
      </c>
      <c r="B27" s="1002"/>
      <c r="C27" s="1002"/>
      <c r="D27" s="625" t="s">
        <v>389</v>
      </c>
      <c r="E27" s="610"/>
      <c r="F27" s="611"/>
      <c r="G27" s="611"/>
      <c r="H27" s="612"/>
      <c r="J27" s="27"/>
      <c r="K27" s="27"/>
      <c r="L27" s="27"/>
    </row>
    <row r="28" spans="1:12" x14ac:dyDescent="0.25">
      <c r="A28" s="613"/>
      <c r="B28" s="55"/>
      <c r="C28" s="55"/>
      <c r="D28" s="899" t="s">
        <v>588</v>
      </c>
      <c r="E28" s="897" t="s">
        <v>440</v>
      </c>
      <c r="F28" s="897" t="s">
        <v>358</v>
      </c>
      <c r="G28" s="897" t="s">
        <v>296</v>
      </c>
      <c r="H28" s="614"/>
    </row>
    <row r="29" spans="1:12" x14ac:dyDescent="0.25">
      <c r="A29" s="613"/>
      <c r="B29" s="55"/>
      <c r="C29" s="55"/>
      <c r="D29" s="900">
        <v>44135</v>
      </c>
      <c r="E29" s="898">
        <v>43769</v>
      </c>
      <c r="F29" s="898">
        <v>43404</v>
      </c>
      <c r="G29" s="898">
        <v>43039</v>
      </c>
      <c r="H29" s="614"/>
    </row>
    <row r="30" spans="1:12" x14ac:dyDescent="0.25">
      <c r="A30" s="615"/>
      <c r="B30" s="101" t="s">
        <v>79</v>
      </c>
      <c r="C30" s="57"/>
      <c r="D30" s="698">
        <v>2020</v>
      </c>
      <c r="E30" s="698">
        <v>2019</v>
      </c>
      <c r="F30" s="698">
        <v>2018</v>
      </c>
      <c r="G30" s="698">
        <v>2017</v>
      </c>
      <c r="H30" s="614"/>
    </row>
    <row r="31" spans="1:12" x14ac:dyDescent="0.25">
      <c r="A31" s="616" t="s">
        <v>30</v>
      </c>
      <c r="B31" s="617">
        <f>AVERAGE(D31:F31)</f>
        <v>343.33333333333331</v>
      </c>
      <c r="C31" s="618"/>
      <c r="D31" s="896">
        <v>344</v>
      </c>
      <c r="E31" s="699">
        <v>343</v>
      </c>
      <c r="F31" s="699">
        <v>343</v>
      </c>
      <c r="G31" s="699">
        <v>350</v>
      </c>
      <c r="H31" s="614"/>
    </row>
    <row r="32" spans="1:12" x14ac:dyDescent="0.25">
      <c r="A32" s="616" t="s">
        <v>96</v>
      </c>
      <c r="B32" s="617">
        <f>AVERAGE(D32:F32)</f>
        <v>107.33333333333333</v>
      </c>
      <c r="C32" s="618"/>
      <c r="D32" s="896">
        <v>118</v>
      </c>
      <c r="E32" s="699">
        <v>102</v>
      </c>
      <c r="F32" s="699">
        <v>102</v>
      </c>
      <c r="G32" s="699">
        <v>101</v>
      </c>
      <c r="H32" s="614"/>
    </row>
    <row r="33" spans="1:8" x14ac:dyDescent="0.25">
      <c r="A33" s="616" t="s">
        <v>37</v>
      </c>
      <c r="B33" s="617">
        <f>AVERAGE(D33:F33)</f>
        <v>56.666666666666664</v>
      </c>
      <c r="C33" s="618"/>
      <c r="D33" s="896">
        <v>56</v>
      </c>
      <c r="E33" s="699">
        <v>56</v>
      </c>
      <c r="F33" s="699">
        <v>58</v>
      </c>
      <c r="G33" s="699">
        <v>70</v>
      </c>
      <c r="H33" s="614"/>
    </row>
    <row r="34" spans="1:8" x14ac:dyDescent="0.25">
      <c r="A34" s="615"/>
      <c r="B34" s="192">
        <f>SUM(B31:B33)</f>
        <v>507.33333333333331</v>
      </c>
      <c r="C34" s="247"/>
      <c r="D34" s="101">
        <f>SUM(D31:D33)</f>
        <v>518</v>
      </c>
      <c r="E34" s="101">
        <f>SUM(E31:E33)</f>
        <v>501</v>
      </c>
      <c r="F34" s="101">
        <f>SUM(F31:F33)</f>
        <v>503</v>
      </c>
      <c r="G34" s="101">
        <f>SUM(G31:G33)</f>
        <v>521</v>
      </c>
      <c r="H34" s="614"/>
    </row>
    <row r="35" spans="1:8" x14ac:dyDescent="0.25">
      <c r="A35" s="615"/>
      <c r="B35" s="247"/>
      <c r="C35" s="57"/>
      <c r="D35" s="247"/>
      <c r="E35" s="340"/>
      <c r="F35" s="55"/>
      <c r="G35" s="55"/>
      <c r="H35" s="614"/>
    </row>
    <row r="36" spans="1:8" x14ac:dyDescent="0.25">
      <c r="A36" s="615"/>
      <c r="B36" s="247"/>
      <c r="C36" s="247"/>
      <c r="D36" s="1000" t="s">
        <v>190</v>
      </c>
      <c r="E36" s="1000"/>
      <c r="F36" s="1000"/>
      <c r="G36" s="55"/>
      <c r="H36" s="614"/>
    </row>
    <row r="37" spans="1:8" x14ac:dyDescent="0.25">
      <c r="A37" s="613"/>
      <c r="B37" s="55"/>
      <c r="C37" s="55"/>
      <c r="D37" s="619">
        <f t="shared" ref="D37:F40" si="1">D31/E31</f>
        <v>1.0029154518950438</v>
      </c>
      <c r="E37" s="619">
        <f t="shared" si="1"/>
        <v>1</v>
      </c>
      <c r="F37" s="619">
        <f>F31/G31</f>
        <v>0.98</v>
      </c>
      <c r="G37" s="55"/>
      <c r="H37" s="614"/>
    </row>
    <row r="38" spans="1:8" x14ac:dyDescent="0.25">
      <c r="A38" s="620"/>
      <c r="B38" s="247"/>
      <c r="C38" s="247"/>
      <c r="D38" s="619">
        <f t="shared" si="1"/>
        <v>1.1568627450980393</v>
      </c>
      <c r="E38" s="619">
        <f>E32/F32</f>
        <v>1</v>
      </c>
      <c r="F38" s="619">
        <f t="shared" si="1"/>
        <v>1.0099009900990099</v>
      </c>
      <c r="G38" s="55"/>
      <c r="H38" s="614"/>
    </row>
    <row r="39" spans="1:8" x14ac:dyDescent="0.25">
      <c r="A39" s="615"/>
      <c r="B39" s="247"/>
      <c r="C39" s="247"/>
      <c r="D39" s="619">
        <f>D33/E33</f>
        <v>1</v>
      </c>
      <c r="E39" s="619">
        <f t="shared" si="1"/>
        <v>0.96551724137931039</v>
      </c>
      <c r="F39" s="619">
        <f t="shared" si="1"/>
        <v>0.82857142857142863</v>
      </c>
      <c r="G39" s="55"/>
      <c r="H39" s="614"/>
    </row>
    <row r="40" spans="1:8" x14ac:dyDescent="0.25">
      <c r="A40" s="615"/>
      <c r="B40" s="247"/>
      <c r="C40" s="247"/>
      <c r="D40" s="619">
        <f>D34/E34</f>
        <v>1.0339321357285429</v>
      </c>
      <c r="E40" s="619">
        <f t="shared" si="1"/>
        <v>0.99602385685884687</v>
      </c>
      <c r="F40" s="619">
        <f t="shared" si="1"/>
        <v>0.96545105566218814</v>
      </c>
      <c r="G40" s="55"/>
      <c r="H40" s="614"/>
    </row>
    <row r="41" spans="1:8" x14ac:dyDescent="0.25">
      <c r="A41" s="621"/>
      <c r="B41" s="622"/>
      <c r="C41" s="622"/>
      <c r="D41" s="622"/>
      <c r="E41" s="622"/>
      <c r="F41" s="185"/>
      <c r="G41" s="623"/>
      <c r="H41" s="624"/>
    </row>
    <row r="42" spans="1:8" x14ac:dyDescent="0.25">
      <c r="D42" s="1"/>
      <c r="E42" s="1"/>
      <c r="F42" s="1"/>
    </row>
  </sheetData>
  <mergeCells count="2">
    <mergeCell ref="D36:F36"/>
    <mergeCell ref="A27:C27"/>
  </mergeCells>
  <phoneticPr fontId="0" type="noConversion"/>
  <printOptions gridLines="1"/>
  <pageMargins left="0.59055118110236227" right="0.39370078740157483" top="0.98425196850393704" bottom="0.98425196850393704" header="0.51181102362204722" footer="0.51181102362204722"/>
  <pageSetup paperSize="9" orientation="landscape" r:id="rId1"/>
  <headerFooter alignWithMargins="0">
    <oddHeader>&amp;C&amp;Z&amp;F&amp;RList: 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27"/>
  <sheetViews>
    <sheetView zoomScaleNormal="100" workbookViewId="0"/>
  </sheetViews>
  <sheetFormatPr defaultColWidth="9.140625" defaultRowHeight="15.75" x14ac:dyDescent="0.25"/>
  <cols>
    <col min="1" max="1" width="11.85546875" style="1" customWidth="1"/>
    <col min="2" max="2" width="13.28515625" style="1" customWidth="1"/>
    <col min="3" max="5" width="13.28515625" style="3" customWidth="1"/>
    <col min="6" max="6" width="15.7109375" style="14" bestFit="1" customWidth="1"/>
    <col min="7" max="7" width="12.7109375" style="14" bestFit="1" customWidth="1"/>
    <col min="8" max="8" width="13.85546875" style="3" customWidth="1"/>
    <col min="9" max="9" width="13.5703125" style="1" customWidth="1"/>
    <col min="10" max="10" width="14.28515625" style="1" bestFit="1" customWidth="1"/>
    <col min="11" max="11" width="7.85546875" style="1" bestFit="1" customWidth="1"/>
    <col min="12" max="12" width="5.7109375" style="1" customWidth="1"/>
    <col min="13" max="30" width="6.28515625" style="1" customWidth="1"/>
    <col min="31" max="16384" width="9.140625" style="1"/>
  </cols>
  <sheetData>
    <row r="1" spans="1:12" ht="18.75" x14ac:dyDescent="0.3">
      <c r="A1" s="8" t="s">
        <v>562</v>
      </c>
      <c r="I1" s="25"/>
    </row>
    <row r="2" spans="1:12" x14ac:dyDescent="0.25">
      <c r="A2" s="12"/>
      <c r="B2" s="3"/>
    </row>
    <row r="3" spans="1:12" x14ac:dyDescent="0.25">
      <c r="A3" s="12" t="s">
        <v>265</v>
      </c>
      <c r="B3" s="184">
        <v>8000</v>
      </c>
      <c r="C3" s="184">
        <v>8000</v>
      </c>
      <c r="D3" s="184">
        <v>12000</v>
      </c>
      <c r="E3" s="184">
        <v>14000</v>
      </c>
      <c r="F3" s="713" t="s">
        <v>563</v>
      </c>
      <c r="G3" s="42"/>
      <c r="H3" s="42"/>
      <c r="I3" s="42"/>
    </row>
    <row r="4" spans="1:12" s="4" customFormat="1" ht="78.75" x14ac:dyDescent="0.25">
      <c r="A4" s="2" t="s">
        <v>4</v>
      </c>
      <c r="B4" s="135" t="s">
        <v>228</v>
      </c>
      <c r="C4" s="135" t="s">
        <v>229</v>
      </c>
      <c r="D4" s="135" t="s">
        <v>230</v>
      </c>
      <c r="E4" s="135" t="s">
        <v>231</v>
      </c>
      <c r="F4" s="135" t="s">
        <v>232</v>
      </c>
      <c r="G4" s="135" t="s">
        <v>233</v>
      </c>
      <c r="H4" s="135" t="s">
        <v>234</v>
      </c>
      <c r="I4" s="135" t="s">
        <v>235</v>
      </c>
      <c r="J4" s="206" t="s">
        <v>36</v>
      </c>
      <c r="L4" s="177"/>
    </row>
    <row r="5" spans="1:12" x14ac:dyDescent="0.25">
      <c r="A5" s="2" t="s">
        <v>98</v>
      </c>
      <c r="B5" s="855">
        <f>MAX(M21:N21)+O21+P21</f>
        <v>25</v>
      </c>
      <c r="C5" s="855">
        <f>V21+MAX(W21:X21)</f>
        <v>4</v>
      </c>
      <c r="D5" s="855">
        <f>MAX(Q21:R21)+MAX(S21:T21)+U21</f>
        <v>18</v>
      </c>
      <c r="E5" s="855">
        <f>MAX(Y21:Z21)+MAX(AA21:AB21)+AC21+AD21</f>
        <v>4</v>
      </c>
      <c r="F5" s="5">
        <f>B5*$B$3</f>
        <v>200000</v>
      </c>
      <c r="G5" s="5">
        <f>C5*$C$3</f>
        <v>32000</v>
      </c>
      <c r="H5" s="5">
        <f>D5*$D$3</f>
        <v>216000</v>
      </c>
      <c r="I5" s="5">
        <f>E5*$E$3</f>
        <v>56000</v>
      </c>
      <c r="J5" s="6">
        <f>SUM(F5:I5)</f>
        <v>504000</v>
      </c>
      <c r="L5" s="854">
        <v>388000</v>
      </c>
    </row>
    <row r="6" spans="1:12" x14ac:dyDescent="0.25">
      <c r="A6" s="2" t="s">
        <v>99</v>
      </c>
      <c r="B6" s="855">
        <f>MAX(M22:N22)+O22+P22</f>
        <v>28</v>
      </c>
      <c r="C6" s="855">
        <f>V22+MAX(W22:X22)</f>
        <v>22</v>
      </c>
      <c r="D6" s="855">
        <f>MAX(Q22:R22)+MAX(S22:T22)+U22</f>
        <v>45</v>
      </c>
      <c r="E6" s="855">
        <f>MAX(Y22:Z22)+MAX(AA22:AB22)+AC22+AD22</f>
        <v>23</v>
      </c>
      <c r="F6" s="5">
        <f t="shared" ref="F6:F7" si="0">B6*$B$3</f>
        <v>224000</v>
      </c>
      <c r="G6" s="5">
        <f t="shared" ref="G6:G7" si="1">C6*$C$3</f>
        <v>176000</v>
      </c>
      <c r="H6" s="5">
        <f t="shared" ref="H6:H7" si="2">D6*$D$3</f>
        <v>540000</v>
      </c>
      <c r="I6" s="5">
        <f>E6*$E$3</f>
        <v>322000</v>
      </c>
      <c r="J6" s="6">
        <f>SUM(F6:I6)</f>
        <v>1262000</v>
      </c>
      <c r="L6" s="854">
        <v>1284000</v>
      </c>
    </row>
    <row r="7" spans="1:12" x14ac:dyDescent="0.25">
      <c r="A7" s="2" t="s">
        <v>100</v>
      </c>
      <c r="B7" s="855">
        <f>MAX(M23:N23)+O23+P23</f>
        <v>9</v>
      </c>
      <c r="C7" s="855">
        <f>V23+MAX(W23:X23)</f>
        <v>11</v>
      </c>
      <c r="D7" s="855">
        <f>MAX(Q23:R23)+MAX(S23:T23)+U23</f>
        <v>18</v>
      </c>
      <c r="E7" s="855">
        <f>MAX(Y23:Z23)+MAX(AA23:AB23)+AC23+AD23</f>
        <v>18</v>
      </c>
      <c r="F7" s="5">
        <f t="shared" si="0"/>
        <v>72000</v>
      </c>
      <c r="G7" s="5">
        <f t="shared" si="1"/>
        <v>88000</v>
      </c>
      <c r="H7" s="5">
        <f t="shared" si="2"/>
        <v>216000</v>
      </c>
      <c r="I7" s="5">
        <f>E7*$E$3</f>
        <v>252000</v>
      </c>
      <c r="J7" s="6">
        <f>SUM(F7:I7)</f>
        <v>628000</v>
      </c>
      <c r="L7" s="854">
        <v>154000</v>
      </c>
    </row>
    <row r="8" spans="1:12" s="9" customFormat="1" ht="18.75" x14ac:dyDescent="0.3">
      <c r="A8" s="8"/>
      <c r="B8" s="207">
        <f t="shared" ref="B8:J8" si="3">SUM(B5:B7)</f>
        <v>62</v>
      </c>
      <c r="C8" s="207">
        <f t="shared" si="3"/>
        <v>37</v>
      </c>
      <c r="D8" s="207">
        <f t="shared" si="3"/>
        <v>81</v>
      </c>
      <c r="E8" s="207">
        <f t="shared" si="3"/>
        <v>45</v>
      </c>
      <c r="F8" s="208">
        <f t="shared" si="3"/>
        <v>496000</v>
      </c>
      <c r="G8" s="208">
        <f t="shared" si="3"/>
        <v>296000</v>
      </c>
      <c r="H8" s="208">
        <f t="shared" si="3"/>
        <v>972000</v>
      </c>
      <c r="I8" s="208">
        <f t="shared" si="3"/>
        <v>630000</v>
      </c>
      <c r="J8" s="209">
        <f t="shared" si="3"/>
        <v>2394000</v>
      </c>
    </row>
    <row r="9" spans="1:12" ht="18.75" x14ac:dyDescent="0.3">
      <c r="A9" s="8"/>
      <c r="B9" s="864"/>
      <c r="C9" s="865"/>
      <c r="D9" s="864"/>
      <c r="E9" s="864"/>
      <c r="F9" s="210" t="s">
        <v>60</v>
      </c>
      <c r="G9" s="211">
        <f>F8+H8</f>
        <v>1468000</v>
      </c>
      <c r="H9" s="212"/>
      <c r="I9" s="3"/>
    </row>
    <row r="10" spans="1:12" ht="19.5" thickBot="1" x14ac:dyDescent="0.35">
      <c r="A10" s="12"/>
      <c r="B10" s="866"/>
      <c r="C10" s="866"/>
      <c r="D10" s="866"/>
      <c r="E10" s="866"/>
      <c r="F10" s="213" t="s">
        <v>108</v>
      </c>
      <c r="G10" s="214">
        <f>G8+I8</f>
        <v>926000</v>
      </c>
      <c r="H10" s="212"/>
      <c r="I10" s="215"/>
      <c r="J10" s="44"/>
      <c r="K10" s="44"/>
      <c r="L10" s="44"/>
    </row>
    <row r="11" spans="1:12" ht="19.5" thickBot="1" x14ac:dyDescent="0.35">
      <c r="B11" s="867"/>
      <c r="C11" s="867"/>
      <c r="D11" s="867"/>
      <c r="E11" s="867"/>
      <c r="F11" s="216"/>
      <c r="G11" s="217">
        <f>SUM(G9:G10)</f>
        <v>2394000</v>
      </c>
      <c r="H11" s="212"/>
      <c r="I11" s="45"/>
      <c r="J11" s="46"/>
      <c r="K11" s="46"/>
      <c r="L11" s="44"/>
    </row>
    <row r="12" spans="1:12" ht="19.5" thickBot="1" x14ac:dyDescent="0.35">
      <c r="A12" s="44"/>
      <c r="B12" s="218"/>
      <c r="C12" s="218"/>
      <c r="D12" s="218"/>
      <c r="E12" s="218"/>
      <c r="F12" s="219"/>
      <c r="G12" s="11"/>
      <c r="H12" s="212"/>
      <c r="I12" s="45"/>
      <c r="J12" s="40"/>
      <c r="K12" s="40"/>
      <c r="L12" s="44"/>
    </row>
    <row r="13" spans="1:12" ht="19.5" thickBot="1" x14ac:dyDescent="0.35">
      <c r="B13" s="218"/>
      <c r="C13" s="218"/>
      <c r="D13" s="218"/>
      <c r="E13" s="218"/>
      <c r="G13" s="2"/>
      <c r="H13" s="14"/>
      <c r="I13" s="12" t="s">
        <v>32</v>
      </c>
      <c r="J13" s="659">
        <f>'1_Bc_Mag_DSP'!F6+'1_Bc_Mag_DSP'!F7</f>
        <v>37633944.388213739</v>
      </c>
      <c r="K13" s="40"/>
      <c r="L13" s="44"/>
    </row>
    <row r="14" spans="1:12" ht="19.5" thickBot="1" x14ac:dyDescent="0.35">
      <c r="A14" s="44"/>
      <c r="B14" s="40"/>
      <c r="C14" s="40"/>
      <c r="D14" s="1"/>
      <c r="H14" s="14"/>
      <c r="I14" s="194" t="s">
        <v>451</v>
      </c>
      <c r="J14" s="222">
        <f>J8</f>
        <v>2394000</v>
      </c>
      <c r="K14" s="221">
        <f>J14/$J$13</f>
        <v>6.3612784652723159E-2</v>
      </c>
      <c r="L14" s="44"/>
    </row>
    <row r="15" spans="1:12" ht="19.5" thickBot="1" x14ac:dyDescent="0.35">
      <c r="A15" s="42"/>
      <c r="B15" s="223"/>
      <c r="C15" s="40"/>
      <c r="D15" s="1"/>
      <c r="H15" s="14"/>
      <c r="I15" s="12" t="s">
        <v>452</v>
      </c>
      <c r="J15" s="220">
        <f>J13-J14</f>
        <v>35239944.388213739</v>
      </c>
      <c r="K15" s="221">
        <f>J15/$J$13</f>
        <v>0.93638721534727687</v>
      </c>
      <c r="L15" s="44"/>
    </row>
    <row r="16" spans="1:12" ht="18.75" x14ac:dyDescent="0.3">
      <c r="A16" s="44"/>
      <c r="B16" s="44"/>
      <c r="C16" s="40"/>
      <c r="I16" s="47"/>
      <c r="J16" s="48"/>
      <c r="K16" s="48"/>
      <c r="L16" s="44"/>
    </row>
    <row r="17" spans="1:30" x14ac:dyDescent="0.25">
      <c r="A17" s="44"/>
      <c r="B17" s="44"/>
      <c r="C17" s="40"/>
      <c r="I17" s="44"/>
      <c r="J17" s="49"/>
      <c r="K17" s="40"/>
      <c r="L17" s="44"/>
    </row>
    <row r="18" spans="1:30" ht="16.5" thickBot="1" x14ac:dyDescent="0.3">
      <c r="A18" s="44"/>
      <c r="B18" s="44"/>
      <c r="C18" s="40"/>
      <c r="I18" s="44"/>
      <c r="J18" s="44"/>
      <c r="K18" s="44"/>
      <c r="L18" s="44"/>
    </row>
    <row r="19" spans="1:30" x14ac:dyDescent="0.25">
      <c r="A19" s="44"/>
      <c r="B19" s="43"/>
      <c r="C19" s="50"/>
      <c r="D19" s="42"/>
      <c r="E19" s="42"/>
      <c r="F19" s="42"/>
      <c r="G19" s="42"/>
      <c r="H19" s="42"/>
      <c r="I19" s="224"/>
      <c r="J19" s="40"/>
      <c r="K19" s="44"/>
      <c r="L19" s="44"/>
      <c r="M19" s="1003" t="s">
        <v>480</v>
      </c>
      <c r="N19" s="1004"/>
      <c r="O19" s="1004"/>
      <c r="P19" s="1004"/>
      <c r="Q19" s="1003" t="s">
        <v>481</v>
      </c>
      <c r="R19" s="1004"/>
      <c r="S19" s="1004"/>
      <c r="T19" s="1004"/>
      <c r="U19" s="1005"/>
      <c r="V19" s="1004" t="s">
        <v>482</v>
      </c>
      <c r="W19" s="1004"/>
      <c r="X19" s="1004"/>
      <c r="Y19" s="1003" t="s">
        <v>483</v>
      </c>
      <c r="Z19" s="1004"/>
      <c r="AA19" s="1004"/>
      <c r="AB19" s="1004"/>
      <c r="AC19" s="1004"/>
      <c r="AD19" s="1005"/>
    </row>
    <row r="20" spans="1:30" ht="16.5" thickBot="1" x14ac:dyDescent="0.3">
      <c r="A20" s="50"/>
      <c r="B20" s="50"/>
      <c r="C20" s="50"/>
      <c r="D20" s="42"/>
      <c r="E20" s="42"/>
      <c r="F20" s="42"/>
      <c r="G20" s="42"/>
      <c r="H20" s="42"/>
      <c r="I20" s="224"/>
      <c r="J20" s="49"/>
      <c r="K20" s="44"/>
      <c r="L20" s="45" t="s">
        <v>172</v>
      </c>
      <c r="M20" s="841" t="s">
        <v>484</v>
      </c>
      <c r="N20" s="842" t="s">
        <v>485</v>
      </c>
      <c r="O20" s="842" t="s">
        <v>486</v>
      </c>
      <c r="P20" s="842" t="s">
        <v>487</v>
      </c>
      <c r="Q20" s="841" t="s">
        <v>488</v>
      </c>
      <c r="R20" s="842" t="s">
        <v>489</v>
      </c>
      <c r="S20" s="842" t="s">
        <v>490</v>
      </c>
      <c r="T20" s="842" t="s">
        <v>491</v>
      </c>
      <c r="U20" s="856" t="s">
        <v>492</v>
      </c>
      <c r="V20" s="843" t="s">
        <v>166</v>
      </c>
      <c r="W20" s="842" t="s">
        <v>493</v>
      </c>
      <c r="X20" s="842" t="s">
        <v>494</v>
      </c>
      <c r="Y20" s="841" t="s">
        <v>495</v>
      </c>
      <c r="Z20" s="842" t="s">
        <v>496</v>
      </c>
      <c r="AA20" s="842" t="s">
        <v>497</v>
      </c>
      <c r="AB20" s="842" t="s">
        <v>498</v>
      </c>
      <c r="AC20" s="842" t="s">
        <v>499</v>
      </c>
      <c r="AD20" s="856" t="s">
        <v>500</v>
      </c>
    </row>
    <row r="21" spans="1:30" x14ac:dyDescent="0.25">
      <c r="B21" s="42"/>
      <c r="C21" s="42"/>
      <c r="D21" s="42"/>
      <c r="E21" s="42"/>
      <c r="F21" s="42"/>
      <c r="G21" s="42"/>
      <c r="H21" s="42"/>
      <c r="I21" s="42"/>
      <c r="L21" s="15" t="s">
        <v>98</v>
      </c>
      <c r="M21" s="907">
        <v>4</v>
      </c>
      <c r="N21" s="906">
        <v>5</v>
      </c>
      <c r="O21" s="906">
        <v>20</v>
      </c>
      <c r="P21" s="906">
        <v>0</v>
      </c>
      <c r="Q21" s="844">
        <v>15</v>
      </c>
      <c r="R21" s="845">
        <v>18</v>
      </c>
      <c r="S21" s="845">
        <v>0</v>
      </c>
      <c r="T21" s="845">
        <v>0</v>
      </c>
      <c r="U21" s="857">
        <v>0</v>
      </c>
      <c r="V21" s="846">
        <v>4</v>
      </c>
      <c r="W21" s="845">
        <v>0</v>
      </c>
      <c r="X21" s="845">
        <v>0</v>
      </c>
      <c r="Y21" s="844">
        <v>4</v>
      </c>
      <c r="Z21" s="845">
        <v>4</v>
      </c>
      <c r="AA21" s="845">
        <v>0</v>
      </c>
      <c r="AB21" s="845">
        <v>0</v>
      </c>
      <c r="AC21" s="845">
        <v>0</v>
      </c>
      <c r="AD21" s="857">
        <v>0</v>
      </c>
    </row>
    <row r="22" spans="1:30" x14ac:dyDescent="0.25">
      <c r="B22" s="42"/>
      <c r="C22" s="42"/>
      <c r="D22" s="42"/>
      <c r="E22" s="42"/>
      <c r="F22" s="42"/>
      <c r="G22" s="42"/>
      <c r="H22" s="42"/>
      <c r="I22" s="42"/>
      <c r="L22" s="15" t="s">
        <v>99</v>
      </c>
      <c r="M22" s="908">
        <v>15</v>
      </c>
      <c r="N22" s="905">
        <v>16</v>
      </c>
      <c r="O22" s="905">
        <v>12</v>
      </c>
      <c r="P22" s="905">
        <v>0</v>
      </c>
      <c r="Q22" s="847">
        <v>44</v>
      </c>
      <c r="R22" s="848">
        <v>39</v>
      </c>
      <c r="S22" s="848">
        <v>0</v>
      </c>
      <c r="T22" s="848">
        <v>0</v>
      </c>
      <c r="U22" s="858">
        <v>1</v>
      </c>
      <c r="V22" s="849">
        <v>22</v>
      </c>
      <c r="W22" s="848">
        <v>0</v>
      </c>
      <c r="X22" s="848">
        <v>0</v>
      </c>
      <c r="Y22" s="847">
        <v>19</v>
      </c>
      <c r="Z22" s="848">
        <v>23</v>
      </c>
      <c r="AA22" s="848">
        <v>0</v>
      </c>
      <c r="AB22" s="848">
        <v>0</v>
      </c>
      <c r="AC22" s="848">
        <v>0</v>
      </c>
      <c r="AD22" s="858">
        <v>0</v>
      </c>
    </row>
    <row r="23" spans="1:30" ht="16.5" thickBot="1" x14ac:dyDescent="0.3">
      <c r="B23" s="42"/>
      <c r="C23" s="42"/>
      <c r="D23" s="42"/>
      <c r="E23" s="42"/>
      <c r="F23" s="42"/>
      <c r="G23" s="42"/>
      <c r="H23" s="42"/>
      <c r="I23" s="42"/>
      <c r="L23" s="15" t="s">
        <v>100</v>
      </c>
      <c r="M23" s="909">
        <v>4</v>
      </c>
      <c r="N23" s="910">
        <v>4</v>
      </c>
      <c r="O23" s="910">
        <v>3</v>
      </c>
      <c r="P23" s="910">
        <v>2</v>
      </c>
      <c r="Q23" s="850">
        <v>5</v>
      </c>
      <c r="R23" s="851">
        <v>6</v>
      </c>
      <c r="S23" s="851">
        <v>7</v>
      </c>
      <c r="T23" s="851">
        <v>6</v>
      </c>
      <c r="U23" s="859">
        <v>5</v>
      </c>
      <c r="V23" s="852">
        <v>10</v>
      </c>
      <c r="W23" s="851">
        <v>0</v>
      </c>
      <c r="X23" s="851">
        <v>1</v>
      </c>
      <c r="Y23" s="850">
        <v>7</v>
      </c>
      <c r="Z23" s="851">
        <v>10</v>
      </c>
      <c r="AA23" s="851">
        <v>5</v>
      </c>
      <c r="AB23" s="851">
        <v>6</v>
      </c>
      <c r="AC23" s="851">
        <v>2</v>
      </c>
      <c r="AD23" s="859">
        <v>0</v>
      </c>
    </row>
    <row r="24" spans="1:30" x14ac:dyDescent="0.25">
      <c r="B24" s="42"/>
      <c r="C24" s="42"/>
      <c r="D24" s="42"/>
      <c r="E24" s="42"/>
      <c r="F24" s="42"/>
      <c r="G24" s="42"/>
      <c r="H24" s="42"/>
      <c r="I24" s="42"/>
      <c r="L24" s="44"/>
    </row>
    <row r="25" spans="1:30" x14ac:dyDescent="0.25">
      <c r="L25" s="853" t="s">
        <v>988</v>
      </c>
      <c r="M25" s="901"/>
      <c r="N25" s="902"/>
      <c r="O25" s="42"/>
      <c r="P25" s="224"/>
      <c r="Q25" s="44"/>
      <c r="R25" s="44"/>
    </row>
    <row r="26" spans="1:30" x14ac:dyDescent="0.25">
      <c r="L26" s="1006" t="s">
        <v>501</v>
      </c>
      <c r="M26" s="1007"/>
      <c r="N26" s="1007"/>
      <c r="O26" s="1007"/>
      <c r="P26" s="1007"/>
      <c r="Q26" s="1007"/>
      <c r="R26" s="1007"/>
    </row>
    <row r="27" spans="1:30" x14ac:dyDescent="0.25">
      <c r="L27" s="42"/>
      <c r="M27" s="42"/>
      <c r="N27" s="42"/>
      <c r="O27" s="42"/>
      <c r="P27" s="42"/>
    </row>
  </sheetData>
  <mergeCells count="5">
    <mergeCell ref="M19:P19"/>
    <mergeCell ref="Q19:U19"/>
    <mergeCell ref="V19:X19"/>
    <mergeCell ref="Y19:AD19"/>
    <mergeCell ref="L26:R26"/>
  </mergeCells>
  <phoneticPr fontId="0" type="noConversion"/>
  <printOptions gridLines="1"/>
  <pageMargins left="0.39370078740157483" right="0" top="0.98425196850393704" bottom="0.98425196850393704" header="0.51181102362204722" footer="0.51181102362204722"/>
  <pageSetup paperSize="9" scale="92" orientation="landscape" r:id="rId1"/>
  <headerFooter alignWithMargins="0">
    <oddHeader>&amp;L&amp;Z&amp;F&amp;RList: 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69"/>
  <sheetViews>
    <sheetView workbookViewId="0">
      <selection activeCell="F15" sqref="F15"/>
    </sheetView>
  </sheetViews>
  <sheetFormatPr defaultColWidth="9.140625" defaultRowHeight="15.75" x14ac:dyDescent="0.25"/>
  <cols>
    <col min="1" max="1" width="20.140625" style="2" customWidth="1"/>
    <col min="2" max="2" width="15.42578125" style="3" bestFit="1" customWidth="1"/>
    <col min="3" max="3" width="15.140625" style="3" customWidth="1"/>
    <col min="4" max="4" width="14.42578125" style="3" customWidth="1"/>
    <col min="5" max="5" width="14.140625" style="3" customWidth="1"/>
    <col min="6" max="6" width="11.5703125" style="3" customWidth="1"/>
    <col min="7" max="7" width="12.140625" style="3" customWidth="1"/>
    <col min="8" max="8" width="13.28515625" style="3" customWidth="1"/>
    <col min="9" max="9" width="15.28515625" style="3" customWidth="1"/>
    <col min="10" max="10" width="11.28515625" style="3" customWidth="1"/>
    <col min="11" max="11" width="16.7109375" style="5" customWidth="1"/>
    <col min="12" max="12" width="18" style="1" customWidth="1"/>
    <col min="13" max="13" width="3" style="1" customWidth="1"/>
    <col min="14" max="14" width="24.7109375" style="1" bestFit="1" customWidth="1"/>
    <col min="15" max="15" width="31.140625" style="1" bestFit="1" customWidth="1"/>
    <col min="16" max="16" width="36.42578125" style="1" customWidth="1"/>
    <col min="17" max="17" width="4.85546875" style="1" bestFit="1" customWidth="1"/>
    <col min="18" max="18" width="5.85546875" style="1" customWidth="1"/>
    <col min="19" max="19" width="6" style="1" customWidth="1"/>
    <col min="20" max="21" width="6.28515625" style="1" customWidth="1"/>
    <col min="22" max="22" width="1.5703125" style="1" customWidth="1"/>
    <col min="23" max="23" width="6.5703125" style="1" bestFit="1" customWidth="1"/>
    <col min="24" max="24" width="5.85546875" style="1" bestFit="1" customWidth="1"/>
    <col min="25" max="16384" width="9.140625" style="1"/>
  </cols>
  <sheetData>
    <row r="1" spans="1:27" ht="16.5" x14ac:dyDescent="0.25">
      <c r="A1" s="51" t="s">
        <v>565</v>
      </c>
      <c r="L1" s="225"/>
    </row>
    <row r="2" spans="1:27" ht="16.5" x14ac:dyDescent="0.25">
      <c r="A2" s="63" t="s">
        <v>35</v>
      </c>
    </row>
    <row r="3" spans="1:27" ht="16.5" thickBot="1" x14ac:dyDescent="0.3">
      <c r="A3" s="1"/>
    </row>
    <row r="4" spans="1:27" ht="19.5" thickBot="1" x14ac:dyDescent="0.35">
      <c r="C4" s="1008" t="s">
        <v>34</v>
      </c>
      <c r="D4" s="1008"/>
      <c r="E4" s="1008"/>
      <c r="J4" s="15" t="s">
        <v>397</v>
      </c>
      <c r="K4" s="232">
        <f>'1_Bc_Mag_DSP'!F8</f>
        <v>8985632.7893206961</v>
      </c>
    </row>
    <row r="5" spans="1:27" ht="18.75" x14ac:dyDescent="0.3">
      <c r="C5" s="226">
        <v>5</v>
      </c>
      <c r="D5" s="226">
        <v>2</v>
      </c>
      <c r="E5" s="226">
        <v>1</v>
      </c>
      <c r="F5" s="59" t="s">
        <v>567</v>
      </c>
      <c r="G5" s="42"/>
      <c r="H5" s="42"/>
    </row>
    <row r="6" spans="1:27" s="96" customFormat="1" ht="78.75" x14ac:dyDescent="0.2">
      <c r="A6" s="227" t="s">
        <v>4</v>
      </c>
      <c r="B6" s="228" t="s">
        <v>70</v>
      </c>
      <c r="C6" s="228" t="s">
        <v>33</v>
      </c>
      <c r="D6" s="228" t="s">
        <v>68</v>
      </c>
      <c r="E6" s="228" t="s">
        <v>69</v>
      </c>
      <c r="F6" s="228" t="s">
        <v>148</v>
      </c>
      <c r="G6" s="228" t="s">
        <v>149</v>
      </c>
      <c r="H6" s="228" t="s">
        <v>150</v>
      </c>
      <c r="I6" s="228" t="s">
        <v>151</v>
      </c>
      <c r="J6" s="227" t="s">
        <v>6</v>
      </c>
      <c r="K6" s="229" t="s">
        <v>5</v>
      </c>
      <c r="L6" s="69" t="s">
        <v>558</v>
      </c>
    </row>
    <row r="7" spans="1:27" ht="23.1" customHeight="1" x14ac:dyDescent="0.25">
      <c r="A7" s="230" t="s">
        <v>98</v>
      </c>
      <c r="B7" s="927">
        <f>D7+E7</f>
        <v>11</v>
      </c>
      <c r="C7" s="926">
        <f>C15+C23</f>
        <v>1</v>
      </c>
      <c r="D7" s="926">
        <f t="shared" ref="D7:E7" si="0">D15+D23</f>
        <v>7</v>
      </c>
      <c r="E7" s="926">
        <f t="shared" si="0"/>
        <v>4</v>
      </c>
      <c r="F7" s="927">
        <f>C7*$C$5</f>
        <v>5</v>
      </c>
      <c r="G7" s="927">
        <f>D7*$D$5</f>
        <v>14</v>
      </c>
      <c r="H7" s="927">
        <f>E7*$E$5</f>
        <v>4</v>
      </c>
      <c r="I7" s="41">
        <f>SUM(F7:H7)</f>
        <v>23</v>
      </c>
      <c r="J7" s="928">
        <f>I7/$I$11*100</f>
        <v>10.31390134529148</v>
      </c>
      <c r="K7" s="231">
        <f>$K$4*J7/100</f>
        <v>926769.30114069965</v>
      </c>
      <c r="L7" s="231">
        <f>($K$4-$L$10)*K7/SUM($K$7:$K$9)</f>
        <v>964007.33091686794</v>
      </c>
      <c r="N7" s="14"/>
      <c r="O7" s="120"/>
      <c r="P7" s="14"/>
    </row>
    <row r="8" spans="1:27" ht="23.1" customHeight="1" x14ac:dyDescent="0.25">
      <c r="A8" s="230" t="s">
        <v>99</v>
      </c>
      <c r="B8" s="927">
        <f>D8+E8</f>
        <v>23</v>
      </c>
      <c r="C8" s="926">
        <f t="shared" ref="C8:E10" si="1">C16+C24</f>
        <v>8</v>
      </c>
      <c r="D8" s="926">
        <f t="shared" si="1"/>
        <v>5</v>
      </c>
      <c r="E8" s="926">
        <f t="shared" si="1"/>
        <v>18</v>
      </c>
      <c r="F8" s="927">
        <f>C8*$C$5</f>
        <v>40</v>
      </c>
      <c r="G8" s="927">
        <f>D8*$D$5</f>
        <v>10</v>
      </c>
      <c r="H8" s="927">
        <f>E8*$E$5</f>
        <v>18</v>
      </c>
      <c r="I8" s="41">
        <f>SUM(F8:H8)</f>
        <v>68</v>
      </c>
      <c r="J8" s="928">
        <f>I8/$I$11*100</f>
        <v>30.493273542600896</v>
      </c>
      <c r="K8" s="231">
        <f>$K$4*J8/100</f>
        <v>2740013.5859811986</v>
      </c>
      <c r="L8" s="231">
        <f t="shared" ref="L8:L9" si="2">($K$4-$L$10)*K8/SUM($K$7:$K$9)</f>
        <v>2850108.6305368263</v>
      </c>
      <c r="N8" s="14"/>
      <c r="O8" s="120"/>
      <c r="P8" s="14"/>
    </row>
    <row r="9" spans="1:27" ht="23.1" customHeight="1" x14ac:dyDescent="0.25">
      <c r="A9" s="230" t="s">
        <v>100</v>
      </c>
      <c r="B9" s="927">
        <f>D9+E9</f>
        <v>45</v>
      </c>
      <c r="C9" s="926">
        <f t="shared" si="1"/>
        <v>13</v>
      </c>
      <c r="D9" s="926">
        <f t="shared" si="1"/>
        <v>11</v>
      </c>
      <c r="E9" s="926">
        <f t="shared" si="1"/>
        <v>34</v>
      </c>
      <c r="F9" s="927">
        <f>C9*$C$5</f>
        <v>65</v>
      </c>
      <c r="G9" s="927">
        <f>D9*$D$5</f>
        <v>22</v>
      </c>
      <c r="H9" s="927">
        <f>E9*$E$5</f>
        <v>34</v>
      </c>
      <c r="I9" s="41">
        <f>SUM(F9:H9)</f>
        <v>121</v>
      </c>
      <c r="J9" s="928">
        <f>I9/$I$11*100</f>
        <v>54.260089686098652</v>
      </c>
      <c r="K9" s="231">
        <f>$K$4*J9/100</f>
        <v>4875612.4103488978</v>
      </c>
      <c r="L9" s="231">
        <f t="shared" si="2"/>
        <v>5071516.8278670004</v>
      </c>
      <c r="N9" s="14"/>
      <c r="O9" s="120"/>
      <c r="P9" s="14"/>
    </row>
    <row r="10" spans="1:27" ht="23.1" customHeight="1" thickBot="1" x14ac:dyDescent="0.3">
      <c r="A10" s="230" t="s">
        <v>80</v>
      </c>
      <c r="B10" s="927">
        <f>D10+E10</f>
        <v>10</v>
      </c>
      <c r="C10" s="926">
        <f t="shared" si="1"/>
        <v>0</v>
      </c>
      <c r="D10" s="926">
        <f t="shared" si="1"/>
        <v>1</v>
      </c>
      <c r="E10" s="926">
        <f t="shared" si="1"/>
        <v>9</v>
      </c>
      <c r="F10" s="927">
        <f>C10*$C$5</f>
        <v>0</v>
      </c>
      <c r="G10" s="927">
        <f>D10*$D$5</f>
        <v>2</v>
      </c>
      <c r="H10" s="927">
        <f>E10*$E$5</f>
        <v>9</v>
      </c>
      <c r="I10" s="41">
        <f>SUM(F10:H10)</f>
        <v>11</v>
      </c>
      <c r="J10" s="928">
        <f>I10/$I$11*100</f>
        <v>4.9327354260089686</v>
      </c>
      <c r="K10" s="231">
        <f>$K$4*J10/100</f>
        <v>443237.49184989982</v>
      </c>
      <c r="L10" s="894">
        <v>100000</v>
      </c>
      <c r="N10" s="225" t="s">
        <v>559</v>
      </c>
      <c r="O10" s="120"/>
      <c r="P10" s="14"/>
    </row>
    <row r="11" spans="1:27" s="9" customFormat="1" ht="19.5" thickBot="1" x14ac:dyDescent="0.35">
      <c r="A11" s="8"/>
      <c r="B11" s="207">
        <f t="shared" ref="B11:I11" si="3">SUM(B7:B10)</f>
        <v>89</v>
      </c>
      <c r="C11" s="207">
        <f t="shared" si="3"/>
        <v>22</v>
      </c>
      <c r="D11" s="207">
        <f t="shared" si="3"/>
        <v>24</v>
      </c>
      <c r="E11" s="207">
        <f t="shared" si="3"/>
        <v>65</v>
      </c>
      <c r="F11" s="207">
        <f t="shared" si="3"/>
        <v>110</v>
      </c>
      <c r="G11" s="207">
        <f t="shared" si="3"/>
        <v>48</v>
      </c>
      <c r="H11" s="207">
        <f t="shared" si="3"/>
        <v>65</v>
      </c>
      <c r="I11" s="207">
        <f t="shared" si="3"/>
        <v>223</v>
      </c>
      <c r="J11" s="893">
        <f t="shared" ref="J11:L11" si="4">SUM(J7:J10)</f>
        <v>100</v>
      </c>
      <c r="K11" s="61">
        <f t="shared" si="4"/>
        <v>8985632.7893206961</v>
      </c>
      <c r="L11" s="61">
        <f t="shared" si="4"/>
        <v>8985632.7893206943</v>
      </c>
    </row>
    <row r="12" spans="1:27" x14ac:dyDescent="0.25">
      <c r="D12" s="43"/>
      <c r="J12" s="3" t="s">
        <v>351</v>
      </c>
      <c r="K12" s="657">
        <f>K4-K11</f>
        <v>0</v>
      </c>
      <c r="L12" s="657">
        <f>K4-L11</f>
        <v>0</v>
      </c>
      <c r="P12" s="120">
        <v>2465.1270510500699</v>
      </c>
    </row>
    <row r="13" spans="1:27" x14ac:dyDescent="0.25">
      <c r="A13" s="929" t="s">
        <v>651</v>
      </c>
      <c r="B13" s="924"/>
      <c r="C13"/>
      <c r="D13"/>
      <c r="E13"/>
    </row>
    <row r="14" spans="1:27" ht="63" x14ac:dyDescent="0.25">
      <c r="A14" s="227" t="s">
        <v>4</v>
      </c>
      <c r="B14" s="228" t="str">
        <f>B6</f>
        <v xml:space="preserve">Počet dokt. do (stand.+1) celkem
</v>
      </c>
      <c r="C14" s="228" t="str">
        <f>C6</f>
        <v>Počet absolventů za posl. 3 roky</v>
      </c>
      <c r="D14" s="228" t="str">
        <f>D6</f>
        <v>Počet dokt. do standard +1  se 
st. dokt. zk</v>
      </c>
      <c r="E14" s="228" t="str">
        <f>E6</f>
        <v>Počet dokt. do standard +1  bez st. dokt. zk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230" t="s">
        <v>98</v>
      </c>
      <c r="B15" s="927">
        <f>D15+E15</f>
        <v>11</v>
      </c>
      <c r="C15" s="974">
        <v>1</v>
      </c>
      <c r="D15" s="974">
        <v>7</v>
      </c>
      <c r="E15" s="974">
        <v>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230" t="s">
        <v>99</v>
      </c>
      <c r="B16" s="927">
        <f t="shared" ref="B16:B18" si="5">D16+E16</f>
        <v>23</v>
      </c>
      <c r="C16" s="974">
        <v>8</v>
      </c>
      <c r="D16" s="974">
        <v>5</v>
      </c>
      <c r="E16" s="974">
        <v>18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230" t="s">
        <v>100</v>
      </c>
      <c r="B17" s="927">
        <f t="shared" si="5"/>
        <v>33</v>
      </c>
      <c r="C17" s="974">
        <v>13</v>
      </c>
      <c r="D17" s="974">
        <v>8</v>
      </c>
      <c r="E17" s="974">
        <v>25</v>
      </c>
      <c r="N17"/>
      <c r="O17"/>
      <c r="P17"/>
      <c r="Q17"/>
      <c r="R17"/>
      <c r="S17" s="932"/>
      <c r="T17" s="1009" t="str">
        <f>F6</f>
        <v>Počet abs. * Počet bodů</v>
      </c>
      <c r="U17" s="1009" t="str">
        <f>G6</f>
        <v>Počet dokt. se 
st. dokt. zk.* Počet bodů</v>
      </c>
      <c r="V17"/>
      <c r="W17"/>
      <c r="X17"/>
      <c r="Y17"/>
      <c r="Z17"/>
      <c r="AA17"/>
    </row>
    <row r="18" spans="1:27" x14ac:dyDescent="0.25">
      <c r="A18" s="230" t="s">
        <v>652</v>
      </c>
      <c r="B18" s="927">
        <f t="shared" si="5"/>
        <v>0</v>
      </c>
      <c r="C18" s="925">
        <v>0</v>
      </c>
      <c r="D18" s="925">
        <v>0</v>
      </c>
      <c r="E18" s="925">
        <v>0</v>
      </c>
      <c r="N18"/>
      <c r="O18"/>
      <c r="P18"/>
      <c r="Q18"/>
      <c r="R18"/>
      <c r="S18" s="932"/>
      <c r="T18" s="1009"/>
      <c r="U18" s="1009"/>
      <c r="V18"/>
      <c r="W18"/>
      <c r="X18"/>
      <c r="Y18"/>
      <c r="Z18"/>
      <c r="AA18"/>
    </row>
    <row r="19" spans="1:27" ht="18.75" x14ac:dyDescent="0.3">
      <c r="A19" s="8"/>
      <c r="B19" s="207">
        <f>SUM(B15:B17)</f>
        <v>67</v>
      </c>
      <c r="C19" s="207">
        <f>SUM(C15:C18)</f>
        <v>22</v>
      </c>
      <c r="D19" s="207">
        <f>SUM(D15:D18)</f>
        <v>20</v>
      </c>
      <c r="E19" s="207">
        <f>SUM(E15:E18)</f>
        <v>47</v>
      </c>
      <c r="N19"/>
      <c r="O19"/>
      <c r="P19"/>
      <c r="Q19"/>
      <c r="R19"/>
      <c r="S19" s="932"/>
      <c r="T19" s="1009"/>
      <c r="U19" s="1009"/>
      <c r="V19"/>
      <c r="W19"/>
      <c r="X19"/>
      <c r="Y19"/>
      <c r="Z19"/>
      <c r="AA19"/>
    </row>
    <row r="20" spans="1:27" x14ac:dyDescent="0.25">
      <c r="N20"/>
      <c r="O20"/>
      <c r="P20"/>
      <c r="Q20"/>
      <c r="R20"/>
      <c r="S20" s="932"/>
      <c r="T20" s="1009"/>
      <c r="U20" s="1009"/>
      <c r="V20"/>
      <c r="W20"/>
      <c r="X20"/>
      <c r="Y20"/>
      <c r="Z20"/>
      <c r="AA20"/>
    </row>
    <row r="21" spans="1:27" x14ac:dyDescent="0.25">
      <c r="A21" s="929" t="s">
        <v>653</v>
      </c>
      <c r="B21" s="924"/>
      <c r="C21"/>
      <c r="D21"/>
      <c r="E21"/>
      <c r="N21"/>
      <c r="O21"/>
      <c r="P21"/>
      <c r="Q21"/>
      <c r="R21"/>
      <c r="S21" s="932"/>
      <c r="T21" s="1009"/>
      <c r="U21" s="1009"/>
      <c r="V21"/>
      <c r="W21"/>
      <c r="X21"/>
      <c r="Y21"/>
      <c r="Z21"/>
      <c r="AA21"/>
    </row>
    <row r="22" spans="1:27" ht="63" x14ac:dyDescent="0.25">
      <c r="A22" s="227" t="str">
        <f>A15</f>
        <v>ITE, 7620</v>
      </c>
      <c r="B22" s="228" t="str">
        <f>B14</f>
        <v xml:space="preserve">Počet dokt. do (stand.+1) celkem
</v>
      </c>
      <c r="C22" s="228" t="str">
        <f>C14</f>
        <v>Počet absolventů za posl. 3 roky</v>
      </c>
      <c r="D22" s="228" t="str">
        <f>D14</f>
        <v>Počet dokt. do standard +1  se 
st. dokt. zk</v>
      </c>
      <c r="E22" s="228" t="str">
        <f>E14</f>
        <v>Počet dokt. do standard +1  bez st. dokt. zk</v>
      </c>
      <c r="N22"/>
      <c r="O22"/>
      <c r="P22"/>
      <c r="Q22"/>
      <c r="R22"/>
      <c r="S22" s="932"/>
      <c r="T22" s="1009"/>
      <c r="U22" s="1009"/>
      <c r="V22"/>
      <c r="W22"/>
      <c r="X22"/>
      <c r="Y22"/>
      <c r="Z22"/>
      <c r="AA22"/>
    </row>
    <row r="23" spans="1:27" x14ac:dyDescent="0.25">
      <c r="A23" s="230" t="s">
        <v>654</v>
      </c>
      <c r="B23" s="927">
        <f>D23+E23</f>
        <v>0</v>
      </c>
      <c r="C23" s="926">
        <f>S54</f>
        <v>0</v>
      </c>
      <c r="D23" s="926">
        <f>T54</f>
        <v>0</v>
      </c>
      <c r="E23" s="926">
        <f>U54</f>
        <v>0</v>
      </c>
      <c r="N23"/>
      <c r="O23"/>
      <c r="P23"/>
      <c r="Q23"/>
      <c r="R23"/>
      <c r="S23" s="932"/>
      <c r="T23" s="1009"/>
      <c r="U23" s="1009"/>
      <c r="V23"/>
      <c r="W23"/>
      <c r="X23"/>
      <c r="Y23"/>
      <c r="Z23"/>
      <c r="AA23"/>
    </row>
    <row r="24" spans="1:27" x14ac:dyDescent="0.25">
      <c r="A24" s="230" t="s">
        <v>655</v>
      </c>
      <c r="B24" s="927">
        <f t="shared" ref="B24:B26" si="6">D24+E24</f>
        <v>0</v>
      </c>
      <c r="C24" s="926">
        <f t="shared" ref="C24:C25" si="7">S55</f>
        <v>0</v>
      </c>
      <c r="D24" s="926">
        <f t="shared" ref="D24:D25" si="8">T55</f>
        <v>0</v>
      </c>
      <c r="E24" s="926">
        <f t="shared" ref="E24:E25" si="9">U55</f>
        <v>0</v>
      </c>
      <c r="N24"/>
      <c r="O24"/>
      <c r="P24"/>
      <c r="Q24"/>
      <c r="R24"/>
      <c r="S24" s="932"/>
      <c r="T24" s="1009"/>
      <c r="U24" s="1009"/>
      <c r="V24"/>
      <c r="W24"/>
      <c r="X24"/>
      <c r="Y24"/>
      <c r="Z24"/>
      <c r="AA24"/>
    </row>
    <row r="25" spans="1:27" x14ac:dyDescent="0.25">
      <c r="A25" s="230" t="s">
        <v>656</v>
      </c>
      <c r="B25" s="927">
        <f t="shared" si="6"/>
        <v>12</v>
      </c>
      <c r="C25" s="926">
        <f t="shared" si="7"/>
        <v>0</v>
      </c>
      <c r="D25" s="926">
        <f t="shared" si="8"/>
        <v>3</v>
      </c>
      <c r="E25" s="926">
        <f t="shared" si="9"/>
        <v>9</v>
      </c>
      <c r="N25"/>
      <c r="O25"/>
      <c r="P25"/>
      <c r="Q25"/>
      <c r="R25"/>
      <c r="S25" s="932"/>
      <c r="T25" s="1009"/>
      <c r="U25" s="1009"/>
      <c r="V25"/>
      <c r="W25"/>
      <c r="X25"/>
      <c r="Y25"/>
      <c r="Z25"/>
      <c r="AA25"/>
    </row>
    <row r="26" spans="1:27" x14ac:dyDescent="0.25">
      <c r="A26" s="230" t="s">
        <v>657</v>
      </c>
      <c r="B26" s="927">
        <f t="shared" si="6"/>
        <v>10</v>
      </c>
      <c r="C26" s="926">
        <f>S59</f>
        <v>0</v>
      </c>
      <c r="D26" s="926">
        <f>T59</f>
        <v>1</v>
      </c>
      <c r="E26" s="926">
        <f>U59</f>
        <v>9</v>
      </c>
      <c r="N26"/>
      <c r="O26"/>
      <c r="P26"/>
      <c r="Q26"/>
      <c r="R26"/>
      <c r="S26" s="932"/>
      <c r="T26" s="1009"/>
      <c r="U26" s="1009"/>
      <c r="V26"/>
      <c r="W26"/>
      <c r="X26"/>
      <c r="Y26"/>
      <c r="Z26"/>
      <c r="AA26"/>
    </row>
    <row r="27" spans="1:27" ht="18.75" x14ac:dyDescent="0.3">
      <c r="A27"/>
      <c r="B27" s="207">
        <f>SUM(B23:B26)</f>
        <v>22</v>
      </c>
      <c r="C27" s="207">
        <f t="shared" ref="C27:E27" si="10">SUM(C23:C26)</f>
        <v>0</v>
      </c>
      <c r="D27" s="207">
        <f t="shared" si="10"/>
        <v>4</v>
      </c>
      <c r="E27" s="207">
        <f t="shared" si="10"/>
        <v>18</v>
      </c>
      <c r="N27"/>
      <c r="O27"/>
      <c r="P27" s="921" t="s">
        <v>661</v>
      </c>
      <c r="Q27" s="921">
        <v>1</v>
      </c>
      <c r="R27"/>
      <c r="S27" s="932"/>
      <c r="T27" s="1009"/>
      <c r="U27" s="1009"/>
      <c r="V27"/>
      <c r="W27"/>
      <c r="X27"/>
      <c r="Y27"/>
      <c r="Z27"/>
      <c r="AA27"/>
    </row>
    <row r="28" spans="1:27" x14ac:dyDescent="0.25">
      <c r="N28"/>
      <c r="O28"/>
      <c r="P28"/>
      <c r="Q28"/>
      <c r="R28"/>
      <c r="S28" s="932"/>
      <c r="T28" s="1009"/>
      <c r="U28" s="1009"/>
      <c r="V28"/>
      <c r="W28"/>
      <c r="X28"/>
      <c r="Y28"/>
      <c r="Z28"/>
      <c r="AA28"/>
    </row>
    <row r="29" spans="1:27" x14ac:dyDescent="0.25">
      <c r="N29" s="1011" t="s">
        <v>601</v>
      </c>
      <c r="O29" s="1011"/>
      <c r="P29" s="1011"/>
      <c r="Q29" s="1011"/>
      <c r="R29" s="1011"/>
      <c r="S29"/>
      <c r="T29"/>
      <c r="U29"/>
      <c r="V29"/>
      <c r="W29"/>
      <c r="X29"/>
      <c r="Y29"/>
      <c r="Z29"/>
      <c r="AA29"/>
    </row>
    <row r="30" spans="1:27" x14ac:dyDescent="0.25">
      <c r="N30" s="1012" t="s">
        <v>602</v>
      </c>
      <c r="O30" s="1012" t="s">
        <v>603</v>
      </c>
      <c r="P30" s="1013" t="s">
        <v>604</v>
      </c>
      <c r="Q30" s="1013"/>
      <c r="R30" s="1013"/>
      <c r="S30"/>
      <c r="T30"/>
      <c r="U30"/>
      <c r="V30"/>
      <c r="W30" t="s">
        <v>461</v>
      </c>
      <c r="X30" s="1" t="s">
        <v>658</v>
      </c>
      <c r="Y30"/>
      <c r="Z30"/>
      <c r="AA30"/>
    </row>
    <row r="31" spans="1:27" x14ac:dyDescent="0.25">
      <c r="N31" s="1012"/>
      <c r="O31" s="1012"/>
      <c r="P31" s="917" t="s">
        <v>605</v>
      </c>
      <c r="Q31" s="917" t="s">
        <v>606</v>
      </c>
      <c r="R31" s="917" t="s">
        <v>607</v>
      </c>
      <c r="S31"/>
      <c r="T31"/>
      <c r="U31"/>
      <c r="V31"/>
      <c r="W31">
        <f>SUM(W32:W53)</f>
        <v>22</v>
      </c>
      <c r="X31" s="930">
        <f>COUNTIF(N32:N53,"P3942")</f>
        <v>22</v>
      </c>
      <c r="Y31"/>
      <c r="Z31"/>
      <c r="AA31"/>
    </row>
    <row r="32" spans="1:27" x14ac:dyDescent="0.25">
      <c r="N32" s="918" t="s">
        <v>608</v>
      </c>
      <c r="O32" s="918" t="s">
        <v>609</v>
      </c>
      <c r="P32" s="931" t="s">
        <v>610</v>
      </c>
      <c r="Q32" s="931" t="s">
        <v>611</v>
      </c>
      <c r="R32" s="919" t="s">
        <v>550</v>
      </c>
      <c r="S32" s="1009"/>
      <c r="T32" s="921"/>
      <c r="U32" s="921">
        <v>1</v>
      </c>
      <c r="V32"/>
      <c r="W32">
        <f>T32+U32</f>
        <v>1</v>
      </c>
      <c r="X32"/>
      <c r="Y32"/>
      <c r="Z32"/>
      <c r="AA32"/>
    </row>
    <row r="33" spans="14:27" x14ac:dyDescent="0.25">
      <c r="N33" s="918" t="s">
        <v>608</v>
      </c>
      <c r="O33" s="918" t="s">
        <v>612</v>
      </c>
      <c r="P33" s="918" t="s">
        <v>613</v>
      </c>
      <c r="Q33" s="918" t="s">
        <v>105</v>
      </c>
      <c r="R33" s="918" t="s">
        <v>1</v>
      </c>
      <c r="S33" s="1009"/>
      <c r="T33" s="921"/>
      <c r="U33" s="921">
        <v>1</v>
      </c>
      <c r="V33"/>
      <c r="W33">
        <f t="shared" ref="W33:W53" si="11">T33+U33</f>
        <v>1</v>
      </c>
      <c r="X33"/>
      <c r="Y33"/>
      <c r="Z33"/>
      <c r="AA33"/>
    </row>
    <row r="34" spans="14:27" x14ac:dyDescent="0.25">
      <c r="N34" s="918" t="s">
        <v>608</v>
      </c>
      <c r="O34" s="918" t="s">
        <v>614</v>
      </c>
      <c r="P34" s="918" t="s">
        <v>615</v>
      </c>
      <c r="Q34" s="918" t="s">
        <v>105</v>
      </c>
      <c r="R34" s="918" t="s">
        <v>1</v>
      </c>
      <c r="S34" s="1009"/>
      <c r="T34" s="921">
        <v>1</v>
      </c>
      <c r="U34" s="921"/>
      <c r="V34"/>
      <c r="W34">
        <f>T34+U34</f>
        <v>1</v>
      </c>
      <c r="X34"/>
      <c r="Y34"/>
      <c r="Z34"/>
      <c r="AA34"/>
    </row>
    <row r="35" spans="14:27" x14ac:dyDescent="0.25">
      <c r="N35" s="918" t="s">
        <v>608</v>
      </c>
      <c r="O35" s="918" t="s">
        <v>616</v>
      </c>
      <c r="P35" s="918" t="s">
        <v>617</v>
      </c>
      <c r="Q35" s="918" t="s">
        <v>611</v>
      </c>
      <c r="R35" s="918" t="s">
        <v>550</v>
      </c>
      <c r="S35" s="1009"/>
      <c r="T35" s="921"/>
      <c r="U35" s="921">
        <v>1</v>
      </c>
      <c r="V35"/>
      <c r="W35">
        <f t="shared" si="11"/>
        <v>1</v>
      </c>
      <c r="X35"/>
      <c r="Y35"/>
      <c r="Z35"/>
      <c r="AA35"/>
    </row>
    <row r="36" spans="14:27" x14ac:dyDescent="0.25">
      <c r="N36" s="918" t="s">
        <v>608</v>
      </c>
      <c r="O36" s="918" t="s">
        <v>618</v>
      </c>
      <c r="P36" s="918" t="s">
        <v>619</v>
      </c>
      <c r="Q36" s="918" t="s">
        <v>105</v>
      </c>
      <c r="R36" s="918" t="s">
        <v>1</v>
      </c>
      <c r="S36" s="1009"/>
      <c r="T36" s="921">
        <v>1</v>
      </c>
      <c r="U36" s="921"/>
      <c r="V36"/>
      <c r="W36">
        <f t="shared" si="11"/>
        <v>1</v>
      </c>
      <c r="X36"/>
      <c r="Y36"/>
      <c r="Z36"/>
      <c r="AA36"/>
    </row>
    <row r="37" spans="14:27" x14ac:dyDescent="0.25">
      <c r="N37" s="918" t="s">
        <v>608</v>
      </c>
      <c r="O37" s="918" t="s">
        <v>620</v>
      </c>
      <c r="P37" s="918" t="s">
        <v>617</v>
      </c>
      <c r="Q37" s="918" t="s">
        <v>611</v>
      </c>
      <c r="R37" s="918" t="s">
        <v>550</v>
      </c>
      <c r="S37" s="1009"/>
      <c r="T37" s="921"/>
      <c r="U37" s="921">
        <v>1</v>
      </c>
      <c r="V37"/>
      <c r="W37">
        <f t="shared" si="11"/>
        <v>1</v>
      </c>
      <c r="X37"/>
      <c r="Y37"/>
      <c r="Z37"/>
      <c r="AA37"/>
    </row>
    <row r="38" spans="14:27" x14ac:dyDescent="0.25">
      <c r="N38" s="918" t="s">
        <v>608</v>
      </c>
      <c r="O38" s="918" t="s">
        <v>621</v>
      </c>
      <c r="P38" s="918" t="s">
        <v>622</v>
      </c>
      <c r="Q38" s="918" t="s">
        <v>105</v>
      </c>
      <c r="R38" s="918" t="s">
        <v>1</v>
      </c>
      <c r="S38" s="1009"/>
      <c r="T38" s="921"/>
      <c r="U38" s="921">
        <v>1</v>
      </c>
      <c r="V38"/>
      <c r="W38">
        <f t="shared" si="11"/>
        <v>1</v>
      </c>
      <c r="X38"/>
      <c r="Y38"/>
      <c r="Z38"/>
      <c r="AA38"/>
    </row>
    <row r="39" spans="14:27" x14ac:dyDescent="0.25">
      <c r="N39" s="918" t="s">
        <v>608</v>
      </c>
      <c r="O39" s="918" t="s">
        <v>623</v>
      </c>
      <c r="P39" s="918" t="s">
        <v>622</v>
      </c>
      <c r="Q39" s="918" t="s">
        <v>105</v>
      </c>
      <c r="R39" s="918" t="s">
        <v>1</v>
      </c>
      <c r="S39" s="1009"/>
      <c r="T39" s="921"/>
      <c r="U39" s="921">
        <v>1</v>
      </c>
      <c r="V39"/>
      <c r="W39">
        <f t="shared" si="11"/>
        <v>1</v>
      </c>
      <c r="X39"/>
      <c r="Y39"/>
      <c r="Z39"/>
      <c r="AA39"/>
    </row>
    <row r="40" spans="14:27" x14ac:dyDescent="0.25">
      <c r="N40" s="918" t="s">
        <v>608</v>
      </c>
      <c r="O40" s="918" t="s">
        <v>624</v>
      </c>
      <c r="P40" s="918" t="s">
        <v>625</v>
      </c>
      <c r="Q40" s="918" t="s">
        <v>611</v>
      </c>
      <c r="R40" s="918" t="s">
        <v>550</v>
      </c>
      <c r="S40" s="1009"/>
      <c r="T40" s="921"/>
      <c r="U40" s="921">
        <v>1</v>
      </c>
      <c r="V40"/>
      <c r="W40">
        <f t="shared" si="11"/>
        <v>1</v>
      </c>
      <c r="X40"/>
      <c r="Y40"/>
      <c r="Z40"/>
      <c r="AA40"/>
    </row>
    <row r="41" spans="14:27" x14ac:dyDescent="0.25">
      <c r="N41" s="918" t="s">
        <v>608</v>
      </c>
      <c r="O41" s="918" t="s">
        <v>626</v>
      </c>
      <c r="P41" s="918" t="s">
        <v>627</v>
      </c>
      <c r="Q41" s="918" t="s">
        <v>105</v>
      </c>
      <c r="R41" s="918" t="s">
        <v>1</v>
      </c>
      <c r="S41" s="1009"/>
      <c r="T41" s="921"/>
      <c r="U41" s="921">
        <v>1</v>
      </c>
      <c r="V41"/>
      <c r="W41">
        <f t="shared" si="11"/>
        <v>1</v>
      </c>
      <c r="X41"/>
      <c r="Y41"/>
      <c r="Z41"/>
      <c r="AA41"/>
    </row>
    <row r="42" spans="14:27" x14ac:dyDescent="0.25">
      <c r="N42" s="918" t="s">
        <v>608</v>
      </c>
      <c r="O42" s="918" t="s">
        <v>628</v>
      </c>
      <c r="P42" s="918" t="s">
        <v>629</v>
      </c>
      <c r="Q42" s="918" t="s">
        <v>611</v>
      </c>
      <c r="R42" s="918" t="s">
        <v>550</v>
      </c>
      <c r="S42" s="1009"/>
      <c r="T42" s="921">
        <v>1</v>
      </c>
      <c r="U42" s="921"/>
      <c r="V42"/>
      <c r="W42">
        <f t="shared" si="11"/>
        <v>1</v>
      </c>
      <c r="X42"/>
      <c r="Y42"/>
      <c r="Z42"/>
      <c r="AA42"/>
    </row>
    <row r="43" spans="14:27" x14ac:dyDescent="0.25">
      <c r="N43" s="918" t="s">
        <v>608</v>
      </c>
      <c r="O43" s="918" t="s">
        <v>630</v>
      </c>
      <c r="P43" s="918" t="s">
        <v>622</v>
      </c>
      <c r="Q43" s="918" t="s">
        <v>105</v>
      </c>
      <c r="R43" s="918" t="s">
        <v>1</v>
      </c>
      <c r="S43" s="1009"/>
      <c r="T43" s="921"/>
      <c r="U43" s="921">
        <v>1</v>
      </c>
      <c r="V43"/>
      <c r="W43">
        <f t="shared" si="11"/>
        <v>1</v>
      </c>
      <c r="X43"/>
      <c r="Y43"/>
      <c r="Z43"/>
      <c r="AA43"/>
    </row>
    <row r="44" spans="14:27" x14ac:dyDescent="0.25">
      <c r="N44" s="918" t="s">
        <v>608</v>
      </c>
      <c r="O44" s="918" t="s">
        <v>631</v>
      </c>
      <c r="P44" s="918" t="s">
        <v>629</v>
      </c>
      <c r="Q44" s="918" t="s">
        <v>611</v>
      </c>
      <c r="R44" s="918" t="s">
        <v>550</v>
      </c>
      <c r="S44" s="1010" t="s">
        <v>33</v>
      </c>
      <c r="T44" s="921"/>
      <c r="U44" s="921">
        <v>1</v>
      </c>
      <c r="V44"/>
      <c r="W44">
        <f t="shared" si="11"/>
        <v>1</v>
      </c>
      <c r="X44"/>
      <c r="Y44"/>
      <c r="Z44"/>
      <c r="AA44"/>
    </row>
    <row r="45" spans="14:27" x14ac:dyDescent="0.25">
      <c r="N45" s="918" t="s">
        <v>608</v>
      </c>
      <c r="O45" s="918" t="s">
        <v>632</v>
      </c>
      <c r="P45" s="918" t="s">
        <v>633</v>
      </c>
      <c r="Q45" s="918" t="s">
        <v>105</v>
      </c>
      <c r="R45" s="918" t="s">
        <v>1</v>
      </c>
      <c r="S45" s="1010"/>
      <c r="T45" s="921"/>
      <c r="U45" s="921">
        <v>1</v>
      </c>
      <c r="V45"/>
      <c r="W45">
        <f t="shared" si="11"/>
        <v>1</v>
      </c>
      <c r="X45"/>
      <c r="Y45"/>
      <c r="Z45"/>
      <c r="AA45"/>
    </row>
    <row r="46" spans="14:27" x14ac:dyDescent="0.25">
      <c r="N46" s="918" t="s">
        <v>608</v>
      </c>
      <c r="O46" s="918" t="s">
        <v>634</v>
      </c>
      <c r="P46" s="918" t="s">
        <v>635</v>
      </c>
      <c r="Q46" s="918" t="s">
        <v>105</v>
      </c>
      <c r="R46" s="918" t="s">
        <v>1</v>
      </c>
      <c r="S46" s="1010"/>
      <c r="T46" s="921">
        <v>1</v>
      </c>
      <c r="U46" s="921"/>
      <c r="V46"/>
      <c r="W46">
        <f t="shared" si="11"/>
        <v>1</v>
      </c>
      <c r="X46"/>
      <c r="Y46"/>
      <c r="Z46"/>
      <c r="AA46"/>
    </row>
    <row r="47" spans="14:27" x14ac:dyDescent="0.25">
      <c r="N47" s="918" t="s">
        <v>608</v>
      </c>
      <c r="O47" s="918" t="s">
        <v>636</v>
      </c>
      <c r="P47" s="918" t="s">
        <v>637</v>
      </c>
      <c r="Q47" s="918" t="s">
        <v>638</v>
      </c>
      <c r="R47" s="918" t="s">
        <v>639</v>
      </c>
      <c r="S47" s="1010"/>
      <c r="T47" s="921"/>
      <c r="U47" s="921">
        <v>1</v>
      </c>
      <c r="V47"/>
      <c r="W47">
        <f t="shared" si="11"/>
        <v>1</v>
      </c>
      <c r="X47"/>
      <c r="Y47"/>
      <c r="Z47"/>
      <c r="AA47"/>
    </row>
    <row r="48" spans="14:27" x14ac:dyDescent="0.25">
      <c r="N48" s="918" t="s">
        <v>608</v>
      </c>
      <c r="O48" s="918" t="s">
        <v>640</v>
      </c>
      <c r="P48" s="918" t="s">
        <v>641</v>
      </c>
      <c r="Q48" s="918" t="s">
        <v>611</v>
      </c>
      <c r="R48" s="918" t="s">
        <v>550</v>
      </c>
      <c r="S48" s="1010"/>
      <c r="T48" s="921"/>
      <c r="U48" s="921">
        <v>1</v>
      </c>
      <c r="V48"/>
      <c r="W48">
        <f t="shared" si="11"/>
        <v>1</v>
      </c>
      <c r="X48"/>
      <c r="Y48"/>
      <c r="Z48"/>
      <c r="AA48"/>
    </row>
    <row r="49" spans="14:27" x14ac:dyDescent="0.25">
      <c r="N49" s="918" t="s">
        <v>608</v>
      </c>
      <c r="O49" s="918" t="s">
        <v>642</v>
      </c>
      <c r="P49" s="918" t="s">
        <v>643</v>
      </c>
      <c r="Q49" s="918" t="s">
        <v>611</v>
      </c>
      <c r="R49" s="918" t="s">
        <v>550</v>
      </c>
      <c r="S49" s="1010"/>
      <c r="T49" s="921"/>
      <c r="U49" s="921">
        <v>1</v>
      </c>
      <c r="V49"/>
      <c r="W49">
        <f t="shared" si="11"/>
        <v>1</v>
      </c>
      <c r="X49"/>
      <c r="Y49"/>
      <c r="Z49"/>
      <c r="AA49"/>
    </row>
    <row r="50" spans="14:27" x14ac:dyDescent="0.25">
      <c r="N50" s="918" t="s">
        <v>608</v>
      </c>
      <c r="O50" s="918" t="s">
        <v>644</v>
      </c>
      <c r="P50" s="918" t="s">
        <v>633</v>
      </c>
      <c r="Q50" s="918" t="s">
        <v>105</v>
      </c>
      <c r="R50" s="918" t="s">
        <v>1</v>
      </c>
      <c r="S50" s="1010"/>
      <c r="T50" s="921"/>
      <c r="U50" s="921">
        <v>1</v>
      </c>
      <c r="V50"/>
      <c r="W50">
        <f t="shared" si="11"/>
        <v>1</v>
      </c>
      <c r="X50"/>
      <c r="Y50"/>
      <c r="Z50"/>
      <c r="AA50"/>
    </row>
    <row r="51" spans="14:27" x14ac:dyDescent="0.25">
      <c r="N51" s="918" t="s">
        <v>608</v>
      </c>
      <c r="O51" s="918" t="s">
        <v>645</v>
      </c>
      <c r="P51" s="918" t="s">
        <v>646</v>
      </c>
      <c r="Q51" s="918" t="s">
        <v>105</v>
      </c>
      <c r="R51" s="918" t="s">
        <v>1</v>
      </c>
      <c r="S51" s="1010"/>
      <c r="T51" s="921"/>
      <c r="U51" s="921">
        <v>1</v>
      </c>
      <c r="V51"/>
      <c r="W51">
        <f t="shared" si="11"/>
        <v>1</v>
      </c>
      <c r="X51"/>
      <c r="Y51"/>
      <c r="Z51"/>
      <c r="AA51"/>
    </row>
    <row r="52" spans="14:27" x14ac:dyDescent="0.25">
      <c r="N52" s="918" t="s">
        <v>608</v>
      </c>
      <c r="O52" s="918" t="s">
        <v>647</v>
      </c>
      <c r="P52" s="918" t="s">
        <v>648</v>
      </c>
      <c r="Q52" s="918" t="s">
        <v>105</v>
      </c>
      <c r="R52" s="918" t="s">
        <v>1</v>
      </c>
      <c r="S52" s="1010"/>
      <c r="T52" s="921"/>
      <c r="U52" s="921">
        <v>1</v>
      </c>
      <c r="V52"/>
      <c r="W52">
        <f t="shared" si="11"/>
        <v>1</v>
      </c>
      <c r="X52"/>
      <c r="Y52"/>
      <c r="Z52"/>
      <c r="AA52"/>
    </row>
    <row r="53" spans="14:27" x14ac:dyDescent="0.25">
      <c r="N53" s="918" t="s">
        <v>608</v>
      </c>
      <c r="O53" s="918" t="s">
        <v>649</v>
      </c>
      <c r="P53" s="918" t="s">
        <v>625</v>
      </c>
      <c r="Q53" s="918" t="s">
        <v>611</v>
      </c>
      <c r="R53" s="918" t="s">
        <v>550</v>
      </c>
      <c r="S53" s="1010"/>
      <c r="T53" s="921"/>
      <c r="U53" s="921">
        <v>1</v>
      </c>
      <c r="V53"/>
      <c r="W53">
        <f t="shared" si="11"/>
        <v>1</v>
      </c>
      <c r="X53"/>
      <c r="Y53"/>
      <c r="Z53"/>
      <c r="AA53"/>
    </row>
    <row r="54" spans="14:27" x14ac:dyDescent="0.25">
      <c r="N54"/>
      <c r="O54"/>
      <c r="P54"/>
      <c r="Q54" s="922" t="s">
        <v>105</v>
      </c>
      <c r="R54" s="922" t="s">
        <v>3</v>
      </c>
      <c r="S54" s="921">
        <v>0</v>
      </c>
      <c r="T54" s="920">
        <f>SUMIFS($T$32:$T$53,$Q$32:$Q$53,Q54,$R$32:$R$53,R54)</f>
        <v>0</v>
      </c>
      <c r="U54" s="920">
        <f>SUMIFS($U$32:$U$53,$Q$32:$Q$53,Q54,$R$32:$R$53,R54)</f>
        <v>0</v>
      </c>
      <c r="V54"/>
      <c r="W54"/>
      <c r="X54"/>
      <c r="Y54"/>
      <c r="Z54"/>
      <c r="AA54"/>
    </row>
    <row r="55" spans="14:27" x14ac:dyDescent="0.25">
      <c r="N55"/>
      <c r="O55"/>
      <c r="P55"/>
      <c r="Q55" s="922" t="s">
        <v>105</v>
      </c>
      <c r="R55" s="922" t="s">
        <v>2</v>
      </c>
      <c r="S55" s="921">
        <v>0</v>
      </c>
      <c r="T55" s="920">
        <f>SUMIFS($T$32:$T$53,$Q$32:$Q$53,Q55,$R$32:$R$53,R55)</f>
        <v>0</v>
      </c>
      <c r="U55" s="920">
        <f>SUMIFS($U$32:$U$53,$Q$32:$Q$53,Q55,$R$32:$R$53,R55)</f>
        <v>0</v>
      </c>
      <c r="V55"/>
      <c r="W55"/>
      <c r="X55"/>
      <c r="Y55"/>
      <c r="Z55"/>
      <c r="AA55"/>
    </row>
    <row r="56" spans="14:27" x14ac:dyDescent="0.25">
      <c r="N56"/>
      <c r="O56"/>
      <c r="P56" s="923" t="s">
        <v>650</v>
      </c>
      <c r="Q56" s="922" t="s">
        <v>105</v>
      </c>
      <c r="R56" s="922" t="s">
        <v>1</v>
      </c>
      <c r="S56" s="921">
        <v>0</v>
      </c>
      <c r="T56" s="920">
        <f>SUMIFS($T$32:$T$53,$Q$32:$Q$53,Q56,$R$32:$R$53,R56)</f>
        <v>3</v>
      </c>
      <c r="U56" s="920">
        <f>SUMIFS($U$32:$U$53,$Q$32:$Q$53,Q56,$R$32:$R$53,R56)</f>
        <v>9</v>
      </c>
      <c r="V56"/>
      <c r="W56"/>
      <c r="X56"/>
      <c r="Y56"/>
      <c r="Z56"/>
      <c r="AA56"/>
    </row>
    <row r="57" spans="14:27" ht="18" customHeight="1" x14ac:dyDescent="0.25">
      <c r="N57"/>
      <c r="O57"/>
      <c r="P57" s="923"/>
      <c r="Q57" s="922" t="s">
        <v>611</v>
      </c>
      <c r="R57" s="922" t="s">
        <v>550</v>
      </c>
      <c r="S57" s="921">
        <v>0</v>
      </c>
      <c r="T57" s="920">
        <f>SUMIFS($T$32:$T$53,$Q$32:$Q$53,Q57,$R$32:$R$53,R57)</f>
        <v>1</v>
      </c>
      <c r="U57" s="920">
        <f>SUMIFS($U$32:$U$53,$Q$32:$Q$53,Q57,$R$32:$R$53,R57)</f>
        <v>8</v>
      </c>
      <c r="V57"/>
      <c r="W57"/>
      <c r="X57"/>
      <c r="Y57"/>
      <c r="Z57"/>
      <c r="AA57"/>
    </row>
    <row r="58" spans="14:27" x14ac:dyDescent="0.25">
      <c r="N58"/>
      <c r="O58"/>
      <c r="P58"/>
      <c r="Q58" s="922" t="s">
        <v>638</v>
      </c>
      <c r="R58" s="922" t="s">
        <v>639</v>
      </c>
      <c r="S58" s="921">
        <v>0</v>
      </c>
      <c r="T58" s="920">
        <f>SUMIFS($T$32:$T$53,$Q$32:$Q$53,Q58,$R$32:$R$53,R58)</f>
        <v>0</v>
      </c>
      <c r="U58" s="920">
        <f>SUMIFS($U$32:$U$53,$Q$32:$Q$53,Q58,$R$32:$R$53,R58)</f>
        <v>1</v>
      </c>
      <c r="V58"/>
      <c r="W58"/>
      <c r="X58"/>
      <c r="Y58"/>
      <c r="Z58"/>
      <c r="AA58"/>
    </row>
    <row r="59" spans="14:27" x14ac:dyDescent="0.25">
      <c r="N59"/>
      <c r="O59"/>
      <c r="P59"/>
      <c r="Q59" s="933" t="s">
        <v>105</v>
      </c>
      <c r="R59" s="933" t="s">
        <v>9</v>
      </c>
      <c r="S59" s="934">
        <f>S57+S58</f>
        <v>0</v>
      </c>
      <c r="T59" s="935">
        <f>T57+T58</f>
        <v>1</v>
      </c>
      <c r="U59" s="935">
        <f>U57+U58</f>
        <v>9</v>
      </c>
      <c r="V59"/>
      <c r="W59"/>
      <c r="X59"/>
      <c r="Y59"/>
      <c r="Z59"/>
      <c r="AA59"/>
    </row>
    <row r="60" spans="14:27" x14ac:dyDescent="0.25">
      <c r="N60"/>
      <c r="O60"/>
      <c r="P60"/>
      <c r="V60"/>
      <c r="W60"/>
      <c r="X60"/>
      <c r="Y60"/>
      <c r="Z60"/>
      <c r="AA60"/>
    </row>
    <row r="61" spans="14:27" x14ac:dyDescent="0.25"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4:27" x14ac:dyDescent="0.25"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4:27" x14ac:dyDescent="0.25"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4:27" x14ac:dyDescent="0.25"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4:27" x14ac:dyDescent="0.25"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4:27" x14ac:dyDescent="0.25"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4:27" x14ac:dyDescent="0.25"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4:27" x14ac:dyDescent="0.25"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4:27" x14ac:dyDescent="0.25"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</sheetData>
  <mergeCells count="9">
    <mergeCell ref="C4:E4"/>
    <mergeCell ref="S32:S43"/>
    <mergeCell ref="S44:S53"/>
    <mergeCell ref="T17:T28"/>
    <mergeCell ref="U17:U28"/>
    <mergeCell ref="N29:R29"/>
    <mergeCell ref="N30:N31"/>
    <mergeCell ref="O30:O31"/>
    <mergeCell ref="P30:R30"/>
  </mergeCells>
  <phoneticPr fontId="0" type="noConversion"/>
  <conditionalFormatting sqref="W31">
    <cfRule type="expression" dxfId="0" priority="1">
      <formula>$W$31&lt;&gt;$X$31</formula>
    </cfRule>
  </conditionalFormatting>
  <printOptions gridLines="1"/>
  <pageMargins left="0.19685039370078741" right="0" top="0.98425196850393704" bottom="0.98425196850393704" header="0.51181102362204722" footer="0.51181102362204722"/>
  <pageSetup paperSize="9" scale="97" orientation="landscape" r:id="rId1"/>
  <headerFooter alignWithMargins="0">
    <oddHeader>&amp;L&amp;Z&amp;F&amp;RList: 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8"/>
  <sheetViews>
    <sheetView workbookViewId="0">
      <selection activeCell="I14" sqref="I14"/>
    </sheetView>
  </sheetViews>
  <sheetFormatPr defaultColWidth="9.140625" defaultRowHeight="12.75" x14ac:dyDescent="0.2"/>
  <cols>
    <col min="1" max="1" width="12" style="42" customWidth="1"/>
    <col min="2" max="2" width="10.85546875" style="42" customWidth="1"/>
    <col min="3" max="3" width="11.28515625" style="42" customWidth="1"/>
    <col min="4" max="4" width="26.85546875" style="42" customWidth="1"/>
    <col min="5" max="5" width="16.85546875" style="42" customWidth="1"/>
    <col min="6" max="6" width="12.140625" style="42" customWidth="1"/>
    <col min="7" max="7" width="11.5703125" style="42" customWidth="1"/>
    <col min="8" max="8" width="11.42578125" style="42" bestFit="1" customWidth="1"/>
    <col min="9" max="9" width="13.85546875" style="42" customWidth="1"/>
    <col min="10" max="10" width="2.85546875" style="42" customWidth="1"/>
    <col min="11" max="11" width="9.85546875" style="42" customWidth="1"/>
    <col min="12" max="12" width="10" style="42" customWidth="1"/>
    <col min="13" max="15" width="2.7109375" style="42" customWidth="1"/>
    <col min="16" max="16" width="9.140625" style="42"/>
    <col min="17" max="17" width="5.5703125" style="42" bestFit="1" customWidth="1"/>
    <col min="18" max="18" width="5.85546875" style="42" customWidth="1"/>
    <col min="19" max="16384" width="9.140625" style="42"/>
  </cols>
  <sheetData>
    <row r="1" spans="1:23" ht="16.5" x14ac:dyDescent="0.25">
      <c r="A1" s="51" t="s">
        <v>274</v>
      </c>
      <c r="B1" s="3"/>
      <c r="C1" s="3"/>
      <c r="D1" s="3"/>
      <c r="E1" s="3"/>
      <c r="F1" s="4">
        <v>2021</v>
      </c>
      <c r="G1" s="3"/>
      <c r="H1" s="3"/>
      <c r="I1" s="5"/>
      <c r="J1" s="5"/>
      <c r="K1" s="5"/>
      <c r="L1" s="225"/>
    </row>
    <row r="2" spans="1:23" ht="16.5" x14ac:dyDescent="0.25">
      <c r="A2" s="63" t="s">
        <v>447</v>
      </c>
      <c r="B2" s="3"/>
      <c r="C2" s="3"/>
      <c r="D2" s="3"/>
      <c r="E2" s="3"/>
      <c r="H2" s="3"/>
      <c r="I2" s="5"/>
      <c r="J2" s="5"/>
      <c r="K2" s="5"/>
      <c r="L2" s="1"/>
      <c r="N2" s="331"/>
    </row>
    <row r="3" spans="1:23" ht="15.75" x14ac:dyDescent="0.25">
      <c r="A3" s="1"/>
      <c r="B3" s="3"/>
      <c r="C3" s="3"/>
      <c r="D3" s="3"/>
      <c r="E3" s="3"/>
      <c r="F3" s="3"/>
      <c r="G3" s="3"/>
      <c r="H3" s="3"/>
      <c r="I3" s="5"/>
      <c r="J3" s="5"/>
      <c r="K3" s="5"/>
      <c r="L3" s="1"/>
    </row>
    <row r="4" spans="1:23" ht="15.75" x14ac:dyDescent="0.25">
      <c r="A4" s="2"/>
      <c r="B4" s="3"/>
      <c r="C4" s="3"/>
      <c r="D4" s="1008" t="s">
        <v>246</v>
      </c>
      <c r="E4" s="1008"/>
      <c r="F4" s="3"/>
      <c r="G4" s="3"/>
      <c r="H4" s="3"/>
      <c r="I4" s="5"/>
      <c r="J4" s="5"/>
      <c r="K4" s="5"/>
      <c r="L4" s="1"/>
    </row>
    <row r="5" spans="1:23" ht="15.75" x14ac:dyDescent="0.25">
      <c r="A5" s="2"/>
      <c r="B5" s="3"/>
      <c r="C5" s="3"/>
      <c r="D5" s="233">
        <v>40000</v>
      </c>
      <c r="E5" s="333">
        <v>50000</v>
      </c>
      <c r="F5" s="331" t="s">
        <v>568</v>
      </c>
      <c r="H5" s="3"/>
      <c r="I5" s="5"/>
      <c r="J5" s="5"/>
      <c r="K5" s="5"/>
      <c r="L5" s="1"/>
    </row>
    <row r="6" spans="1:23" s="299" customFormat="1" ht="47.25" x14ac:dyDescent="0.2">
      <c r="A6" s="227" t="s">
        <v>4</v>
      </c>
      <c r="B6" s="228" t="s">
        <v>179</v>
      </c>
      <c r="C6" s="228" t="s">
        <v>180</v>
      </c>
      <c r="D6" s="228" t="s">
        <v>181</v>
      </c>
      <c r="E6" s="228" t="s">
        <v>182</v>
      </c>
      <c r="F6" s="228" t="s">
        <v>251</v>
      </c>
      <c r="G6" s="228" t="s">
        <v>252</v>
      </c>
      <c r="H6" s="227" t="s">
        <v>6</v>
      </c>
      <c r="I6" s="229" t="s">
        <v>5</v>
      </c>
      <c r="J6" s="234"/>
      <c r="K6" s="300" t="s">
        <v>249</v>
      </c>
      <c r="L6" s="238" t="s">
        <v>250</v>
      </c>
    </row>
    <row r="7" spans="1:23" ht="15.75" x14ac:dyDescent="0.25">
      <c r="A7" s="230" t="s">
        <v>98</v>
      </c>
      <c r="B7" s="26">
        <v>1</v>
      </c>
      <c r="C7" s="26">
        <v>4</v>
      </c>
      <c r="D7" s="191">
        <v>0</v>
      </c>
      <c r="E7" s="191">
        <v>1</v>
      </c>
      <c r="F7" s="5">
        <f>D7*$D$5</f>
        <v>0</v>
      </c>
      <c r="G7" s="5">
        <f>E7*$E$5</f>
        <v>50000</v>
      </c>
      <c r="H7" s="190">
        <f>(F7+G7)/$H$10</f>
        <v>0.29411764705882354</v>
      </c>
      <c r="I7" s="231">
        <f>F7+G7</f>
        <v>50000</v>
      </c>
      <c r="J7" s="120"/>
      <c r="K7" s="235">
        <f>H7*$I$15</f>
        <v>25000</v>
      </c>
      <c r="L7" s="1">
        <f>H7*$I$16</f>
        <v>25000</v>
      </c>
    </row>
    <row r="8" spans="1:23" ht="15.75" x14ac:dyDescent="0.25">
      <c r="A8" s="230" t="s">
        <v>99</v>
      </c>
      <c r="B8" s="26">
        <v>9</v>
      </c>
      <c r="C8" s="26">
        <v>4</v>
      </c>
      <c r="D8" s="191">
        <v>0</v>
      </c>
      <c r="E8" s="191">
        <v>0</v>
      </c>
      <c r="F8" s="5">
        <f>D8*$D$5</f>
        <v>0</v>
      </c>
      <c r="G8" s="5">
        <f>E8*$E$5</f>
        <v>0</v>
      </c>
      <c r="H8" s="190">
        <f>(F8+G8)/$H$10</f>
        <v>0</v>
      </c>
      <c r="I8" s="231">
        <f>F8+G8</f>
        <v>0</v>
      </c>
      <c r="J8" s="120"/>
      <c r="K8" s="235">
        <f>H8*$I$15</f>
        <v>0</v>
      </c>
      <c r="L8" s="235">
        <f>H8*$I$16</f>
        <v>0</v>
      </c>
    </row>
    <row r="9" spans="1:23" ht="16.5" thickBot="1" x14ac:dyDescent="0.3">
      <c r="A9" s="230" t="s">
        <v>100</v>
      </c>
      <c r="B9" s="26">
        <v>14</v>
      </c>
      <c r="C9" s="26">
        <v>5</v>
      </c>
      <c r="D9" s="191">
        <v>3</v>
      </c>
      <c r="E9" s="191">
        <v>0</v>
      </c>
      <c r="F9" s="5">
        <f>D9*$D$5</f>
        <v>120000</v>
      </c>
      <c r="G9" s="5">
        <f>E9*$E$5</f>
        <v>0</v>
      </c>
      <c r="H9" s="190">
        <f>(F9+G9)/$H$10</f>
        <v>0.70588235294117652</v>
      </c>
      <c r="I9" s="231">
        <f>F9+G9</f>
        <v>120000</v>
      </c>
      <c r="J9" s="120"/>
      <c r="K9" s="235">
        <f>H9*$I$15</f>
        <v>60000.000000000007</v>
      </c>
      <c r="L9" s="235">
        <f>H9*$I$16</f>
        <v>60000.000000000007</v>
      </c>
    </row>
    <row r="10" spans="1:23" ht="19.5" thickBot="1" x14ac:dyDescent="0.35">
      <c r="A10" s="8"/>
      <c r="B10" s="207">
        <f t="shared" ref="B10:G10" si="0">SUM(B7:B9)</f>
        <v>24</v>
      </c>
      <c r="C10" s="207">
        <f t="shared" si="0"/>
        <v>13</v>
      </c>
      <c r="D10" s="207">
        <f t="shared" si="0"/>
        <v>3</v>
      </c>
      <c r="E10" s="207">
        <f t="shared" si="0"/>
        <v>1</v>
      </c>
      <c r="F10" s="208">
        <f t="shared" si="0"/>
        <v>120000</v>
      </c>
      <c r="G10" s="208">
        <f t="shared" si="0"/>
        <v>50000</v>
      </c>
      <c r="H10" s="236">
        <f>F10+G10</f>
        <v>170000</v>
      </c>
      <c r="I10" s="302">
        <f>SUM(I7:I9)</f>
        <v>170000</v>
      </c>
      <c r="J10" s="62"/>
      <c r="K10" s="62"/>
      <c r="L10" s="237"/>
    </row>
    <row r="11" spans="1:23" ht="15.75" x14ac:dyDescent="0.25">
      <c r="A11" s="2"/>
      <c r="B11" s="3"/>
      <c r="C11" s="3"/>
      <c r="D11" s="3"/>
      <c r="E11" s="43"/>
      <c r="F11" s="3"/>
      <c r="G11" s="3"/>
      <c r="H11" s="3"/>
      <c r="I11" s="5"/>
      <c r="J11" s="5"/>
      <c r="K11" s="5"/>
      <c r="L11" s="1"/>
    </row>
    <row r="12" spans="1:23" s="402" customFormat="1" ht="15.75" x14ac:dyDescent="0.25">
      <c r="C12" s="403"/>
      <c r="D12" s="404"/>
      <c r="E12" s="404"/>
    </row>
    <row r="13" spans="1:23" s="402" customFormat="1" ht="15.75" x14ac:dyDescent="0.25">
      <c r="D13" s="404"/>
      <c r="E13" s="404"/>
    </row>
    <row r="14" spans="1:23" s="405" customFormat="1" ht="15.75" x14ac:dyDescent="0.25">
      <c r="H14" s="406" t="s">
        <v>191</v>
      </c>
      <c r="I14" s="603">
        <v>0.5</v>
      </c>
    </row>
    <row r="15" spans="1:23" s="405" customFormat="1" ht="15.75" x14ac:dyDescent="0.25">
      <c r="G15" s="407"/>
      <c r="H15" s="408" t="s">
        <v>192</v>
      </c>
      <c r="I15" s="409">
        <f>I10*I14</f>
        <v>85000</v>
      </c>
      <c r="P15" s="1" t="s">
        <v>221</v>
      </c>
    </row>
    <row r="16" spans="1:23" s="405" customFormat="1" ht="16.5" thickBot="1" x14ac:dyDescent="0.3">
      <c r="G16" s="407"/>
      <c r="H16" s="408" t="s">
        <v>193</v>
      </c>
      <c r="I16" s="409">
        <f>I10*(1-I14)</f>
        <v>85000</v>
      </c>
      <c r="P16" s="542" t="s">
        <v>297</v>
      </c>
      <c r="Q16" s="419"/>
      <c r="R16" s="495"/>
      <c r="S16" s="419"/>
      <c r="T16" s="419"/>
      <c r="U16" s="419"/>
      <c r="V16" s="419"/>
      <c r="W16" s="419"/>
    </row>
    <row r="17" spans="1:23" s="402" customFormat="1" ht="20.25" thickBot="1" x14ac:dyDescent="0.4">
      <c r="I17" s="410">
        <f>SUM(I15:I16)</f>
        <v>170000</v>
      </c>
      <c r="P17" s="420"/>
      <c r="Q17" s="541">
        <v>2020</v>
      </c>
      <c r="R17" s="496">
        <v>1</v>
      </c>
      <c r="S17" s="541" t="s">
        <v>590</v>
      </c>
      <c r="T17" s="420"/>
      <c r="U17" s="420"/>
      <c r="V17" s="420"/>
      <c r="W17" s="420"/>
    </row>
    <row r="18" spans="1:23" x14ac:dyDescent="0.2">
      <c r="A18" s="904" t="s">
        <v>591</v>
      </c>
      <c r="P18" s="421"/>
      <c r="Q18" s="541">
        <v>2019</v>
      </c>
      <c r="R18" s="496">
        <v>0</v>
      </c>
      <c r="S18" s="420"/>
      <c r="T18" s="421"/>
      <c r="U18" s="421"/>
      <c r="V18" s="421"/>
      <c r="W18" s="421"/>
    </row>
    <row r="19" spans="1:23" x14ac:dyDescent="0.2">
      <c r="A19" s="42" t="s">
        <v>962</v>
      </c>
      <c r="P19" s="421"/>
      <c r="Q19" s="702">
        <v>2018</v>
      </c>
      <c r="R19" s="701">
        <v>0</v>
      </c>
      <c r="S19" s="702"/>
      <c r="T19" s="700"/>
      <c r="U19" s="700"/>
      <c r="V19" s="700"/>
      <c r="W19" s="700"/>
    </row>
    <row r="20" spans="1:23" x14ac:dyDescent="0.2">
      <c r="P20" s="421"/>
      <c r="Q20" s="420">
        <v>2017</v>
      </c>
      <c r="R20" s="584">
        <v>0</v>
      </c>
      <c r="S20" s="541"/>
      <c r="T20" s="421"/>
      <c r="U20" s="421"/>
      <c r="V20" s="421"/>
      <c r="W20" s="421"/>
    </row>
    <row r="21" spans="1:23" x14ac:dyDescent="0.2">
      <c r="P21" s="421"/>
      <c r="Q21" s="421"/>
      <c r="R21" s="496"/>
      <c r="S21" s="421"/>
      <c r="T21" s="421"/>
      <c r="U21" s="421"/>
      <c r="V21" s="421"/>
      <c r="W21" s="421"/>
    </row>
    <row r="22" spans="1:23" x14ac:dyDescent="0.2">
      <c r="P22" s="421"/>
      <c r="Q22" s="421"/>
      <c r="R22" s="496"/>
      <c r="S22" s="421"/>
      <c r="T22" s="421"/>
      <c r="U22" s="421"/>
      <c r="V22" s="421"/>
      <c r="W22" s="421"/>
    </row>
    <row r="23" spans="1:23" ht="15.75" x14ac:dyDescent="0.25">
      <c r="P23" s="542" t="s">
        <v>298</v>
      </c>
      <c r="Q23" s="421"/>
      <c r="R23" s="496"/>
      <c r="S23" s="421"/>
      <c r="T23" s="421"/>
      <c r="U23" s="421"/>
      <c r="V23" s="421"/>
      <c r="W23" s="421"/>
    </row>
    <row r="24" spans="1:23" x14ac:dyDescent="0.2">
      <c r="P24" s="421"/>
      <c r="Q24" s="541">
        <v>2020</v>
      </c>
      <c r="R24" s="496">
        <v>0</v>
      </c>
      <c r="S24" s="541"/>
      <c r="T24" s="541"/>
      <c r="U24" s="541"/>
      <c r="V24" s="541"/>
      <c r="W24" s="421"/>
    </row>
    <row r="25" spans="1:23" ht="15.75" x14ac:dyDescent="0.25">
      <c r="D25" s="1"/>
      <c r="P25" s="421"/>
      <c r="Q25" s="541">
        <v>2019</v>
      </c>
      <c r="R25" s="496">
        <v>1</v>
      </c>
      <c r="S25" s="541" t="s">
        <v>441</v>
      </c>
      <c r="T25" s="541"/>
      <c r="U25" s="541"/>
      <c r="V25" s="541"/>
      <c r="W25" s="421"/>
    </row>
    <row r="26" spans="1:23" ht="15.75" x14ac:dyDescent="0.25">
      <c r="D26" s="1"/>
      <c r="P26" s="421"/>
      <c r="Q26" s="541">
        <v>2018</v>
      </c>
      <c r="R26" s="496">
        <v>2</v>
      </c>
      <c r="S26" s="903" t="s">
        <v>336</v>
      </c>
      <c r="T26" s="702"/>
      <c r="U26" s="702"/>
      <c r="V26" s="702"/>
      <c r="W26" s="700"/>
    </row>
    <row r="27" spans="1:23" x14ac:dyDescent="0.2">
      <c r="P27" s="420"/>
      <c r="Q27" s="420">
        <v>2017</v>
      </c>
      <c r="R27" s="584">
        <v>0</v>
      </c>
      <c r="S27" s="541"/>
      <c r="T27" s="421"/>
      <c r="U27" s="421"/>
      <c r="V27" s="420"/>
      <c r="W27" s="420"/>
    </row>
    <row r="28" spans="1:23" x14ac:dyDescent="0.2">
      <c r="P28" s="420"/>
      <c r="Q28" s="420"/>
      <c r="R28" s="584"/>
      <c r="S28" s="420"/>
      <c r="T28" s="420"/>
      <c r="U28" s="420"/>
      <c r="V28" s="420"/>
      <c r="W28" s="420"/>
    </row>
  </sheetData>
  <mergeCells count="1">
    <mergeCell ref="D4:E4"/>
  </mergeCells>
  <printOptions horizontalCentered="1" gridLines="1"/>
  <pageMargins left="0" right="0" top="1.3779527559055118" bottom="0.78740157480314965" header="0.9055118110236221" footer="0.31496062992125984"/>
  <pageSetup paperSize="9" orientation="landscape" r:id="rId1"/>
  <headerFooter>
    <oddHeader>&amp;R&amp;Z&amp;F
List: &amp;A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F28"/>
  <sheetViews>
    <sheetView workbookViewId="0"/>
  </sheetViews>
  <sheetFormatPr defaultColWidth="9.140625" defaultRowHeight="12.75" x14ac:dyDescent="0.2"/>
  <cols>
    <col min="1" max="1" width="21.85546875" style="42" customWidth="1"/>
    <col min="2" max="2" width="16" style="42" customWidth="1"/>
    <col min="3" max="3" width="17" style="42" customWidth="1"/>
    <col min="4" max="4" width="16" style="42" customWidth="1"/>
    <col min="5" max="6" width="11.28515625" style="42" bestFit="1" customWidth="1"/>
    <col min="7" max="8" width="4.42578125" style="42" bestFit="1" customWidth="1"/>
    <col min="9" max="9" width="14" style="42" customWidth="1"/>
    <col min="10" max="10" width="21.42578125" style="42" customWidth="1"/>
    <col min="11" max="11" width="18.5703125" style="42" customWidth="1"/>
    <col min="12" max="12" width="8.7109375" style="42" customWidth="1"/>
    <col min="13" max="13" width="7.7109375" style="42" customWidth="1"/>
    <col min="14" max="14" width="3.42578125" style="42" customWidth="1"/>
    <col min="15" max="15" width="11" style="42" customWidth="1"/>
    <col min="16" max="16" width="12.28515625" style="42" bestFit="1" customWidth="1"/>
    <col min="17" max="17" width="9.5703125" style="42" customWidth="1"/>
    <col min="18" max="18" width="9" style="42" customWidth="1"/>
    <col min="19" max="19" width="13.28515625" style="42" customWidth="1"/>
    <col min="20" max="21" width="10.140625" style="42" bestFit="1" customWidth="1"/>
    <col min="22" max="22" width="9.140625" style="42"/>
    <col min="23" max="23" width="11.85546875" style="42" customWidth="1"/>
    <col min="24" max="16384" width="9.140625" style="42"/>
  </cols>
  <sheetData>
    <row r="1" spans="1:32" ht="16.5" x14ac:dyDescent="0.25">
      <c r="A1" s="585" t="s">
        <v>273</v>
      </c>
      <c r="B1" s="421"/>
      <c r="C1" s="421"/>
    </row>
    <row r="3" spans="1:32" ht="18.75" x14ac:dyDescent="0.3">
      <c r="A3" s="703" t="s">
        <v>569</v>
      </c>
      <c r="V3" s="42" t="s">
        <v>331</v>
      </c>
    </row>
    <row r="4" spans="1:32" ht="17.25" thickBot="1" x14ac:dyDescent="0.3">
      <c r="A4" s="51" t="s">
        <v>268</v>
      </c>
      <c r="C4" s="538" t="s">
        <v>290</v>
      </c>
      <c r="E4" s="51"/>
      <c r="F4" s="51"/>
      <c r="G4" s="51"/>
      <c r="H4" s="51"/>
      <c r="J4" s="189" t="s">
        <v>289</v>
      </c>
      <c r="K4" s="662">
        <v>8.9999999999999993E-3</v>
      </c>
      <c r="O4" s="1014" t="s">
        <v>290</v>
      </c>
      <c r="P4" s="1014"/>
      <c r="Q4" s="1014"/>
      <c r="R4" s="1014"/>
      <c r="S4" s="1014"/>
      <c r="T4" s="1014"/>
      <c r="U4" s="1014"/>
      <c r="V4" s="704" t="s">
        <v>570</v>
      </c>
      <c r="W4" s="705"/>
      <c r="X4" s="705"/>
    </row>
    <row r="5" spans="1:32" s="1" customFormat="1" ht="17.25" thickBot="1" x14ac:dyDescent="0.3">
      <c r="A5" s="227" t="s">
        <v>4</v>
      </c>
      <c r="B5" s="228">
        <v>111</v>
      </c>
      <c r="C5" s="228">
        <v>113</v>
      </c>
      <c r="D5" s="228">
        <v>114</v>
      </c>
      <c r="E5" s="228">
        <v>115</v>
      </c>
      <c r="F5" s="228">
        <v>117</v>
      </c>
      <c r="G5" s="228">
        <v>121</v>
      </c>
      <c r="H5" s="630">
        <v>131</v>
      </c>
      <c r="I5" s="631"/>
      <c r="J5" s="15" t="s">
        <v>287</v>
      </c>
      <c r="K5" s="336">
        <f>('0_PRIDEL'!B19+'0_PRIDEL'!B20)*K4</f>
        <v>613788.64284821879</v>
      </c>
      <c r="O5" s="228">
        <v>111</v>
      </c>
      <c r="P5" s="228">
        <v>113</v>
      </c>
      <c r="Q5" s="228">
        <v>114</v>
      </c>
      <c r="R5" s="228">
        <v>115</v>
      </c>
      <c r="S5" s="228">
        <v>117</v>
      </c>
      <c r="T5" s="228">
        <v>121</v>
      </c>
      <c r="U5" s="228">
        <v>131</v>
      </c>
      <c r="V5" s="228" t="s">
        <v>7</v>
      </c>
      <c r="W5" s="335"/>
      <c r="X5" s="335"/>
      <c r="Y5" s="335"/>
      <c r="Z5" s="335"/>
      <c r="AA5" s="335"/>
      <c r="AB5" s="335"/>
      <c r="AC5" s="335"/>
      <c r="AD5" s="335"/>
      <c r="AE5" s="335"/>
      <c r="AF5" s="335"/>
    </row>
    <row r="6" spans="1:32" s="1" customFormat="1" ht="15.75" x14ac:dyDescent="0.25">
      <c r="A6" s="230" t="s">
        <v>98</v>
      </c>
      <c r="B6" s="334">
        <f>O6</f>
        <v>4</v>
      </c>
      <c r="C6" s="334">
        <f t="shared" ref="B6:D8" si="0">P6</f>
        <v>1</v>
      </c>
      <c r="D6" s="334">
        <f>Q6</f>
        <v>7.9</v>
      </c>
      <c r="E6" s="663"/>
      <c r="F6" s="663"/>
      <c r="G6" s="663"/>
      <c r="H6" s="664"/>
      <c r="I6" s="632"/>
      <c r="J6" s="12" t="s">
        <v>191</v>
      </c>
      <c r="K6" s="125">
        <v>0.4</v>
      </c>
      <c r="O6" s="595">
        <v>4</v>
      </c>
      <c r="P6" s="595">
        <v>1</v>
      </c>
      <c r="Q6" s="595">
        <v>7.9</v>
      </c>
      <c r="R6" s="595">
        <v>1</v>
      </c>
      <c r="S6" s="595">
        <v>1.9</v>
      </c>
      <c r="T6" s="595">
        <v>0</v>
      </c>
      <c r="U6" s="595">
        <v>1</v>
      </c>
      <c r="V6" s="192">
        <f>SUM(O6:U6)</f>
        <v>16.8</v>
      </c>
      <c r="W6" s="230" t="s">
        <v>98</v>
      </c>
    </row>
    <row r="7" spans="1:32" s="1" customFormat="1" ht="15.75" x14ac:dyDescent="0.25">
      <c r="A7" s="230" t="s">
        <v>99</v>
      </c>
      <c r="B7" s="334">
        <f t="shared" si="0"/>
        <v>2.6</v>
      </c>
      <c r="C7" s="334">
        <f t="shared" si="0"/>
        <v>6.7</v>
      </c>
      <c r="D7" s="334">
        <f t="shared" si="0"/>
        <v>22.95</v>
      </c>
      <c r="E7" s="663"/>
      <c r="F7" s="663"/>
      <c r="G7" s="663"/>
      <c r="H7" s="664"/>
      <c r="I7" s="632"/>
      <c r="J7" s="262" t="s">
        <v>192</v>
      </c>
      <c r="K7" s="14">
        <f>K6*SUM(I24:I26)</f>
        <v>245515.45713928752</v>
      </c>
      <c r="O7" s="595">
        <v>2.6</v>
      </c>
      <c r="P7" s="595">
        <v>6.7</v>
      </c>
      <c r="Q7" s="595">
        <v>22.95</v>
      </c>
      <c r="R7" s="595">
        <v>4.75</v>
      </c>
      <c r="S7" s="595">
        <v>3.7</v>
      </c>
      <c r="T7" s="595">
        <v>2.4</v>
      </c>
      <c r="U7" s="595">
        <v>1.75</v>
      </c>
      <c r="V7" s="192">
        <f>SUM(O7:U7)</f>
        <v>44.85</v>
      </c>
      <c r="W7" s="230" t="s">
        <v>99</v>
      </c>
    </row>
    <row r="8" spans="1:32" s="1" customFormat="1" ht="15.75" x14ac:dyDescent="0.25">
      <c r="A8" s="230" t="s">
        <v>100</v>
      </c>
      <c r="B8" s="334">
        <f t="shared" si="0"/>
        <v>0.7</v>
      </c>
      <c r="C8" s="334">
        <f t="shared" si="0"/>
        <v>5.7</v>
      </c>
      <c r="D8" s="334">
        <f t="shared" si="0"/>
        <v>15.4</v>
      </c>
      <c r="E8" s="663"/>
      <c r="F8" s="663"/>
      <c r="G8" s="663"/>
      <c r="H8" s="664"/>
      <c r="I8" s="632"/>
      <c r="J8" s="262" t="s">
        <v>193</v>
      </c>
      <c r="K8" s="14">
        <f>(1-K6)*SUM(I24:I26)</f>
        <v>368273.18570893124</v>
      </c>
      <c r="O8" s="595">
        <v>0.7</v>
      </c>
      <c r="P8" s="595">
        <v>5.7</v>
      </c>
      <c r="Q8" s="595">
        <v>15.4</v>
      </c>
      <c r="R8" s="595">
        <v>0.5</v>
      </c>
      <c r="S8" s="595">
        <v>3.75</v>
      </c>
      <c r="T8" s="595">
        <v>0.3</v>
      </c>
      <c r="U8" s="595">
        <v>3.2</v>
      </c>
      <c r="V8" s="192">
        <f>SUM(O8:U8)</f>
        <v>29.55</v>
      </c>
      <c r="W8" s="230" t="s">
        <v>100</v>
      </c>
    </row>
    <row r="9" spans="1:32" s="1" customFormat="1" ht="15.75" x14ac:dyDescent="0.25">
      <c r="A9" s="289"/>
      <c r="B9" s="27"/>
      <c r="O9" s="67">
        <f t="shared" ref="O9:U9" si="1">SUM(O6:O8)</f>
        <v>7.3</v>
      </c>
      <c r="P9" s="67">
        <f t="shared" si="1"/>
        <v>13.4</v>
      </c>
      <c r="Q9" s="67">
        <f t="shared" si="1"/>
        <v>46.25</v>
      </c>
      <c r="R9" s="67">
        <f t="shared" si="1"/>
        <v>6.25</v>
      </c>
      <c r="S9" s="67">
        <f t="shared" si="1"/>
        <v>9.35</v>
      </c>
      <c r="T9" s="67">
        <f t="shared" si="1"/>
        <v>2.6999999999999997</v>
      </c>
      <c r="U9" s="67">
        <f t="shared" si="1"/>
        <v>5.95</v>
      </c>
    </row>
    <row r="10" spans="1:32" s="1" customFormat="1" ht="16.5" x14ac:dyDescent="0.25">
      <c r="B10" s="51" t="s">
        <v>989</v>
      </c>
      <c r="C10" s="51"/>
      <c r="D10" s="51"/>
      <c r="E10" s="51"/>
      <c r="F10" s="51"/>
      <c r="G10" s="51"/>
      <c r="H10" s="51"/>
      <c r="I10" s="42"/>
      <c r="J10" s="42"/>
      <c r="K10" s="42"/>
      <c r="O10" s="1014" t="s">
        <v>288</v>
      </c>
      <c r="P10" s="1014"/>
      <c r="Q10" s="1014"/>
      <c r="R10" s="1014"/>
      <c r="S10" s="1014"/>
      <c r="T10" s="1014"/>
      <c r="U10" s="1014"/>
      <c r="V10" s="4"/>
    </row>
    <row r="11" spans="1:32" s="1" customFormat="1" ht="15.75" x14ac:dyDescent="0.25">
      <c r="B11" s="233">
        <v>40000</v>
      </c>
      <c r="C11" s="233">
        <v>35000</v>
      </c>
      <c r="D11" s="233">
        <v>30000</v>
      </c>
      <c r="E11" s="685">
        <v>20000</v>
      </c>
      <c r="F11" s="685">
        <v>17000</v>
      </c>
      <c r="G11" s="233"/>
      <c r="H11" s="233"/>
      <c r="I11" s="42"/>
      <c r="J11" s="42"/>
      <c r="K11" s="2" t="s">
        <v>281</v>
      </c>
      <c r="O11" s="228">
        <v>111</v>
      </c>
      <c r="P11" s="228">
        <v>113</v>
      </c>
      <c r="Q11" s="228">
        <v>114</v>
      </c>
      <c r="R11" s="228">
        <v>115</v>
      </c>
      <c r="S11" s="228">
        <v>117</v>
      </c>
      <c r="T11" s="228">
        <v>121</v>
      </c>
      <c r="U11" s="228">
        <v>131</v>
      </c>
      <c r="V11" s="228" t="s">
        <v>7</v>
      </c>
      <c r="W11" s="386"/>
    </row>
    <row r="12" spans="1:32" s="1" customFormat="1" ht="15.75" x14ac:dyDescent="0.25">
      <c r="A12" s="227" t="s">
        <v>4</v>
      </c>
      <c r="B12" s="228">
        <v>111</v>
      </c>
      <c r="C12" s="228">
        <v>113</v>
      </c>
      <c r="D12" s="228">
        <v>114</v>
      </c>
      <c r="E12" s="228">
        <v>115</v>
      </c>
      <c r="F12" s="228">
        <v>117</v>
      </c>
      <c r="G12" s="375"/>
      <c r="H12" s="375"/>
      <c r="I12" s="633"/>
      <c r="J12" s="2">
        <v>111</v>
      </c>
      <c r="K12" s="1" t="s">
        <v>276</v>
      </c>
      <c r="O12" s="595">
        <v>4</v>
      </c>
      <c r="P12" s="595">
        <v>1</v>
      </c>
      <c r="Q12" s="595">
        <v>8</v>
      </c>
      <c r="R12" s="595">
        <v>1</v>
      </c>
      <c r="S12" s="595">
        <v>2</v>
      </c>
      <c r="T12" s="595">
        <v>0</v>
      </c>
      <c r="U12" s="595">
        <v>1</v>
      </c>
      <c r="V12" s="192">
        <f>SUM(O12:U12)</f>
        <v>17</v>
      </c>
      <c r="W12" s="230" t="s">
        <v>98</v>
      </c>
    </row>
    <row r="13" spans="1:32" ht="15.75" x14ac:dyDescent="0.25">
      <c r="A13" s="230" t="s">
        <v>98</v>
      </c>
      <c r="B13" s="337">
        <f>B6*B$11</f>
        <v>160000</v>
      </c>
      <c r="C13" s="338">
        <f t="shared" ref="B13:D15" si="2">C6*C$11</f>
        <v>35000</v>
      </c>
      <c r="D13" s="338">
        <f t="shared" si="2"/>
        <v>237000</v>
      </c>
      <c r="E13" s="665"/>
      <c r="F13" s="666"/>
      <c r="G13" s="667"/>
      <c r="H13" s="668"/>
      <c r="I13" s="620"/>
      <c r="J13" s="2">
        <v>113</v>
      </c>
      <c r="K13" s="1" t="s">
        <v>277</v>
      </c>
      <c r="O13" s="595">
        <v>4</v>
      </c>
      <c r="P13" s="595">
        <v>8</v>
      </c>
      <c r="Q13" s="595">
        <v>28</v>
      </c>
      <c r="R13" s="595">
        <v>7</v>
      </c>
      <c r="S13" s="595">
        <v>6</v>
      </c>
      <c r="T13" s="595">
        <v>4</v>
      </c>
      <c r="U13" s="595">
        <v>2</v>
      </c>
      <c r="V13" s="192">
        <f>SUM(O13:U13)</f>
        <v>59</v>
      </c>
      <c r="W13" s="230" t="s">
        <v>99</v>
      </c>
    </row>
    <row r="14" spans="1:32" ht="15.75" x14ac:dyDescent="0.25">
      <c r="A14" s="230" t="s">
        <v>99</v>
      </c>
      <c r="B14" s="339">
        <f t="shared" si="2"/>
        <v>104000</v>
      </c>
      <c r="C14" s="340">
        <f t="shared" si="2"/>
        <v>234500</v>
      </c>
      <c r="D14" s="340">
        <f t="shared" si="2"/>
        <v>688500</v>
      </c>
      <c r="E14" s="669"/>
      <c r="F14" s="670"/>
      <c r="G14" s="667"/>
      <c r="H14" s="668"/>
      <c r="I14" s="620"/>
      <c r="J14" s="2">
        <v>114</v>
      </c>
      <c r="K14" s="1" t="s">
        <v>278</v>
      </c>
      <c r="O14" s="595">
        <v>3</v>
      </c>
      <c r="P14" s="595">
        <v>10</v>
      </c>
      <c r="Q14" s="595">
        <v>26</v>
      </c>
      <c r="R14" s="595">
        <v>1</v>
      </c>
      <c r="S14" s="595">
        <v>4</v>
      </c>
      <c r="T14" s="595">
        <v>1</v>
      </c>
      <c r="U14" s="595">
        <v>4</v>
      </c>
      <c r="V14" s="192">
        <f>SUM(O14:U14)</f>
        <v>49</v>
      </c>
      <c r="W14" s="230" t="s">
        <v>100</v>
      </c>
    </row>
    <row r="15" spans="1:32" ht="15.75" x14ac:dyDescent="0.25">
      <c r="A15" s="230" t="s">
        <v>100</v>
      </c>
      <c r="B15" s="341">
        <f t="shared" si="2"/>
        <v>28000</v>
      </c>
      <c r="C15" s="185">
        <f t="shared" si="2"/>
        <v>199500</v>
      </c>
      <c r="D15" s="185">
        <f t="shared" si="2"/>
        <v>462000</v>
      </c>
      <c r="E15" s="671"/>
      <c r="F15" s="672"/>
      <c r="G15" s="667"/>
      <c r="H15" s="668"/>
      <c r="I15" s="620"/>
      <c r="J15" s="2">
        <v>115</v>
      </c>
      <c r="K15" s="1" t="s">
        <v>279</v>
      </c>
      <c r="O15" s="594">
        <f t="shared" ref="O15:U15" si="3">SUM(O12:O14)</f>
        <v>11</v>
      </c>
      <c r="P15" s="594">
        <f t="shared" si="3"/>
        <v>19</v>
      </c>
      <c r="Q15" s="594">
        <f t="shared" si="3"/>
        <v>62</v>
      </c>
      <c r="R15" s="594">
        <f t="shared" si="3"/>
        <v>9</v>
      </c>
      <c r="S15" s="594">
        <f t="shared" si="3"/>
        <v>12</v>
      </c>
      <c r="T15" s="594">
        <f t="shared" si="3"/>
        <v>5</v>
      </c>
      <c r="U15" s="594">
        <f t="shared" si="3"/>
        <v>7</v>
      </c>
      <c r="V15" s="4"/>
    </row>
    <row r="16" spans="1:32" ht="15.75" x14ac:dyDescent="0.25">
      <c r="B16" s="14"/>
      <c r="C16" s="14"/>
      <c r="D16" s="14"/>
      <c r="E16" s="14"/>
      <c r="F16" s="1"/>
      <c r="G16" s="1"/>
      <c r="H16" s="1"/>
      <c r="I16" s="613"/>
      <c r="J16" s="2">
        <v>117</v>
      </c>
      <c r="K16" s="1" t="s">
        <v>280</v>
      </c>
      <c r="O16" s="50"/>
      <c r="P16" s="531"/>
      <c r="Q16" s="40"/>
      <c r="R16" s="40"/>
      <c r="S16" s="40"/>
      <c r="T16" s="40"/>
      <c r="U16" s="40"/>
      <c r="V16" s="49"/>
      <c r="W16" s="532"/>
      <c r="X16" s="50"/>
      <c r="Y16" s="50"/>
      <c r="Z16" s="50"/>
    </row>
    <row r="17" spans="1:26" ht="15.75" x14ac:dyDescent="0.25">
      <c r="A17" s="227" t="s">
        <v>4</v>
      </c>
      <c r="B17" s="228">
        <v>111</v>
      </c>
      <c r="C17" s="228">
        <v>113</v>
      </c>
      <c r="D17" s="228">
        <v>114</v>
      </c>
      <c r="E17" s="228">
        <v>115</v>
      </c>
      <c r="F17" s="228">
        <v>117</v>
      </c>
      <c r="G17" s="375"/>
      <c r="H17" s="375"/>
      <c r="I17" s="613"/>
      <c r="J17" s="2">
        <v>121</v>
      </c>
      <c r="K17" s="1" t="s">
        <v>337</v>
      </c>
      <c r="O17" s="533"/>
      <c r="P17" s="533"/>
      <c r="Q17" s="533"/>
      <c r="R17" s="533"/>
      <c r="S17" s="533"/>
      <c r="T17" s="533"/>
      <c r="U17" s="533"/>
      <c r="V17" s="533"/>
      <c r="W17" s="532"/>
      <c r="X17" s="50"/>
      <c r="Y17" s="50"/>
      <c r="Z17" s="50"/>
    </row>
    <row r="18" spans="1:26" ht="15.75" x14ac:dyDescent="0.25">
      <c r="A18" s="230" t="s">
        <v>98</v>
      </c>
      <c r="B18" s="342">
        <f>B13/SUM($B$13:$F$15)</f>
        <v>7.4470560856411447E-2</v>
      </c>
      <c r="C18" s="343">
        <f t="shared" ref="B18:D20" si="4">C13/SUM($B$13:$F$15)</f>
        <v>1.6290435187340004E-2</v>
      </c>
      <c r="D18" s="343">
        <f t="shared" si="4"/>
        <v>0.11030951826855946</v>
      </c>
      <c r="E18" s="673"/>
      <c r="F18" s="674"/>
      <c r="G18" s="667"/>
      <c r="H18" s="668"/>
      <c r="I18" s="620"/>
      <c r="J18" s="2">
        <v>131</v>
      </c>
      <c r="K18" s="1" t="s">
        <v>338</v>
      </c>
      <c r="O18" s="530"/>
      <c r="P18" s="530"/>
      <c r="Q18" s="530"/>
      <c r="R18" s="534"/>
      <c r="S18" s="534"/>
      <c r="T18" s="534"/>
      <c r="U18" s="534"/>
      <c r="V18" s="535"/>
      <c r="W18" s="536"/>
      <c r="X18" s="50"/>
      <c r="Y18" s="50"/>
      <c r="Z18" s="50"/>
    </row>
    <row r="19" spans="1:26" ht="15.75" x14ac:dyDescent="0.25">
      <c r="A19" s="230" t="s">
        <v>99</v>
      </c>
      <c r="B19" s="344">
        <f t="shared" si="4"/>
        <v>4.8405864556667441E-2</v>
      </c>
      <c r="C19" s="345">
        <f t="shared" si="4"/>
        <v>0.10914591575517803</v>
      </c>
      <c r="D19" s="345">
        <f t="shared" si="4"/>
        <v>0.32045613218524555</v>
      </c>
      <c r="E19" s="675"/>
      <c r="F19" s="676"/>
      <c r="G19" s="667"/>
      <c r="H19" s="668"/>
      <c r="I19" s="620"/>
      <c r="J19" s="1"/>
      <c r="K19" s="1"/>
      <c r="O19" s="530"/>
      <c r="P19" s="530"/>
      <c r="Q19" s="530"/>
      <c r="R19" s="534"/>
      <c r="S19" s="534"/>
      <c r="T19" s="534"/>
      <c r="U19" s="534"/>
      <c r="V19" s="535"/>
      <c r="W19" s="536"/>
      <c r="X19" s="50"/>
      <c r="Y19" s="50"/>
      <c r="Z19" s="50"/>
    </row>
    <row r="20" spans="1:26" ht="15.75" x14ac:dyDescent="0.25">
      <c r="A20" s="230" t="s">
        <v>100</v>
      </c>
      <c r="B20" s="346">
        <f t="shared" si="4"/>
        <v>1.3032348149872005E-2</v>
      </c>
      <c r="C20" s="347">
        <f t="shared" si="4"/>
        <v>9.2855480567838031E-2</v>
      </c>
      <c r="D20" s="347">
        <f t="shared" si="4"/>
        <v>0.21503374447288806</v>
      </c>
      <c r="E20" s="677"/>
      <c r="F20" s="678"/>
      <c r="G20" s="667"/>
      <c r="H20" s="668"/>
      <c r="I20" s="620"/>
      <c r="J20" s="1"/>
      <c r="K20" s="1"/>
      <c r="O20" s="530"/>
      <c r="P20" s="530"/>
      <c r="Q20" s="530"/>
      <c r="R20" s="534"/>
      <c r="S20" s="534"/>
      <c r="T20" s="534"/>
      <c r="U20" s="534"/>
      <c r="V20" s="535"/>
      <c r="W20" s="536"/>
      <c r="X20" s="50"/>
      <c r="Y20" s="50"/>
      <c r="Z20" s="50"/>
    </row>
    <row r="21" spans="1:26" ht="15.75" x14ac:dyDescent="0.25">
      <c r="B21" s="1"/>
      <c r="C21" s="1"/>
      <c r="D21" s="1"/>
      <c r="E21" s="1"/>
      <c r="F21" s="1"/>
      <c r="G21" s="1"/>
      <c r="H21" s="1"/>
      <c r="I21" s="55"/>
      <c r="J21" s="1"/>
      <c r="K21" s="1"/>
      <c r="O21" s="537"/>
      <c r="P21" s="537"/>
      <c r="Q21" s="537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6.5" x14ac:dyDescent="0.25">
      <c r="B22" s="349" t="s">
        <v>269</v>
      </c>
      <c r="C22" s="349"/>
      <c r="D22" s="349"/>
      <c r="E22" s="349"/>
      <c r="F22" s="349"/>
      <c r="G22" s="376"/>
      <c r="H22" s="376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51" customHeight="1" thickBot="1" x14ac:dyDescent="0.25">
      <c r="A23" s="227" t="s">
        <v>4</v>
      </c>
      <c r="B23" s="228">
        <v>111</v>
      </c>
      <c r="C23" s="228">
        <v>113</v>
      </c>
      <c r="D23" s="228">
        <v>114</v>
      </c>
      <c r="E23" s="228">
        <v>115</v>
      </c>
      <c r="F23" s="228">
        <v>117</v>
      </c>
      <c r="G23" s="228"/>
      <c r="H23" s="228"/>
      <c r="I23" s="228" t="s">
        <v>270</v>
      </c>
      <c r="J23" s="776" t="s">
        <v>271</v>
      </c>
      <c r="K23" s="776" t="s">
        <v>272</v>
      </c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5.75" x14ac:dyDescent="0.25">
      <c r="A24" s="230" t="s">
        <v>98</v>
      </c>
      <c r="B24" s="350">
        <f t="shared" ref="B24:D26" si="5">B18*$K$5</f>
        <v>45709.184480202472</v>
      </c>
      <c r="C24" s="351">
        <f t="shared" si="5"/>
        <v>9998.8841050442898</v>
      </c>
      <c r="D24" s="351">
        <f t="shared" si="5"/>
        <v>67706.729511299913</v>
      </c>
      <c r="E24" s="679"/>
      <c r="F24" s="680"/>
      <c r="G24" s="667"/>
      <c r="H24" s="667"/>
      <c r="I24" s="774">
        <f>SUM(B24:F24)</f>
        <v>123414.79809654667</v>
      </c>
      <c r="J24" s="777">
        <f>I24*$K$6</f>
        <v>49365.91923861867</v>
      </c>
      <c r="K24" s="778">
        <f>I24*(1-$K$6)</f>
        <v>74048.878857927994</v>
      </c>
      <c r="L24" s="370"/>
      <c r="O24"/>
      <c r="P24"/>
      <c r="Q24"/>
    </row>
    <row r="25" spans="1:26" ht="15.75" x14ac:dyDescent="0.25">
      <c r="A25" s="230" t="s">
        <v>99</v>
      </c>
      <c r="B25" s="352">
        <f t="shared" si="5"/>
        <v>29710.969912131604</v>
      </c>
      <c r="C25" s="235">
        <f t="shared" si="5"/>
        <v>66992.523503796736</v>
      </c>
      <c r="D25" s="235">
        <f t="shared" si="5"/>
        <v>196692.33446637128</v>
      </c>
      <c r="E25" s="681"/>
      <c r="F25" s="682"/>
      <c r="G25" s="667"/>
      <c r="H25" s="667"/>
      <c r="I25" s="120">
        <f>SUM(B25:F25)</f>
        <v>293395.82788229961</v>
      </c>
      <c r="J25" s="779">
        <f>I25*$K$6</f>
        <v>117358.33115291985</v>
      </c>
      <c r="K25" s="780">
        <f>I25*(1-$K$6)</f>
        <v>176037.49672937975</v>
      </c>
      <c r="L25" s="370"/>
    </row>
    <row r="26" spans="1:26" ht="16.5" thickBot="1" x14ac:dyDescent="0.3">
      <c r="A26" s="230" t="s">
        <v>100</v>
      </c>
      <c r="B26" s="353">
        <f t="shared" si="5"/>
        <v>7999.1072840354327</v>
      </c>
      <c r="C26" s="354">
        <f t="shared" si="5"/>
        <v>56993.639398752457</v>
      </c>
      <c r="D26" s="354">
        <f t="shared" si="5"/>
        <v>131985.27018658462</v>
      </c>
      <c r="E26" s="683"/>
      <c r="F26" s="684"/>
      <c r="G26" s="667"/>
      <c r="H26" s="667"/>
      <c r="I26" s="775">
        <f>SUM(B26:F26)</f>
        <v>196978.01686937251</v>
      </c>
      <c r="J26" s="781">
        <f>I26*$K$6</f>
        <v>78791.206747749005</v>
      </c>
      <c r="K26" s="782">
        <f>I26*(1-$K$6)</f>
        <v>118186.81012162351</v>
      </c>
      <c r="L26" s="370"/>
    </row>
    <row r="27" spans="1:26" ht="17.25" thickBot="1" x14ac:dyDescent="0.3">
      <c r="B27" s="12"/>
      <c r="C27" s="12"/>
      <c r="D27" s="12"/>
      <c r="E27" s="12"/>
      <c r="F27" s="12"/>
      <c r="G27" s="12"/>
      <c r="H27" s="12"/>
      <c r="I27" s="355">
        <f>SUM(I24:I26)</f>
        <v>613788.64284821879</v>
      </c>
      <c r="J27" s="773">
        <f>SUM(J24:J26)</f>
        <v>245515.45713928752</v>
      </c>
      <c r="K27" s="773">
        <f>SUM(K24:K26)</f>
        <v>368273.18570893124</v>
      </c>
    </row>
    <row r="28" spans="1:26" x14ac:dyDescent="0.2">
      <c r="I28" s="687" t="s">
        <v>351</v>
      </c>
      <c r="J28" s="686">
        <f>J27-K7</f>
        <v>0</v>
      </c>
      <c r="K28" s="686">
        <f>K27-K8</f>
        <v>0</v>
      </c>
    </row>
  </sheetData>
  <mergeCells count="2">
    <mergeCell ref="O4:U4"/>
    <mergeCell ref="O10:U10"/>
  </mergeCells>
  <printOptions horizontalCentered="1" gridLines="1"/>
  <pageMargins left="0" right="0" top="1.3779527559055118" bottom="0" header="0.70866141732283472" footer="0.31496062992125984"/>
  <pageSetup paperSize="9" scale="82" orientation="landscape" r:id="rId1"/>
  <headerFooter>
    <oddHeader>&amp;R&amp;Z&amp;F
List: 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T413"/>
  <sheetViews>
    <sheetView topLeftCell="A356" zoomScaleNormal="100" workbookViewId="0">
      <selection activeCell="C364" sqref="C364"/>
    </sheetView>
  </sheetViews>
  <sheetFormatPr defaultColWidth="9.140625" defaultRowHeight="15.75" x14ac:dyDescent="0.25"/>
  <cols>
    <col min="1" max="1" width="45.7109375" style="1" customWidth="1"/>
    <col min="2" max="2" width="17.140625" style="1" customWidth="1"/>
    <col min="3" max="3" width="19.42578125" style="1" bestFit="1" customWidth="1"/>
    <col min="4" max="4" width="15.140625" style="1" bestFit="1" customWidth="1"/>
    <col min="5" max="5" width="13.7109375" style="1" customWidth="1"/>
    <col min="6" max="6" width="21.85546875" style="1" bestFit="1" customWidth="1"/>
    <col min="7" max="7" width="12.85546875" style="1" customWidth="1"/>
    <col min="8" max="8" width="17.7109375" style="1" customWidth="1"/>
    <col min="9" max="9" width="13.85546875" style="24" bestFit="1" customWidth="1"/>
    <col min="10" max="10" width="14.5703125" style="1" bestFit="1" customWidth="1"/>
    <col min="11" max="11" width="15.42578125" style="1" customWidth="1"/>
    <col min="12" max="12" width="14.7109375" style="1" customWidth="1"/>
    <col min="13" max="13" width="9.140625" style="1"/>
    <col min="14" max="14" width="15.42578125" style="1" customWidth="1"/>
    <col min="15" max="15" width="12" style="1" customWidth="1"/>
    <col min="16" max="16384" width="9.140625" style="1"/>
  </cols>
  <sheetData>
    <row r="1" spans="1:12" x14ac:dyDescent="0.25">
      <c r="A1" s="156" t="s">
        <v>571</v>
      </c>
      <c r="B1" s="123"/>
      <c r="C1" s="13"/>
      <c r="D1" s="27"/>
      <c r="H1" s="126"/>
      <c r="I1" s="20"/>
      <c r="J1" s="27"/>
      <c r="K1" s="22"/>
      <c r="L1" s="27"/>
    </row>
    <row r="2" spans="1:12" x14ac:dyDescent="0.25">
      <c r="A2" s="27" t="s">
        <v>167</v>
      </c>
      <c r="B2" s="26"/>
      <c r="C2" s="127" t="s">
        <v>156</v>
      </c>
      <c r="D2" s="128" t="s">
        <v>24</v>
      </c>
      <c r="E2" s="129">
        <v>1.2</v>
      </c>
      <c r="F2" s="130">
        <v>1</v>
      </c>
      <c r="G2" s="130">
        <v>0.8</v>
      </c>
      <c r="H2" s="126"/>
      <c r="I2" s="20"/>
      <c r="J2" s="27"/>
      <c r="K2" s="22"/>
      <c r="L2" s="27"/>
    </row>
    <row r="3" spans="1:12" x14ac:dyDescent="0.25">
      <c r="A3" s="131" t="s">
        <v>168</v>
      </c>
      <c r="B3" s="26"/>
      <c r="C3" s="127" t="s">
        <v>157</v>
      </c>
      <c r="D3" s="128" t="s">
        <v>25</v>
      </c>
      <c r="E3" s="129">
        <v>1.2</v>
      </c>
      <c r="F3" s="132">
        <v>1</v>
      </c>
      <c r="G3" s="132">
        <v>0.8</v>
      </c>
      <c r="H3" s="126"/>
      <c r="I3" s="20"/>
      <c r="J3" s="27"/>
      <c r="K3" s="22"/>
      <c r="L3" s="27"/>
    </row>
    <row r="4" spans="1:12" x14ac:dyDescent="0.25">
      <c r="A4" s="27" t="s">
        <v>101</v>
      </c>
      <c r="B4" s="26"/>
      <c r="C4" s="133"/>
      <c r="D4" s="128"/>
      <c r="E4" s="129"/>
      <c r="F4" s="129"/>
      <c r="G4" s="129"/>
      <c r="H4" s="126" t="s">
        <v>101</v>
      </c>
      <c r="I4" s="20"/>
      <c r="J4" s="27"/>
      <c r="K4" s="22"/>
      <c r="L4" s="27"/>
    </row>
    <row r="5" spans="1:12" ht="63.75" customHeight="1" x14ac:dyDescent="0.25">
      <c r="A5" s="134" t="s">
        <v>3</v>
      </c>
      <c r="B5" s="135" t="s">
        <v>42</v>
      </c>
      <c r="C5" s="136" t="s">
        <v>43</v>
      </c>
      <c r="D5" s="137" t="s">
        <v>41</v>
      </c>
      <c r="E5" s="138" t="s">
        <v>65</v>
      </c>
      <c r="F5" s="138" t="s">
        <v>66</v>
      </c>
      <c r="G5" s="138" t="s">
        <v>67</v>
      </c>
      <c r="H5" s="138" t="s">
        <v>64</v>
      </c>
      <c r="I5" s="139"/>
      <c r="J5" s="122"/>
      <c r="K5" s="22"/>
      <c r="L5" s="122"/>
    </row>
    <row r="6" spans="1:12" x14ac:dyDescent="0.25">
      <c r="A6" s="19" t="s">
        <v>18</v>
      </c>
      <c r="B6" s="89"/>
      <c r="C6" s="13"/>
      <c r="D6" s="26"/>
      <c r="E6" s="126"/>
      <c r="F6" s="126"/>
      <c r="G6" s="126"/>
      <c r="H6" s="126"/>
      <c r="I6" s="22"/>
      <c r="J6" s="27"/>
      <c r="K6" s="22"/>
      <c r="L6" s="27"/>
    </row>
    <row r="7" spans="1:12" ht="15.75" customHeight="1" x14ac:dyDescent="0.25">
      <c r="A7" s="27" t="s">
        <v>666</v>
      </c>
      <c r="B7" s="26">
        <v>14</v>
      </c>
      <c r="C7" s="13">
        <v>28</v>
      </c>
      <c r="D7" s="580">
        <v>4</v>
      </c>
      <c r="E7" s="126">
        <f>B7*$E$2</f>
        <v>16.8</v>
      </c>
      <c r="F7" s="140">
        <f t="array" ref="F7">IF(D7=0,0,IF(D7=1,C7*$F$2,C7*$F$2*2))</f>
        <v>56</v>
      </c>
      <c r="G7" s="140">
        <f t="array" ref="G7">IF(D7&gt;2,C7*(D7-2)*$G$2,0)</f>
        <v>44.800000000000004</v>
      </c>
      <c r="H7" s="129">
        <f>SUM(E7:G7)</f>
        <v>117.6</v>
      </c>
      <c r="I7" s="13" t="s">
        <v>30</v>
      </c>
      <c r="J7" s="27"/>
      <c r="K7" s="13"/>
      <c r="L7" s="27"/>
    </row>
    <row r="8" spans="1:12" ht="15.75" customHeight="1" x14ac:dyDescent="0.25">
      <c r="A8" s="131" t="s">
        <v>667</v>
      </c>
      <c r="B8" s="26">
        <v>28</v>
      </c>
      <c r="C8" s="13">
        <v>28</v>
      </c>
      <c r="D8" s="580">
        <v>5</v>
      </c>
      <c r="E8" s="126">
        <f>B8*$E$3</f>
        <v>33.6</v>
      </c>
      <c r="F8" s="140">
        <f t="array" ref="F8">IF(D8=0,0,IF(D8=1,C8*$F$2,C8*$F$2*2))</f>
        <v>56</v>
      </c>
      <c r="G8" s="140">
        <f t="array" ref="G8">IF(D8&gt;2,C8*(D8-2)*$G$2,0)</f>
        <v>67.2</v>
      </c>
      <c r="H8" s="129">
        <f>SUM(E8:G8)</f>
        <v>156.80000000000001</v>
      </c>
      <c r="I8" s="13" t="s">
        <v>30</v>
      </c>
      <c r="J8" s="27"/>
      <c r="K8" s="13"/>
      <c r="L8" s="27"/>
    </row>
    <row r="9" spans="1:12" ht="15.75" customHeight="1" thickBot="1" x14ac:dyDescent="0.3">
      <c r="A9" s="131" t="s">
        <v>668</v>
      </c>
      <c r="B9" s="26">
        <v>14</v>
      </c>
      <c r="C9" s="13">
        <v>14</v>
      </c>
      <c r="D9" s="580">
        <v>3</v>
      </c>
      <c r="E9" s="126">
        <f>B9*$E$3</f>
        <v>16.8</v>
      </c>
      <c r="F9" s="140">
        <f t="array" ref="F9">IF(D9=0,0,IF(D9=1,C9*$F$2,C9*$F$2*2))</f>
        <v>28</v>
      </c>
      <c r="G9" s="140">
        <f t="array" ref="G9">IF(D9&gt;2,C9*(D9-2)*$G$2,0)</f>
        <v>11.200000000000001</v>
      </c>
      <c r="H9" s="129">
        <f>SUM(E9:G9)</f>
        <v>56</v>
      </c>
      <c r="I9" s="13" t="s">
        <v>30</v>
      </c>
      <c r="J9" s="27"/>
      <c r="K9" s="13"/>
      <c r="L9" s="27"/>
    </row>
    <row r="10" spans="1:12" ht="15.75" customHeight="1" thickBot="1" x14ac:dyDescent="0.3">
      <c r="A10" s="19" t="s">
        <v>19</v>
      </c>
      <c r="B10" s="89"/>
      <c r="C10" s="13"/>
      <c r="D10" s="26"/>
      <c r="E10" s="126"/>
      <c r="G10" s="126"/>
      <c r="H10" s="141">
        <f>SUM(H7:H9)</f>
        <v>330.4</v>
      </c>
      <c r="I10" s="13"/>
      <c r="J10" s="27"/>
      <c r="K10" s="22"/>
      <c r="L10" s="27"/>
    </row>
    <row r="11" spans="1:12" ht="15.75" customHeight="1" x14ac:dyDescent="0.25">
      <c r="A11" s="27" t="s">
        <v>669</v>
      </c>
      <c r="B11" s="26">
        <v>28</v>
      </c>
      <c r="C11" s="13">
        <v>28</v>
      </c>
      <c r="D11" s="580">
        <v>4</v>
      </c>
      <c r="E11" s="126">
        <f t="shared" ref="E11:E16" si="0">B11*$E$2</f>
        <v>33.6</v>
      </c>
      <c r="F11" s="140">
        <f t="array" ref="F11">IF(D11=0,0,IF(D11=1,C11*$F$2,C11*$F$2*2))</f>
        <v>56</v>
      </c>
      <c r="G11" s="140">
        <f t="array" ref="G11">IF(D11&gt;2,C11*(D11-2)*$G$2,0)</f>
        <v>44.800000000000004</v>
      </c>
      <c r="H11" s="129">
        <f t="shared" ref="H11:H16" si="1">SUM(E11:G11)</f>
        <v>134.4</v>
      </c>
      <c r="I11" s="13" t="s">
        <v>30</v>
      </c>
      <c r="J11" s="27"/>
      <c r="K11" s="13"/>
      <c r="L11" s="27"/>
    </row>
    <row r="12" spans="1:12" ht="15.75" customHeight="1" x14ac:dyDescent="0.25">
      <c r="A12" s="27" t="s">
        <v>670</v>
      </c>
      <c r="B12" s="26">
        <v>28</v>
      </c>
      <c r="C12" s="13">
        <v>28</v>
      </c>
      <c r="D12" s="580">
        <v>1</v>
      </c>
      <c r="E12" s="126">
        <f t="shared" si="0"/>
        <v>33.6</v>
      </c>
      <c r="F12" s="140">
        <f t="array" ref="F12">IF(D12=0,0,IF(D12=1,C12*$F$2,C12*$F$2*2))</f>
        <v>28</v>
      </c>
      <c r="G12" s="140">
        <f t="array" ref="G12">IF(D12&gt;2,C12*(D12-2)*$G$2,0)</f>
        <v>0</v>
      </c>
      <c r="H12" s="129">
        <f t="shared" si="1"/>
        <v>61.6</v>
      </c>
      <c r="I12" s="13" t="s">
        <v>30</v>
      </c>
      <c r="J12" s="27"/>
      <c r="K12" s="13"/>
      <c r="L12" s="27"/>
    </row>
    <row r="13" spans="1:12" x14ac:dyDescent="0.25">
      <c r="A13" s="131" t="s">
        <v>671</v>
      </c>
      <c r="B13" s="26">
        <v>28</v>
      </c>
      <c r="C13" s="13">
        <v>28</v>
      </c>
      <c r="D13" s="580">
        <v>2</v>
      </c>
      <c r="E13" s="126">
        <f t="shared" si="0"/>
        <v>33.6</v>
      </c>
      <c r="F13" s="140">
        <f t="array" ref="F13">IF(D13=0,0,IF(D13=1,C13*$F$2,C13*$F$2*2))</f>
        <v>56</v>
      </c>
      <c r="G13" s="140">
        <f t="array" ref="G13">IF(D13&gt;2,C13*(D13-2)*$G$2,0)</f>
        <v>0</v>
      </c>
      <c r="H13" s="129">
        <f t="shared" si="1"/>
        <v>89.6</v>
      </c>
      <c r="I13" s="13" t="s">
        <v>30</v>
      </c>
      <c r="J13" s="27"/>
      <c r="K13" s="13"/>
      <c r="L13" s="27"/>
    </row>
    <row r="14" spans="1:12" x14ac:dyDescent="0.25">
      <c r="A14" s="131" t="s">
        <v>672</v>
      </c>
      <c r="B14" s="26">
        <v>28</v>
      </c>
      <c r="C14" s="13">
        <v>28</v>
      </c>
      <c r="D14" s="938">
        <v>1</v>
      </c>
      <c r="E14" s="126">
        <f t="shared" si="0"/>
        <v>33.6</v>
      </c>
      <c r="F14" s="140">
        <f t="array" ref="F14">IF(D14=0,0,IF(D14=1,C14*$F$2,C14*$F$2*2))</f>
        <v>28</v>
      </c>
      <c r="G14" s="140">
        <f t="array" ref="G14">IF(D14&gt;2,C14*(D14-2)*$G$2,0)</f>
        <v>0</v>
      </c>
      <c r="H14" s="129">
        <f t="shared" si="1"/>
        <v>61.6</v>
      </c>
      <c r="I14" s="13" t="s">
        <v>30</v>
      </c>
      <c r="J14" s="27"/>
      <c r="K14" s="13"/>
      <c r="L14" s="27"/>
    </row>
    <row r="15" spans="1:12" x14ac:dyDescent="0.25">
      <c r="A15" s="131" t="s">
        <v>673</v>
      </c>
      <c r="B15" s="26">
        <v>14</v>
      </c>
      <c r="C15" s="13">
        <v>14</v>
      </c>
      <c r="D15" s="580">
        <v>2</v>
      </c>
      <c r="E15" s="126">
        <f t="shared" si="0"/>
        <v>16.8</v>
      </c>
      <c r="F15" s="140">
        <f t="array" ref="F15">IF(D15=0,0,IF(D15=1,C15*$F$2,C15*$F$2*2))</f>
        <v>28</v>
      </c>
      <c r="G15" s="140">
        <f t="array" ref="G15">IF(D15&gt;2,C15*(D15-2)*$G$2,0)</f>
        <v>0</v>
      </c>
      <c r="H15" s="129">
        <f t="shared" si="1"/>
        <v>44.8</v>
      </c>
      <c r="I15" s="13" t="s">
        <v>30</v>
      </c>
      <c r="J15" s="27"/>
      <c r="K15" s="13"/>
      <c r="L15" s="27"/>
    </row>
    <row r="16" spans="1:12" ht="16.5" thickBot="1" x14ac:dyDescent="0.3">
      <c r="A16" s="131" t="s">
        <v>674</v>
      </c>
      <c r="B16" s="143">
        <v>14</v>
      </c>
      <c r="C16" s="143">
        <v>14</v>
      </c>
      <c r="D16" s="580">
        <v>5</v>
      </c>
      <c r="E16" s="126">
        <f t="shared" si="0"/>
        <v>16.8</v>
      </c>
      <c r="F16" s="140">
        <f t="array" ref="F16">IF(D16=0,0,IF(D16=1,C16*$F$2,C16*$F$2*2))</f>
        <v>28</v>
      </c>
      <c r="G16" s="140">
        <f t="array" ref="G16">IF(D16&gt;2,C16*(D16-2)*$G$2,0)</f>
        <v>33.6</v>
      </c>
      <c r="H16" s="129">
        <f t="shared" si="1"/>
        <v>78.400000000000006</v>
      </c>
      <c r="I16" s="13" t="s">
        <v>30</v>
      </c>
      <c r="J16" s="27"/>
      <c r="K16" s="13"/>
      <c r="L16" s="27"/>
    </row>
    <row r="17" spans="1:12" ht="16.5" thickBot="1" x14ac:dyDescent="0.3">
      <c r="A17" s="19" t="s">
        <v>20</v>
      </c>
      <c r="B17" s="26"/>
      <c r="C17" s="13"/>
      <c r="D17" s="26"/>
      <c r="E17" s="129"/>
      <c r="G17" s="129"/>
      <c r="H17" s="141">
        <f>SUM(H11:H16)</f>
        <v>470.40000000000009</v>
      </c>
      <c r="I17" s="13"/>
      <c r="J17" s="27"/>
      <c r="K17" s="13"/>
      <c r="L17" s="27"/>
    </row>
    <row r="18" spans="1:12" x14ac:dyDescent="0.25">
      <c r="A18" s="27" t="s">
        <v>675</v>
      </c>
      <c r="B18" s="26">
        <v>28</v>
      </c>
      <c r="C18" s="13">
        <v>28</v>
      </c>
      <c r="D18" s="580">
        <v>2</v>
      </c>
      <c r="E18" s="126">
        <f t="shared" ref="E18:E19" si="2">B18*$E$2</f>
        <v>33.6</v>
      </c>
      <c r="F18" s="140">
        <f t="array" ref="F18">IF(D18=0,0,IF(D18=1,C18*$F$2,C18*$F$2*2))</f>
        <v>56</v>
      </c>
      <c r="G18" s="140">
        <f t="array" ref="G18">IF(D18&gt;2,C18*(D18-2)*$G$2,0)</f>
        <v>0</v>
      </c>
      <c r="H18" s="129">
        <f t="shared" ref="H18:H19" si="3">SUM(E18:G18)</f>
        <v>89.6</v>
      </c>
      <c r="I18" s="13" t="s">
        <v>30</v>
      </c>
      <c r="J18" s="27"/>
      <c r="K18" s="13"/>
      <c r="L18" s="27"/>
    </row>
    <row r="19" spans="1:12" x14ac:dyDescent="0.25">
      <c r="A19" s="27" t="s">
        <v>676</v>
      </c>
      <c r="B19" s="26">
        <v>28</v>
      </c>
      <c r="C19" s="13">
        <v>28</v>
      </c>
      <c r="D19" s="580">
        <v>1</v>
      </c>
      <c r="E19" s="126">
        <f t="shared" si="2"/>
        <v>33.6</v>
      </c>
      <c r="F19" s="140">
        <f t="array" ref="F19">IF(D19=0,0,IF(D19=1,C19*$F$2,C19*$F$2*2))</f>
        <v>28</v>
      </c>
      <c r="G19" s="140">
        <f t="array" ref="G19">IF(D19&gt;2,C19*(D19-2)*$G$2,0)</f>
        <v>0</v>
      </c>
      <c r="H19" s="129">
        <f t="shared" si="3"/>
        <v>61.6</v>
      </c>
      <c r="I19" s="13" t="s">
        <v>30</v>
      </c>
      <c r="J19" s="27"/>
      <c r="K19" s="13"/>
      <c r="L19" s="27"/>
    </row>
    <row r="20" spans="1:12" s="27" customFormat="1" x14ac:dyDescent="0.25">
      <c r="A20" s="27" t="s">
        <v>677</v>
      </c>
      <c r="B20" s="26">
        <v>28</v>
      </c>
      <c r="C20" s="13">
        <v>28</v>
      </c>
      <c r="D20" s="580">
        <v>1</v>
      </c>
      <c r="E20" s="126">
        <f>B20*$E$2</f>
        <v>33.6</v>
      </c>
      <c r="F20" s="140">
        <f t="array" ref="F20">IF(D20=0,0,IF(D20=1,C20*$F$2,C20*$F$2*2))</f>
        <v>28</v>
      </c>
      <c r="G20" s="140">
        <f t="array" ref="G20">IF(D20&gt;2,C20*(D20-2)*$G$2,0)</f>
        <v>0</v>
      </c>
      <c r="H20" s="129">
        <f>SUM(E20:G20)</f>
        <v>61.6</v>
      </c>
      <c r="I20" s="13" t="s">
        <v>30</v>
      </c>
      <c r="K20" s="13"/>
    </row>
    <row r="21" spans="1:12" x14ac:dyDescent="0.25">
      <c r="A21" s="131" t="s">
        <v>678</v>
      </c>
      <c r="B21" s="26">
        <v>20</v>
      </c>
      <c r="C21" s="13">
        <v>20</v>
      </c>
      <c r="D21" s="580">
        <v>1</v>
      </c>
      <c r="E21" s="126">
        <f>B21*$E$2</f>
        <v>24</v>
      </c>
      <c r="F21" s="126">
        <f t="array" ref="F21">IF(D21=0,0,IF(D21=1,C21*$F$2,C21*$F$2*2))</f>
        <v>20</v>
      </c>
      <c r="G21" s="126">
        <f t="array" ref="G21">IF(D21&gt;2,C21*(D21-2)*$G$2,0)</f>
        <v>0</v>
      </c>
      <c r="H21" s="129">
        <f>SUM(E21:G21)</f>
        <v>44</v>
      </c>
      <c r="I21" s="13" t="s">
        <v>30</v>
      </c>
      <c r="J21" s="27"/>
      <c r="K21" s="13"/>
      <c r="L21" s="27"/>
    </row>
    <row r="22" spans="1:12" x14ac:dyDescent="0.25">
      <c r="A22" s="131" t="s">
        <v>412</v>
      </c>
      <c r="B22" s="26">
        <v>0</v>
      </c>
      <c r="C22" s="13">
        <v>20</v>
      </c>
      <c r="D22" s="580">
        <v>2</v>
      </c>
      <c r="E22" s="126">
        <f t="shared" ref="E22:E24" si="4">B22*$E$2</f>
        <v>0</v>
      </c>
      <c r="F22" s="140">
        <f t="array" ref="F22">IF(D22=0,0,IF(D22=1,C22*$F$2,C22*$F$2*2))</f>
        <v>40</v>
      </c>
      <c r="G22" s="140">
        <f t="array" ref="G22">IF(D22&gt;2,C22*(D22-2)*$G$2,0)</f>
        <v>0</v>
      </c>
      <c r="H22" s="129">
        <f t="shared" ref="H22:H24" si="5">SUM(E22:G22)</f>
        <v>40</v>
      </c>
      <c r="I22" s="13" t="s">
        <v>30</v>
      </c>
      <c r="J22" s="27"/>
      <c r="K22" s="13"/>
      <c r="L22" s="27"/>
    </row>
    <row r="23" spans="1:12" x14ac:dyDescent="0.25">
      <c r="A23" s="131" t="s">
        <v>679</v>
      </c>
      <c r="B23" s="26">
        <v>20</v>
      </c>
      <c r="C23" s="13">
        <v>20</v>
      </c>
      <c r="D23" s="580">
        <v>2</v>
      </c>
      <c r="E23" s="126">
        <f t="shared" si="4"/>
        <v>24</v>
      </c>
      <c r="F23" s="140">
        <f t="array" ref="F23">IF(D23=0,0,IF(D23=1,C23*$F$2,C23*$F$2*2))</f>
        <v>40</v>
      </c>
      <c r="G23" s="140">
        <f t="array" ref="G23">IF(D23&gt;2,C23*(D23-2)*$G$2,0)</f>
        <v>0</v>
      </c>
      <c r="H23" s="129">
        <f t="shared" si="5"/>
        <v>64</v>
      </c>
      <c r="I23" s="13" t="s">
        <v>30</v>
      </c>
      <c r="J23" s="27"/>
      <c r="K23" s="13"/>
      <c r="L23" s="27"/>
    </row>
    <row r="24" spans="1:12" x14ac:dyDescent="0.25">
      <c r="A24" s="131" t="s">
        <v>680</v>
      </c>
      <c r="B24" s="26">
        <v>20</v>
      </c>
      <c r="C24" s="13">
        <v>20</v>
      </c>
      <c r="D24" s="580">
        <v>2</v>
      </c>
      <c r="E24" s="126">
        <f t="shared" si="4"/>
        <v>24</v>
      </c>
      <c r="F24" s="140">
        <f t="array" ref="F24">IF(D24=0,0,IF(D24=1,C24*$F$2,C24*$F$2*2))</f>
        <v>40</v>
      </c>
      <c r="G24" s="140">
        <f t="array" ref="G24">IF(D24&gt;2,C24*(D24-2)*$G$2,0)</f>
        <v>0</v>
      </c>
      <c r="H24" s="129">
        <f t="shared" si="5"/>
        <v>64</v>
      </c>
      <c r="I24" s="13" t="s">
        <v>30</v>
      </c>
      <c r="J24" s="27"/>
      <c r="K24" s="13"/>
      <c r="L24" s="27"/>
    </row>
    <row r="25" spans="1:12" x14ac:dyDescent="0.25">
      <c r="A25" s="131" t="s">
        <v>681</v>
      </c>
      <c r="B25" s="26">
        <v>10</v>
      </c>
      <c r="C25" s="13">
        <v>20</v>
      </c>
      <c r="D25" s="580">
        <v>1</v>
      </c>
      <c r="E25" s="126">
        <f>B25*$E$2</f>
        <v>12</v>
      </c>
      <c r="F25" s="140">
        <f t="array" ref="F25">IF(D25=0,0,IF(D25=1,C25*$F$2,C25*$F$2*2))</f>
        <v>20</v>
      </c>
      <c r="G25" s="140">
        <f t="array" ref="G25">IF(D25&gt;2,C25*(D25-2)*$G$2,0)</f>
        <v>0</v>
      </c>
      <c r="H25" s="129">
        <f>SUM(E25:G25)</f>
        <v>32</v>
      </c>
      <c r="I25" s="13" t="s">
        <v>30</v>
      </c>
      <c r="J25" s="27"/>
      <c r="K25" s="13"/>
      <c r="L25" s="27"/>
    </row>
    <row r="26" spans="1:12" x14ac:dyDescent="0.25">
      <c r="A26" s="131" t="s">
        <v>682</v>
      </c>
      <c r="B26" s="26">
        <v>20</v>
      </c>
      <c r="C26" s="13">
        <v>20</v>
      </c>
      <c r="D26" s="580">
        <v>1</v>
      </c>
      <c r="E26" s="126">
        <f t="shared" ref="E26" si="6">B26*$E$2</f>
        <v>24</v>
      </c>
      <c r="F26" s="140">
        <f t="array" ref="F26">IF(D26=0,0,IF(D26=1,C26*$F$2,C26*$F$2*2))</f>
        <v>20</v>
      </c>
      <c r="G26" s="140">
        <f t="array" ref="G26">IF(D26&gt;2,C26*(D26-2)*$G$2,0)</f>
        <v>0</v>
      </c>
      <c r="H26" s="129">
        <f t="shared" ref="H26" si="7">SUM(E26:G26)</f>
        <v>44</v>
      </c>
      <c r="I26" s="13" t="s">
        <v>30</v>
      </c>
      <c r="J26" s="27"/>
      <c r="K26" s="13"/>
      <c r="L26" s="27"/>
    </row>
    <row r="27" spans="1:12" x14ac:dyDescent="0.25">
      <c r="A27" s="131" t="s">
        <v>677</v>
      </c>
      <c r="B27" s="26">
        <v>28</v>
      </c>
      <c r="C27" s="13">
        <v>28</v>
      </c>
      <c r="D27" s="580">
        <v>1</v>
      </c>
      <c r="E27" s="126">
        <f>B27*$E$2</f>
        <v>33.6</v>
      </c>
      <c r="F27" s="140">
        <f t="array" ref="F27">IF(D27=0,0,IF(D27=1,C27*$F$2,C27*$F$2*2))</f>
        <v>28</v>
      </c>
      <c r="G27" s="140">
        <f t="array" ref="G27">IF(D27&gt;2,C27*(D27-2)*$G$2,0)</f>
        <v>0</v>
      </c>
      <c r="H27" s="129">
        <f>SUM(E27:G27)</f>
        <v>61.6</v>
      </c>
      <c r="I27" s="13" t="s">
        <v>30</v>
      </c>
      <c r="J27" s="27"/>
      <c r="K27" s="13"/>
      <c r="L27" s="27"/>
    </row>
    <row r="28" spans="1:12" x14ac:dyDescent="0.25">
      <c r="A28" s="27" t="s">
        <v>683</v>
      </c>
      <c r="B28" s="26">
        <v>20</v>
      </c>
      <c r="C28" s="13">
        <v>0</v>
      </c>
      <c r="D28" s="580">
        <v>1</v>
      </c>
      <c r="E28" s="126">
        <f t="shared" ref="E28" si="8">B28*$E$2</f>
        <v>24</v>
      </c>
      <c r="F28" s="140">
        <f t="array" ref="F28">IF(D28=0,0,IF(D28=1,C28*$F$2,C28*$F$2*2))</f>
        <v>0</v>
      </c>
      <c r="G28" s="140">
        <f t="array" ref="G28">IF(D28&gt;2,C28*(D28-2)*$G$2,0)</f>
        <v>0</v>
      </c>
      <c r="H28" s="129">
        <f t="shared" ref="H28" si="9">SUM(E28:G28)</f>
        <v>24</v>
      </c>
      <c r="I28" s="13" t="s">
        <v>30</v>
      </c>
      <c r="J28" s="27"/>
      <c r="K28" s="13"/>
      <c r="L28" s="27"/>
    </row>
    <row r="29" spans="1:12" x14ac:dyDescent="0.25">
      <c r="A29" s="131" t="s">
        <v>684</v>
      </c>
      <c r="B29" s="26">
        <v>10</v>
      </c>
      <c r="C29" s="13">
        <v>0</v>
      </c>
      <c r="D29" s="580">
        <v>1</v>
      </c>
      <c r="E29" s="126">
        <f>B29*$E$2</f>
        <v>12</v>
      </c>
      <c r="F29" s="140">
        <f t="array" ref="F29">IF(D29=0,0,IF(D29=1,C29*$F$2,C29*$F$2*2))</f>
        <v>0</v>
      </c>
      <c r="G29" s="140">
        <f t="array" ref="G29">IF(D29&gt;2,C29*(D29-2)*$G$2,0)</f>
        <v>0</v>
      </c>
      <c r="H29" s="129">
        <f>SUM(E29:G29)</f>
        <v>12</v>
      </c>
      <c r="I29" s="13" t="s">
        <v>30</v>
      </c>
      <c r="J29" s="27"/>
      <c r="K29" s="13"/>
      <c r="L29" s="27"/>
    </row>
    <row r="30" spans="1:12" x14ac:dyDescent="0.25">
      <c r="A30" s="131" t="s">
        <v>685</v>
      </c>
      <c r="B30" s="143">
        <v>20</v>
      </c>
      <c r="C30" s="143">
        <v>20</v>
      </c>
      <c r="D30" s="580">
        <v>4</v>
      </c>
      <c r="E30" s="126">
        <f t="shared" ref="E30:E33" si="10">B30*$E$2</f>
        <v>24</v>
      </c>
      <c r="F30" s="140">
        <f t="array" ref="F30">IF(D30=0,0,IF(D30=1,C30*$F$2,C30*$F$2*2))</f>
        <v>40</v>
      </c>
      <c r="G30" s="140">
        <f t="array" ref="G30">IF(D30&gt;2,C30*(D30-2)*$G$2,0)</f>
        <v>32</v>
      </c>
      <c r="H30" s="129">
        <f t="shared" ref="H30:H33" si="11">SUM(E30:G30)</f>
        <v>96</v>
      </c>
      <c r="I30" s="13" t="s">
        <v>30</v>
      </c>
      <c r="J30" s="27"/>
      <c r="K30" s="13"/>
      <c r="L30" s="27"/>
    </row>
    <row r="31" spans="1:12" x14ac:dyDescent="0.25">
      <c r="A31" s="131" t="s">
        <v>686</v>
      </c>
      <c r="B31" s="143">
        <v>11</v>
      </c>
      <c r="C31" s="143">
        <v>3</v>
      </c>
      <c r="D31" s="580">
        <v>1</v>
      </c>
      <c r="E31" s="126">
        <f t="shared" si="10"/>
        <v>13.2</v>
      </c>
      <c r="F31" s="140">
        <f t="array" ref="F31">IF(D31=0,0,IF(D31=1,C31*$F$2,C31*$F$2*2))</f>
        <v>3</v>
      </c>
      <c r="G31" s="140">
        <f t="array" ref="G31">IF(D31&gt;2,C31*(D31-2)*$G$2,0)</f>
        <v>0</v>
      </c>
      <c r="H31" s="129">
        <f t="shared" si="11"/>
        <v>16.2</v>
      </c>
      <c r="I31" s="13" t="s">
        <v>30</v>
      </c>
      <c r="J31" s="27"/>
      <c r="K31" s="13"/>
      <c r="L31" s="27"/>
    </row>
    <row r="32" spans="1:12" x14ac:dyDescent="0.25">
      <c r="A32" s="27" t="s">
        <v>687</v>
      </c>
      <c r="B32" s="26">
        <v>28</v>
      </c>
      <c r="C32" s="13">
        <v>56</v>
      </c>
      <c r="D32" s="580">
        <v>1</v>
      </c>
      <c r="E32" s="126">
        <f t="shared" si="10"/>
        <v>33.6</v>
      </c>
      <c r="F32" s="140">
        <f t="array" ref="F32">IF(D32=0,0,IF(D32=1,C32*$F$2,C32*$F$2*2))</f>
        <v>56</v>
      </c>
      <c r="G32" s="140">
        <f t="array" ref="G32">IF(D32&gt;2,C32*(D32-2)*$G$2,0)</f>
        <v>0</v>
      </c>
      <c r="H32" s="129">
        <f t="shared" si="11"/>
        <v>89.6</v>
      </c>
      <c r="I32" s="13"/>
      <c r="J32" s="27"/>
      <c r="K32" s="13"/>
      <c r="L32" s="27"/>
    </row>
    <row r="33" spans="1:12" ht="16.5" thickBot="1" x14ac:dyDescent="0.3">
      <c r="A33" s="131" t="s">
        <v>688</v>
      </c>
      <c r="B33" s="26">
        <v>14</v>
      </c>
      <c r="C33" s="13">
        <v>14</v>
      </c>
      <c r="D33" s="580">
        <v>1</v>
      </c>
      <c r="E33" s="126">
        <f t="shared" si="10"/>
        <v>16.8</v>
      </c>
      <c r="F33" s="140">
        <f t="array" ref="F33">IF(D33=0,0,IF(D33=1,C33*$F$2,C33*$F$2*2))</f>
        <v>14</v>
      </c>
      <c r="G33" s="140">
        <f t="array" ref="G33">IF(D33&gt;2,C33*(D33-2)*$G$2,0)</f>
        <v>0</v>
      </c>
      <c r="H33" s="129">
        <f t="shared" si="11"/>
        <v>30.8</v>
      </c>
      <c r="I33" s="13" t="s">
        <v>30</v>
      </c>
      <c r="J33" s="27"/>
      <c r="K33" s="144"/>
      <c r="L33" s="27"/>
    </row>
    <row r="34" spans="1:12" ht="16.5" thickBot="1" x14ac:dyDescent="0.3">
      <c r="A34" s="145"/>
      <c r="B34" s="95"/>
      <c r="C34" s="144"/>
      <c r="D34" s="26"/>
      <c r="E34" s="126"/>
      <c r="F34" s="126"/>
      <c r="G34" s="126"/>
      <c r="H34" s="141">
        <f>SUM(H18:H33)</f>
        <v>831</v>
      </c>
      <c r="I34" s="23"/>
      <c r="J34" s="27"/>
      <c r="K34" s="13"/>
      <c r="L34" s="27"/>
    </row>
    <row r="35" spans="1:12" ht="16.5" thickBot="1" x14ac:dyDescent="0.3">
      <c r="A35" s="19" t="s">
        <v>21</v>
      </c>
      <c r="B35" s="89"/>
      <c r="C35" s="13"/>
      <c r="D35" s="26"/>
      <c r="E35" s="129"/>
      <c r="F35" s="129"/>
      <c r="G35" s="146" t="s">
        <v>158</v>
      </c>
      <c r="H35" s="141">
        <f>SUM(H34,H17,H10)</f>
        <v>1631.8000000000002</v>
      </c>
      <c r="I35" s="21"/>
      <c r="J35" s="27"/>
      <c r="K35" s="13"/>
      <c r="L35" s="27"/>
    </row>
    <row r="36" spans="1:12" s="27" customFormat="1" x14ac:dyDescent="0.25">
      <c r="A36" s="131" t="s">
        <v>413</v>
      </c>
      <c r="B36" s="26">
        <v>28</v>
      </c>
      <c r="C36" s="13">
        <v>28</v>
      </c>
      <c r="D36" s="580">
        <v>1</v>
      </c>
      <c r="E36" s="126">
        <f t="shared" ref="E36:E41" si="12">B36*$E$3</f>
        <v>33.6</v>
      </c>
      <c r="F36" s="147">
        <f t="array" ref="F36">IF(D36=0,0,IF(D36=1,C36*$F$3,C36*$F$3*2))</f>
        <v>28</v>
      </c>
      <c r="G36" s="147">
        <f t="array" ref="G36">IF(D36&gt;2,C36*(D36-2)*$G$3,0)</f>
        <v>0</v>
      </c>
      <c r="H36" s="129">
        <f>SUM(E36:G36)</f>
        <v>61.6</v>
      </c>
      <c r="I36" s="20" t="s">
        <v>147</v>
      </c>
      <c r="K36" s="13"/>
    </row>
    <row r="37" spans="1:12" s="27" customFormat="1" x14ac:dyDescent="0.25">
      <c r="A37" s="131" t="s">
        <v>691</v>
      </c>
      <c r="B37" s="26">
        <v>28</v>
      </c>
      <c r="C37" s="13">
        <v>28</v>
      </c>
      <c r="D37" s="580">
        <v>1</v>
      </c>
      <c r="E37" s="126">
        <f t="shared" si="12"/>
        <v>33.6</v>
      </c>
      <c r="F37" s="147">
        <f t="array" ref="F37">IF(D37=0,0,IF(D37=1,C37*$F$3,C37*$F$3*2))</f>
        <v>28</v>
      </c>
      <c r="G37" s="147">
        <f t="array" ref="G37">IF(D37&gt;2,C37*(D37-2)*$G$3,0)</f>
        <v>0</v>
      </c>
      <c r="H37" s="129">
        <f t="shared" ref="H37:H42" si="13">SUM(E37:G37)</f>
        <v>61.6</v>
      </c>
      <c r="I37" s="20" t="s">
        <v>147</v>
      </c>
      <c r="K37" s="13"/>
    </row>
    <row r="38" spans="1:12" s="27" customFormat="1" x14ac:dyDescent="0.25">
      <c r="A38" s="131" t="s">
        <v>692</v>
      </c>
      <c r="B38" s="26">
        <v>28</v>
      </c>
      <c r="C38" s="13">
        <v>28</v>
      </c>
      <c r="D38" s="580">
        <v>2</v>
      </c>
      <c r="E38" s="126">
        <f t="shared" si="12"/>
        <v>33.6</v>
      </c>
      <c r="F38" s="147">
        <f t="array" ref="F38">IF(D38=0,0,IF(D38=1,C38*$F$3,C38*$F$3*2))</f>
        <v>56</v>
      </c>
      <c r="G38" s="147">
        <f t="array" ref="G38">IF(D38&gt;2,C38*(D38-2)*$G$3,0)</f>
        <v>0</v>
      </c>
      <c r="H38" s="129">
        <f t="shared" si="13"/>
        <v>89.6</v>
      </c>
      <c r="I38" s="20" t="s">
        <v>147</v>
      </c>
      <c r="K38" s="13"/>
    </row>
    <row r="39" spans="1:12" s="27" customFormat="1" x14ac:dyDescent="0.25">
      <c r="A39" s="27" t="s">
        <v>693</v>
      </c>
      <c r="B39" s="26">
        <v>28</v>
      </c>
      <c r="C39" s="13">
        <v>28</v>
      </c>
      <c r="D39" s="580">
        <v>1</v>
      </c>
      <c r="E39" s="126">
        <f t="shared" si="12"/>
        <v>33.6</v>
      </c>
      <c r="F39" s="147">
        <f t="array" ref="F39">IF(D39=0,0,IF(D39=1,C39*$F$3,C39*$F$3*2))</f>
        <v>28</v>
      </c>
      <c r="G39" s="147">
        <f t="array" ref="G39">IF(D39&gt;2,C39*(D39-2)*$G$3,0)</f>
        <v>0</v>
      </c>
      <c r="H39" s="129">
        <f t="shared" si="13"/>
        <v>61.6</v>
      </c>
      <c r="I39" s="20" t="s">
        <v>147</v>
      </c>
      <c r="K39" s="13"/>
    </row>
    <row r="40" spans="1:12" s="27" customFormat="1" x14ac:dyDescent="0.25">
      <c r="A40" s="27" t="s">
        <v>694</v>
      </c>
      <c r="B40" s="26">
        <v>28</v>
      </c>
      <c r="C40" s="13">
        <v>28</v>
      </c>
      <c r="D40" s="580">
        <v>1</v>
      </c>
      <c r="E40" s="126">
        <f t="shared" si="12"/>
        <v>33.6</v>
      </c>
      <c r="F40" s="147">
        <f t="array" ref="F40">IF(D40=0,0,IF(D40=1,C40*$F$3,C40*$F$3*2))</f>
        <v>28</v>
      </c>
      <c r="G40" s="147">
        <f t="array" ref="G40">IF(D40&gt;2,C40*(D40-2)*$G$3,0)</f>
        <v>0</v>
      </c>
      <c r="H40" s="129">
        <f t="shared" si="13"/>
        <v>61.6</v>
      </c>
      <c r="I40" s="20" t="s">
        <v>147</v>
      </c>
      <c r="K40" s="13"/>
    </row>
    <row r="41" spans="1:12" s="27" customFormat="1" x14ac:dyDescent="0.25">
      <c r="A41" s="27" t="s">
        <v>695</v>
      </c>
      <c r="B41" s="26">
        <v>28</v>
      </c>
      <c r="C41" s="13">
        <v>28</v>
      </c>
      <c r="D41" s="580">
        <v>1</v>
      </c>
      <c r="E41" s="126">
        <f t="shared" si="12"/>
        <v>33.6</v>
      </c>
      <c r="F41" s="147">
        <f t="array" ref="F41">IF(D41=0,0,IF(D41=1,C41*$F$3,C41*$F$3*2))</f>
        <v>28</v>
      </c>
      <c r="G41" s="147">
        <f t="array" ref="G41">IF(D41&gt;2,C41*(D41-2)*$G$3,0)</f>
        <v>0</v>
      </c>
      <c r="H41" s="129">
        <f t="shared" si="13"/>
        <v>61.6</v>
      </c>
      <c r="I41" s="20" t="s">
        <v>147</v>
      </c>
      <c r="K41" s="13"/>
    </row>
    <row r="42" spans="1:12" s="27" customFormat="1" ht="16.5" thickBot="1" x14ac:dyDescent="0.3">
      <c r="A42" s="131" t="s">
        <v>696</v>
      </c>
      <c r="B42" s="26">
        <v>14</v>
      </c>
      <c r="C42" s="13">
        <v>0</v>
      </c>
      <c r="D42" s="580">
        <v>0</v>
      </c>
      <c r="E42" s="126">
        <f>B42*$E$2</f>
        <v>16.8</v>
      </c>
      <c r="F42" s="147">
        <f t="array" ref="F42">IF(D42=0,0,IF(D42=1,C42*$F$3,C42*$F$3*2))</f>
        <v>0</v>
      </c>
      <c r="G42" s="147">
        <f t="array" ref="G42">IF(D42&gt;2,C42*(D42-2)*$G$3,0)</f>
        <v>0</v>
      </c>
      <c r="H42" s="129">
        <f t="shared" si="13"/>
        <v>16.8</v>
      </c>
      <c r="I42" s="20" t="s">
        <v>147</v>
      </c>
      <c r="K42" s="13"/>
    </row>
    <row r="43" spans="1:12" ht="16.5" thickBot="1" x14ac:dyDescent="0.3">
      <c r="A43" s="19" t="s">
        <v>22</v>
      </c>
      <c r="B43" s="26"/>
      <c r="C43" s="13"/>
      <c r="D43" s="26"/>
      <c r="E43" s="126"/>
      <c r="H43" s="141">
        <f>SUM(H36:H42)</f>
        <v>414.40000000000009</v>
      </c>
      <c r="I43" s="20"/>
      <c r="J43" s="27"/>
      <c r="K43" s="13"/>
      <c r="L43" s="27"/>
    </row>
    <row r="44" spans="1:12" x14ac:dyDescent="0.25">
      <c r="A44" s="27" t="s">
        <v>697</v>
      </c>
      <c r="B44" s="26">
        <v>28</v>
      </c>
      <c r="C44" s="13">
        <v>28</v>
      </c>
      <c r="D44" s="580">
        <v>1</v>
      </c>
      <c r="E44" s="126">
        <f t="shared" ref="E44:E48" si="14">B44*$E$3</f>
        <v>33.6</v>
      </c>
      <c r="F44" s="147">
        <f t="array" ref="F44">IF(D44=0,0,IF(D44=1,C44*$F$3,C44*$F$3*2))</f>
        <v>28</v>
      </c>
      <c r="G44" s="147">
        <f t="array" ref="G44">IF(D44&gt;2,C44*(D44-2)*$G$3,0)</f>
        <v>0</v>
      </c>
      <c r="H44" s="129">
        <f t="shared" ref="H44:H48" si="15">SUM(E44:G44)</f>
        <v>61.6</v>
      </c>
      <c r="I44" s="20" t="s">
        <v>147</v>
      </c>
      <c r="J44" s="27"/>
      <c r="K44" s="13"/>
      <c r="L44" s="27"/>
    </row>
    <row r="45" spans="1:12" x14ac:dyDescent="0.25">
      <c r="A45" s="27" t="s">
        <v>698</v>
      </c>
      <c r="B45" s="26">
        <v>0</v>
      </c>
      <c r="C45" s="13">
        <v>28</v>
      </c>
      <c r="D45" s="580">
        <v>0</v>
      </c>
      <c r="E45" s="126">
        <f t="shared" si="14"/>
        <v>0</v>
      </c>
      <c r="F45" s="147">
        <f t="array" ref="F45">IF(D45=0,0,IF(D45=1,C45*$F$3,C45*$F$3*2))</f>
        <v>0</v>
      </c>
      <c r="G45" s="147">
        <f t="array" ref="G45">IF(D45&gt;2,C45*(D45-2)*$G$3,0)</f>
        <v>0</v>
      </c>
      <c r="H45" s="129">
        <f t="shared" si="15"/>
        <v>0</v>
      </c>
      <c r="I45" s="20" t="s">
        <v>147</v>
      </c>
      <c r="J45" s="27"/>
      <c r="K45" s="13"/>
      <c r="L45" s="27"/>
    </row>
    <row r="46" spans="1:12" x14ac:dyDescent="0.25">
      <c r="A46" s="27" t="s">
        <v>223</v>
      </c>
      <c r="B46" s="26">
        <v>0</v>
      </c>
      <c r="C46" s="13">
        <v>28</v>
      </c>
      <c r="D46" s="580">
        <v>0</v>
      </c>
      <c r="E46" s="126">
        <f t="shared" si="14"/>
        <v>0</v>
      </c>
      <c r="F46" s="147">
        <f t="array" ref="F46">IF(D46=0,0,IF(D46=1,C46*$F$3,C46*$F$3*2))</f>
        <v>0</v>
      </c>
      <c r="G46" s="147">
        <f t="array" ref="G46">IF(D46&gt;2,C46*(D46-2)*$G$3,0)</f>
        <v>0</v>
      </c>
      <c r="H46" s="129">
        <f t="shared" si="15"/>
        <v>0</v>
      </c>
      <c r="I46" s="20" t="s">
        <v>147</v>
      </c>
      <c r="J46" s="27"/>
      <c r="K46" s="13"/>
      <c r="L46" s="27"/>
    </row>
    <row r="47" spans="1:12" x14ac:dyDescent="0.25">
      <c r="A47" s="27" t="s">
        <v>414</v>
      </c>
      <c r="B47" s="26">
        <v>0</v>
      </c>
      <c r="C47" s="13">
        <v>28</v>
      </c>
      <c r="D47" s="580">
        <v>0</v>
      </c>
      <c r="E47" s="126">
        <f t="shared" si="14"/>
        <v>0</v>
      </c>
      <c r="F47" s="147">
        <f t="array" ref="F47">IF(D47=0,0,IF(D47=1,C47*$F$3,C47*$F$3*2))</f>
        <v>0</v>
      </c>
      <c r="G47" s="147">
        <f t="array" ref="G47">IF(D47&gt;2,C47*(D47-2)*$G$3,0)</f>
        <v>0</v>
      </c>
      <c r="H47" s="129">
        <f t="shared" si="15"/>
        <v>0</v>
      </c>
      <c r="I47" s="20" t="s">
        <v>147</v>
      </c>
      <c r="J47" s="27"/>
      <c r="K47" s="13"/>
      <c r="L47" s="27"/>
    </row>
    <row r="48" spans="1:12" x14ac:dyDescent="0.25">
      <c r="A48" s="27" t="s">
        <v>699</v>
      </c>
      <c r="B48" s="26">
        <v>28</v>
      </c>
      <c r="C48" s="13">
        <v>28</v>
      </c>
      <c r="D48" s="580">
        <v>1</v>
      </c>
      <c r="E48" s="126">
        <f t="shared" si="14"/>
        <v>33.6</v>
      </c>
      <c r="F48" s="147">
        <f t="array" ref="F48">IF(D48=0,0,IF(D48=1,C48*$F$3,C48*$F$3*2))</f>
        <v>28</v>
      </c>
      <c r="G48" s="147">
        <f t="array" ref="G48">IF(D48&gt;2,C48*(D48-2)*$G$3,0)</f>
        <v>0</v>
      </c>
      <c r="H48" s="129">
        <f t="shared" si="15"/>
        <v>61.6</v>
      </c>
      <c r="I48" s="20" t="s">
        <v>147</v>
      </c>
      <c r="J48" s="27"/>
      <c r="K48" s="13"/>
      <c r="L48" s="27"/>
    </row>
    <row r="49" spans="1:12" x14ac:dyDescent="0.25">
      <c r="A49" s="19" t="s">
        <v>700</v>
      </c>
      <c r="B49" s="26">
        <v>28</v>
      </c>
      <c r="C49" s="13">
        <v>28</v>
      </c>
      <c r="D49" s="580">
        <v>1</v>
      </c>
      <c r="E49" s="126">
        <f>B49*$E$3</f>
        <v>33.6</v>
      </c>
      <c r="F49" s="147">
        <f t="array" ref="F49">IF(D49=0,0,IF(D49=1,C49*$F$3,C49*$F$3*2))</f>
        <v>28</v>
      </c>
      <c r="G49" s="147">
        <f t="array" ref="G49">IF(D49&gt;2,C49*(D49-2)*$G$3,0)</f>
        <v>0</v>
      </c>
      <c r="H49" s="129">
        <f>SUM(E49:G49)</f>
        <v>61.6</v>
      </c>
      <c r="I49" s="20" t="s">
        <v>147</v>
      </c>
      <c r="J49" s="27"/>
      <c r="K49" s="144"/>
      <c r="L49" s="27"/>
    </row>
    <row r="50" spans="1:12" x14ac:dyDescent="0.25">
      <c r="A50" s="19" t="s">
        <v>701</v>
      </c>
      <c r="B50" s="26">
        <v>0</v>
      </c>
      <c r="C50" s="13">
        <v>28</v>
      </c>
      <c r="D50" s="580">
        <v>0</v>
      </c>
      <c r="E50" s="126">
        <f>B50*$E$3</f>
        <v>0</v>
      </c>
      <c r="F50" s="147">
        <f t="array" ref="F50">IF(D50=0,0,IF(D50=1,C50*$F$3,C50*$F$3*2))</f>
        <v>0</v>
      </c>
      <c r="G50" s="147">
        <f t="array" ref="G50">IF(D50&gt;2,C50*(D50-2)*$G$3,0)</f>
        <v>0</v>
      </c>
      <c r="H50" s="129">
        <f>SUM(E50:G50)</f>
        <v>0</v>
      </c>
      <c r="I50" s="20" t="s">
        <v>147</v>
      </c>
      <c r="J50" s="27"/>
      <c r="K50" s="22"/>
      <c r="L50" s="27"/>
    </row>
    <row r="51" spans="1:12" x14ac:dyDescent="0.25">
      <c r="A51" s="142" t="s">
        <v>702</v>
      </c>
      <c r="B51" s="26">
        <v>0</v>
      </c>
      <c r="C51" s="13">
        <v>20</v>
      </c>
      <c r="D51" s="580">
        <v>0</v>
      </c>
      <c r="E51" s="126">
        <f t="shared" ref="E51:E52" si="16">B51*$E$3</f>
        <v>0</v>
      </c>
      <c r="F51" s="147">
        <f t="array" ref="F51">IF(D51=0,0,IF(D51=1,C51*$F$3,C51*$F$3*2))</f>
        <v>0</v>
      </c>
      <c r="G51" s="147">
        <f t="array" ref="G51">IF(D51&gt;2,C51*(D51-2)*$G$3,0)</f>
        <v>0</v>
      </c>
      <c r="H51" s="129">
        <f t="shared" ref="H51:H53" si="17">SUM(E51:G51)</f>
        <v>0</v>
      </c>
      <c r="I51" s="20" t="s">
        <v>147</v>
      </c>
      <c r="J51" s="27"/>
      <c r="K51" s="22"/>
      <c r="L51" s="27"/>
    </row>
    <row r="52" spans="1:12" s="27" customFormat="1" x14ac:dyDescent="0.25">
      <c r="A52" s="131" t="s">
        <v>415</v>
      </c>
      <c r="B52" s="26">
        <v>0</v>
      </c>
      <c r="C52" s="13">
        <v>20</v>
      </c>
      <c r="D52" s="580">
        <v>0</v>
      </c>
      <c r="E52" s="126">
        <f t="shared" si="16"/>
        <v>0</v>
      </c>
      <c r="F52" s="147">
        <f t="array" ref="F52">IF(D52=0,0,IF(D52=1,C52*$F$3,C52*$F$3*2))</f>
        <v>0</v>
      </c>
      <c r="G52" s="147">
        <f t="array" ref="G52">IF(D52&gt;2,C52*(D52-2)*$G$3,0)</f>
        <v>0</v>
      </c>
      <c r="H52" s="129">
        <f t="shared" si="17"/>
        <v>0</v>
      </c>
      <c r="I52" s="20" t="s">
        <v>147</v>
      </c>
      <c r="K52" s="22"/>
    </row>
    <row r="53" spans="1:12" s="27" customFormat="1" x14ac:dyDescent="0.25">
      <c r="A53" s="131" t="s">
        <v>703</v>
      </c>
      <c r="B53" s="26">
        <v>20</v>
      </c>
      <c r="C53" s="13">
        <v>20</v>
      </c>
      <c r="D53" s="580">
        <v>1</v>
      </c>
      <c r="E53" s="126">
        <f>B53*$E$3</f>
        <v>24</v>
      </c>
      <c r="F53" s="147">
        <f t="array" ref="F53">IF(D53=0,0,IF(D53=1,C53*$F$3,C53*$F$3*2))</f>
        <v>20</v>
      </c>
      <c r="G53" s="147">
        <f t="array" ref="G53">IF(D53&gt;2,C53*(D53-2)*$G$3,0)</f>
        <v>0</v>
      </c>
      <c r="H53" s="129">
        <f t="shared" si="17"/>
        <v>44</v>
      </c>
      <c r="I53" s="20" t="s">
        <v>147</v>
      </c>
      <c r="K53" s="22"/>
    </row>
    <row r="54" spans="1:12" s="27" customFormat="1" x14ac:dyDescent="0.25">
      <c r="A54" s="131" t="s">
        <v>302</v>
      </c>
      <c r="B54" s="26">
        <v>0</v>
      </c>
      <c r="C54" s="13">
        <v>20</v>
      </c>
      <c r="D54" s="580">
        <v>0</v>
      </c>
      <c r="E54" s="126">
        <f>B54*$E$3</f>
        <v>0</v>
      </c>
      <c r="F54" s="147">
        <f t="array" ref="F54">IF(D54=0,0,IF(D54=1,C54*$F$3,C54*$F$3*2))</f>
        <v>0</v>
      </c>
      <c r="G54" s="147">
        <f t="array" ref="G54">IF(D54&gt;2,C54*(D54-2)*$G$3,0)</f>
        <v>0</v>
      </c>
      <c r="H54" s="129">
        <f>SUM(E54:G54)</f>
        <v>0</v>
      </c>
      <c r="I54" s="20" t="s">
        <v>147</v>
      </c>
      <c r="K54" s="22"/>
    </row>
    <row r="55" spans="1:12" s="27" customFormat="1" ht="16.5" thickBot="1" x14ac:dyDescent="0.3">
      <c r="A55" s="27" t="s">
        <v>704</v>
      </c>
      <c r="B55" s="26">
        <v>28</v>
      </c>
      <c r="C55" s="13">
        <v>14</v>
      </c>
      <c r="D55" s="580">
        <v>1</v>
      </c>
      <c r="E55" s="126">
        <f>B55*$E$3</f>
        <v>33.6</v>
      </c>
      <c r="F55" s="147">
        <f t="array" ref="F55">IF(D55=0,0,IF(D55=1,C55*$F$3,C55*$F$3*2))</f>
        <v>14</v>
      </c>
      <c r="G55" s="147">
        <f t="array" ref="G55">IF(D55&gt;2,C55*(D55-2)*$G$3,0)</f>
        <v>0</v>
      </c>
      <c r="H55" s="129">
        <f>SUM(E55:G55)</f>
        <v>47.6</v>
      </c>
      <c r="I55" s="20" t="s">
        <v>147</v>
      </c>
      <c r="K55" s="22"/>
    </row>
    <row r="56" spans="1:12" s="27" customFormat="1" ht="16.5" thickBot="1" x14ac:dyDescent="0.3">
      <c r="B56" s="95"/>
      <c r="C56" s="95"/>
      <c r="D56" s="26"/>
      <c r="E56" s="126"/>
      <c r="F56" s="126"/>
      <c r="G56" s="126"/>
      <c r="H56" s="141">
        <f>SUM(H44:H55)</f>
        <v>276.40000000000003</v>
      </c>
      <c r="I56" s="23"/>
      <c r="K56" s="13"/>
    </row>
    <row r="57" spans="1:12" s="27" customFormat="1" ht="16.5" thickBot="1" x14ac:dyDescent="0.3">
      <c r="A57" s="53"/>
      <c r="B57" s="49"/>
      <c r="C57" s="13"/>
      <c r="D57" s="26"/>
      <c r="E57" s="126"/>
      <c r="F57" s="126"/>
      <c r="G57" s="146" t="s">
        <v>159</v>
      </c>
      <c r="H57" s="141">
        <f>SUM(H56,H43)</f>
        <v>690.80000000000018</v>
      </c>
      <c r="I57" s="21"/>
      <c r="K57" s="13"/>
    </row>
    <row r="58" spans="1:12" s="27" customFormat="1" x14ac:dyDescent="0.25">
      <c r="A58" s="53"/>
      <c r="B58" s="49"/>
      <c r="C58" s="13"/>
      <c r="D58" s="26"/>
      <c r="E58" s="126"/>
      <c r="F58" s="126"/>
      <c r="G58" s="126"/>
      <c r="H58" s="94"/>
      <c r="I58" s="21"/>
      <c r="K58" s="13"/>
    </row>
    <row r="59" spans="1:12" s="27" customFormat="1" ht="47.25" x14ac:dyDescent="0.25">
      <c r="A59" s="134" t="s">
        <v>2</v>
      </c>
      <c r="B59" s="135" t="s">
        <v>42</v>
      </c>
      <c r="C59" s="136" t="s">
        <v>43</v>
      </c>
      <c r="D59" s="137" t="s">
        <v>41</v>
      </c>
      <c r="E59" s="138" t="s">
        <v>23</v>
      </c>
      <c r="F59" s="138" t="s">
        <v>10</v>
      </c>
      <c r="G59" s="138" t="s">
        <v>11</v>
      </c>
      <c r="H59" s="138" t="s">
        <v>7</v>
      </c>
      <c r="I59" s="21"/>
      <c r="K59" s="13"/>
    </row>
    <row r="60" spans="1:12" s="27" customFormat="1" x14ac:dyDescent="0.25">
      <c r="A60" s="19" t="s">
        <v>18</v>
      </c>
      <c r="B60" s="89"/>
      <c r="C60" s="144"/>
      <c r="D60" s="128"/>
      <c r="E60" s="26"/>
      <c r="F60" s="26"/>
      <c r="G60" s="26"/>
      <c r="H60" s="126"/>
      <c r="I60" s="21"/>
      <c r="K60" s="13"/>
    </row>
    <row r="61" spans="1:12" s="27" customFormat="1" x14ac:dyDescent="0.25">
      <c r="A61" s="27" t="s">
        <v>705</v>
      </c>
      <c r="B61" s="26">
        <v>42</v>
      </c>
      <c r="C61" s="13">
        <v>56</v>
      </c>
      <c r="D61" s="580">
        <v>4</v>
      </c>
      <c r="E61" s="126">
        <f t="shared" ref="E61" si="18">B61*$E$2</f>
        <v>50.4</v>
      </c>
      <c r="F61" s="140">
        <f t="array" ref="F61">IF(D61=0,0,IF(D61=1,C61*$F$2,C61*$F$2*2))</f>
        <v>112</v>
      </c>
      <c r="G61" s="140">
        <f t="array" ref="G61">IF(D61&gt;2,C61*(D61-2)*$G$2,0)</f>
        <v>89.600000000000009</v>
      </c>
      <c r="H61" s="129">
        <f t="shared" ref="H61" si="19">SUM(E61:G61)</f>
        <v>252</v>
      </c>
      <c r="I61" s="13" t="s">
        <v>30</v>
      </c>
      <c r="K61" s="13"/>
    </row>
    <row r="62" spans="1:12" s="27" customFormat="1" x14ac:dyDescent="0.25">
      <c r="A62" s="27" t="s">
        <v>706</v>
      </c>
      <c r="B62" s="26">
        <v>28</v>
      </c>
      <c r="C62" s="13">
        <v>28</v>
      </c>
      <c r="D62" s="580">
        <v>4</v>
      </c>
      <c r="E62" s="126">
        <f>B62*$E$2</f>
        <v>33.6</v>
      </c>
      <c r="F62" s="140">
        <f t="array" ref="F62">IF(D62=0,0,IF(D62=1,C62*$F$2,C62*$F$2*2))</f>
        <v>56</v>
      </c>
      <c r="G62" s="140">
        <f t="array" ref="G62">IF(D62&gt;2,C62*(D62-2)*$G$2,0)</f>
        <v>44.800000000000004</v>
      </c>
      <c r="H62" s="129">
        <f>SUM(E62:G62)</f>
        <v>134.4</v>
      </c>
      <c r="I62" s="13" t="s">
        <v>30</v>
      </c>
      <c r="K62" s="13"/>
    </row>
    <row r="63" spans="1:12" s="27" customFormat="1" x14ac:dyDescent="0.25">
      <c r="A63" s="27" t="s">
        <v>707</v>
      </c>
      <c r="B63" s="26">
        <v>28</v>
      </c>
      <c r="C63" s="13">
        <v>28</v>
      </c>
      <c r="D63" s="580">
        <v>1</v>
      </c>
      <c r="E63" s="126">
        <f t="shared" ref="E63" si="20">B63*$E$2</f>
        <v>33.6</v>
      </c>
      <c r="F63" s="140">
        <f t="array" ref="F63">IF(D63=0,0,IF(D63=1,C63*$F$2,C63*$F$2*2))</f>
        <v>28</v>
      </c>
      <c r="G63" s="140">
        <f t="array" ref="G63">IF(D63&gt;2,C63*(D63-2)*$G$2,0)</f>
        <v>0</v>
      </c>
      <c r="H63" s="129">
        <f t="shared" ref="H63" si="21">SUM(E63:G63)</f>
        <v>61.6</v>
      </c>
      <c r="I63" s="13" t="s">
        <v>30</v>
      </c>
      <c r="K63" s="13"/>
    </row>
    <row r="64" spans="1:12" s="27" customFormat="1" x14ac:dyDescent="0.25">
      <c r="A64" s="27" t="s">
        <v>708</v>
      </c>
      <c r="B64" s="26">
        <v>28</v>
      </c>
      <c r="C64" s="13">
        <v>56</v>
      </c>
      <c r="D64" s="580">
        <v>3</v>
      </c>
      <c r="E64" s="126">
        <f>B64*$E$2</f>
        <v>33.6</v>
      </c>
      <c r="F64" s="140">
        <f t="array" ref="F64">IF(D64=0,0,IF(D64=1,C64*$F$2,C64*$F$2*2))</f>
        <v>112</v>
      </c>
      <c r="G64" s="140">
        <f t="array" ref="G64">IF(D64&gt;2,C64*(D64-2)*$G$2,0)</f>
        <v>44.800000000000004</v>
      </c>
      <c r="H64" s="129">
        <f>SUM(E64:G64)</f>
        <v>190.4</v>
      </c>
      <c r="I64" s="13" t="s">
        <v>30</v>
      </c>
      <c r="K64" s="13"/>
    </row>
    <row r="65" spans="1:11" s="27" customFormat="1" x14ac:dyDescent="0.25">
      <c r="A65" s="27" t="s">
        <v>709</v>
      </c>
      <c r="B65" s="26">
        <v>0</v>
      </c>
      <c r="C65" s="13">
        <v>28</v>
      </c>
      <c r="D65" s="580">
        <v>1</v>
      </c>
      <c r="E65" s="126">
        <f>B65*$E$2</f>
        <v>0</v>
      </c>
      <c r="F65" s="140">
        <f t="array" ref="F65">IF(D65=0,0,IF(D65=1,C65*$F$2,C65*$F$2*2))</f>
        <v>28</v>
      </c>
      <c r="G65" s="140">
        <f t="array" ref="G65">IF(D65&gt;2,C65*(D65-2)*$G$2,0)</f>
        <v>0</v>
      </c>
      <c r="H65" s="129">
        <f>SUM(E65:G65)</f>
        <v>28</v>
      </c>
      <c r="I65" s="13" t="s">
        <v>30</v>
      </c>
      <c r="K65" s="13"/>
    </row>
    <row r="66" spans="1:11" s="27" customFormat="1" x14ac:dyDescent="0.25">
      <c r="A66" s="27" t="s">
        <v>710</v>
      </c>
      <c r="B66" s="26">
        <v>28</v>
      </c>
      <c r="C66" s="13">
        <v>0</v>
      </c>
      <c r="D66" s="580">
        <v>0</v>
      </c>
      <c r="E66" s="126">
        <f t="shared" ref="E66:E67" si="22">B66*$E$2</f>
        <v>33.6</v>
      </c>
      <c r="F66" s="140">
        <f t="array" ref="F66">IF(D66=0,0,IF(D66=1,C66*$F$2,C66*$F$2*2))</f>
        <v>0</v>
      </c>
      <c r="G66" s="140">
        <f t="array" ref="G66">IF(D66&gt;2,C66*(D66-2)*$G$2,0)</f>
        <v>0</v>
      </c>
      <c r="H66" s="129">
        <f t="shared" ref="H66:H67" si="23">SUM(E66:G66)</f>
        <v>33.6</v>
      </c>
      <c r="I66" s="13" t="s">
        <v>30</v>
      </c>
      <c r="K66" s="13"/>
    </row>
    <row r="67" spans="1:11" s="27" customFormat="1" x14ac:dyDescent="0.25">
      <c r="A67" s="27" t="s">
        <v>428</v>
      </c>
      <c r="B67" s="26">
        <v>6</v>
      </c>
      <c r="C67" s="13">
        <v>2</v>
      </c>
      <c r="D67" s="580">
        <v>1</v>
      </c>
      <c r="E67" s="126">
        <f t="shared" si="22"/>
        <v>7.1999999999999993</v>
      </c>
      <c r="F67" s="140">
        <f t="array" ref="F67">IF(D67=0,0,IF(D67=1,C67*$F$2,C67*$F$2*2))</f>
        <v>2</v>
      </c>
      <c r="G67" s="140">
        <f t="array" ref="G67">IF(D67&gt;2,C67*(D67-2)*$G$2,0)</f>
        <v>0</v>
      </c>
      <c r="H67" s="94">
        <f t="shared" si="23"/>
        <v>9.1999999999999993</v>
      </c>
      <c r="I67" s="13" t="s">
        <v>30</v>
      </c>
      <c r="J67" s="27" t="s">
        <v>723</v>
      </c>
      <c r="K67" s="13"/>
    </row>
    <row r="68" spans="1:11" s="27" customFormat="1" x14ac:dyDescent="0.25">
      <c r="A68" s="131" t="s">
        <v>711</v>
      </c>
      <c r="B68" s="26">
        <v>42</v>
      </c>
      <c r="C68" s="13">
        <v>56</v>
      </c>
      <c r="D68" s="580">
        <v>4</v>
      </c>
      <c r="E68" s="126">
        <f>B68*$E$2</f>
        <v>50.4</v>
      </c>
      <c r="F68" s="140">
        <f t="array" ref="F68">IF(D68=0,0,IF(D68=1,C68*$F$2,C68*$F$2*2))</f>
        <v>112</v>
      </c>
      <c r="G68" s="140">
        <f t="array" ref="G68">IF(D68&gt;2,C68*(D68-2)*$G$2,0)</f>
        <v>89.600000000000009</v>
      </c>
      <c r="H68" s="129">
        <f>SUM(E68:G68)</f>
        <v>252</v>
      </c>
      <c r="I68" s="13" t="s">
        <v>30</v>
      </c>
      <c r="K68" s="13"/>
    </row>
    <row r="69" spans="1:11" s="27" customFormat="1" x14ac:dyDescent="0.25">
      <c r="A69" s="131" t="s">
        <v>712</v>
      </c>
      <c r="B69" s="26">
        <v>0</v>
      </c>
      <c r="C69" s="13">
        <v>28</v>
      </c>
      <c r="D69" s="580">
        <v>0</v>
      </c>
      <c r="E69" s="126">
        <f t="shared" ref="E69:E71" si="24">B69*$E$2</f>
        <v>0</v>
      </c>
      <c r="F69" s="140">
        <f t="array" ref="F69">IF(D69=0,0,IF(D69=1,C69*$F$2,C69*$F$2*2))</f>
        <v>0</v>
      </c>
      <c r="G69" s="140">
        <f t="array" ref="G69">IF(D69&gt;2,C69*(D69-2)*$G$2,0)</f>
        <v>0</v>
      </c>
      <c r="H69" s="129">
        <f t="shared" ref="H69:H71" si="25">SUM(E69:G69)</f>
        <v>0</v>
      </c>
      <c r="I69" s="13" t="s">
        <v>30</v>
      </c>
      <c r="K69" s="13"/>
    </row>
    <row r="70" spans="1:11" s="27" customFormat="1" x14ac:dyDescent="0.25">
      <c r="A70" s="131" t="s">
        <v>713</v>
      </c>
      <c r="B70" s="26">
        <v>0</v>
      </c>
      <c r="C70" s="13">
        <v>28</v>
      </c>
      <c r="D70" s="580">
        <v>0</v>
      </c>
      <c r="E70" s="126">
        <f t="shared" si="24"/>
        <v>0</v>
      </c>
      <c r="F70" s="140">
        <f t="array" ref="F70">IF(D70=0,0,IF(D70=1,C70*$F$2,C70*$F$2*2))</f>
        <v>0</v>
      </c>
      <c r="G70" s="140">
        <f t="array" ref="G70">IF(D70&gt;2,C70*(D70-2)*$G$2,0)</f>
        <v>0</v>
      </c>
      <c r="H70" s="129">
        <f t="shared" si="25"/>
        <v>0</v>
      </c>
      <c r="I70" s="13" t="s">
        <v>30</v>
      </c>
      <c r="K70" s="13"/>
    </row>
    <row r="71" spans="1:11" s="27" customFormat="1" x14ac:dyDescent="0.25">
      <c r="A71" s="131" t="s">
        <v>714</v>
      </c>
      <c r="B71" s="26">
        <v>28</v>
      </c>
      <c r="C71" s="13">
        <v>28</v>
      </c>
      <c r="D71" s="580">
        <v>1</v>
      </c>
      <c r="E71" s="126">
        <f t="shared" si="24"/>
        <v>33.6</v>
      </c>
      <c r="F71" s="140">
        <f t="array" ref="F71">IF(D71=0,0,IF(D71=1,C71*$F$2,C71*$F$2*2))</f>
        <v>28</v>
      </c>
      <c r="G71" s="140">
        <f t="array" ref="G71">IF(D71&gt;2,C71*(D71-2)*$G$2,0)</f>
        <v>0</v>
      </c>
      <c r="H71" s="129">
        <f t="shared" si="25"/>
        <v>61.6</v>
      </c>
      <c r="I71" s="13" t="s">
        <v>30</v>
      </c>
      <c r="K71" s="13"/>
    </row>
    <row r="72" spans="1:11" s="27" customFormat="1" x14ac:dyDescent="0.25">
      <c r="A72" s="131" t="s">
        <v>715</v>
      </c>
      <c r="B72" s="26">
        <v>28</v>
      </c>
      <c r="C72" s="13">
        <v>28</v>
      </c>
      <c r="D72" s="580">
        <v>6</v>
      </c>
      <c r="E72" s="126">
        <f>B72*$E$2</f>
        <v>33.6</v>
      </c>
      <c r="F72" s="140">
        <f t="array" ref="F72">IF(D72=0,0,IF(D72=1,C72*$F$2,C72*$F$2*2))</f>
        <v>56</v>
      </c>
      <c r="G72" s="140">
        <f t="array" ref="G72">IF(D72&gt;2,C72*(D72-2)*$G$2,0)</f>
        <v>89.600000000000009</v>
      </c>
      <c r="H72" s="129">
        <f>SUM(E72:G72)</f>
        <v>179.2</v>
      </c>
      <c r="I72" s="13" t="s">
        <v>30</v>
      </c>
      <c r="K72" s="13"/>
    </row>
    <row r="73" spans="1:11" s="27" customFormat="1" x14ac:dyDescent="0.25">
      <c r="A73" s="131" t="s">
        <v>716</v>
      </c>
      <c r="B73" s="26">
        <v>28</v>
      </c>
      <c r="C73" s="13">
        <v>56</v>
      </c>
      <c r="D73" s="580">
        <v>3</v>
      </c>
      <c r="E73" s="126">
        <f>B73*$E$2</f>
        <v>33.6</v>
      </c>
      <c r="F73" s="140">
        <f t="array" ref="F73">IF(D73=0,0,IF(D73=1,C73*$F$2,C73*$F$2*2))</f>
        <v>112</v>
      </c>
      <c r="G73" s="140">
        <f t="array" ref="G73">IF(D73&gt;2,C73*(D73-2)*$G$2,0)</f>
        <v>44.800000000000004</v>
      </c>
      <c r="H73" s="129">
        <f>SUM(E73:G73)</f>
        <v>190.4</v>
      </c>
      <c r="I73" s="13" t="s">
        <v>30</v>
      </c>
      <c r="K73" s="13"/>
    </row>
    <row r="74" spans="1:11" s="27" customFormat="1" x14ac:dyDescent="0.25">
      <c r="A74" s="131" t="s">
        <v>717</v>
      </c>
      <c r="B74" s="26">
        <v>0</v>
      </c>
      <c r="C74" s="13">
        <v>28</v>
      </c>
      <c r="D74" s="580">
        <v>2</v>
      </c>
      <c r="E74" s="126">
        <f>B74*$E$2</f>
        <v>0</v>
      </c>
      <c r="F74" s="140">
        <f t="array" ref="F74">IF(D74=0,0,IF(D74=1,C74*$F$2,C74*$F$2*2))</f>
        <v>56</v>
      </c>
      <c r="G74" s="140">
        <f t="array" ref="G74">IF(D74&gt;2,C74*(D74-2)*$G$2,0)</f>
        <v>0</v>
      </c>
      <c r="H74" s="129">
        <f>SUM(E74:G74)</f>
        <v>56</v>
      </c>
      <c r="I74" s="13" t="s">
        <v>30</v>
      </c>
      <c r="J74" s="27" t="s">
        <v>724</v>
      </c>
      <c r="K74" s="13"/>
    </row>
    <row r="75" spans="1:11" s="27" customFormat="1" x14ac:dyDescent="0.25">
      <c r="A75" s="27" t="s">
        <v>416</v>
      </c>
      <c r="B75" s="26">
        <v>0</v>
      </c>
      <c r="C75" s="13">
        <v>28</v>
      </c>
      <c r="D75" s="580">
        <v>0</v>
      </c>
      <c r="E75" s="126">
        <f>B75*$E$3</f>
        <v>0</v>
      </c>
      <c r="F75" s="140">
        <f t="array" ref="F75">IF(D75=0,0,IF(D75=1,C75*$F$2,C75*$F$2*2))</f>
        <v>0</v>
      </c>
      <c r="G75" s="140">
        <f t="array" ref="G75">IF(D75&gt;2,C75*(D75-2)*$G$2,0)</f>
        <v>0</v>
      </c>
      <c r="H75" s="129">
        <f t="shared" ref="H75:H78" si="26">SUM(E75:G75)</f>
        <v>0</v>
      </c>
      <c r="I75" s="13" t="s">
        <v>30</v>
      </c>
      <c r="K75" s="13"/>
    </row>
    <row r="76" spans="1:11" s="27" customFormat="1" x14ac:dyDescent="0.25">
      <c r="A76" s="27" t="s">
        <v>718</v>
      </c>
      <c r="B76" s="26">
        <v>0</v>
      </c>
      <c r="C76" s="13">
        <v>28</v>
      </c>
      <c r="D76" s="580">
        <v>0</v>
      </c>
      <c r="E76" s="126">
        <f>B76*$E$2</f>
        <v>0</v>
      </c>
      <c r="F76" s="140">
        <f t="array" ref="F76">IF(D76=0,0,IF(D76=1,C76*$F$2,C76*$F$2*2))</f>
        <v>0</v>
      </c>
      <c r="G76" s="140">
        <f t="array" ref="G76">IF(D76&gt;2,C76*(D76-2)*$G$2,0)</f>
        <v>0</v>
      </c>
      <c r="H76" s="129">
        <f t="shared" si="26"/>
        <v>0</v>
      </c>
      <c r="I76" s="13" t="s">
        <v>30</v>
      </c>
      <c r="K76" s="13"/>
    </row>
    <row r="77" spans="1:11" s="27" customFormat="1" x14ac:dyDescent="0.25">
      <c r="A77" s="27" t="s">
        <v>719</v>
      </c>
      <c r="B77" s="26">
        <v>10</v>
      </c>
      <c r="C77" s="13">
        <v>10</v>
      </c>
      <c r="D77" s="580">
        <v>1</v>
      </c>
      <c r="E77" s="126">
        <f>B77*$E$2</f>
        <v>12</v>
      </c>
      <c r="F77" s="140">
        <f t="array" ref="F77">IF(D77=0,0,IF(D77=1,C77*$F$2,C77*$F$2*2))</f>
        <v>10</v>
      </c>
      <c r="G77" s="140">
        <f t="array" ref="G77">IF(D77&gt;2,C77*(D77-2)*$G$2,0)</f>
        <v>0</v>
      </c>
      <c r="H77" s="129">
        <f t="shared" si="26"/>
        <v>22</v>
      </c>
      <c r="I77" s="13" t="s">
        <v>30</v>
      </c>
      <c r="K77" s="13"/>
    </row>
    <row r="78" spans="1:11" s="27" customFormat="1" x14ac:dyDescent="0.25">
      <c r="A78" s="131" t="s">
        <v>720</v>
      </c>
      <c r="B78" s="26">
        <v>28</v>
      </c>
      <c r="C78" s="13">
        <v>28</v>
      </c>
      <c r="D78" s="580">
        <v>2</v>
      </c>
      <c r="E78" s="126">
        <f>B78*$E$3</f>
        <v>33.6</v>
      </c>
      <c r="F78" s="140">
        <f t="array" ref="F78">IF(D78=0,0,IF(D78=1,C78*$F$2,C78*$F$2*2))</f>
        <v>56</v>
      </c>
      <c r="G78" s="140">
        <f t="array" ref="G78">IF(D78&gt;2,C78*(D78-2)*$G$2,0)</f>
        <v>0</v>
      </c>
      <c r="H78" s="129">
        <f t="shared" si="26"/>
        <v>89.6</v>
      </c>
      <c r="I78" s="13" t="s">
        <v>30</v>
      </c>
      <c r="K78" s="13"/>
    </row>
    <row r="79" spans="1:11" s="27" customFormat="1" x14ac:dyDescent="0.25">
      <c r="A79" s="131" t="s">
        <v>721</v>
      </c>
      <c r="B79" s="26">
        <v>14</v>
      </c>
      <c r="C79" s="13">
        <v>14</v>
      </c>
      <c r="D79" s="580">
        <v>1</v>
      </c>
      <c r="E79" s="126">
        <f>B79*$E$2</f>
        <v>16.8</v>
      </c>
      <c r="F79" s="140">
        <f t="array" ref="F79">IF(D79=0,0,IF(D79=1,C79*$F$2,C79*$F$2*2))</f>
        <v>14</v>
      </c>
      <c r="G79" s="140">
        <f t="array" ref="G79">IF(D79&gt;2,C79*(D79-2)*$G$2,0)</f>
        <v>0</v>
      </c>
      <c r="H79" s="129">
        <f>SUM(E79:G79)</f>
        <v>30.8</v>
      </c>
      <c r="I79" s="13" t="s">
        <v>30</v>
      </c>
      <c r="K79" s="13"/>
    </row>
    <row r="80" spans="1:11" s="27" customFormat="1" ht="16.5" thickBot="1" x14ac:dyDescent="0.3">
      <c r="A80" s="131" t="s">
        <v>722</v>
      </c>
      <c r="B80" s="26">
        <v>28</v>
      </c>
      <c r="C80" s="13">
        <v>28</v>
      </c>
      <c r="D80" s="580">
        <v>2</v>
      </c>
      <c r="E80" s="126">
        <f>B80*$E$2</f>
        <v>33.6</v>
      </c>
      <c r="F80" s="140">
        <f t="array" ref="F80">IF(D80=0,0,IF(D80=1,C80*$F$2,C80*$F$2*2))</f>
        <v>56</v>
      </c>
      <c r="G80" s="140">
        <f t="array" ref="G80">IF(D80&gt;2,C80*(D80-2)*$G$2,0)</f>
        <v>0</v>
      </c>
      <c r="H80" s="129">
        <f t="shared" ref="H80" si="27">SUM(E80:G80)</f>
        <v>89.6</v>
      </c>
      <c r="I80" s="13" t="s">
        <v>30</v>
      </c>
      <c r="K80" s="13"/>
    </row>
    <row r="81" spans="1:12" s="27" customFormat="1" ht="16.5" thickBot="1" x14ac:dyDescent="0.3">
      <c r="A81" s="19" t="s">
        <v>19</v>
      </c>
      <c r="B81" s="89"/>
      <c r="C81" s="13"/>
      <c r="D81" s="128"/>
      <c r="E81" s="26"/>
      <c r="F81" s="1"/>
      <c r="G81" s="1"/>
      <c r="H81" s="141">
        <f>SUM(H61:H80)</f>
        <v>1680.3999999999999</v>
      </c>
      <c r="I81" s="13"/>
      <c r="K81" s="13"/>
    </row>
    <row r="82" spans="1:12" s="19" customFormat="1" x14ac:dyDescent="0.25">
      <c r="A82" s="27" t="s">
        <v>725</v>
      </c>
      <c r="B82" s="26">
        <v>28</v>
      </c>
      <c r="C82" s="13">
        <v>28</v>
      </c>
      <c r="D82" s="580">
        <v>2</v>
      </c>
      <c r="E82" s="126">
        <f>B82*$E$2</f>
        <v>33.6</v>
      </c>
      <c r="F82" s="140">
        <f t="array" ref="F82">IF(D82=0,0,IF(D82=1,C82*$F$2,C82*$F$2*2))</f>
        <v>56</v>
      </c>
      <c r="G82" s="140">
        <f t="array" ref="G82">IF(D82&gt;2,C82*(D82-2)*$G$2,0)</f>
        <v>0</v>
      </c>
      <c r="H82" s="129">
        <f>SUM(E82:G82)</f>
        <v>89.6</v>
      </c>
      <c r="I82" s="13" t="s">
        <v>30</v>
      </c>
      <c r="J82" s="27"/>
      <c r="K82" s="13"/>
    </row>
    <row r="83" spans="1:12" x14ac:dyDescent="0.25">
      <c r="A83" s="27" t="s">
        <v>726</v>
      </c>
      <c r="B83" s="26">
        <v>28</v>
      </c>
      <c r="C83" s="13">
        <v>28</v>
      </c>
      <c r="D83" s="580">
        <v>3</v>
      </c>
      <c r="E83" s="126">
        <f>B83*$E$2</f>
        <v>33.6</v>
      </c>
      <c r="F83" s="140">
        <f t="array" ref="F83">IF(D83=0,0,IF(D83=1,C83*$F$2,C83*$F$2*2))</f>
        <v>56</v>
      </c>
      <c r="G83" s="140">
        <f t="array" ref="G83">IF(D83&gt;2,C83*(D83-2)*$G$2,0)</f>
        <v>22.400000000000002</v>
      </c>
      <c r="H83" s="129">
        <f>SUM(E83:G83)</f>
        <v>112</v>
      </c>
      <c r="I83" s="13" t="s">
        <v>30</v>
      </c>
      <c r="J83" s="19"/>
      <c r="K83" s="13"/>
      <c r="L83" s="27"/>
    </row>
    <row r="84" spans="1:12" s="19" customFormat="1" x14ac:dyDescent="0.25">
      <c r="A84" s="27" t="s">
        <v>727</v>
      </c>
      <c r="B84" s="26">
        <v>28</v>
      </c>
      <c r="C84" s="13">
        <v>28</v>
      </c>
      <c r="D84" s="580">
        <v>2</v>
      </c>
      <c r="E84" s="126">
        <f>B84*$E$2</f>
        <v>33.6</v>
      </c>
      <c r="F84" s="140">
        <f t="array" ref="F84">IF(D84=0,0,IF(D84=1,C84*$F$2,C84*$F$2*2))</f>
        <v>56</v>
      </c>
      <c r="G84" s="140">
        <f t="array" ref="G84">IF(D84&gt;2,C84*(D84-2)*$G$2,0)</f>
        <v>0</v>
      </c>
      <c r="H84" s="129">
        <f>SUM(E84:G84)</f>
        <v>89.6</v>
      </c>
      <c r="I84" s="13" t="s">
        <v>30</v>
      </c>
      <c r="K84" s="13"/>
    </row>
    <row r="85" spans="1:12" s="19" customFormat="1" x14ac:dyDescent="0.25">
      <c r="A85" s="27" t="s">
        <v>728</v>
      </c>
      <c r="B85" s="26">
        <v>0</v>
      </c>
      <c r="C85" s="13">
        <v>4</v>
      </c>
      <c r="D85" s="580">
        <v>1</v>
      </c>
      <c r="E85" s="126">
        <f>B85*$E$2</f>
        <v>0</v>
      </c>
      <c r="F85" s="140">
        <f t="array" ref="F85">IF(D85=0,0,IF(D85=1,C85*$F$2,C85*$F$2*2))</f>
        <v>4</v>
      </c>
      <c r="G85" s="140">
        <f t="array" ref="G85">IF(D85&gt;2,C85*(D85-2)*$G$2,0)</f>
        <v>0</v>
      </c>
      <c r="H85" s="129">
        <f>SUM(E85:G85)</f>
        <v>4</v>
      </c>
      <c r="I85" s="13" t="s">
        <v>30</v>
      </c>
      <c r="J85" s="27" t="s">
        <v>729</v>
      </c>
      <c r="K85" s="13"/>
    </row>
    <row r="86" spans="1:12" s="19" customFormat="1" x14ac:dyDescent="0.25">
      <c r="A86" s="27" t="s">
        <v>730</v>
      </c>
      <c r="B86" s="26">
        <v>28</v>
      </c>
      <c r="C86" s="13">
        <v>28</v>
      </c>
      <c r="D86" s="580">
        <v>2</v>
      </c>
      <c r="E86" s="126">
        <f t="shared" ref="E86:E88" si="28">B86*$E$2</f>
        <v>33.6</v>
      </c>
      <c r="F86" s="140">
        <f t="array" ref="F86">IF(D86=0,0,IF(D86=1,C86*$F$2,C86*$F$2*2))</f>
        <v>56</v>
      </c>
      <c r="G86" s="140">
        <f t="array" ref="G86">IF(D86&gt;2,C86*(D86-2)*$G$2,0)</f>
        <v>0</v>
      </c>
      <c r="H86" s="129">
        <f t="shared" ref="H86:H88" si="29">SUM(E86:G86)</f>
        <v>89.6</v>
      </c>
      <c r="I86" s="13" t="s">
        <v>30</v>
      </c>
      <c r="J86" s="21"/>
      <c r="K86" s="13"/>
    </row>
    <row r="87" spans="1:12" s="27" customFormat="1" x14ac:dyDescent="0.25">
      <c r="A87" s="27" t="s">
        <v>731</v>
      </c>
      <c r="B87" s="26">
        <v>28</v>
      </c>
      <c r="C87" s="13">
        <v>28</v>
      </c>
      <c r="D87" s="580">
        <v>1</v>
      </c>
      <c r="E87" s="126">
        <f t="shared" si="28"/>
        <v>33.6</v>
      </c>
      <c r="F87" s="140">
        <f t="array" ref="F87">IF(D87=0,0,IF(D87=1,C87*$F$2,C87*$F$2*2))</f>
        <v>28</v>
      </c>
      <c r="G87" s="140">
        <f t="array" ref="G87">IF(D87&gt;2,C87*(D87-2)*$G$2,0)</f>
        <v>0</v>
      </c>
      <c r="H87" s="129">
        <f t="shared" si="29"/>
        <v>61.6</v>
      </c>
      <c r="I87" s="13" t="s">
        <v>30</v>
      </c>
      <c r="K87" s="13"/>
    </row>
    <row r="88" spans="1:12" s="27" customFormat="1" x14ac:dyDescent="0.25">
      <c r="A88" s="27" t="s">
        <v>732</v>
      </c>
      <c r="B88" s="26">
        <v>28</v>
      </c>
      <c r="C88" s="13">
        <v>28</v>
      </c>
      <c r="D88" s="580">
        <v>1</v>
      </c>
      <c r="E88" s="126">
        <f t="shared" si="28"/>
        <v>33.6</v>
      </c>
      <c r="F88" s="140">
        <f t="array" ref="F88">IF(D88=0,0,IF(D88=1,C88*$F$2,C88*$F$2*2))</f>
        <v>28</v>
      </c>
      <c r="G88" s="140">
        <f t="array" ref="G88">IF(D88&gt;2,C88*(D88-2)*$G$2,0)</f>
        <v>0</v>
      </c>
      <c r="H88" s="129">
        <f t="shared" si="29"/>
        <v>61.6</v>
      </c>
      <c r="I88" s="13" t="s">
        <v>30</v>
      </c>
      <c r="K88" s="13"/>
    </row>
    <row r="89" spans="1:12" s="27" customFormat="1" x14ac:dyDescent="0.25">
      <c r="A89" s="27" t="s">
        <v>733</v>
      </c>
      <c r="B89" s="26">
        <v>28</v>
      </c>
      <c r="C89" s="13">
        <v>28</v>
      </c>
      <c r="D89" s="580">
        <v>2</v>
      </c>
      <c r="E89" s="126">
        <f>B89*$E$2</f>
        <v>33.6</v>
      </c>
      <c r="F89" s="140">
        <f t="array" ref="F89">IF(D89=0,0,IF(D89=1,C89*$F$2,C89*$F$2*2))</f>
        <v>56</v>
      </c>
      <c r="G89" s="140">
        <f t="array" ref="G89">IF(D89&gt;2,C89*(D89-2)*$G$2,0)</f>
        <v>0</v>
      </c>
      <c r="H89" s="129">
        <f>SUM(E89:G89)</f>
        <v>89.6</v>
      </c>
      <c r="I89" s="13" t="s">
        <v>30</v>
      </c>
      <c r="K89" s="13"/>
    </row>
    <row r="90" spans="1:12" s="27" customFormat="1" x14ac:dyDescent="0.25">
      <c r="A90" s="27" t="s">
        <v>734</v>
      </c>
      <c r="B90" s="26">
        <v>28</v>
      </c>
      <c r="C90" s="13">
        <v>28</v>
      </c>
      <c r="D90" s="580">
        <v>1</v>
      </c>
      <c r="E90" s="126">
        <f t="shared" ref="E90:E92" si="30">B90*$E$2</f>
        <v>33.6</v>
      </c>
      <c r="F90" s="140">
        <f t="array" ref="F90">IF(D90=0,0,IF(D90=1,C90*$F$2,C90*$F$2*2))</f>
        <v>28</v>
      </c>
      <c r="G90" s="140">
        <f t="array" ref="G90">IF(D90&gt;2,C90*(D90-2)*$G$2,0)</f>
        <v>0</v>
      </c>
      <c r="H90" s="129">
        <f t="shared" ref="H90:H92" si="31">SUM(E90:G90)</f>
        <v>61.6</v>
      </c>
      <c r="I90" s="13" t="s">
        <v>30</v>
      </c>
      <c r="J90" s="19"/>
      <c r="K90" s="13"/>
    </row>
    <row r="91" spans="1:12" s="27" customFormat="1" x14ac:dyDescent="0.25">
      <c r="A91" s="27" t="s">
        <v>735</v>
      </c>
      <c r="B91" s="26">
        <v>28</v>
      </c>
      <c r="C91" s="13">
        <v>56</v>
      </c>
      <c r="D91" s="580">
        <v>2</v>
      </c>
      <c r="E91" s="126">
        <f t="shared" si="30"/>
        <v>33.6</v>
      </c>
      <c r="F91" s="140">
        <f t="array" ref="F91">IF(D91=0,0,IF(D91=1,C91*$F$2,C91*$F$2*2))</f>
        <v>112</v>
      </c>
      <c r="G91" s="140">
        <f t="array" ref="G91">IF(D91&gt;2,C91*(D91-2)*$G$2,0)</f>
        <v>0</v>
      </c>
      <c r="H91" s="129">
        <f t="shared" si="31"/>
        <v>145.6</v>
      </c>
      <c r="I91" s="13" t="s">
        <v>30</v>
      </c>
      <c r="K91" s="13"/>
    </row>
    <row r="92" spans="1:12" s="27" customFormat="1" x14ac:dyDescent="0.25">
      <c r="A92" s="131" t="s">
        <v>736</v>
      </c>
      <c r="B92" s="26">
        <v>0</v>
      </c>
      <c r="C92" s="13">
        <v>28</v>
      </c>
      <c r="D92" s="580">
        <v>0</v>
      </c>
      <c r="E92" s="126">
        <f t="shared" si="30"/>
        <v>0</v>
      </c>
      <c r="F92" s="140">
        <f t="array" ref="F92">IF(D92=0,0,IF(D92=1,C92*$F$2,C92*$F$2*2))</f>
        <v>0</v>
      </c>
      <c r="G92" s="140">
        <f t="array" ref="G92">IF(D92&gt;2,C92*(D92-2)*$G$2,0)</f>
        <v>0</v>
      </c>
      <c r="H92" s="129">
        <f t="shared" si="31"/>
        <v>0</v>
      </c>
      <c r="I92" s="13" t="s">
        <v>30</v>
      </c>
      <c r="K92" s="13"/>
    </row>
    <row r="93" spans="1:12" s="27" customFormat="1" x14ac:dyDescent="0.25">
      <c r="A93" s="131" t="s">
        <v>737</v>
      </c>
      <c r="B93" s="26">
        <v>28</v>
      </c>
      <c r="C93" s="13">
        <v>28</v>
      </c>
      <c r="D93" s="580">
        <v>4</v>
      </c>
      <c r="E93" s="126">
        <f>B93*$E$2</f>
        <v>33.6</v>
      </c>
      <c r="F93" s="140">
        <f t="array" ref="F93">IF(D93=0,0,IF(D93=1,C93*$F$2,C93*$F$2*2))</f>
        <v>56</v>
      </c>
      <c r="G93" s="140">
        <f t="array" ref="G93">IF(D93&gt;2,C93*(D93-2)*$G$2,0)</f>
        <v>44.800000000000004</v>
      </c>
      <c r="H93" s="129">
        <f>SUM(E93:G93)</f>
        <v>134.4</v>
      </c>
      <c r="I93" s="13" t="s">
        <v>30</v>
      </c>
      <c r="K93" s="13"/>
    </row>
    <row r="94" spans="1:12" s="27" customFormat="1" x14ac:dyDescent="0.25">
      <c r="A94" s="131" t="s">
        <v>738</v>
      </c>
      <c r="B94" s="26">
        <v>28</v>
      </c>
      <c r="C94" s="13">
        <v>28</v>
      </c>
      <c r="D94" s="580">
        <v>2</v>
      </c>
      <c r="E94" s="126">
        <f>B94*$E$2</f>
        <v>33.6</v>
      </c>
      <c r="F94" s="140">
        <f t="array" ref="F94">IF(D94=0,0,IF(D94=1,C94*$F$2,C94*$F$2*2))</f>
        <v>56</v>
      </c>
      <c r="G94" s="140">
        <f t="array" ref="G94">IF(D94&gt;2,C94*(D94-2)*$G$2,0)</f>
        <v>0</v>
      </c>
      <c r="H94" s="129">
        <f>SUM(E94:G94)</f>
        <v>89.6</v>
      </c>
      <c r="I94" s="13" t="s">
        <v>30</v>
      </c>
      <c r="K94" s="13"/>
    </row>
    <row r="95" spans="1:12" s="19" customFormat="1" x14ac:dyDescent="0.25">
      <c r="A95" s="131" t="s">
        <v>739</v>
      </c>
      <c r="B95" s="26">
        <v>14</v>
      </c>
      <c r="C95" s="13">
        <v>28</v>
      </c>
      <c r="D95" s="580">
        <v>1</v>
      </c>
      <c r="E95" s="126">
        <f t="shared" ref="E95:E98" si="32">B95*$E$2</f>
        <v>16.8</v>
      </c>
      <c r="F95" s="140">
        <f t="array" ref="F95">IF(D95=0,0,IF(D95=1,C95*$F$2,C95*$F$2*2))</f>
        <v>28</v>
      </c>
      <c r="G95" s="140">
        <f t="array" ref="G95">IF(D95&gt;2,C95*(D95-2)*$G$2,0)</f>
        <v>0</v>
      </c>
      <c r="H95" s="129">
        <f t="shared" ref="H95:H98" si="33">SUM(E95:G95)</f>
        <v>44.8</v>
      </c>
      <c r="I95" s="13" t="s">
        <v>30</v>
      </c>
      <c r="J95" s="27"/>
      <c r="K95" s="13"/>
    </row>
    <row r="96" spans="1:12" s="27" customFormat="1" x14ac:dyDescent="0.25">
      <c r="A96" s="131" t="s">
        <v>740</v>
      </c>
      <c r="B96" s="26">
        <v>28</v>
      </c>
      <c r="C96" s="13">
        <v>28</v>
      </c>
      <c r="D96" s="580">
        <v>4</v>
      </c>
      <c r="E96" s="126">
        <f t="shared" si="32"/>
        <v>33.6</v>
      </c>
      <c r="F96" s="140">
        <f t="array" ref="F96">IF(D96=0,0,IF(D96=1,C96*$F$2,C96*$F$2*2))</f>
        <v>56</v>
      </c>
      <c r="G96" s="140">
        <f t="array" ref="G96">IF(D96&gt;2,C96*(D96-2)*$G$2,0)</f>
        <v>44.800000000000004</v>
      </c>
      <c r="H96" s="129">
        <f t="shared" si="33"/>
        <v>134.4</v>
      </c>
      <c r="I96" s="13" t="s">
        <v>30</v>
      </c>
      <c r="K96" s="13"/>
    </row>
    <row r="97" spans="1:11" s="27" customFormat="1" x14ac:dyDescent="0.25">
      <c r="A97" s="131" t="s">
        <v>741</v>
      </c>
      <c r="B97" s="26">
        <v>21</v>
      </c>
      <c r="C97" s="13">
        <v>14</v>
      </c>
      <c r="D97" s="580">
        <v>1</v>
      </c>
      <c r="E97" s="126">
        <f t="shared" si="32"/>
        <v>25.2</v>
      </c>
      <c r="F97" s="140">
        <f t="array" ref="F97">IF(D97=0,0,IF(D97=1,C97*$F$2,C97*$F$2*2))</f>
        <v>14</v>
      </c>
      <c r="G97" s="140">
        <f t="array" ref="G97">IF(D97&gt;2,C97*(D97-2)*$G$2,0)</f>
        <v>0</v>
      </c>
      <c r="H97" s="129">
        <f t="shared" si="33"/>
        <v>39.200000000000003</v>
      </c>
      <c r="I97" s="13" t="s">
        <v>30</v>
      </c>
      <c r="K97" s="13"/>
    </row>
    <row r="98" spans="1:11" s="27" customFormat="1" x14ac:dyDescent="0.25">
      <c r="A98" s="131" t="s">
        <v>742</v>
      </c>
      <c r="B98" s="26">
        <v>28</v>
      </c>
      <c r="C98" s="13">
        <v>28</v>
      </c>
      <c r="D98" s="580">
        <v>1</v>
      </c>
      <c r="E98" s="126">
        <f t="shared" si="32"/>
        <v>33.6</v>
      </c>
      <c r="F98" s="140">
        <f t="array" ref="F98">IF(D98=0,0,IF(D98=1,C98*$F$2,C98*$F$2*2))</f>
        <v>28</v>
      </c>
      <c r="G98" s="140">
        <f t="array" ref="G98">IF(D98&gt;2,C98*(D98-2)*$G$2,0)</f>
        <v>0</v>
      </c>
      <c r="H98" s="129">
        <f t="shared" si="33"/>
        <v>61.6</v>
      </c>
      <c r="I98" s="13" t="s">
        <v>30</v>
      </c>
      <c r="K98" s="13"/>
    </row>
    <row r="99" spans="1:11" s="27" customFormat="1" x14ac:dyDescent="0.25">
      <c r="A99" s="131" t="s">
        <v>743</v>
      </c>
      <c r="B99" s="26">
        <v>28</v>
      </c>
      <c r="C99" s="13">
        <v>56</v>
      </c>
      <c r="D99" s="580">
        <v>3</v>
      </c>
      <c r="E99" s="126">
        <f>B99*$E$2</f>
        <v>33.6</v>
      </c>
      <c r="F99" s="140">
        <f t="array" ref="F99">IF(D99=0,0,IF(D99=1,C99*$F$2,C99*$F$2*2))</f>
        <v>112</v>
      </c>
      <c r="G99" s="140">
        <f t="array" ref="G99">IF(D99&gt;2,C99*(D99-2)*$G$2,0)</f>
        <v>44.800000000000004</v>
      </c>
      <c r="H99" s="129">
        <f>SUM(E99:G99)</f>
        <v>190.4</v>
      </c>
      <c r="I99" s="13" t="s">
        <v>30</v>
      </c>
      <c r="K99" s="13"/>
    </row>
    <row r="100" spans="1:11" s="27" customFormat="1" x14ac:dyDescent="0.25">
      <c r="A100" s="131" t="s">
        <v>744</v>
      </c>
      <c r="B100" s="26">
        <v>28</v>
      </c>
      <c r="C100" s="13">
        <v>28</v>
      </c>
      <c r="D100" s="580">
        <v>2</v>
      </c>
      <c r="E100" s="126">
        <f t="shared" ref="E100:E102" si="34">B100*$E$2</f>
        <v>33.6</v>
      </c>
      <c r="F100" s="140">
        <f t="array" ref="F100">IF(D100=0,0,IF(D100=1,C100*$F$2,C100*$F$2*2))</f>
        <v>56</v>
      </c>
      <c r="G100" s="140">
        <f t="array" ref="G100">IF(D100&gt;2,C100*(D100-2)*$G$2,0)</f>
        <v>0</v>
      </c>
      <c r="H100" s="129">
        <f t="shared" ref="H100:H102" si="35">SUM(E100:G100)</f>
        <v>89.6</v>
      </c>
      <c r="I100" s="13" t="s">
        <v>30</v>
      </c>
      <c r="K100" s="13"/>
    </row>
    <row r="101" spans="1:11" s="27" customFormat="1" x14ac:dyDescent="0.25">
      <c r="A101" s="131" t="s">
        <v>745</v>
      </c>
      <c r="B101" s="26">
        <v>12</v>
      </c>
      <c r="C101" s="13">
        <v>0</v>
      </c>
      <c r="D101" s="580">
        <v>1</v>
      </c>
      <c r="E101" s="126">
        <f t="shared" si="34"/>
        <v>14.399999999999999</v>
      </c>
      <c r="F101" s="140">
        <f t="array" ref="F101">IF(D101=0,0,IF(D101=1,C101*$F$2,C101*$F$2*2))</f>
        <v>0</v>
      </c>
      <c r="G101" s="140">
        <f t="array" ref="G101">IF(D101&gt;2,C101*(D101-2)*$G$2,0)</f>
        <v>0</v>
      </c>
      <c r="H101" s="129">
        <f t="shared" si="35"/>
        <v>14.399999999999999</v>
      </c>
      <c r="I101" s="13" t="s">
        <v>30</v>
      </c>
      <c r="K101" s="13"/>
    </row>
    <row r="102" spans="1:11" s="27" customFormat="1" x14ac:dyDescent="0.25">
      <c r="A102" s="131" t="s">
        <v>746</v>
      </c>
      <c r="B102" s="26">
        <v>22</v>
      </c>
      <c r="C102" s="13">
        <v>0</v>
      </c>
      <c r="D102" s="580">
        <v>1</v>
      </c>
      <c r="E102" s="126">
        <f t="shared" si="34"/>
        <v>26.4</v>
      </c>
      <c r="F102" s="140">
        <f t="array" ref="F102">IF(D102=0,0,IF(D102=1,C102*$F$2,C102*$F$2*2))</f>
        <v>0</v>
      </c>
      <c r="G102" s="140">
        <f t="array" ref="G102">IF(D102&gt;2,C102*(D102-2)*$G$2,0)</f>
        <v>0</v>
      </c>
      <c r="H102" s="129">
        <f t="shared" si="35"/>
        <v>26.4</v>
      </c>
      <c r="I102" s="13" t="s">
        <v>30</v>
      </c>
      <c r="K102" s="13"/>
    </row>
    <row r="103" spans="1:11" s="27" customFormat="1" x14ac:dyDescent="0.25">
      <c r="A103" s="131" t="s">
        <v>747</v>
      </c>
      <c r="B103" s="143">
        <v>14</v>
      </c>
      <c r="C103" s="143">
        <v>14</v>
      </c>
      <c r="D103" s="580">
        <v>5</v>
      </c>
      <c r="E103" s="126">
        <f>B103*$E$2</f>
        <v>16.8</v>
      </c>
      <c r="F103" s="140">
        <f t="array" ref="F103">IF(D103=0,0,IF(D103=1,C103*$F$2,C103*$F$2*2))</f>
        <v>28</v>
      </c>
      <c r="G103" s="140">
        <f t="array" ref="G103">IF(D103&gt;2,C103*(D103-2)*$G$2,0)</f>
        <v>33.6</v>
      </c>
      <c r="H103" s="129">
        <f>SUM(E103:G103)</f>
        <v>78.400000000000006</v>
      </c>
      <c r="I103" s="13" t="s">
        <v>30</v>
      </c>
      <c r="K103" s="13"/>
    </row>
    <row r="104" spans="1:11" s="27" customFormat="1" x14ac:dyDescent="0.25">
      <c r="A104" s="131" t="s">
        <v>748</v>
      </c>
      <c r="B104" s="26">
        <v>5</v>
      </c>
      <c r="C104" s="13">
        <v>5</v>
      </c>
      <c r="D104" s="580">
        <v>1</v>
      </c>
      <c r="E104" s="126">
        <f t="shared" ref="E104:E110" si="36">B104*$E$2</f>
        <v>6</v>
      </c>
      <c r="F104" s="140">
        <f t="array" ref="F104">IF(D104=0,0,IF(D104=1,C104*$F$2,C104*$F$2*2))</f>
        <v>5</v>
      </c>
      <c r="G104" s="140">
        <f t="array" ref="G104">IF(D104&gt;2,C104*(D104-2)*$G$2,0)</f>
        <v>0</v>
      </c>
      <c r="H104" s="129">
        <f t="shared" ref="H104:H110" si="37">SUM(E104:G104)</f>
        <v>11</v>
      </c>
      <c r="I104" s="13" t="s">
        <v>30</v>
      </c>
      <c r="K104" s="13"/>
    </row>
    <row r="105" spans="1:11" s="27" customFormat="1" x14ac:dyDescent="0.25">
      <c r="A105" s="27" t="s">
        <v>749</v>
      </c>
      <c r="B105" s="26">
        <v>28</v>
      </c>
      <c r="C105" s="13">
        <v>56</v>
      </c>
      <c r="D105" s="580">
        <v>1</v>
      </c>
      <c r="E105" s="126">
        <f t="shared" si="36"/>
        <v>33.6</v>
      </c>
      <c r="F105" s="140">
        <f t="array" ref="F105">IF(D105=0,0,IF(D105=1,C105*$F$2,C105*$F$2*2))</f>
        <v>56</v>
      </c>
      <c r="G105" s="140">
        <f t="array" ref="G105">IF(D105&gt;2,C105*(D105-2)*$G$2,0)</f>
        <v>0</v>
      </c>
      <c r="H105" s="129">
        <f t="shared" si="37"/>
        <v>89.6</v>
      </c>
      <c r="I105" s="13" t="s">
        <v>30</v>
      </c>
      <c r="K105" s="13"/>
    </row>
    <row r="106" spans="1:11" s="27" customFormat="1" x14ac:dyDescent="0.25">
      <c r="A106" s="131" t="s">
        <v>750</v>
      </c>
      <c r="B106" s="26">
        <v>14</v>
      </c>
      <c r="C106" s="13">
        <v>28</v>
      </c>
      <c r="D106" s="580">
        <v>1</v>
      </c>
      <c r="E106" s="126">
        <f t="shared" si="36"/>
        <v>16.8</v>
      </c>
      <c r="F106" s="140">
        <f t="array" ref="F106">IF(D106=0,0,IF(D106=1,C106*$F$2,C106*$F$2*2))</f>
        <v>28</v>
      </c>
      <c r="G106" s="140">
        <f t="array" ref="G106">IF(D106&gt;2,C106*(D106-2)*$G$2,0)</f>
        <v>0</v>
      </c>
      <c r="H106" s="129">
        <f t="shared" si="37"/>
        <v>44.8</v>
      </c>
      <c r="I106" s="13" t="s">
        <v>30</v>
      </c>
      <c r="K106" s="13"/>
    </row>
    <row r="107" spans="1:11" s="27" customFormat="1" x14ac:dyDescent="0.25">
      <c r="A107" s="131" t="s">
        <v>751</v>
      </c>
      <c r="B107" s="26">
        <v>28</v>
      </c>
      <c r="C107" s="13">
        <v>28</v>
      </c>
      <c r="D107" s="580">
        <v>1</v>
      </c>
      <c r="E107" s="126">
        <f t="shared" si="36"/>
        <v>33.6</v>
      </c>
      <c r="F107" s="140">
        <f t="array" ref="F107">IF(D107=0,0,IF(D107=1,C107*$F$2,C107*$F$2*2))</f>
        <v>28</v>
      </c>
      <c r="G107" s="140">
        <f t="array" ref="G107">IF(D107&gt;2,C107*(D107-2)*$G$2,0)</f>
        <v>0</v>
      </c>
      <c r="H107" s="129">
        <f t="shared" si="37"/>
        <v>61.6</v>
      </c>
      <c r="I107" s="13" t="s">
        <v>30</v>
      </c>
      <c r="K107" s="13"/>
    </row>
    <row r="108" spans="1:11" s="27" customFormat="1" x14ac:dyDescent="0.25">
      <c r="A108" s="131" t="s">
        <v>752</v>
      </c>
      <c r="B108" s="26">
        <v>42</v>
      </c>
      <c r="C108" s="13">
        <v>28</v>
      </c>
      <c r="D108" s="580">
        <v>2</v>
      </c>
      <c r="E108" s="126">
        <f t="shared" si="36"/>
        <v>50.4</v>
      </c>
      <c r="F108" s="140">
        <f t="array" ref="F108">IF(D108=0,0,IF(D108=1,C108*$F$2,C108*$F$2*2))</f>
        <v>56</v>
      </c>
      <c r="G108" s="140">
        <f t="array" ref="G108">IF(D108&gt;2,C108*(D108-2)*$G$2,0)</f>
        <v>0</v>
      </c>
      <c r="H108" s="129">
        <f t="shared" si="37"/>
        <v>106.4</v>
      </c>
      <c r="I108" s="13" t="s">
        <v>30</v>
      </c>
      <c r="K108" s="13"/>
    </row>
    <row r="109" spans="1:11" s="27" customFormat="1" x14ac:dyDescent="0.25">
      <c r="A109" s="131" t="s">
        <v>753</v>
      </c>
      <c r="B109" s="26">
        <v>28</v>
      </c>
      <c r="C109" s="13">
        <v>28</v>
      </c>
      <c r="D109" s="580">
        <v>1</v>
      </c>
      <c r="E109" s="126">
        <f t="shared" si="36"/>
        <v>33.6</v>
      </c>
      <c r="F109" s="140">
        <f t="array" ref="F109">IF(D109=0,0,IF(D109=1,C109*$F$2,C109*$F$2*2))</f>
        <v>28</v>
      </c>
      <c r="G109" s="140">
        <f t="array" ref="G109">IF(D109&gt;2,C109*(D109-2)*$G$2,0)</f>
        <v>0</v>
      </c>
      <c r="H109" s="129">
        <f t="shared" si="37"/>
        <v>61.6</v>
      </c>
      <c r="I109" s="13" t="s">
        <v>30</v>
      </c>
      <c r="K109" s="13"/>
    </row>
    <row r="110" spans="1:11" s="27" customFormat="1" ht="16.5" thickBot="1" x14ac:dyDescent="0.3">
      <c r="A110" s="131" t="s">
        <v>754</v>
      </c>
      <c r="B110" s="26">
        <v>28</v>
      </c>
      <c r="C110" s="13">
        <v>28</v>
      </c>
      <c r="D110" s="580">
        <v>2</v>
      </c>
      <c r="E110" s="126">
        <f t="shared" si="36"/>
        <v>33.6</v>
      </c>
      <c r="F110" s="140">
        <f t="array" ref="F110">IF(D110=0,0,IF(D110=1,C110*$F$2,C110*$F$2*2))</f>
        <v>56</v>
      </c>
      <c r="G110" s="140">
        <f t="array" ref="G110">IF(D110&gt;2,C110*(D110-2)*$G$2,0)</f>
        <v>0</v>
      </c>
      <c r="H110" s="129">
        <f t="shared" si="37"/>
        <v>89.6</v>
      </c>
      <c r="I110" s="13" t="s">
        <v>30</v>
      </c>
      <c r="K110" s="13"/>
    </row>
    <row r="111" spans="1:11" s="27" customFormat="1" ht="16.5" thickBot="1" x14ac:dyDescent="0.3">
      <c r="A111" s="19" t="s">
        <v>20</v>
      </c>
      <c r="B111" s="26"/>
      <c r="C111" s="13"/>
      <c r="D111" s="128"/>
      <c r="E111" s="26"/>
      <c r="F111" s="1"/>
      <c r="G111" s="1"/>
      <c r="H111" s="141">
        <f>SUM(H82:H110)</f>
        <v>2172.6</v>
      </c>
      <c r="I111" s="13"/>
      <c r="K111" s="13"/>
    </row>
    <row r="112" spans="1:11" s="27" customFormat="1" x14ac:dyDescent="0.25">
      <c r="A112" s="27" t="s">
        <v>755</v>
      </c>
      <c r="B112" s="26">
        <v>28</v>
      </c>
      <c r="C112" s="13">
        <v>28</v>
      </c>
      <c r="D112" s="580">
        <v>3</v>
      </c>
      <c r="E112" s="126">
        <f t="shared" ref="E112:E120" si="38">B112*$E$2</f>
        <v>33.6</v>
      </c>
      <c r="F112" s="140">
        <f t="array" ref="F112">IF(D112=0,0,IF(D112=1,C112*$F$2,C112*$F$2*2))</f>
        <v>56</v>
      </c>
      <c r="G112" s="140">
        <f t="array" ref="G112">IF(D112&gt;2,C112*(D112-2)*$G$2,0)</f>
        <v>22.400000000000002</v>
      </c>
      <c r="H112" s="129">
        <f t="shared" ref="H112:H142" si="39">SUM(E112:G112)</f>
        <v>112</v>
      </c>
      <c r="I112" s="13" t="s">
        <v>30</v>
      </c>
      <c r="K112" s="13"/>
    </row>
    <row r="113" spans="1:11" s="27" customFormat="1" x14ac:dyDescent="0.25">
      <c r="A113" s="27" t="s">
        <v>756</v>
      </c>
      <c r="B113" s="26">
        <v>28</v>
      </c>
      <c r="C113" s="13">
        <v>28</v>
      </c>
      <c r="D113" s="580">
        <v>1</v>
      </c>
      <c r="E113" s="126">
        <f t="shared" si="38"/>
        <v>33.6</v>
      </c>
      <c r="F113" s="140">
        <f t="array" ref="F113">IF(D113=0,0,IF(D113=1,C113*$F$2,C113*$F$2*2))</f>
        <v>28</v>
      </c>
      <c r="G113" s="140">
        <f t="array" ref="G113">IF(D113&gt;2,C113*(D113-2)*$G$2,0)</f>
        <v>0</v>
      </c>
      <c r="H113" s="129">
        <f t="shared" si="39"/>
        <v>61.6</v>
      </c>
      <c r="I113" s="13" t="s">
        <v>30</v>
      </c>
      <c r="K113" s="13"/>
    </row>
    <row r="114" spans="1:11" s="27" customFormat="1" x14ac:dyDescent="0.25">
      <c r="A114" s="27" t="s">
        <v>757</v>
      </c>
      <c r="B114" s="26">
        <v>28</v>
      </c>
      <c r="C114" s="13">
        <v>28</v>
      </c>
      <c r="D114" s="580">
        <v>3</v>
      </c>
      <c r="E114" s="126">
        <f t="shared" si="38"/>
        <v>33.6</v>
      </c>
      <c r="F114" s="140">
        <f t="array" ref="F114">IF(D114=0,0,IF(D114=1,C114*$F$2,C114*$F$2*2))</f>
        <v>56</v>
      </c>
      <c r="G114" s="140">
        <f t="array" ref="G114">IF(D114&gt;2,C114*(D114-2)*$G$2,0)</f>
        <v>22.400000000000002</v>
      </c>
      <c r="H114" s="129">
        <f t="shared" si="39"/>
        <v>112</v>
      </c>
      <c r="I114" s="13" t="s">
        <v>30</v>
      </c>
      <c r="K114" s="13"/>
    </row>
    <row r="115" spans="1:11" s="27" customFormat="1" x14ac:dyDescent="0.25">
      <c r="A115" s="27" t="s">
        <v>758</v>
      </c>
      <c r="B115" s="26">
        <v>14</v>
      </c>
      <c r="C115" s="13">
        <v>14</v>
      </c>
      <c r="D115" s="580">
        <v>1</v>
      </c>
      <c r="E115" s="126">
        <f t="shared" si="38"/>
        <v>16.8</v>
      </c>
      <c r="F115" s="140">
        <f t="array" ref="F115">IF(D115=0,0,IF(D115=1,C115*$F$2,C115*$F$2*2))</f>
        <v>14</v>
      </c>
      <c r="G115" s="140">
        <f t="array" ref="G115">IF(D115&gt;2,C115*(D115-2)*$G$2,0)</f>
        <v>0</v>
      </c>
      <c r="H115" s="129">
        <f t="shared" si="39"/>
        <v>30.8</v>
      </c>
      <c r="I115" s="13" t="s">
        <v>30</v>
      </c>
      <c r="K115" s="13"/>
    </row>
    <row r="116" spans="1:11" s="27" customFormat="1" x14ac:dyDescent="0.25">
      <c r="A116" s="27" t="s">
        <v>759</v>
      </c>
      <c r="B116" s="26">
        <v>28</v>
      </c>
      <c r="C116" s="13">
        <v>28</v>
      </c>
      <c r="D116" s="580">
        <v>1</v>
      </c>
      <c r="E116" s="126">
        <f t="shared" si="38"/>
        <v>33.6</v>
      </c>
      <c r="F116" s="140">
        <f t="array" ref="F116">IF(D116=0,0,IF(D116=1,C116*$F$2,C116*$F$2*2))</f>
        <v>28</v>
      </c>
      <c r="G116" s="140">
        <f t="array" ref="G116">IF(D116&gt;2,C116*(D116-2)*$G$2,0)</f>
        <v>0</v>
      </c>
      <c r="H116" s="129">
        <f t="shared" si="39"/>
        <v>61.6</v>
      </c>
      <c r="I116" s="13" t="s">
        <v>30</v>
      </c>
      <c r="K116" s="13"/>
    </row>
    <row r="117" spans="1:11" s="27" customFormat="1" x14ac:dyDescent="0.25">
      <c r="A117" s="27" t="s">
        <v>169</v>
      </c>
      <c r="B117" s="26">
        <v>0</v>
      </c>
      <c r="C117" s="13">
        <v>28</v>
      </c>
      <c r="D117" s="580">
        <v>0</v>
      </c>
      <c r="E117" s="126">
        <f t="shared" si="38"/>
        <v>0</v>
      </c>
      <c r="F117" s="140">
        <f t="array" ref="F117">IF(D117=0,0,IF(D117=1,C117*$F$2,C117*$F$2*2))</f>
        <v>0</v>
      </c>
      <c r="G117" s="140">
        <f t="array" ref="G117">IF(D117&gt;2,C117*(D117-2)*$G$2,0)</f>
        <v>0</v>
      </c>
      <c r="H117" s="129">
        <f t="shared" si="39"/>
        <v>0</v>
      </c>
      <c r="I117" s="13" t="s">
        <v>30</v>
      </c>
      <c r="K117" s="13"/>
    </row>
    <row r="118" spans="1:11" s="27" customFormat="1" x14ac:dyDescent="0.25">
      <c r="A118" s="27" t="s">
        <v>760</v>
      </c>
      <c r="B118" s="26">
        <v>28</v>
      </c>
      <c r="C118" s="13">
        <v>28</v>
      </c>
      <c r="D118" s="580">
        <v>2</v>
      </c>
      <c r="E118" s="126">
        <f t="shared" si="38"/>
        <v>33.6</v>
      </c>
      <c r="F118" s="140">
        <f t="array" ref="F118">IF(D118=0,0,IF(D118=1,C118*$F$2,C118*$F$2*2))</f>
        <v>56</v>
      </c>
      <c r="G118" s="140">
        <f t="array" ref="G118">IF(D118&gt;2,C118*(D118-2)*$G$2,0)</f>
        <v>0</v>
      </c>
      <c r="H118" s="129">
        <f t="shared" si="39"/>
        <v>89.6</v>
      </c>
      <c r="I118" s="13" t="s">
        <v>30</v>
      </c>
      <c r="K118" s="13"/>
    </row>
    <row r="119" spans="1:11" s="131" customFormat="1" x14ac:dyDescent="0.25">
      <c r="A119" s="27" t="s">
        <v>361</v>
      </c>
      <c r="B119" s="26">
        <v>0</v>
      </c>
      <c r="C119" s="13">
        <v>28</v>
      </c>
      <c r="D119" s="580">
        <v>0</v>
      </c>
      <c r="E119" s="126">
        <f t="shared" si="38"/>
        <v>0</v>
      </c>
      <c r="F119" s="140">
        <f t="array" ref="F119">IF(D119=0,0,IF(D119=1,C119*$F$2,C119*$F$2*2))</f>
        <v>0</v>
      </c>
      <c r="G119" s="140">
        <f t="array" ref="G119">IF(D119&gt;2,C119*(D119-2)*$G$2,0)</f>
        <v>0</v>
      </c>
      <c r="H119" s="129">
        <f t="shared" si="39"/>
        <v>0</v>
      </c>
      <c r="I119" s="13" t="s">
        <v>30</v>
      </c>
      <c r="K119" s="13"/>
    </row>
    <row r="120" spans="1:11" s="27" customFormat="1" x14ac:dyDescent="0.25">
      <c r="A120" s="27" t="s">
        <v>761</v>
      </c>
      <c r="B120" s="26">
        <v>28</v>
      </c>
      <c r="C120" s="13">
        <v>28</v>
      </c>
      <c r="D120" s="580">
        <v>1</v>
      </c>
      <c r="E120" s="126">
        <f t="shared" si="38"/>
        <v>33.6</v>
      </c>
      <c r="F120" s="140">
        <f t="array" ref="F120">IF(D120=0,0,IF(D120=1,C120*$F$2,C120*$F$2*2))</f>
        <v>28</v>
      </c>
      <c r="G120" s="140">
        <f t="array" ref="G120">IF(D120&gt;2,C120*(D120-2)*$G$2,0)</f>
        <v>0</v>
      </c>
      <c r="H120" s="129">
        <f t="shared" si="39"/>
        <v>61.6</v>
      </c>
      <c r="I120" s="13" t="s">
        <v>30</v>
      </c>
      <c r="K120" s="13"/>
    </row>
    <row r="121" spans="1:11" s="27" customFormat="1" x14ac:dyDescent="0.25">
      <c r="A121" s="27" t="s">
        <v>362</v>
      </c>
      <c r="B121" s="26">
        <v>28</v>
      </c>
      <c r="C121" s="13">
        <v>28</v>
      </c>
      <c r="D121" s="580">
        <v>1</v>
      </c>
      <c r="E121" s="126">
        <f>B121*$E$2</f>
        <v>33.6</v>
      </c>
      <c r="F121" s="140">
        <f t="array" ref="F121">IF(D121=0,0,IF(D121=1,C121*$F$2,C121*$F$2*2))</f>
        <v>28</v>
      </c>
      <c r="G121" s="140">
        <f t="array" ref="G121">IF(D121&gt;2,C121*(D121-2)*$G$2,0)</f>
        <v>0</v>
      </c>
      <c r="H121" s="129">
        <f t="shared" si="39"/>
        <v>61.6</v>
      </c>
      <c r="I121" s="13" t="s">
        <v>30</v>
      </c>
      <c r="K121" s="13"/>
    </row>
    <row r="122" spans="1:11" s="27" customFormat="1" x14ac:dyDescent="0.25">
      <c r="A122" s="27" t="s">
        <v>418</v>
      </c>
      <c r="B122" s="26">
        <v>28</v>
      </c>
      <c r="C122" s="13">
        <v>28</v>
      </c>
      <c r="D122" s="580">
        <v>1</v>
      </c>
      <c r="E122" s="126">
        <f t="shared" ref="E122:E128" si="40">B122*$E$2</f>
        <v>33.6</v>
      </c>
      <c r="F122" s="140">
        <f t="array" ref="F122">IF(D122=0,0,IF(D122=1,C122*$F$2,C122*$F$2*2))</f>
        <v>28</v>
      </c>
      <c r="G122" s="140">
        <f t="array" ref="G122">IF(D122&gt;2,C122*(D122-2)*$G$2,0)</f>
        <v>0</v>
      </c>
      <c r="H122" s="129">
        <f t="shared" si="39"/>
        <v>61.6</v>
      </c>
      <c r="I122" s="13" t="s">
        <v>30</v>
      </c>
      <c r="K122" s="13"/>
    </row>
    <row r="123" spans="1:11" s="27" customFormat="1" x14ac:dyDescent="0.25">
      <c r="A123" s="131" t="s">
        <v>762</v>
      </c>
      <c r="B123" s="26">
        <v>0</v>
      </c>
      <c r="C123" s="13">
        <v>20</v>
      </c>
      <c r="D123" s="580">
        <v>1</v>
      </c>
      <c r="E123" s="126">
        <f t="shared" si="40"/>
        <v>0</v>
      </c>
      <c r="F123" s="140">
        <f t="array" ref="F123">IF(D123=0,0,IF(D123=1,C123*$F$2,C123*$F$2*2))</f>
        <v>20</v>
      </c>
      <c r="G123" s="140">
        <f t="array" ref="G123">IF(D123&gt;2,C123*(D123-2)*$G$2,0)</f>
        <v>0</v>
      </c>
      <c r="H123" s="129">
        <f t="shared" si="39"/>
        <v>20</v>
      </c>
      <c r="I123" s="13" t="s">
        <v>30</v>
      </c>
      <c r="K123" s="13"/>
    </row>
    <row r="124" spans="1:11" s="27" customFormat="1" x14ac:dyDescent="0.25">
      <c r="A124" s="131" t="s">
        <v>763</v>
      </c>
      <c r="B124" s="26">
        <v>20</v>
      </c>
      <c r="C124" s="13">
        <v>20</v>
      </c>
      <c r="D124" s="580">
        <v>1</v>
      </c>
      <c r="E124" s="126">
        <f t="shared" si="40"/>
        <v>24</v>
      </c>
      <c r="F124" s="140">
        <f t="array" ref="F124">IF(D124=0,0,IF(D124=1,C124*$F$2,C124*$F$2*2))</f>
        <v>20</v>
      </c>
      <c r="G124" s="140">
        <f t="array" ref="G124">IF(D124&gt;2,C124*(D124-2)*$G$2,0)</f>
        <v>0</v>
      </c>
      <c r="H124" s="129">
        <f t="shared" si="39"/>
        <v>44</v>
      </c>
      <c r="I124" s="13" t="s">
        <v>30</v>
      </c>
      <c r="K124" s="13"/>
    </row>
    <row r="125" spans="1:11" s="27" customFormat="1" x14ac:dyDescent="0.25">
      <c r="A125" s="131" t="s">
        <v>764</v>
      </c>
      <c r="B125" s="26">
        <v>20</v>
      </c>
      <c r="C125" s="13">
        <v>20</v>
      </c>
      <c r="D125" s="580">
        <v>2</v>
      </c>
      <c r="E125" s="126">
        <f t="shared" si="40"/>
        <v>24</v>
      </c>
      <c r="F125" s="140">
        <f t="array" ref="F125">IF(D125=0,0,IF(D125=1,C125*$F$2,C125*$F$2*2))</f>
        <v>40</v>
      </c>
      <c r="G125" s="140">
        <f t="array" ref="G125">IF(D125&gt;2,C125*(D125-2)*$G$2,0)</f>
        <v>0</v>
      </c>
      <c r="H125" s="129">
        <f t="shared" si="39"/>
        <v>64</v>
      </c>
      <c r="I125" s="13" t="s">
        <v>30</v>
      </c>
      <c r="K125" s="13"/>
    </row>
    <row r="126" spans="1:11" s="27" customFormat="1" x14ac:dyDescent="0.25">
      <c r="A126" s="131" t="s">
        <v>765</v>
      </c>
      <c r="B126" s="26">
        <v>20</v>
      </c>
      <c r="C126" s="13">
        <v>20</v>
      </c>
      <c r="D126" s="580">
        <v>1</v>
      </c>
      <c r="E126" s="126">
        <f t="shared" si="40"/>
        <v>24</v>
      </c>
      <c r="F126" s="140">
        <f t="array" ref="F126">IF(D126=0,0,IF(D126=1,C126*$F$2,C126*$F$2*2))</f>
        <v>20</v>
      </c>
      <c r="G126" s="140">
        <f t="array" ref="G126">IF(D126&gt;2,C126*(D126-2)*$G$2,0)</f>
        <v>0</v>
      </c>
      <c r="H126" s="129">
        <f t="shared" si="39"/>
        <v>44</v>
      </c>
      <c r="I126" s="13" t="s">
        <v>30</v>
      </c>
      <c r="K126" s="22"/>
    </row>
    <row r="127" spans="1:11" s="27" customFormat="1" x14ac:dyDescent="0.25">
      <c r="A127" s="131" t="s">
        <v>419</v>
      </c>
      <c r="B127" s="26">
        <v>0</v>
      </c>
      <c r="C127" s="13">
        <v>28</v>
      </c>
      <c r="D127" s="580">
        <v>0</v>
      </c>
      <c r="E127" s="126">
        <f t="shared" si="40"/>
        <v>0</v>
      </c>
      <c r="F127" s="140">
        <f t="array" ref="F127">IF(D127=0,0,IF(D127=1,C127*$F$2,C127*$F$2*2))</f>
        <v>0</v>
      </c>
      <c r="G127" s="140">
        <f t="array" ref="G127">IF(D127&gt;2,C127*(D127-2)*$G$2,0)</f>
        <v>0</v>
      </c>
      <c r="H127" s="129">
        <f t="shared" si="39"/>
        <v>0</v>
      </c>
      <c r="I127" s="13" t="s">
        <v>30</v>
      </c>
      <c r="K127" s="13"/>
    </row>
    <row r="128" spans="1:11" s="27" customFormat="1" x14ac:dyDescent="0.25">
      <c r="A128" s="131" t="s">
        <v>420</v>
      </c>
      <c r="B128" s="26">
        <v>0</v>
      </c>
      <c r="C128" s="13">
        <v>20</v>
      </c>
      <c r="D128" s="580">
        <v>0</v>
      </c>
      <c r="E128" s="126">
        <f t="shared" si="40"/>
        <v>0</v>
      </c>
      <c r="F128" s="140">
        <f t="array" ref="F128">IF(D128=0,0,IF(D128=1,C128*$F$2,C128*$F$2*2))</f>
        <v>0</v>
      </c>
      <c r="G128" s="140">
        <f t="array" ref="G128">IF(D128&gt;2,C128*(D128-2)*$G$2,0)</f>
        <v>0</v>
      </c>
      <c r="H128" s="129">
        <f t="shared" si="39"/>
        <v>0</v>
      </c>
      <c r="I128" s="13" t="s">
        <v>30</v>
      </c>
      <c r="K128" s="13"/>
    </row>
    <row r="129" spans="1:11" s="27" customFormat="1" x14ac:dyDescent="0.25">
      <c r="A129" s="131" t="s">
        <v>766</v>
      </c>
      <c r="B129" s="26">
        <v>20</v>
      </c>
      <c r="C129" s="13">
        <v>20</v>
      </c>
      <c r="D129" s="580">
        <v>2</v>
      </c>
      <c r="E129" s="126">
        <f>B129*$E$3</f>
        <v>24</v>
      </c>
      <c r="F129" s="140">
        <f t="array" ref="F129">IF(D129=0,0,IF(D129=1,C129*$F$2,C129*$F$2*2))</f>
        <v>40</v>
      </c>
      <c r="G129" s="140">
        <f t="array" ref="G129">IF(D129&gt;2,C129*(D129-2)*$G$2,0)</f>
        <v>0</v>
      </c>
      <c r="H129" s="129">
        <f t="shared" si="39"/>
        <v>64</v>
      </c>
      <c r="I129" s="13" t="s">
        <v>30</v>
      </c>
      <c r="K129" s="13"/>
    </row>
    <row r="130" spans="1:11" s="27" customFormat="1" x14ac:dyDescent="0.25">
      <c r="A130" s="131" t="s">
        <v>767</v>
      </c>
      <c r="B130" s="26">
        <v>20</v>
      </c>
      <c r="C130" s="13">
        <v>20</v>
      </c>
      <c r="D130" s="580">
        <v>1</v>
      </c>
      <c r="E130" s="149">
        <f>B130*$E$2</f>
        <v>24</v>
      </c>
      <c r="F130" s="140">
        <f t="array" ref="F130">IF(D130=0,0,IF(D130=1,C130*$F$2,C130*$F$2*2))</f>
        <v>20</v>
      </c>
      <c r="G130" s="140">
        <f t="array" ref="G130">IF(D130&gt;2,C130*(D130-2)*$G$2,0)</f>
        <v>0</v>
      </c>
      <c r="H130" s="94">
        <f t="shared" si="39"/>
        <v>44</v>
      </c>
      <c r="I130" s="13" t="s">
        <v>30</v>
      </c>
      <c r="K130" s="13"/>
    </row>
    <row r="131" spans="1:11" s="27" customFormat="1" x14ac:dyDescent="0.25">
      <c r="A131" s="131" t="s">
        <v>768</v>
      </c>
      <c r="B131" s="26">
        <v>28</v>
      </c>
      <c r="C131" s="13">
        <v>28</v>
      </c>
      <c r="D131" s="580">
        <v>4</v>
      </c>
      <c r="E131" s="126">
        <f>B131*$E$3</f>
        <v>33.6</v>
      </c>
      <c r="F131" s="140">
        <f t="array" ref="F131">IF(D131=0,0,IF(D131=1,C131*$F$2,C131*$F$2*2))</f>
        <v>56</v>
      </c>
      <c r="G131" s="140">
        <f t="array" ref="G131">IF(D131&gt;2,C131*(D131-2)*$G$2,0)</f>
        <v>44.800000000000004</v>
      </c>
      <c r="H131" s="129">
        <f t="shared" si="39"/>
        <v>134.4</v>
      </c>
      <c r="I131" s="13" t="s">
        <v>30</v>
      </c>
      <c r="K131" s="13"/>
    </row>
    <row r="132" spans="1:11" s="27" customFormat="1" x14ac:dyDescent="0.25">
      <c r="A132" s="131" t="s">
        <v>769</v>
      </c>
      <c r="B132" s="26">
        <v>20</v>
      </c>
      <c r="C132" s="13">
        <v>20</v>
      </c>
      <c r="D132" s="580">
        <v>2</v>
      </c>
      <c r="E132" s="126">
        <f t="shared" ref="E132:E142" si="41">B132*$E$2</f>
        <v>24</v>
      </c>
      <c r="F132" s="140">
        <f t="array" ref="F132">IF(D132=0,0,IF(D132=1,C132*$F$2,C132*$F$2*2))</f>
        <v>40</v>
      </c>
      <c r="G132" s="140">
        <f t="array" ref="G132">IF(D132&gt;2,C132*(D132-2)*$G$2,0)</f>
        <v>0</v>
      </c>
      <c r="H132" s="129">
        <f t="shared" si="39"/>
        <v>64</v>
      </c>
      <c r="I132" s="13" t="s">
        <v>30</v>
      </c>
      <c r="K132" s="13"/>
    </row>
    <row r="133" spans="1:11" s="27" customFormat="1" x14ac:dyDescent="0.25">
      <c r="A133" s="27" t="s">
        <v>770</v>
      </c>
      <c r="B133" s="26">
        <v>20</v>
      </c>
      <c r="C133" s="13">
        <v>0</v>
      </c>
      <c r="D133" s="580">
        <v>1</v>
      </c>
      <c r="E133" s="126">
        <f t="shared" si="41"/>
        <v>24</v>
      </c>
      <c r="F133" s="140">
        <f t="array" ref="F133">IF(D133=0,0,IF(D133=1,C133*$F$2,C133*$F$2*2))</f>
        <v>0</v>
      </c>
      <c r="G133" s="140">
        <f t="array" ref="G133">IF(D133&gt;2,C133*(D133-2)*$G$2,0)</f>
        <v>0</v>
      </c>
      <c r="H133" s="129">
        <f t="shared" si="39"/>
        <v>24</v>
      </c>
      <c r="I133" s="13" t="s">
        <v>30</v>
      </c>
      <c r="K133" s="13"/>
    </row>
    <row r="134" spans="1:11" s="27" customFormat="1" x14ac:dyDescent="0.25">
      <c r="A134" s="27" t="s">
        <v>363</v>
      </c>
      <c r="B134" s="26">
        <v>20</v>
      </c>
      <c r="C134" s="13">
        <v>0</v>
      </c>
      <c r="D134" s="580">
        <v>1</v>
      </c>
      <c r="E134" s="126">
        <f t="shared" si="41"/>
        <v>24</v>
      </c>
      <c r="F134" s="140">
        <f t="array" ref="F134">IF(D134=0,0,IF(D134=1,C134*$F$2,C134*$F$2*2))</f>
        <v>0</v>
      </c>
      <c r="G134" s="140">
        <f t="array" ref="G134">IF(D134&gt;2,C134*(D134-2)*$G$2,0)</f>
        <v>0</v>
      </c>
      <c r="H134" s="129">
        <f t="shared" si="39"/>
        <v>24</v>
      </c>
      <c r="I134" s="13" t="s">
        <v>30</v>
      </c>
      <c r="K134" s="13"/>
    </row>
    <row r="135" spans="1:11" s="27" customFormat="1" x14ac:dyDescent="0.25">
      <c r="A135" s="27" t="s">
        <v>771</v>
      </c>
      <c r="B135" s="26">
        <v>0</v>
      </c>
      <c r="C135" s="13">
        <v>0</v>
      </c>
      <c r="D135" s="580">
        <v>0</v>
      </c>
      <c r="E135" s="126">
        <f t="shared" si="41"/>
        <v>0</v>
      </c>
      <c r="F135" s="140">
        <f t="array" ref="F135">IF(D135=0,0,IF(D135=1,C135*$F$2,C135*$F$2*2))</f>
        <v>0</v>
      </c>
      <c r="G135" s="140">
        <f t="array" ref="G135">IF(D135&gt;2,C135*(D135-2)*$G$2,0)</f>
        <v>0</v>
      </c>
      <c r="H135" s="129">
        <f t="shared" si="39"/>
        <v>0</v>
      </c>
      <c r="I135" s="13" t="s">
        <v>30</v>
      </c>
      <c r="K135" s="13"/>
    </row>
    <row r="136" spans="1:11" s="27" customFormat="1" x14ac:dyDescent="0.25">
      <c r="A136" s="131" t="s">
        <v>422</v>
      </c>
      <c r="B136" s="26">
        <v>0</v>
      </c>
      <c r="C136" s="13">
        <v>0</v>
      </c>
      <c r="D136" s="580">
        <v>0</v>
      </c>
      <c r="E136" s="126">
        <f t="shared" si="41"/>
        <v>0</v>
      </c>
      <c r="F136" s="140">
        <f t="array" ref="F136">IF(D136=0,0,IF(D136=1,C136*$F$2,C136*$F$2*2))</f>
        <v>0</v>
      </c>
      <c r="G136" s="140">
        <f t="array" ref="G136">IF(D136&gt;2,C136*(D136-2)*$G$2,0)</f>
        <v>0</v>
      </c>
      <c r="H136" s="129">
        <f t="shared" si="39"/>
        <v>0</v>
      </c>
      <c r="I136" s="13" t="s">
        <v>30</v>
      </c>
      <c r="K136" s="13"/>
    </row>
    <row r="137" spans="1:11" s="27" customFormat="1" x14ac:dyDescent="0.25">
      <c r="A137" s="131" t="s">
        <v>772</v>
      </c>
      <c r="B137" s="26">
        <v>0</v>
      </c>
      <c r="C137" s="13">
        <v>0</v>
      </c>
      <c r="D137" s="580">
        <v>0</v>
      </c>
      <c r="E137" s="126">
        <f t="shared" si="41"/>
        <v>0</v>
      </c>
      <c r="F137" s="140">
        <f t="array" ref="F137">IF(D137=0,0,IF(D137=1,C137*$F$2,C137*$F$2*2))</f>
        <v>0</v>
      </c>
      <c r="G137" s="140">
        <f t="array" ref="G137">IF(D137&gt;2,C137*(D137-2)*$G$2,0)</f>
        <v>0</v>
      </c>
      <c r="H137" s="129">
        <f t="shared" si="39"/>
        <v>0</v>
      </c>
      <c r="I137" s="13" t="s">
        <v>30</v>
      </c>
      <c r="K137" s="13"/>
    </row>
    <row r="138" spans="1:11" s="19" customFormat="1" x14ac:dyDescent="0.25">
      <c r="A138" s="131" t="s">
        <v>423</v>
      </c>
      <c r="B138" s="26">
        <v>14</v>
      </c>
      <c r="C138" s="13">
        <v>0</v>
      </c>
      <c r="D138" s="580">
        <v>1</v>
      </c>
      <c r="E138" s="126">
        <f t="shared" si="41"/>
        <v>16.8</v>
      </c>
      <c r="F138" s="140">
        <f t="array" ref="F138">IF(D138=0,0,IF(D138=1,C138*$F$2,C138*$F$2*2))</f>
        <v>0</v>
      </c>
      <c r="G138" s="140">
        <f t="array" ref="G138">IF(D138&gt;2,C138*(D138-2)*$G$2,0)</f>
        <v>0</v>
      </c>
      <c r="H138" s="129">
        <f t="shared" si="39"/>
        <v>16.8</v>
      </c>
      <c r="I138" s="13" t="s">
        <v>30</v>
      </c>
      <c r="K138" s="144"/>
    </row>
    <row r="139" spans="1:11" s="27" customFormat="1" x14ac:dyDescent="0.25">
      <c r="A139" s="131" t="s">
        <v>773</v>
      </c>
      <c r="B139" s="26">
        <v>14</v>
      </c>
      <c r="C139" s="13">
        <v>0</v>
      </c>
      <c r="D139" s="580">
        <v>1</v>
      </c>
      <c r="E139" s="126">
        <f t="shared" si="41"/>
        <v>16.8</v>
      </c>
      <c r="F139" s="140">
        <f t="array" ref="F139">IF(D139=0,0,IF(D139=1,C139*$F$2,C139*$F$2*2))</f>
        <v>0</v>
      </c>
      <c r="G139" s="140">
        <f t="array" ref="G139">IF(D139&gt;2,C139*(D139-2)*$G$2,0)</f>
        <v>0</v>
      </c>
      <c r="H139" s="129">
        <f t="shared" si="39"/>
        <v>16.8</v>
      </c>
      <c r="I139" s="13" t="s">
        <v>30</v>
      </c>
      <c r="K139" s="22"/>
    </row>
    <row r="140" spans="1:11" s="27" customFormat="1" x14ac:dyDescent="0.25">
      <c r="A140" s="27" t="s">
        <v>774</v>
      </c>
      <c r="B140" s="143">
        <v>28</v>
      </c>
      <c r="C140" s="143">
        <v>28</v>
      </c>
      <c r="D140" s="580">
        <v>5</v>
      </c>
      <c r="E140" s="126">
        <f t="shared" si="41"/>
        <v>33.6</v>
      </c>
      <c r="F140" s="140">
        <f t="array" ref="F140">IF(D140=0,0,IF(D140=1,C140*$F$2,C140*$F$2*2))</f>
        <v>56</v>
      </c>
      <c r="G140" s="140">
        <f t="array" ref="G140">IF(D140&gt;2,C140*(D140-2)*$G$2,0)</f>
        <v>67.2</v>
      </c>
      <c r="H140" s="129">
        <f t="shared" si="39"/>
        <v>156.80000000000001</v>
      </c>
      <c r="I140" s="13" t="s">
        <v>30</v>
      </c>
      <c r="K140" s="22"/>
    </row>
    <row r="141" spans="1:11" s="27" customFormat="1" x14ac:dyDescent="0.25">
      <c r="A141" s="27" t="s">
        <v>775</v>
      </c>
      <c r="B141" s="143">
        <v>10</v>
      </c>
      <c r="C141" s="143">
        <v>4</v>
      </c>
      <c r="D141" s="580">
        <v>1</v>
      </c>
      <c r="E141" s="126">
        <f t="shared" si="41"/>
        <v>12</v>
      </c>
      <c r="F141" s="140">
        <f t="array" ref="F141">IF(D141=0,0,IF(D141=1,C141*$F$2,C141*$F$2*2))</f>
        <v>4</v>
      </c>
      <c r="G141" s="140">
        <f t="array" ref="G141">IF(D141&gt;2,C141*(D141-2)*$G$2,0)</f>
        <v>0</v>
      </c>
      <c r="H141" s="129">
        <f t="shared" si="39"/>
        <v>16</v>
      </c>
      <c r="I141" s="13" t="s">
        <v>30</v>
      </c>
      <c r="K141" s="13"/>
    </row>
    <row r="142" spans="1:11" s="27" customFormat="1" x14ac:dyDescent="0.25">
      <c r="A142" s="131" t="s">
        <v>776</v>
      </c>
      <c r="B142" s="150">
        <v>14</v>
      </c>
      <c r="C142" s="151">
        <v>14</v>
      </c>
      <c r="D142" s="580">
        <v>1</v>
      </c>
      <c r="E142" s="126">
        <f t="shared" si="41"/>
        <v>16.8</v>
      </c>
      <c r="F142" s="140">
        <f t="array" ref="F142">IF(D142=0,0,IF(D142=1,C142*$F$2,C142*$F$2*2))</f>
        <v>14</v>
      </c>
      <c r="G142" s="140">
        <f t="array" ref="G142">IF(D142&gt;2,C142*(D142-2)*$G$2,0)</f>
        <v>0</v>
      </c>
      <c r="H142" s="129">
        <f t="shared" si="39"/>
        <v>30.8</v>
      </c>
      <c r="I142" s="13" t="s">
        <v>30</v>
      </c>
      <c r="K142" s="22"/>
    </row>
    <row r="143" spans="1:11" s="27" customFormat="1" x14ac:dyDescent="0.25">
      <c r="A143" s="27" t="s">
        <v>777</v>
      </c>
      <c r="B143" s="26">
        <v>28</v>
      </c>
      <c r="C143" s="13">
        <v>14</v>
      </c>
      <c r="D143" s="580">
        <v>1</v>
      </c>
      <c r="E143" s="126">
        <f>B143*$E$2</f>
        <v>33.6</v>
      </c>
      <c r="F143" s="140">
        <f t="array" ref="F143">IF(D143=0,0,IF(D143=1,C143*$F$2,C143*$F$2*2))</f>
        <v>14</v>
      </c>
      <c r="G143" s="140">
        <f t="array" ref="G143">IF(D143&gt;2,C143*(D143-2)*$G$2,0)</f>
        <v>0</v>
      </c>
      <c r="H143" s="129">
        <f>SUM(E143:G143)</f>
        <v>47.6</v>
      </c>
      <c r="I143" s="13" t="s">
        <v>30</v>
      </c>
      <c r="K143" s="13"/>
    </row>
    <row r="144" spans="1:11" s="27" customFormat="1" x14ac:dyDescent="0.25">
      <c r="A144" s="27" t="s">
        <v>778</v>
      </c>
      <c r="B144" s="26">
        <v>28</v>
      </c>
      <c r="C144" s="13">
        <v>28</v>
      </c>
      <c r="D144" s="580">
        <v>2</v>
      </c>
      <c r="E144" s="126">
        <f>B144*$E$2</f>
        <v>33.6</v>
      </c>
      <c r="F144" s="140">
        <f t="array" ref="F144">IF(D144=0,0,IF(D144=1,C144*$F$2,C144*$F$2*2))</f>
        <v>56</v>
      </c>
      <c r="G144" s="140">
        <f t="array" ref="G144">IF(D144&gt;2,C144*(D144-2)*$G$2,0)</f>
        <v>0</v>
      </c>
      <c r="H144" s="129">
        <f>SUM(E144:G144)</f>
        <v>89.6</v>
      </c>
      <c r="I144" s="13" t="s">
        <v>30</v>
      </c>
      <c r="K144" s="13"/>
    </row>
    <row r="145" spans="1:11" s="27" customFormat="1" ht="16.5" thickBot="1" x14ac:dyDescent="0.3">
      <c r="A145" s="131" t="s">
        <v>779</v>
      </c>
      <c r="B145" s="26">
        <v>28</v>
      </c>
      <c r="C145" s="13">
        <v>28</v>
      </c>
      <c r="D145" s="580">
        <v>1</v>
      </c>
      <c r="E145" s="126">
        <f>B145*$E$2</f>
        <v>33.6</v>
      </c>
      <c r="F145" s="140">
        <f t="array" ref="F145">IF(D145=0,0,IF(D145=1,C145*$F$2,C145*$F$2*2))</f>
        <v>28</v>
      </c>
      <c r="G145" s="140">
        <f t="array" ref="G145">IF(D145&gt;2,C145*(D145-2)*$G$2,0)</f>
        <v>0</v>
      </c>
      <c r="H145" s="129">
        <f>SUM(E145:G145)</f>
        <v>61.6</v>
      </c>
      <c r="I145" s="13" t="s">
        <v>30</v>
      </c>
      <c r="K145" s="13"/>
    </row>
    <row r="146" spans="1:11" s="27" customFormat="1" ht="16.5" thickBot="1" x14ac:dyDescent="0.3">
      <c r="B146" s="95"/>
      <c r="C146" s="144"/>
      <c r="D146" s="152"/>
      <c r="E146" s="26"/>
      <c r="F146" s="26"/>
      <c r="G146" s="26"/>
      <c r="H146" s="141">
        <f>SUM(H112:H145)</f>
        <v>1614.7999999999997</v>
      </c>
      <c r="I146" s="23"/>
      <c r="K146" s="13"/>
    </row>
    <row r="147" spans="1:11" s="27" customFormat="1" ht="16.5" thickBot="1" x14ac:dyDescent="0.3">
      <c r="A147" s="19" t="s">
        <v>21</v>
      </c>
      <c r="B147" s="89"/>
      <c r="C147" s="13"/>
      <c r="D147" s="26"/>
      <c r="E147" s="26"/>
      <c r="F147" s="26"/>
      <c r="G147" s="146" t="s">
        <v>158</v>
      </c>
      <c r="H147" s="141">
        <f>SUM(H146,H111,H81)</f>
        <v>5467.7999999999993</v>
      </c>
      <c r="I147" s="21"/>
      <c r="K147" s="13"/>
    </row>
    <row r="148" spans="1:11" s="27" customFormat="1" x14ac:dyDescent="0.25">
      <c r="A148" s="27" t="s">
        <v>780</v>
      </c>
      <c r="B148" s="26">
        <v>28</v>
      </c>
      <c r="C148" s="13">
        <v>28</v>
      </c>
      <c r="D148" s="580">
        <v>1</v>
      </c>
      <c r="E148" s="126">
        <f t="shared" ref="E148:E170" si="42">B148*$E$3</f>
        <v>33.6</v>
      </c>
      <c r="F148" s="147">
        <f t="array" ref="F148">IF(D148=0,0,IF(D148=1,C148*$F$3,C148*$F$3*2))</f>
        <v>28</v>
      </c>
      <c r="G148" s="147">
        <f t="array" ref="G148">IF(D148&gt;2,C148*(D148-2)*$G$3,0)</f>
        <v>0</v>
      </c>
      <c r="H148" s="129">
        <f t="shared" ref="H148:H170" si="43">SUM(E148:G148)</f>
        <v>61.6</v>
      </c>
      <c r="I148" s="20" t="s">
        <v>147</v>
      </c>
      <c r="K148" s="13"/>
    </row>
    <row r="149" spans="1:11" x14ac:dyDescent="0.25">
      <c r="A149" s="27" t="s">
        <v>781</v>
      </c>
      <c r="B149" s="26">
        <v>42</v>
      </c>
      <c r="C149" s="13">
        <v>28</v>
      </c>
      <c r="D149" s="580">
        <v>1</v>
      </c>
      <c r="E149" s="126">
        <f t="shared" si="42"/>
        <v>50.4</v>
      </c>
      <c r="F149" s="147">
        <f t="array" ref="F149">IF(D149=0,0,IF(D149=1,C149*$F$3,C149*$F$3*2))</f>
        <v>28</v>
      </c>
      <c r="G149" s="147">
        <f t="array" ref="G149">IF(D149&gt;2,C149*(D149-2)*$G$3,0)</f>
        <v>0</v>
      </c>
      <c r="H149" s="129">
        <f t="shared" si="43"/>
        <v>78.400000000000006</v>
      </c>
      <c r="I149" s="20" t="s">
        <v>147</v>
      </c>
      <c r="J149" s="27"/>
      <c r="K149" s="13"/>
    </row>
    <row r="150" spans="1:11" s="27" customFormat="1" x14ac:dyDescent="0.25">
      <c r="A150" s="27" t="s">
        <v>782</v>
      </c>
      <c r="B150" s="26">
        <v>28</v>
      </c>
      <c r="C150" s="13">
        <v>28</v>
      </c>
      <c r="D150" s="580">
        <v>1</v>
      </c>
      <c r="E150" s="126">
        <f t="shared" si="42"/>
        <v>33.6</v>
      </c>
      <c r="F150" s="147">
        <f t="array" ref="F150">IF(D150=0,0,IF(D150=1,C150*$F$3,C150*$F$3*2))</f>
        <v>28</v>
      </c>
      <c r="G150" s="147">
        <f t="array" ref="G150">IF(D150&gt;2,C150*(D150-2)*$G$3,0)</f>
        <v>0</v>
      </c>
      <c r="H150" s="129">
        <f t="shared" si="43"/>
        <v>61.6</v>
      </c>
      <c r="I150" s="20" t="s">
        <v>147</v>
      </c>
      <c r="K150" s="13"/>
    </row>
    <row r="151" spans="1:11" s="27" customFormat="1" x14ac:dyDescent="0.25">
      <c r="A151" s="27" t="s">
        <v>783</v>
      </c>
      <c r="B151" s="26">
        <v>0</v>
      </c>
      <c r="C151" s="13">
        <v>28</v>
      </c>
      <c r="D151" s="580">
        <v>2</v>
      </c>
      <c r="E151" s="126">
        <f t="shared" si="42"/>
        <v>0</v>
      </c>
      <c r="F151" s="147">
        <f t="array" ref="F151">IF(D151=0,0,IF(D151=1,C151*$F$3,C151*$F$3*2))</f>
        <v>56</v>
      </c>
      <c r="G151" s="147">
        <f t="array" ref="G151">IF(D151&gt;2,C151*(D151-2)*$G$3,0)</f>
        <v>0</v>
      </c>
      <c r="H151" s="129">
        <f t="shared" si="43"/>
        <v>56</v>
      </c>
      <c r="I151" s="20" t="s">
        <v>147</v>
      </c>
      <c r="J151" s="27" t="s">
        <v>784</v>
      </c>
      <c r="K151" s="13"/>
    </row>
    <row r="152" spans="1:11" s="27" customFormat="1" x14ac:dyDescent="0.25">
      <c r="A152" s="27" t="s">
        <v>785</v>
      </c>
      <c r="B152" s="26">
        <v>28</v>
      </c>
      <c r="C152" s="13">
        <v>56</v>
      </c>
      <c r="D152" s="580">
        <v>2</v>
      </c>
      <c r="E152" s="126">
        <f t="shared" si="42"/>
        <v>33.6</v>
      </c>
      <c r="F152" s="147">
        <f t="array" ref="F152">IF(D152=0,0,IF(D152=1,C152*$F$3,C152*$F$3*2))</f>
        <v>112</v>
      </c>
      <c r="G152" s="147">
        <f t="array" ref="G152">IF(D152&gt;2,C152*(D152-2)*$G$3,0)</f>
        <v>0</v>
      </c>
      <c r="H152" s="129">
        <f t="shared" si="43"/>
        <v>145.6</v>
      </c>
      <c r="I152" s="20" t="s">
        <v>147</v>
      </c>
      <c r="K152" s="13"/>
    </row>
    <row r="153" spans="1:11" s="27" customFormat="1" x14ac:dyDescent="0.25">
      <c r="A153" s="27" t="s">
        <v>786</v>
      </c>
      <c r="B153" s="26">
        <v>28</v>
      </c>
      <c r="C153" s="13">
        <v>28</v>
      </c>
      <c r="D153" s="580">
        <v>1</v>
      </c>
      <c r="E153" s="126">
        <f t="shared" si="42"/>
        <v>33.6</v>
      </c>
      <c r="F153" s="147">
        <f t="array" ref="F153">IF(D153=0,0,IF(D153=1,C153*$F$3,C153*$F$3*2))</f>
        <v>28</v>
      </c>
      <c r="G153" s="147">
        <f t="array" ref="G153">IF(D153&gt;2,C153*(D153-2)*$G$3,0)</f>
        <v>0</v>
      </c>
      <c r="H153" s="129">
        <f t="shared" si="43"/>
        <v>61.6</v>
      </c>
      <c r="I153" s="20" t="s">
        <v>147</v>
      </c>
      <c r="K153" s="13"/>
    </row>
    <row r="154" spans="1:11" s="27" customFormat="1" x14ac:dyDescent="0.25">
      <c r="A154" s="27" t="s">
        <v>787</v>
      </c>
      <c r="B154" s="26">
        <v>28</v>
      </c>
      <c r="C154" s="13">
        <v>28</v>
      </c>
      <c r="D154" s="580">
        <v>1</v>
      </c>
      <c r="E154" s="126">
        <f t="shared" si="42"/>
        <v>33.6</v>
      </c>
      <c r="F154" s="147">
        <f t="array" ref="F154">IF(D154=0,0,IF(D154=1,C154*$F$3,C154*$F$3*2))</f>
        <v>28</v>
      </c>
      <c r="G154" s="147">
        <f t="array" ref="G154">IF(D154&gt;2,C154*(D154-2)*$G$3,0)</f>
        <v>0</v>
      </c>
      <c r="H154" s="129">
        <f t="shared" si="43"/>
        <v>61.6</v>
      </c>
      <c r="I154" s="20" t="s">
        <v>147</v>
      </c>
      <c r="K154" s="13"/>
    </row>
    <row r="155" spans="1:11" s="27" customFormat="1" x14ac:dyDescent="0.25">
      <c r="A155" s="27" t="s">
        <v>788</v>
      </c>
      <c r="B155" s="26">
        <v>28</v>
      </c>
      <c r="C155" s="13">
        <v>0</v>
      </c>
      <c r="D155" s="580">
        <v>1</v>
      </c>
      <c r="E155" s="126">
        <f t="shared" si="42"/>
        <v>33.6</v>
      </c>
      <c r="F155" s="147">
        <f t="array" ref="F155">IF(D155=0,0,IF(D155=1,C155*$F$3,C155*$F$3*2))</f>
        <v>0</v>
      </c>
      <c r="G155" s="147">
        <f t="array" ref="G155">IF(D155&gt;2,C155*(D155-2)*$G$3,0)</f>
        <v>0</v>
      </c>
      <c r="H155" s="129">
        <f t="shared" si="43"/>
        <v>33.6</v>
      </c>
      <c r="I155" s="20" t="s">
        <v>147</v>
      </c>
      <c r="K155" s="13"/>
    </row>
    <row r="156" spans="1:11" s="27" customFormat="1" x14ac:dyDescent="0.25">
      <c r="A156" s="27" t="s">
        <v>789</v>
      </c>
      <c r="B156" s="26">
        <v>14</v>
      </c>
      <c r="C156" s="13">
        <v>14</v>
      </c>
      <c r="D156" s="580">
        <v>1</v>
      </c>
      <c r="E156" s="126">
        <f t="shared" si="42"/>
        <v>16.8</v>
      </c>
      <c r="F156" s="147">
        <f t="array" ref="F156">IF(D156=0,0,IF(D156=1,C156*$F$3,C156*$F$3*2))</f>
        <v>14</v>
      </c>
      <c r="G156" s="147">
        <f t="array" ref="G156">IF(D156&gt;2,C156*(D156-2)*$G$3,0)</f>
        <v>0</v>
      </c>
      <c r="H156" s="129">
        <f t="shared" si="43"/>
        <v>30.8</v>
      </c>
      <c r="I156" s="20" t="s">
        <v>147</v>
      </c>
      <c r="K156" s="13"/>
    </row>
    <row r="157" spans="1:11" s="27" customFormat="1" x14ac:dyDescent="0.25">
      <c r="A157" s="27" t="s">
        <v>790</v>
      </c>
      <c r="B157" s="26">
        <v>0</v>
      </c>
      <c r="C157" s="13">
        <v>4</v>
      </c>
      <c r="D157" s="580">
        <v>1</v>
      </c>
      <c r="E157" s="126">
        <f t="shared" si="42"/>
        <v>0</v>
      </c>
      <c r="F157" s="147">
        <f t="array" ref="F157">IF(D157=0,0,IF(D157=1,C157*$F$3,C157*$F$3*2))</f>
        <v>4</v>
      </c>
      <c r="G157" s="147">
        <f t="array" ref="G157">IF(D157&gt;2,C157*(D157-2)*$G$3,0)</f>
        <v>0</v>
      </c>
      <c r="H157" s="129">
        <f t="shared" si="43"/>
        <v>4</v>
      </c>
      <c r="I157" s="20" t="s">
        <v>147</v>
      </c>
      <c r="J157" s="27" t="s">
        <v>729</v>
      </c>
      <c r="K157" s="13"/>
    </row>
    <row r="158" spans="1:11" s="27" customFormat="1" x14ac:dyDescent="0.25">
      <c r="A158" s="27" t="s">
        <v>791</v>
      </c>
      <c r="B158" s="26">
        <v>28</v>
      </c>
      <c r="C158" s="13">
        <v>28</v>
      </c>
      <c r="D158" s="580">
        <v>0</v>
      </c>
      <c r="E158" s="126">
        <f t="shared" si="42"/>
        <v>33.6</v>
      </c>
      <c r="F158" s="147">
        <f t="array" ref="F158">IF(D158=0,0,IF(D158=1,C158*$F$3,C158*$F$3*2))</f>
        <v>0</v>
      </c>
      <c r="G158" s="147">
        <f t="array" ref="G158">IF(D158&gt;2,C158*(D158-2)*$G$3,0)</f>
        <v>0</v>
      </c>
      <c r="H158" s="129">
        <f t="shared" si="43"/>
        <v>33.6</v>
      </c>
      <c r="I158" s="20" t="s">
        <v>147</v>
      </c>
      <c r="K158" s="13"/>
    </row>
    <row r="159" spans="1:11" s="27" customFormat="1" x14ac:dyDescent="0.25">
      <c r="A159" s="131" t="s">
        <v>424</v>
      </c>
      <c r="B159" s="26">
        <v>0</v>
      </c>
      <c r="C159" s="13">
        <v>28</v>
      </c>
      <c r="D159" s="580">
        <v>0</v>
      </c>
      <c r="E159" s="126">
        <f t="shared" si="42"/>
        <v>0</v>
      </c>
      <c r="F159" s="147">
        <f t="array" ref="F159">IF(D159=0,0,IF(D159=1,C159*$F$3,C159*$F$3*2))</f>
        <v>0</v>
      </c>
      <c r="G159" s="147">
        <f t="array" ref="G159">IF(D159&gt;2,C159*(D159-2)*$G$3,0)</f>
        <v>0</v>
      </c>
      <c r="H159" s="129">
        <f t="shared" si="43"/>
        <v>0</v>
      </c>
      <c r="I159" s="20" t="s">
        <v>147</v>
      </c>
      <c r="K159" s="22"/>
    </row>
    <row r="160" spans="1:11" x14ac:dyDescent="0.25">
      <c r="A160" s="131" t="s">
        <v>224</v>
      </c>
      <c r="B160" s="26">
        <v>0</v>
      </c>
      <c r="C160" s="13">
        <v>28</v>
      </c>
      <c r="D160" s="580">
        <v>0</v>
      </c>
      <c r="E160" s="126">
        <f t="shared" si="42"/>
        <v>0</v>
      </c>
      <c r="F160" s="147">
        <f t="array" ref="F160">IF(D160=0,0,IF(D160=1,C160*$F$3,C160*$F$3*2))</f>
        <v>0</v>
      </c>
      <c r="G160" s="147">
        <f t="array" ref="G160">IF(D160&gt;2,C160*(D160-2)*$G$3,0)</f>
        <v>0</v>
      </c>
      <c r="H160" s="129">
        <f t="shared" si="43"/>
        <v>0</v>
      </c>
      <c r="I160" s="20" t="s">
        <v>147</v>
      </c>
      <c r="J160" s="27"/>
      <c r="K160" s="13"/>
    </row>
    <row r="161" spans="1:11" s="27" customFormat="1" x14ac:dyDescent="0.25">
      <c r="A161" s="131" t="s">
        <v>792</v>
      </c>
      <c r="B161" s="26">
        <v>0</v>
      </c>
      <c r="C161" s="13">
        <v>28</v>
      </c>
      <c r="D161" s="580">
        <v>0</v>
      </c>
      <c r="E161" s="126">
        <f t="shared" si="42"/>
        <v>0</v>
      </c>
      <c r="F161" s="147">
        <f t="array" ref="F161">IF(D161=0,0,IF(D161=1,C161*$F$3,C161*$F$3*2))</f>
        <v>0</v>
      </c>
      <c r="G161" s="147">
        <f t="array" ref="G161">IF(D161&gt;2,C161*(D161-2)*$G$3,0)</f>
        <v>0</v>
      </c>
      <c r="H161" s="129">
        <f t="shared" si="43"/>
        <v>0</v>
      </c>
      <c r="I161" s="20" t="s">
        <v>147</v>
      </c>
      <c r="K161" s="13"/>
    </row>
    <row r="162" spans="1:11" s="27" customFormat="1" x14ac:dyDescent="0.25">
      <c r="A162" s="131" t="s">
        <v>793</v>
      </c>
      <c r="B162" s="26">
        <v>28</v>
      </c>
      <c r="C162" s="13">
        <v>28</v>
      </c>
      <c r="D162" s="580">
        <v>1</v>
      </c>
      <c r="E162" s="126">
        <f t="shared" si="42"/>
        <v>33.6</v>
      </c>
      <c r="F162" s="147">
        <f t="array" ref="F162">IF(D162=0,0,IF(D162=1,C162*$F$3,C162*$F$3*2))</f>
        <v>28</v>
      </c>
      <c r="G162" s="147">
        <f t="array" ref="G162">IF(D162&gt;2,C162*(D162-2)*$G$3,0)</f>
        <v>0</v>
      </c>
      <c r="H162" s="129">
        <f t="shared" si="43"/>
        <v>61.6</v>
      </c>
      <c r="I162" s="20" t="s">
        <v>147</v>
      </c>
      <c r="K162" s="13"/>
    </row>
    <row r="163" spans="1:11" s="27" customFormat="1" x14ac:dyDescent="0.25">
      <c r="A163" s="131" t="s">
        <v>794</v>
      </c>
      <c r="B163" s="26">
        <v>28</v>
      </c>
      <c r="C163" s="13">
        <v>28</v>
      </c>
      <c r="D163" s="580">
        <v>1</v>
      </c>
      <c r="E163" s="126">
        <f t="shared" si="42"/>
        <v>33.6</v>
      </c>
      <c r="F163" s="147">
        <f t="array" ref="F163">IF(D163=0,0,IF(D163=1,C163*$F$3,C163*$F$3*2))</f>
        <v>28</v>
      </c>
      <c r="G163" s="147">
        <f t="array" ref="G163">IF(D163&gt;2,C163*(D163-2)*$G$3,0)</f>
        <v>0</v>
      </c>
      <c r="H163" s="129">
        <f t="shared" si="43"/>
        <v>61.6</v>
      </c>
      <c r="I163" s="20" t="s">
        <v>147</v>
      </c>
      <c r="K163" s="13"/>
    </row>
    <row r="164" spans="1:11" s="27" customFormat="1" x14ac:dyDescent="0.25">
      <c r="A164" s="131" t="s">
        <v>795</v>
      </c>
      <c r="B164" s="26">
        <v>0</v>
      </c>
      <c r="C164" s="13">
        <v>56</v>
      </c>
      <c r="D164" s="580">
        <v>1</v>
      </c>
      <c r="E164" s="126">
        <f t="shared" si="42"/>
        <v>0</v>
      </c>
      <c r="F164" s="147">
        <f t="array" ref="F164">IF(D164=0,0,IF(D164=1,C164*$F$3,C164*$F$3*2))</f>
        <v>56</v>
      </c>
      <c r="G164" s="147">
        <f t="array" ref="G164">IF(D164&gt;2,C164*(D164-2)*$G$3,0)</f>
        <v>0</v>
      </c>
      <c r="H164" s="129">
        <f t="shared" si="43"/>
        <v>56</v>
      </c>
      <c r="I164" s="20" t="s">
        <v>147</v>
      </c>
      <c r="K164" s="13"/>
    </row>
    <row r="165" spans="1:11" s="27" customFormat="1" x14ac:dyDescent="0.25">
      <c r="A165" s="131" t="s">
        <v>796</v>
      </c>
      <c r="B165" s="26">
        <v>28</v>
      </c>
      <c r="C165" s="13">
        <v>28</v>
      </c>
      <c r="D165" s="580">
        <v>2</v>
      </c>
      <c r="E165" s="126">
        <f t="shared" si="42"/>
        <v>33.6</v>
      </c>
      <c r="F165" s="147">
        <f t="array" ref="F165">IF(D165=0,0,IF(D165=1,C165*$F$3,C165*$F$3*2))</f>
        <v>56</v>
      </c>
      <c r="G165" s="147">
        <f t="array" ref="G165">IF(D165&gt;2,C165*(D165-2)*$G$3,0)</f>
        <v>0</v>
      </c>
      <c r="H165" s="129">
        <f t="shared" si="43"/>
        <v>89.6</v>
      </c>
      <c r="I165" s="20" t="s">
        <v>147</v>
      </c>
      <c r="K165" s="13"/>
    </row>
    <row r="166" spans="1:11" s="27" customFormat="1" x14ac:dyDescent="0.25">
      <c r="A166" s="131" t="s">
        <v>797</v>
      </c>
      <c r="B166" s="26">
        <v>28</v>
      </c>
      <c r="C166" s="13">
        <v>28</v>
      </c>
      <c r="D166" s="580">
        <v>1</v>
      </c>
      <c r="E166" s="126">
        <f t="shared" si="42"/>
        <v>33.6</v>
      </c>
      <c r="F166" s="147">
        <f t="array" ref="F166">IF(D166=0,0,IF(D166=1,C166*$F$3,C166*$F$3*2))</f>
        <v>28</v>
      </c>
      <c r="G166" s="147">
        <f t="array" ref="G166">IF(D166&gt;2,C166*(D166-2)*$G$3,0)</f>
        <v>0</v>
      </c>
      <c r="H166" s="129">
        <f t="shared" si="43"/>
        <v>61.6</v>
      </c>
      <c r="I166" s="20" t="s">
        <v>147</v>
      </c>
      <c r="K166" s="13"/>
    </row>
    <row r="167" spans="1:11" s="27" customFormat="1" x14ac:dyDescent="0.25">
      <c r="A167" s="131" t="s">
        <v>798</v>
      </c>
      <c r="B167" s="26">
        <v>28</v>
      </c>
      <c r="C167" s="13">
        <v>28</v>
      </c>
      <c r="D167" s="580">
        <v>2</v>
      </c>
      <c r="E167" s="126">
        <f t="shared" si="42"/>
        <v>33.6</v>
      </c>
      <c r="F167" s="147">
        <f t="array" ref="F167">IF(D167=0,0,IF(D167=1,C167*$F$3,C167*$F$3*2))</f>
        <v>56</v>
      </c>
      <c r="G167" s="147">
        <f t="array" ref="G167">IF(D167&gt;2,C167*(D167-2)*$G$3,0)</f>
        <v>0</v>
      </c>
      <c r="H167" s="129">
        <f t="shared" si="43"/>
        <v>89.6</v>
      </c>
      <c r="I167" s="20" t="s">
        <v>147</v>
      </c>
      <c r="K167" s="13"/>
    </row>
    <row r="168" spans="1:11" s="27" customFormat="1" x14ac:dyDescent="0.25">
      <c r="A168" s="131" t="s">
        <v>799</v>
      </c>
      <c r="B168" s="26">
        <v>28</v>
      </c>
      <c r="C168" s="13">
        <v>28</v>
      </c>
      <c r="D168" s="580">
        <v>1</v>
      </c>
      <c r="E168" s="126">
        <f t="shared" si="42"/>
        <v>33.6</v>
      </c>
      <c r="F168" s="147">
        <f t="array" ref="F168">IF(D168=0,0,IF(D168=1,C168*$F$3,C168*$F$3*2))</f>
        <v>28</v>
      </c>
      <c r="G168" s="147">
        <f t="array" ref="G168">IF(D168&gt;2,C168*(D168-2)*$G$3,0)</f>
        <v>0</v>
      </c>
      <c r="H168" s="129">
        <f t="shared" si="43"/>
        <v>61.6</v>
      </c>
      <c r="I168" s="20" t="s">
        <v>147</v>
      </c>
      <c r="K168" s="13"/>
    </row>
    <row r="169" spans="1:11" s="27" customFormat="1" x14ac:dyDescent="0.25">
      <c r="A169" s="131" t="s">
        <v>800</v>
      </c>
      <c r="B169" s="26">
        <v>28</v>
      </c>
      <c r="C169" s="13">
        <v>28</v>
      </c>
      <c r="D169" s="580">
        <v>1</v>
      </c>
      <c r="E169" s="126">
        <f t="shared" si="42"/>
        <v>33.6</v>
      </c>
      <c r="F169" s="147">
        <f t="array" ref="F169">IF(D169=0,0,IF(D169=1,C169*$F$3,C169*$F$3*2))</f>
        <v>28</v>
      </c>
      <c r="G169" s="147">
        <f t="array" ref="G169">IF(D169&gt;2,C169*(D169-2)*$G$3,0)</f>
        <v>0</v>
      </c>
      <c r="H169" s="129">
        <f t="shared" si="43"/>
        <v>61.6</v>
      </c>
      <c r="I169" s="20" t="s">
        <v>147</v>
      </c>
      <c r="K169" s="13"/>
    </row>
    <row r="170" spans="1:11" s="27" customFormat="1" x14ac:dyDescent="0.25">
      <c r="A170" s="131" t="s">
        <v>801</v>
      </c>
      <c r="B170" s="26">
        <v>28</v>
      </c>
      <c r="C170" s="13">
        <v>28</v>
      </c>
      <c r="D170" s="580">
        <v>1</v>
      </c>
      <c r="E170" s="126">
        <f t="shared" si="42"/>
        <v>33.6</v>
      </c>
      <c r="F170" s="147">
        <f t="array" ref="F170">IF(D170=0,0,IF(D170=1,C170*$F$3,C170*$F$3*2))</f>
        <v>28</v>
      </c>
      <c r="G170" s="147">
        <f t="array" ref="G170">IF(D170&gt;2,C170*(D170-2)*$G$3,0)</f>
        <v>0</v>
      </c>
      <c r="H170" s="129">
        <f t="shared" si="43"/>
        <v>61.6</v>
      </c>
      <c r="I170" s="20" t="s">
        <v>147</v>
      </c>
      <c r="K170" s="13"/>
    </row>
    <row r="171" spans="1:11" s="27" customFormat="1" x14ac:dyDescent="0.25">
      <c r="A171" s="19" t="s">
        <v>802</v>
      </c>
      <c r="B171" s="26">
        <v>28</v>
      </c>
      <c r="C171" s="13">
        <v>28</v>
      </c>
      <c r="D171" s="580">
        <v>1</v>
      </c>
      <c r="E171" s="126">
        <f>B171*$E$3</f>
        <v>33.6</v>
      </c>
      <c r="F171" s="147">
        <f t="array" ref="F171">IF(D171=0,0,IF(D171=1,C171*$F$3,C171*$F$3*2))</f>
        <v>28</v>
      </c>
      <c r="G171" s="147">
        <f t="array" ref="G171">IF(D171&gt;2,C171*(D171-2)*$G$3,0)</f>
        <v>0</v>
      </c>
      <c r="H171" s="129">
        <f>SUM(E171:G171)</f>
        <v>61.6</v>
      </c>
      <c r="I171" s="20" t="s">
        <v>147</v>
      </c>
      <c r="K171" s="13"/>
    </row>
    <row r="172" spans="1:11" s="27" customFormat="1" x14ac:dyDescent="0.25">
      <c r="A172" s="19" t="s">
        <v>803</v>
      </c>
      <c r="B172" s="26">
        <v>14</v>
      </c>
      <c r="C172" s="13">
        <v>42</v>
      </c>
      <c r="D172" s="580">
        <v>1</v>
      </c>
      <c r="E172" s="126">
        <f>B172*$E$3</f>
        <v>16.8</v>
      </c>
      <c r="F172" s="147">
        <f t="array" ref="F172">IF(D172=0,0,IF(D172=1,C172*$F$3,C172*$F$3*2))</f>
        <v>42</v>
      </c>
      <c r="G172" s="147">
        <f t="array" ref="G172">IF(D172&gt;2,C172*(D172-2)*$G$3,0)</f>
        <v>0</v>
      </c>
      <c r="H172" s="129">
        <f>SUM(E172:G172)</f>
        <v>58.8</v>
      </c>
      <c r="I172" s="20" t="s">
        <v>147</v>
      </c>
      <c r="K172" s="13"/>
    </row>
    <row r="173" spans="1:11" s="27" customFormat="1" x14ac:dyDescent="0.25">
      <c r="A173" s="142" t="s">
        <v>425</v>
      </c>
      <c r="B173" s="26">
        <v>0</v>
      </c>
      <c r="C173" s="13">
        <v>20</v>
      </c>
      <c r="D173" s="580">
        <v>0</v>
      </c>
      <c r="E173" s="126">
        <f>B173*$E$3</f>
        <v>0</v>
      </c>
      <c r="F173" s="147">
        <f t="array" ref="F173">IF(D173=0,0,IF(D173=1,C173*$F$3,C173*$F$3*2))</f>
        <v>0</v>
      </c>
      <c r="G173" s="147">
        <f t="array" ref="G173">IF(D173&gt;2,C173*(D173-2)*$G$3,0)</f>
        <v>0</v>
      </c>
      <c r="H173" s="129">
        <f>SUM(E173:G173)</f>
        <v>0</v>
      </c>
      <c r="I173" s="20" t="s">
        <v>147</v>
      </c>
      <c r="K173" s="13"/>
    </row>
    <row r="174" spans="1:11" s="27" customFormat="1" x14ac:dyDescent="0.25">
      <c r="A174" s="142" t="s">
        <v>426</v>
      </c>
      <c r="B174" s="26">
        <v>0</v>
      </c>
      <c r="C174" s="13">
        <v>28</v>
      </c>
      <c r="D174" s="580">
        <v>0</v>
      </c>
      <c r="E174" s="126">
        <f>B174*$E$3</f>
        <v>0</v>
      </c>
      <c r="F174" s="147">
        <f t="array" ref="F174">IF(D174=0,0,IF(D174=1,C174*$F$3,C174*$F$3*2))</f>
        <v>0</v>
      </c>
      <c r="G174" s="147">
        <f t="array" ref="G174">IF(D174&gt;2,C174*(D174-2)*$G$3,0)</f>
        <v>0</v>
      </c>
      <c r="H174" s="129">
        <f>SUM(E174:G174)</f>
        <v>0</v>
      </c>
      <c r="I174" s="20" t="s">
        <v>147</v>
      </c>
      <c r="K174" s="13"/>
    </row>
    <row r="175" spans="1:11" s="27" customFormat="1" x14ac:dyDescent="0.25">
      <c r="A175" s="142" t="s">
        <v>427</v>
      </c>
      <c r="B175" s="26">
        <v>0</v>
      </c>
      <c r="C175" s="13">
        <v>20</v>
      </c>
      <c r="D175" s="580">
        <v>0</v>
      </c>
      <c r="E175" s="126">
        <f>B175*$E$3</f>
        <v>0</v>
      </c>
      <c r="F175" s="147">
        <f t="array" ref="F175">IF(D175=0,0,IF(D175=1,C175*$F$3,C175*$F$3*2))</f>
        <v>0</v>
      </c>
      <c r="G175" s="147">
        <f t="array" ref="G175">IF(D175&gt;2,C175*(D175-2)*$G$3,0)</f>
        <v>0</v>
      </c>
      <c r="H175" s="129">
        <f>SUM(E175:G175)</f>
        <v>0</v>
      </c>
      <c r="I175" s="20" t="s">
        <v>147</v>
      </c>
      <c r="K175" s="13"/>
    </row>
    <row r="176" spans="1:11" s="27" customFormat="1" x14ac:dyDescent="0.25">
      <c r="A176" s="131" t="s">
        <v>153</v>
      </c>
      <c r="B176" s="26">
        <v>0</v>
      </c>
      <c r="C176" s="13">
        <v>28</v>
      </c>
      <c r="D176" s="580">
        <v>0</v>
      </c>
      <c r="E176" s="126">
        <f t="shared" ref="E176" si="44">B176*$E$3</f>
        <v>0</v>
      </c>
      <c r="F176" s="147">
        <f t="array" ref="F176">IF(D176=0,0,IF(D176=1,C176*$F$3,C176*$F$3*2))</f>
        <v>0</v>
      </c>
      <c r="G176" s="147">
        <f t="array" ref="G176">IF(D176&gt;2,C176*(D176-2)*$G$3,0)</f>
        <v>0</v>
      </c>
      <c r="H176" s="129">
        <f t="shared" ref="H176" si="45">SUM(E176:G176)</f>
        <v>0</v>
      </c>
      <c r="I176" s="20" t="s">
        <v>147</v>
      </c>
      <c r="K176" s="13"/>
    </row>
    <row r="177" spans="1:11" s="27" customFormat="1" x14ac:dyDescent="0.25">
      <c r="A177" s="27" t="s">
        <v>804</v>
      </c>
      <c r="B177" s="26">
        <v>28</v>
      </c>
      <c r="C177" s="13">
        <v>28</v>
      </c>
      <c r="D177" s="580">
        <v>1</v>
      </c>
      <c r="E177" s="126">
        <f>B177*$E$3</f>
        <v>33.6</v>
      </c>
      <c r="F177" s="147">
        <f t="array" ref="F177">IF(D177=0,0,IF(D177=1,C177*$F$3,C177*$F$3*2))</f>
        <v>28</v>
      </c>
      <c r="G177" s="147">
        <f t="array" ref="G177">IF(D177&gt;2,C177*(D177-2)*$G$3,0)</f>
        <v>0</v>
      </c>
      <c r="H177" s="129">
        <f>SUM(E177:G177)</f>
        <v>61.6</v>
      </c>
      <c r="I177" s="20" t="s">
        <v>147</v>
      </c>
      <c r="K177" s="13"/>
    </row>
    <row r="178" spans="1:11" s="27" customFormat="1" x14ac:dyDescent="0.25">
      <c r="A178" s="131" t="s">
        <v>805</v>
      </c>
      <c r="B178" s="26">
        <v>28</v>
      </c>
      <c r="C178" s="13">
        <v>28</v>
      </c>
      <c r="D178" s="580">
        <v>1</v>
      </c>
      <c r="E178" s="126">
        <f>B178*$E$3</f>
        <v>33.6</v>
      </c>
      <c r="F178" s="147">
        <f t="array" ref="F178">IF(D178=0,0,IF(D178=1,C178*$F$3,C178*$F$3*2))</f>
        <v>28</v>
      </c>
      <c r="G178" s="147">
        <f t="array" ref="G178">IF(D178&gt;2,C178*(D178-2)*$G$3,0)</f>
        <v>0</v>
      </c>
      <c r="H178" s="129">
        <f>SUM(E178:G178)</f>
        <v>61.6</v>
      </c>
      <c r="I178" s="20" t="s">
        <v>147</v>
      </c>
      <c r="K178" s="13"/>
    </row>
    <row r="179" spans="1:11" s="27" customFormat="1" x14ac:dyDescent="0.25">
      <c r="A179" s="131" t="s">
        <v>806</v>
      </c>
      <c r="B179" s="26">
        <v>14</v>
      </c>
      <c r="C179" s="13">
        <v>28</v>
      </c>
      <c r="D179" s="580">
        <v>1</v>
      </c>
      <c r="E179" s="126">
        <f>B179*$E$3</f>
        <v>16.8</v>
      </c>
      <c r="F179" s="147">
        <f t="array" ref="F179">IF(D179=0,0,IF(D179=1,C179*$F$3,C179*$F$3*2))</f>
        <v>28</v>
      </c>
      <c r="G179" s="147">
        <f t="array" ref="G179">IF(D179&gt;2,C179*(D179-2)*$G$3,0)</f>
        <v>0</v>
      </c>
      <c r="H179" s="129">
        <f>SUM(E179:G179)</f>
        <v>44.8</v>
      </c>
      <c r="I179" s="20" t="s">
        <v>147</v>
      </c>
      <c r="K179" s="13"/>
    </row>
    <row r="180" spans="1:11" s="27" customFormat="1" x14ac:dyDescent="0.25">
      <c r="A180" s="27" t="s">
        <v>807</v>
      </c>
      <c r="B180" s="26">
        <v>28</v>
      </c>
      <c r="C180" s="13">
        <v>28</v>
      </c>
      <c r="D180" s="580">
        <v>1</v>
      </c>
      <c r="E180" s="126">
        <f t="shared" ref="E180:E181" si="46">B180*$E$3</f>
        <v>33.6</v>
      </c>
      <c r="F180" s="147">
        <f t="array" ref="F180">IF(D180=0,0,IF(D180=1,C180*$F$3,C180*$F$3*2))</f>
        <v>28</v>
      </c>
      <c r="G180" s="147">
        <f t="array" ref="G180">IF(D180&gt;2,C180*(D180-2)*$G$3,0)</f>
        <v>0</v>
      </c>
      <c r="H180" s="129">
        <f t="shared" ref="H180:H181" si="47">SUM(E180:G180)</f>
        <v>61.6</v>
      </c>
      <c r="I180" s="20" t="s">
        <v>147</v>
      </c>
      <c r="K180" s="13"/>
    </row>
    <row r="181" spans="1:11" s="27" customFormat="1" x14ac:dyDescent="0.25">
      <c r="A181" s="27" t="s">
        <v>808</v>
      </c>
      <c r="B181" s="26">
        <v>28</v>
      </c>
      <c r="C181" s="13">
        <v>0</v>
      </c>
      <c r="D181" s="580">
        <v>1</v>
      </c>
      <c r="E181" s="126">
        <f t="shared" si="46"/>
        <v>33.6</v>
      </c>
      <c r="F181" s="147">
        <f t="array" ref="F181">IF(D181=0,0,IF(D181=1,C181*$F$3,C181*$F$3*2))</f>
        <v>0</v>
      </c>
      <c r="G181" s="147">
        <f t="array" ref="G181">IF(D181&gt;2,C181*(D181-2)*$G$3,0)</f>
        <v>0</v>
      </c>
      <c r="H181" s="129">
        <f t="shared" si="47"/>
        <v>33.6</v>
      </c>
      <c r="I181" s="20" t="s">
        <v>147</v>
      </c>
      <c r="K181" s="13"/>
    </row>
    <row r="182" spans="1:11" s="27" customFormat="1" x14ac:dyDescent="0.25">
      <c r="A182" s="148" t="s">
        <v>809</v>
      </c>
      <c r="B182" s="26">
        <v>28</v>
      </c>
      <c r="C182" s="13">
        <v>28</v>
      </c>
      <c r="D182" s="580">
        <v>1</v>
      </c>
      <c r="E182" s="126">
        <f>B182*$E$3</f>
        <v>33.6</v>
      </c>
      <c r="F182" s="147">
        <f t="array" ref="F182">IF(D182=0,0,IF(D182=1,C182*$F$3,C182*$F$3*2))</f>
        <v>28</v>
      </c>
      <c r="G182" s="147">
        <f t="array" ref="G182">IF(D182&gt;2,C182*(D182-2)*$G$3,0)</f>
        <v>0</v>
      </c>
      <c r="H182" s="129">
        <f>SUM(E182:G182)</f>
        <v>61.6</v>
      </c>
      <c r="I182" s="20" t="s">
        <v>147</v>
      </c>
      <c r="K182" s="13"/>
    </row>
    <row r="183" spans="1:11" s="27" customFormat="1" x14ac:dyDescent="0.25">
      <c r="A183" s="131" t="s">
        <v>810</v>
      </c>
      <c r="B183" s="26">
        <v>0</v>
      </c>
      <c r="C183" s="13">
        <v>28</v>
      </c>
      <c r="D183" s="580">
        <v>1</v>
      </c>
      <c r="E183" s="126">
        <f>B183*$E$3</f>
        <v>0</v>
      </c>
      <c r="F183" s="147">
        <f t="array" ref="F183">IF(D183=0,0,IF(D183=1,C183*$F$3,C183*$F$3*2))</f>
        <v>28</v>
      </c>
      <c r="G183" s="147">
        <f t="array" ref="G183">IF(D183&gt;2,C183*(D183-2)*$G$3,0)</f>
        <v>0</v>
      </c>
      <c r="H183" s="129">
        <f>SUM(E183:G183)</f>
        <v>28</v>
      </c>
      <c r="I183" s="20" t="s">
        <v>147</v>
      </c>
      <c r="K183" s="13"/>
    </row>
    <row r="184" spans="1:11" s="27" customFormat="1" x14ac:dyDescent="0.25">
      <c r="A184" s="148" t="s">
        <v>811</v>
      </c>
      <c r="B184" s="26">
        <v>28</v>
      </c>
      <c r="C184" s="13">
        <v>28</v>
      </c>
      <c r="D184" s="580">
        <v>1</v>
      </c>
      <c r="E184" s="126">
        <f>B184*$E$3</f>
        <v>33.6</v>
      </c>
      <c r="F184" s="147">
        <f t="array" ref="F184">IF(D184=0,0,IF(D184=1,C184*$F$3,C184*$F$3*2))</f>
        <v>28</v>
      </c>
      <c r="G184" s="147">
        <f t="array" ref="G184">IF(D184&gt;2,C184*(D184-2)*$G$3,0)</f>
        <v>0</v>
      </c>
      <c r="H184" s="129">
        <f>SUM(E184:G184)</f>
        <v>61.6</v>
      </c>
      <c r="I184" s="20" t="s">
        <v>147</v>
      </c>
      <c r="K184" s="13"/>
    </row>
    <row r="185" spans="1:11" s="27" customFormat="1" x14ac:dyDescent="0.25">
      <c r="A185" s="131" t="s">
        <v>812</v>
      </c>
      <c r="B185" s="26">
        <v>28</v>
      </c>
      <c r="C185" s="13">
        <v>0</v>
      </c>
      <c r="D185" s="580">
        <v>1</v>
      </c>
      <c r="E185" s="126">
        <f>B185*$E$3</f>
        <v>33.6</v>
      </c>
      <c r="F185" s="147">
        <f t="array" ref="F185">IF(D185=0,0,IF(D185=1,C185*$F$3,C185*$F$3*2))</f>
        <v>0</v>
      </c>
      <c r="G185" s="147">
        <f t="array" ref="G185">IF(D185&gt;2,C185*(D185-2)*$G$3,0)</f>
        <v>0</v>
      </c>
      <c r="H185" s="129">
        <f>SUM(E185:G185)</f>
        <v>33.6</v>
      </c>
      <c r="I185" s="20" t="s">
        <v>147</v>
      </c>
      <c r="K185" s="13"/>
    </row>
    <row r="186" spans="1:11" s="27" customFormat="1" ht="16.5" thickBot="1" x14ac:dyDescent="0.3">
      <c r="A186" s="131" t="s">
        <v>813</v>
      </c>
      <c r="B186" s="26">
        <v>28</v>
      </c>
      <c r="C186" s="13">
        <v>28</v>
      </c>
      <c r="D186" s="580">
        <v>1</v>
      </c>
      <c r="E186" s="126">
        <f>B186*$E$3</f>
        <v>33.6</v>
      </c>
      <c r="F186" s="147">
        <f t="array" ref="F186">IF(D186=0,0,IF(D186=1,C186*$F$3,C186*$F$3*2))</f>
        <v>28</v>
      </c>
      <c r="G186" s="147">
        <f t="array" ref="G186">IF(D186&gt;2,C186*(D186-2)*$G$3,0)</f>
        <v>0</v>
      </c>
      <c r="H186" s="129">
        <f>SUM(E186:G186)</f>
        <v>61.6</v>
      </c>
      <c r="I186" s="20" t="s">
        <v>147</v>
      </c>
      <c r="K186" s="13"/>
    </row>
    <row r="187" spans="1:11" s="27" customFormat="1" ht="16.5" thickBot="1" x14ac:dyDescent="0.3">
      <c r="A187" s="19" t="s">
        <v>22</v>
      </c>
      <c r="B187" s="26"/>
      <c r="C187" s="13"/>
      <c r="D187" s="26"/>
      <c r="E187" s="126"/>
      <c r="H187" s="141">
        <f>SUM(H148:H186)</f>
        <v>1863.1999999999989</v>
      </c>
      <c r="I187" s="20"/>
      <c r="K187" s="13"/>
    </row>
    <row r="188" spans="1:11" s="27" customFormat="1" x14ac:dyDescent="0.25">
      <c r="A188" s="27" t="s">
        <v>814</v>
      </c>
      <c r="B188" s="26">
        <v>28</v>
      </c>
      <c r="C188" s="13">
        <v>28</v>
      </c>
      <c r="D188" s="580">
        <v>1</v>
      </c>
      <c r="E188" s="126">
        <f t="shared" ref="E188:E192" si="48">B188*$E$3</f>
        <v>33.6</v>
      </c>
      <c r="F188" s="147">
        <f t="array" ref="F188">IF(D188=0,0,IF(D188=1,C188*$F$3,C188*$F$3*2))</f>
        <v>28</v>
      </c>
      <c r="G188" s="147">
        <f t="array" ref="G188">IF(D188&gt;2,C188*(D188-2)*$G$3,0)</f>
        <v>0</v>
      </c>
      <c r="H188" s="129">
        <f t="shared" ref="H188:H192" si="49">SUM(E188:G188)</f>
        <v>61.6</v>
      </c>
      <c r="I188" s="20" t="s">
        <v>147</v>
      </c>
      <c r="K188" s="13"/>
    </row>
    <row r="189" spans="1:11" s="27" customFormat="1" x14ac:dyDescent="0.25">
      <c r="A189" s="27" t="s">
        <v>170</v>
      </c>
      <c r="B189" s="26">
        <v>0</v>
      </c>
      <c r="C189" s="13">
        <v>28</v>
      </c>
      <c r="D189" s="580">
        <v>0</v>
      </c>
      <c r="E189" s="126">
        <f t="shared" si="48"/>
        <v>0</v>
      </c>
      <c r="F189" s="147">
        <f t="array" ref="F189">IF(D189=0,0,IF(D189=1,C189*$F$3,C189*$F$3*2))</f>
        <v>0</v>
      </c>
      <c r="G189" s="147">
        <f t="array" ref="G189">IF(D189&gt;2,C189*(D189-2)*$G$3,0)</f>
        <v>0</v>
      </c>
      <c r="H189" s="129">
        <f t="shared" si="49"/>
        <v>0</v>
      </c>
      <c r="I189" s="20" t="s">
        <v>147</v>
      </c>
      <c r="K189" s="13"/>
    </row>
    <row r="190" spans="1:11" s="27" customFormat="1" x14ac:dyDescent="0.25">
      <c r="A190" s="27" t="s">
        <v>815</v>
      </c>
      <c r="B190" s="26">
        <v>28</v>
      </c>
      <c r="C190" s="13">
        <v>28</v>
      </c>
      <c r="D190" s="580">
        <v>1</v>
      </c>
      <c r="E190" s="126">
        <f t="shared" si="48"/>
        <v>33.6</v>
      </c>
      <c r="F190" s="147">
        <f t="array" ref="F190">IF(D190=0,0,IF(D190=1,C190*$F$3,C190*$F$3*2))</f>
        <v>28</v>
      </c>
      <c r="G190" s="147">
        <f t="array" ref="G190">IF(D190&gt;2,C190*(D190-2)*$G$3,0)</f>
        <v>0</v>
      </c>
      <c r="H190" s="129">
        <f t="shared" si="49"/>
        <v>61.6</v>
      </c>
      <c r="I190" s="20" t="s">
        <v>147</v>
      </c>
      <c r="K190" s="13"/>
    </row>
    <row r="191" spans="1:11" s="27" customFormat="1" x14ac:dyDescent="0.25">
      <c r="A191" s="27" t="s">
        <v>225</v>
      </c>
      <c r="B191" s="26">
        <v>0</v>
      </c>
      <c r="C191" s="13">
        <v>28</v>
      </c>
      <c r="D191" s="580">
        <v>0</v>
      </c>
      <c r="E191" s="126">
        <f t="shared" si="48"/>
        <v>0</v>
      </c>
      <c r="F191" s="147">
        <f t="array" ref="F191">IF(D191=0,0,IF(D191=1,C191*$F$3,C191*$F$3*2))</f>
        <v>0</v>
      </c>
      <c r="G191" s="147">
        <f t="array" ref="G191">IF(D191&gt;2,C191*(D191-2)*$G$3,0)</f>
        <v>0</v>
      </c>
      <c r="H191" s="129">
        <f t="shared" si="49"/>
        <v>0</v>
      </c>
      <c r="I191" s="20" t="s">
        <v>147</v>
      </c>
      <c r="K191" s="13"/>
    </row>
    <row r="192" spans="1:11" s="27" customFormat="1" x14ac:dyDescent="0.25">
      <c r="A192" s="27" t="s">
        <v>816</v>
      </c>
      <c r="B192" s="26">
        <v>28</v>
      </c>
      <c r="C192" s="13">
        <v>28</v>
      </c>
      <c r="D192" s="580">
        <v>2</v>
      </c>
      <c r="E192" s="126">
        <f t="shared" si="48"/>
        <v>33.6</v>
      </c>
      <c r="F192" s="147">
        <f t="array" ref="F192">IF(D192=0,0,IF(D192=1,C192*$F$3,C192*$F$3*2))</f>
        <v>56</v>
      </c>
      <c r="G192" s="147">
        <f t="array" ref="G192">IF(D192&gt;2,C192*(D192-2)*$G$3,0)</f>
        <v>0</v>
      </c>
      <c r="H192" s="129">
        <f t="shared" si="49"/>
        <v>89.6</v>
      </c>
      <c r="I192" s="20" t="s">
        <v>147</v>
      </c>
      <c r="K192" s="13"/>
    </row>
    <row r="193" spans="1:12" s="27" customFormat="1" x14ac:dyDescent="0.25">
      <c r="A193" s="27" t="s">
        <v>817</v>
      </c>
      <c r="B193" s="26">
        <v>0</v>
      </c>
      <c r="C193" s="13">
        <v>28</v>
      </c>
      <c r="D193" s="580">
        <v>0</v>
      </c>
      <c r="E193" s="126">
        <f>B193*$E$3</f>
        <v>0</v>
      </c>
      <c r="F193" s="147">
        <f t="array" ref="F193">IF(D193=0,0,IF(D193=1,C193*$F$3,C193*$F$3*2))</f>
        <v>0</v>
      </c>
      <c r="G193" s="147">
        <f t="array" ref="G193">IF(D193&gt;2,C193*(D193-2)*$G$3,0)</f>
        <v>0</v>
      </c>
      <c r="H193" s="129">
        <f>SUM(E193:G193)</f>
        <v>0</v>
      </c>
      <c r="I193" s="20" t="s">
        <v>147</v>
      </c>
      <c r="K193" s="13"/>
    </row>
    <row r="194" spans="1:12" s="27" customFormat="1" x14ac:dyDescent="0.25">
      <c r="A194" s="27" t="s">
        <v>102</v>
      </c>
      <c r="B194" s="26">
        <v>0</v>
      </c>
      <c r="C194" s="13">
        <v>28</v>
      </c>
      <c r="D194" s="580">
        <v>0</v>
      </c>
      <c r="E194" s="126">
        <f t="shared" ref="E194:E195" si="50">B194*$E$3</f>
        <v>0</v>
      </c>
      <c r="F194" s="147">
        <f t="array" ref="F194">IF(D194=0,0,IF(D194=1,C194*$F$3,C194*$F$3*2))</f>
        <v>0</v>
      </c>
      <c r="G194" s="147">
        <f t="array" ref="G194">IF(D194&gt;2,C194*(D194-2)*$G$3,0)</f>
        <v>0</v>
      </c>
      <c r="H194" s="129">
        <f t="shared" ref="H194:H195" si="51">SUM(E194:G194)</f>
        <v>0</v>
      </c>
      <c r="I194" s="20" t="s">
        <v>147</v>
      </c>
      <c r="K194" s="13"/>
    </row>
    <row r="195" spans="1:12" s="27" customFormat="1" x14ac:dyDescent="0.25">
      <c r="A195" s="27" t="s">
        <v>818</v>
      </c>
      <c r="B195" s="26">
        <v>28</v>
      </c>
      <c r="C195" s="13">
        <v>28</v>
      </c>
      <c r="D195" s="580">
        <v>1</v>
      </c>
      <c r="E195" s="126">
        <f t="shared" si="50"/>
        <v>33.6</v>
      </c>
      <c r="F195" s="147">
        <f t="array" ref="F195">IF(D195=0,0,IF(D195=1,C195*$F$3,C195*$F$3*2))</f>
        <v>28</v>
      </c>
      <c r="G195" s="147">
        <f t="array" ref="G195">IF(D195&gt;2,C195*(D195-2)*$G$3,0)</f>
        <v>0</v>
      </c>
      <c r="H195" s="129">
        <f t="shared" si="51"/>
        <v>61.6</v>
      </c>
      <c r="I195" s="20" t="s">
        <v>147</v>
      </c>
      <c r="K195" s="13"/>
    </row>
    <row r="196" spans="1:12" s="27" customFormat="1" x14ac:dyDescent="0.25">
      <c r="A196" s="27" t="s">
        <v>819</v>
      </c>
      <c r="B196" s="26">
        <v>28</v>
      </c>
      <c r="C196" s="13">
        <v>28</v>
      </c>
      <c r="D196" s="580">
        <v>1</v>
      </c>
      <c r="E196" s="126">
        <f>B196*$E$3</f>
        <v>33.6</v>
      </c>
      <c r="F196" s="147">
        <f t="array" ref="F196">IF(D196=0,0,IF(D196=1,C196*$F$3,C196*$F$3*2))</f>
        <v>28</v>
      </c>
      <c r="G196" s="147">
        <f t="array" ref="G196">IF(D196&gt;2,C196*(D196-2)*$G$3,0)</f>
        <v>0</v>
      </c>
      <c r="H196" s="129">
        <f>SUM(E196:G196)</f>
        <v>61.6</v>
      </c>
      <c r="I196" s="20" t="s">
        <v>147</v>
      </c>
      <c r="K196" s="13"/>
    </row>
    <row r="197" spans="1:12" s="27" customFormat="1" x14ac:dyDescent="0.25">
      <c r="A197" s="27" t="s">
        <v>820</v>
      </c>
      <c r="B197" s="26">
        <v>28</v>
      </c>
      <c r="C197" s="13">
        <v>28</v>
      </c>
      <c r="D197" s="580">
        <v>1</v>
      </c>
      <c r="E197" s="126">
        <f t="shared" ref="E197:E198" si="52">B197*$E$3</f>
        <v>33.6</v>
      </c>
      <c r="F197" s="147">
        <f t="array" ref="F197">IF(D197=0,0,IF(D197=1,C197*$F$3,C197*$F$3*2))</f>
        <v>28</v>
      </c>
      <c r="G197" s="147">
        <f t="array" ref="G197">IF(D197&gt;2,C197*(D197-2)*$G$3,0)</f>
        <v>0</v>
      </c>
      <c r="H197" s="129">
        <f t="shared" ref="H197:H198" si="53">SUM(E197:G197)</f>
        <v>61.6</v>
      </c>
      <c r="I197" s="20" t="s">
        <v>147</v>
      </c>
      <c r="K197" s="13"/>
    </row>
    <row r="198" spans="1:12" s="27" customFormat="1" x14ac:dyDescent="0.25">
      <c r="A198" s="131" t="s">
        <v>821</v>
      </c>
      <c r="B198" s="26">
        <v>20</v>
      </c>
      <c r="C198" s="13">
        <v>20</v>
      </c>
      <c r="D198" s="580">
        <v>1</v>
      </c>
      <c r="E198" s="126">
        <f t="shared" si="52"/>
        <v>24</v>
      </c>
      <c r="F198" s="147">
        <f t="array" ref="F198">IF(D198=0,0,IF(D198=1,C198*$F$3,C198*$F$3*2))</f>
        <v>20</v>
      </c>
      <c r="G198" s="147">
        <f t="array" ref="G198">IF(D198&gt;2,C198*(D198-2)*$G$3,0)</f>
        <v>0</v>
      </c>
      <c r="H198" s="129">
        <f t="shared" si="53"/>
        <v>44</v>
      </c>
      <c r="I198" s="20" t="s">
        <v>147</v>
      </c>
      <c r="K198" s="13"/>
    </row>
    <row r="199" spans="1:12" s="27" customFormat="1" x14ac:dyDescent="0.25">
      <c r="A199" s="131" t="s">
        <v>822</v>
      </c>
      <c r="B199" s="26">
        <v>20</v>
      </c>
      <c r="C199" s="13">
        <v>20</v>
      </c>
      <c r="D199" s="580">
        <v>1</v>
      </c>
      <c r="E199" s="126">
        <f>B199*$E$3</f>
        <v>24</v>
      </c>
      <c r="F199" s="147">
        <f t="array" ref="F199">IF(D199=0,0,IF(D199=1,C199*$F$3,C199*$F$3*2))</f>
        <v>20</v>
      </c>
      <c r="G199" s="147">
        <f t="array" ref="G199">IF(D199&gt;2,C199*(D199-2)*$G$3,0)</f>
        <v>0</v>
      </c>
      <c r="H199" s="129">
        <f>SUM(E199:G199)</f>
        <v>44</v>
      </c>
      <c r="I199" s="20" t="s">
        <v>147</v>
      </c>
      <c r="K199" s="13"/>
    </row>
    <row r="200" spans="1:12" s="27" customFormat="1" x14ac:dyDescent="0.25">
      <c r="A200" s="131" t="s">
        <v>823</v>
      </c>
      <c r="B200" s="26">
        <v>0</v>
      </c>
      <c r="C200" s="13">
        <v>30</v>
      </c>
      <c r="D200" s="580">
        <v>1</v>
      </c>
      <c r="E200" s="126">
        <f>B200*$E$3</f>
        <v>0</v>
      </c>
      <c r="F200" s="147">
        <f t="array" ref="F200">IF(D200=0,0,IF(D200=1,C200*$F$3,C200*$F$3*2))</f>
        <v>30</v>
      </c>
      <c r="G200" s="147">
        <f t="array" ref="G200">IF(D200&gt;2,C200*(D200-2)*$G$3,0)</f>
        <v>0</v>
      </c>
      <c r="H200" s="129">
        <f>SUM(E200:G200)</f>
        <v>30</v>
      </c>
      <c r="I200" s="20" t="s">
        <v>147</v>
      </c>
      <c r="K200" s="13"/>
    </row>
    <row r="201" spans="1:12" s="27" customFormat="1" x14ac:dyDescent="0.25">
      <c r="A201" s="131" t="s">
        <v>824</v>
      </c>
      <c r="B201" s="26">
        <v>20</v>
      </c>
      <c r="C201" s="13">
        <v>20</v>
      </c>
      <c r="D201" s="580">
        <v>1</v>
      </c>
      <c r="E201" s="126">
        <f t="shared" ref="E201" si="54">B201*$E$3</f>
        <v>24</v>
      </c>
      <c r="F201" s="147">
        <f t="array" ref="F201">IF(D201=0,0,IF(D201=1,C201*$F$3,C201*$F$3*2))</f>
        <v>20</v>
      </c>
      <c r="G201" s="147">
        <f t="array" ref="G201">IF(D201&gt;2,C201*(D201-2)*$G$3,0)</f>
        <v>0</v>
      </c>
      <c r="H201" s="129">
        <f t="shared" ref="H201" si="55">SUM(E201:G201)</f>
        <v>44</v>
      </c>
      <c r="I201" s="20" t="s">
        <v>147</v>
      </c>
      <c r="K201" s="13"/>
    </row>
    <row r="202" spans="1:12" s="27" customFormat="1" x14ac:dyDescent="0.25">
      <c r="A202" s="131" t="s">
        <v>825</v>
      </c>
      <c r="B202" s="26">
        <v>0</v>
      </c>
      <c r="C202" s="13">
        <v>20</v>
      </c>
      <c r="D202" s="580">
        <v>0</v>
      </c>
      <c r="E202" s="126">
        <f>B202*$E$3</f>
        <v>0</v>
      </c>
      <c r="F202" s="147">
        <f t="array" ref="F202">IF(D202=0,0,IF(D202=1,C202*$F$3,C202*$F$3*2))</f>
        <v>0</v>
      </c>
      <c r="G202" s="147">
        <f t="array" ref="G202">IF(D202&gt;2,C202*(D202-2)*$G$3,0)</f>
        <v>0</v>
      </c>
      <c r="H202" s="129">
        <f>SUM(E202:G202)</f>
        <v>0</v>
      </c>
      <c r="I202" s="20" t="s">
        <v>147</v>
      </c>
      <c r="K202" s="13"/>
    </row>
    <row r="203" spans="1:12" s="27" customFormat="1" x14ac:dyDescent="0.25">
      <c r="A203" s="131" t="s">
        <v>826</v>
      </c>
      <c r="B203" s="26">
        <v>20</v>
      </c>
      <c r="C203" s="13">
        <v>20</v>
      </c>
      <c r="D203" s="580">
        <v>1</v>
      </c>
      <c r="E203" s="126">
        <f t="shared" ref="E203:E211" si="56">B203*$E$3</f>
        <v>24</v>
      </c>
      <c r="F203" s="147">
        <f t="array" ref="F203">IF(D203=0,0,IF(D203=1,C203*$F$3,C203*$F$3*2))</f>
        <v>20</v>
      </c>
      <c r="G203" s="147">
        <f t="array" ref="G203">IF(D203&gt;2,C203*(D203-2)*$G$3,0)</f>
        <v>0</v>
      </c>
      <c r="H203" s="129">
        <f t="shared" ref="H203:H211" si="57">SUM(E203:G203)</f>
        <v>44</v>
      </c>
      <c r="I203" s="20" t="s">
        <v>147</v>
      </c>
      <c r="K203" s="13"/>
    </row>
    <row r="204" spans="1:12" s="27" customFormat="1" x14ac:dyDescent="0.25">
      <c r="A204" s="131" t="s">
        <v>827</v>
      </c>
      <c r="B204" s="26">
        <v>20</v>
      </c>
      <c r="C204" s="13">
        <v>20</v>
      </c>
      <c r="D204" s="580">
        <v>1</v>
      </c>
      <c r="E204" s="126">
        <f t="shared" si="56"/>
        <v>24</v>
      </c>
      <c r="F204" s="147">
        <f t="array" ref="F204">IF(D204=0,0,IF(D204=1,C204*$F$3,C204*$F$3*2))</f>
        <v>20</v>
      </c>
      <c r="G204" s="147">
        <f t="array" ref="G204">IF(D204&gt;2,C204*(D204-2)*$G$3,0)</f>
        <v>0</v>
      </c>
      <c r="H204" s="129">
        <f t="shared" si="57"/>
        <v>44</v>
      </c>
      <c r="I204" s="20" t="s">
        <v>147</v>
      </c>
      <c r="K204" s="144"/>
    </row>
    <row r="205" spans="1:12" ht="15" customHeight="1" x14ac:dyDescent="0.25">
      <c r="A205" s="131" t="s">
        <v>828</v>
      </c>
      <c r="B205" s="26">
        <v>0</v>
      </c>
      <c r="C205" s="13">
        <v>20</v>
      </c>
      <c r="D205" s="580">
        <v>0</v>
      </c>
      <c r="E205" s="126">
        <f t="shared" si="56"/>
        <v>0</v>
      </c>
      <c r="F205" s="147">
        <f t="array" ref="F205">IF(D205=0,0,IF(D205=1,C205*$F$3,C205*$F$3*2))</f>
        <v>0</v>
      </c>
      <c r="G205" s="147">
        <f t="array" ref="G205">IF(D205&gt;2,C205*(D205-2)*$G$3,0)</f>
        <v>0</v>
      </c>
      <c r="H205" s="129">
        <f t="shared" si="57"/>
        <v>0</v>
      </c>
      <c r="I205" s="20" t="s">
        <v>147</v>
      </c>
      <c r="J205" s="27"/>
      <c r="K205" s="153"/>
      <c r="L205" s="27"/>
    </row>
    <row r="206" spans="1:12" s="27" customFormat="1" ht="15" customHeight="1" x14ac:dyDescent="0.25">
      <c r="A206" s="19" t="s">
        <v>829</v>
      </c>
      <c r="B206" s="26">
        <v>28</v>
      </c>
      <c r="C206" s="13">
        <v>28</v>
      </c>
      <c r="D206" s="580">
        <v>1</v>
      </c>
      <c r="E206" s="126">
        <f t="shared" si="56"/>
        <v>33.6</v>
      </c>
      <c r="F206" s="147">
        <f t="array" ref="F206">IF(D206=0,0,IF(D206=1,C206*$F$3,C206*$F$3*2))</f>
        <v>28</v>
      </c>
      <c r="G206" s="147">
        <f t="array" ref="G206">IF(D206&gt;2,C206*(D206-2)*$G$3,0)</f>
        <v>0</v>
      </c>
      <c r="H206" s="129">
        <f t="shared" si="57"/>
        <v>61.6</v>
      </c>
      <c r="I206" s="20" t="s">
        <v>147</v>
      </c>
      <c r="K206" s="13"/>
    </row>
    <row r="207" spans="1:12" x14ac:dyDescent="0.25">
      <c r="A207" s="19" t="s">
        <v>830</v>
      </c>
      <c r="B207" s="26">
        <v>28</v>
      </c>
      <c r="C207" s="13">
        <v>28</v>
      </c>
      <c r="D207" s="580">
        <v>1</v>
      </c>
      <c r="E207" s="126">
        <f t="shared" si="56"/>
        <v>33.6</v>
      </c>
      <c r="F207" s="147">
        <f t="array" ref="F207">IF(D207=0,0,IF(D207=1,C207*$F$3,C207*$F$3*2))</f>
        <v>28</v>
      </c>
      <c r="G207" s="147">
        <f t="array" ref="G207">IF(D207&gt;2,C207*(D207-2)*$G$3,0)</f>
        <v>0</v>
      </c>
      <c r="H207" s="129">
        <f t="shared" si="57"/>
        <v>61.6</v>
      </c>
      <c r="I207" s="20" t="s">
        <v>147</v>
      </c>
      <c r="J207" s="27"/>
      <c r="K207" s="13"/>
    </row>
    <row r="208" spans="1:12" x14ac:dyDescent="0.25">
      <c r="A208" s="19" t="s">
        <v>831</v>
      </c>
      <c r="B208" s="26">
        <v>0</v>
      </c>
      <c r="C208" s="13">
        <v>28</v>
      </c>
      <c r="D208" s="580">
        <v>0</v>
      </c>
      <c r="E208" s="126">
        <f t="shared" si="56"/>
        <v>0</v>
      </c>
      <c r="F208" s="147">
        <f t="array" ref="F208">IF(D208=0,0,IF(D208=1,C208*$F$3,C208*$F$3*2))</f>
        <v>0</v>
      </c>
      <c r="G208" s="147">
        <f t="array" ref="G208">IF(D208&gt;2,C208*(D208-2)*$G$3,0)</f>
        <v>0</v>
      </c>
      <c r="H208" s="129">
        <f t="shared" si="57"/>
        <v>0</v>
      </c>
      <c r="I208" s="20" t="s">
        <v>147</v>
      </c>
      <c r="J208" s="27"/>
      <c r="K208" s="13"/>
    </row>
    <row r="209" spans="1:11" s="27" customFormat="1" x14ac:dyDescent="0.25">
      <c r="A209" s="27" t="s">
        <v>832</v>
      </c>
      <c r="B209" s="26">
        <v>28</v>
      </c>
      <c r="C209" s="13">
        <v>28</v>
      </c>
      <c r="D209" s="580">
        <v>1</v>
      </c>
      <c r="E209" s="126">
        <f t="shared" si="56"/>
        <v>33.6</v>
      </c>
      <c r="F209" s="147">
        <f t="array" ref="F209">IF(D209=0,0,IF(D209=1,C209*$F$3,C209*$F$3*2))</f>
        <v>28</v>
      </c>
      <c r="G209" s="147">
        <f t="array" ref="G209">IF(D209&gt;2,C209*(D209-2)*$G$3,0)</f>
        <v>0</v>
      </c>
      <c r="H209" s="129">
        <f t="shared" si="57"/>
        <v>61.6</v>
      </c>
      <c r="I209" s="20" t="s">
        <v>147</v>
      </c>
      <c r="K209" s="13"/>
    </row>
    <row r="210" spans="1:11" x14ac:dyDescent="0.25">
      <c r="A210" s="27" t="s">
        <v>833</v>
      </c>
      <c r="B210" s="26">
        <v>28</v>
      </c>
      <c r="C210" s="13">
        <v>28</v>
      </c>
      <c r="D210" s="580">
        <v>1</v>
      </c>
      <c r="E210" s="126">
        <f t="shared" si="56"/>
        <v>33.6</v>
      </c>
      <c r="F210" s="147">
        <f t="array" ref="F210">IF(D210=0,0,IF(D210=1,C210*$F$3,C210*$F$3*2))</f>
        <v>28</v>
      </c>
      <c r="G210" s="147">
        <f t="array" ref="G210">IF(D210&gt;2,C210*(D210-2)*$G$3,0)</f>
        <v>0</v>
      </c>
      <c r="H210" s="129">
        <f t="shared" si="57"/>
        <v>61.6</v>
      </c>
      <c r="I210" s="20" t="s">
        <v>147</v>
      </c>
      <c r="J210" s="27"/>
      <c r="K210" s="13"/>
    </row>
    <row r="211" spans="1:11" s="27" customFormat="1" ht="16.5" thickBot="1" x14ac:dyDescent="0.3">
      <c r="A211" s="148" t="s">
        <v>834</v>
      </c>
      <c r="B211" s="26">
        <v>28</v>
      </c>
      <c r="C211" s="13">
        <v>28</v>
      </c>
      <c r="D211" s="580">
        <v>1</v>
      </c>
      <c r="E211" s="126">
        <f t="shared" si="56"/>
        <v>33.6</v>
      </c>
      <c r="F211" s="147">
        <f t="array" ref="F211">IF(D211=0,0,IF(D211=1,C211*$F$3,C211*$F$3*2))</f>
        <v>28</v>
      </c>
      <c r="G211" s="147">
        <f t="array" ref="G211">IF(D211&gt;2,C211*(D211-2)*$G$3,0)</f>
        <v>0</v>
      </c>
      <c r="H211" s="129">
        <f t="shared" si="57"/>
        <v>61.6</v>
      </c>
      <c r="I211" s="20" t="s">
        <v>147</v>
      </c>
      <c r="K211" s="13"/>
    </row>
    <row r="212" spans="1:11" ht="16.5" thickBot="1" x14ac:dyDescent="0.3">
      <c r="A212" s="27"/>
      <c r="B212" s="95"/>
      <c r="C212" s="144"/>
      <c r="D212" s="26"/>
      <c r="E212" s="126"/>
      <c r="F212" s="126"/>
      <c r="G212" s="126"/>
      <c r="H212" s="141">
        <f>SUM(H188:H211)</f>
        <v>955.60000000000025</v>
      </c>
      <c r="I212" s="23"/>
      <c r="J212" s="27"/>
      <c r="K212" s="13"/>
    </row>
    <row r="213" spans="1:11" ht="16.5" thickBot="1" x14ac:dyDescent="0.3">
      <c r="A213" s="27"/>
      <c r="B213" s="26"/>
      <c r="C213" s="13"/>
      <c r="D213" s="26"/>
      <c r="E213" s="126"/>
      <c r="F213" s="126"/>
      <c r="G213" s="146" t="s">
        <v>159</v>
      </c>
      <c r="H213" s="141">
        <f>SUM(H212,H187)</f>
        <v>2818.7999999999993</v>
      </c>
      <c r="I213" s="21"/>
      <c r="J213" s="27"/>
      <c r="K213" s="13"/>
    </row>
    <row r="214" spans="1:11" x14ac:dyDescent="0.25">
      <c r="A214" s="27"/>
      <c r="B214" s="26"/>
      <c r="C214" s="13"/>
      <c r="D214" s="26"/>
      <c r="E214" s="126"/>
      <c r="F214" s="126"/>
      <c r="G214" s="126"/>
      <c r="H214" s="94"/>
      <c r="I214" s="21"/>
      <c r="J214" s="27"/>
      <c r="K214" s="13"/>
    </row>
    <row r="215" spans="1:11" ht="47.25" x14ac:dyDescent="0.25">
      <c r="A215" s="134" t="s">
        <v>1</v>
      </c>
      <c r="B215" s="135" t="s">
        <v>42</v>
      </c>
      <c r="C215" s="136" t="s">
        <v>43</v>
      </c>
      <c r="D215" s="137" t="s">
        <v>41</v>
      </c>
      <c r="E215" s="138" t="s">
        <v>23</v>
      </c>
      <c r="F215" s="138" t="s">
        <v>10</v>
      </c>
      <c r="G215" s="138" t="s">
        <v>11</v>
      </c>
      <c r="H215" s="138" t="s">
        <v>7</v>
      </c>
      <c r="I215" s="21"/>
      <c r="J215" s="27"/>
      <c r="K215" s="13"/>
    </row>
    <row r="216" spans="1:11" x14ac:dyDescent="0.25">
      <c r="A216" s="19" t="s">
        <v>18</v>
      </c>
      <c r="B216" s="89"/>
      <c r="C216" s="144"/>
      <c r="D216" s="26"/>
      <c r="E216" s="126"/>
      <c r="F216" s="126"/>
      <c r="G216" s="126"/>
      <c r="H216" s="129"/>
      <c r="I216" s="107"/>
      <c r="J216" s="44"/>
      <c r="K216" s="13"/>
    </row>
    <row r="217" spans="1:11" x14ac:dyDescent="0.25">
      <c r="A217" s="27" t="s">
        <v>835</v>
      </c>
      <c r="B217" s="26">
        <v>56</v>
      </c>
      <c r="C217" s="13">
        <v>28</v>
      </c>
      <c r="D217" s="580">
        <v>1</v>
      </c>
      <c r="E217" s="126">
        <f t="shared" ref="E217:E224" si="58">B217*$E$2</f>
        <v>67.2</v>
      </c>
      <c r="F217" s="140">
        <f t="array" ref="F217">IF(D217=0,0,IF(D217=1,C217*$F$2,C217*$F$2*2))</f>
        <v>28</v>
      </c>
      <c r="G217" s="140">
        <f t="array" ref="G217">IF(D217&gt;2,C217*(D217-2)*$G$2,0)</f>
        <v>0</v>
      </c>
      <c r="H217" s="94">
        <f t="shared" ref="H217:H224" si="59">SUM(E217:G217)</f>
        <v>95.2</v>
      </c>
      <c r="I217" s="13" t="s">
        <v>30</v>
      </c>
      <c r="J217" s="27"/>
      <c r="K217" s="13"/>
    </row>
    <row r="218" spans="1:11" x14ac:dyDescent="0.25">
      <c r="A218" s="27" t="s">
        <v>836</v>
      </c>
      <c r="B218" s="26">
        <v>0</v>
      </c>
      <c r="C218" s="13">
        <v>28</v>
      </c>
      <c r="D218" s="580">
        <v>3</v>
      </c>
      <c r="E218" s="126">
        <f t="shared" si="58"/>
        <v>0</v>
      </c>
      <c r="F218" s="140">
        <f t="array" ref="F218">IF(D218=0,0,IF(D218=1,C218*$F$2,C218*$F$2*2))</f>
        <v>56</v>
      </c>
      <c r="G218" s="140">
        <f t="array" ref="G218">IF(D218&gt;2,C218*(D218-2)*$G$2,0)</f>
        <v>22.400000000000002</v>
      </c>
      <c r="H218" s="129">
        <f t="shared" si="59"/>
        <v>78.400000000000006</v>
      </c>
      <c r="I218" s="13" t="s">
        <v>30</v>
      </c>
      <c r="J218" s="27" t="s">
        <v>837</v>
      </c>
      <c r="K218" s="13"/>
    </row>
    <row r="219" spans="1:11" x14ac:dyDescent="0.25">
      <c r="A219" s="27" t="s">
        <v>838</v>
      </c>
      <c r="B219" s="26">
        <v>14</v>
      </c>
      <c r="C219" s="13">
        <v>28</v>
      </c>
      <c r="D219" s="580">
        <v>3</v>
      </c>
      <c r="E219" s="126">
        <f t="shared" si="58"/>
        <v>16.8</v>
      </c>
      <c r="F219" s="140">
        <f t="array" ref="F219">IF(D219=0,0,IF(D219=1,C219*$F$2,C219*$F$2*2))</f>
        <v>56</v>
      </c>
      <c r="G219" s="140">
        <f t="array" ref="G219">IF(D219&gt;2,C219*(D219-2)*$G$2,0)</f>
        <v>22.400000000000002</v>
      </c>
      <c r="H219" s="94">
        <f t="shared" si="59"/>
        <v>95.2</v>
      </c>
      <c r="I219" s="13" t="s">
        <v>30</v>
      </c>
      <c r="J219" s="27"/>
      <c r="K219" s="13"/>
    </row>
    <row r="220" spans="1:11" x14ac:dyDescent="0.25">
      <c r="A220" s="27" t="s">
        <v>839</v>
      </c>
      <c r="B220" s="26">
        <v>28</v>
      </c>
      <c r="C220" s="13">
        <v>28</v>
      </c>
      <c r="D220" s="580">
        <v>1</v>
      </c>
      <c r="E220" s="126">
        <f t="shared" si="58"/>
        <v>33.6</v>
      </c>
      <c r="F220" s="140">
        <f t="array" ref="F220">IF(D220=0,0,IF(D220=1,C220*$F$2,C220*$F$2*2))</f>
        <v>28</v>
      </c>
      <c r="G220" s="140">
        <f t="array" ref="G220">IF(D220&gt;2,C220*(D220-2)*$G$2,0)</f>
        <v>0</v>
      </c>
      <c r="H220" s="94">
        <f t="shared" si="59"/>
        <v>61.6</v>
      </c>
      <c r="I220" s="13" t="s">
        <v>30</v>
      </c>
      <c r="J220" s="27"/>
      <c r="K220" s="13"/>
    </row>
    <row r="221" spans="1:11" x14ac:dyDescent="0.25">
      <c r="A221" s="27" t="s">
        <v>428</v>
      </c>
      <c r="B221" s="26">
        <v>36</v>
      </c>
      <c r="C221" s="13">
        <v>12</v>
      </c>
      <c r="D221" s="580">
        <v>1</v>
      </c>
      <c r="E221" s="126">
        <f t="shared" si="58"/>
        <v>43.199999999999996</v>
      </c>
      <c r="F221" s="140">
        <f t="array" ref="F221">IF(D221=0,0,IF(D221=1,C221*$F$2,C221*$F$2*2))</f>
        <v>12</v>
      </c>
      <c r="G221" s="140">
        <f t="array" ref="G221">IF(D221&gt;2,C221*(D221-2)*$G$2,0)</f>
        <v>0</v>
      </c>
      <c r="H221" s="94">
        <f t="shared" si="59"/>
        <v>55.199999999999996</v>
      </c>
      <c r="I221" s="13" t="s">
        <v>30</v>
      </c>
      <c r="J221" s="27" t="s">
        <v>840</v>
      </c>
      <c r="K221" s="13"/>
    </row>
    <row r="222" spans="1:11" x14ac:dyDescent="0.25">
      <c r="A222" s="131" t="s">
        <v>717</v>
      </c>
      <c r="B222" s="26">
        <v>28</v>
      </c>
      <c r="C222" s="13">
        <v>28</v>
      </c>
      <c r="D222" s="580">
        <v>1</v>
      </c>
      <c r="E222" s="126">
        <f t="shared" si="58"/>
        <v>33.6</v>
      </c>
      <c r="F222" s="140">
        <f t="array" ref="F222">IF(D222=0,0,IF(D222=1,C222*$F$2,C222*$F$2*2))</f>
        <v>28</v>
      </c>
      <c r="G222" s="140">
        <f t="array" ref="G222">IF(D222&gt;2,C222*(D222-2)*$G$2,0)</f>
        <v>0</v>
      </c>
      <c r="H222" s="129">
        <f t="shared" si="59"/>
        <v>61.6</v>
      </c>
      <c r="I222" s="13" t="s">
        <v>30</v>
      </c>
      <c r="J222" s="27" t="s">
        <v>599</v>
      </c>
      <c r="K222" s="13"/>
    </row>
    <row r="223" spans="1:11" x14ac:dyDescent="0.25">
      <c r="A223" s="131" t="s">
        <v>841</v>
      </c>
      <c r="B223" s="26">
        <v>28</v>
      </c>
      <c r="C223" s="13">
        <v>28</v>
      </c>
      <c r="D223" s="580">
        <v>5</v>
      </c>
      <c r="E223" s="126">
        <f t="shared" si="58"/>
        <v>33.6</v>
      </c>
      <c r="F223" s="140">
        <f t="array" ref="F223">IF(D223=0,0,IF(D223=1,C223*$F$2,C223*$F$2*2))</f>
        <v>56</v>
      </c>
      <c r="G223" s="140">
        <f t="array" ref="G223">IF(D223&gt;2,C223*(D223-2)*$G$2,0)</f>
        <v>67.2</v>
      </c>
      <c r="H223" s="94">
        <f t="shared" si="59"/>
        <v>156.80000000000001</v>
      </c>
      <c r="I223" s="13" t="s">
        <v>30</v>
      </c>
      <c r="J223" s="27"/>
      <c r="K223" s="13"/>
    </row>
    <row r="224" spans="1:11" x14ac:dyDescent="0.25">
      <c r="A224" s="131" t="s">
        <v>842</v>
      </c>
      <c r="B224" s="26">
        <v>0</v>
      </c>
      <c r="C224" s="13">
        <v>28</v>
      </c>
      <c r="D224" s="580">
        <v>3</v>
      </c>
      <c r="E224" s="126">
        <f t="shared" si="58"/>
        <v>0</v>
      </c>
      <c r="F224" s="140">
        <f t="array" ref="F224">IF(D224=0,0,IF(D224=1,C224*$F$2,C224*$F$2*2))</f>
        <v>56</v>
      </c>
      <c r="G224" s="140">
        <f t="array" ref="G224">IF(D224&gt;2,C224*(D224-2)*$G$2,0)</f>
        <v>22.400000000000002</v>
      </c>
      <c r="H224" s="129">
        <f t="shared" si="59"/>
        <v>78.400000000000006</v>
      </c>
      <c r="I224" s="13" t="s">
        <v>30</v>
      </c>
      <c r="J224" s="27"/>
      <c r="K224" s="13"/>
    </row>
    <row r="225" spans="1:12" x14ac:dyDescent="0.25">
      <c r="A225" s="131" t="s">
        <v>843</v>
      </c>
      <c r="B225" s="26">
        <v>28</v>
      </c>
      <c r="C225" s="13">
        <v>0</v>
      </c>
      <c r="D225" s="580">
        <v>1</v>
      </c>
      <c r="E225" s="126">
        <f>B225*$E$2</f>
        <v>33.6</v>
      </c>
      <c r="F225" s="140">
        <f t="array" ref="F225">IF(D225=0,0,IF(D225=1,C225*$F$2,C225*$F$2*2))</f>
        <v>0</v>
      </c>
      <c r="G225" s="140">
        <f t="array" ref="G225">IF(D225&gt;2,C225*(D225-2)*$G$2,0)</f>
        <v>0</v>
      </c>
      <c r="H225" s="94">
        <f>SUM(E225:G225)</f>
        <v>33.6</v>
      </c>
      <c r="I225" s="13" t="s">
        <v>30</v>
      </c>
      <c r="J225" s="27"/>
      <c r="K225" s="13"/>
    </row>
    <row r="226" spans="1:12" x14ac:dyDescent="0.25">
      <c r="A226" s="131" t="s">
        <v>429</v>
      </c>
      <c r="B226" s="26">
        <v>16</v>
      </c>
      <c r="C226" s="13">
        <v>0</v>
      </c>
      <c r="D226" s="580">
        <v>1</v>
      </c>
      <c r="E226" s="126">
        <f t="shared" ref="E226:E237" si="60">B226*$E$2</f>
        <v>19.2</v>
      </c>
      <c r="F226" s="140">
        <f t="array" ref="F226">IF(D226=0,0,IF(D226=1,C226*$F$2,C226*$F$2*2))</f>
        <v>0</v>
      </c>
      <c r="G226" s="140">
        <f t="array" ref="G226">IF(D226&gt;2,C226*(D226-2)*$G$2,0)</f>
        <v>0</v>
      </c>
      <c r="H226" s="129">
        <f t="shared" ref="H226:H237" si="61">SUM(E226:G226)</f>
        <v>19.2</v>
      </c>
      <c r="I226" s="13" t="s">
        <v>30</v>
      </c>
      <c r="J226" s="27"/>
      <c r="K226" s="13"/>
    </row>
    <row r="227" spans="1:12" ht="15.75" customHeight="1" x14ac:dyDescent="0.25">
      <c r="A227" s="27" t="s">
        <v>844</v>
      </c>
      <c r="B227" s="26">
        <v>0</v>
      </c>
      <c r="C227" s="13">
        <v>28</v>
      </c>
      <c r="D227" s="580">
        <v>0</v>
      </c>
      <c r="E227" s="126">
        <f t="shared" si="60"/>
        <v>0</v>
      </c>
      <c r="F227" s="140">
        <f t="array" ref="F227">IF(D227=0,0,IF(D227=1,C227*$F$2,C227*$F$2*2))</f>
        <v>0</v>
      </c>
      <c r="G227" s="140">
        <f t="array" ref="G227">IF(D227&gt;2,C227*(D227-2)*$G$2,0)</f>
        <v>0</v>
      </c>
      <c r="H227" s="94">
        <f t="shared" si="61"/>
        <v>0</v>
      </c>
      <c r="I227" s="13" t="s">
        <v>30</v>
      </c>
      <c r="J227" s="27"/>
      <c r="K227" s="13"/>
      <c r="L227" s="27"/>
    </row>
    <row r="228" spans="1:12" x14ac:dyDescent="0.25">
      <c r="A228" s="131" t="s">
        <v>430</v>
      </c>
      <c r="B228" s="26">
        <v>0</v>
      </c>
      <c r="C228" s="13">
        <v>14</v>
      </c>
      <c r="D228" s="580">
        <v>0</v>
      </c>
      <c r="E228" s="126">
        <f t="shared" si="60"/>
        <v>0</v>
      </c>
      <c r="F228" s="140">
        <f t="array" ref="F228">IF(D228=0,0,IF(D228=1,C228*$F$2,C228*$F$2*2))</f>
        <v>0</v>
      </c>
      <c r="G228" s="140">
        <f t="array" ref="G228">IF(D228&gt;2,C228*(D228-2)*$G$2,0)</f>
        <v>0</v>
      </c>
      <c r="H228" s="94">
        <f t="shared" si="61"/>
        <v>0</v>
      </c>
      <c r="I228" s="13" t="s">
        <v>30</v>
      </c>
      <c r="J228" s="27"/>
      <c r="K228" s="13"/>
    </row>
    <row r="229" spans="1:12" x14ac:dyDescent="0.25">
      <c r="A229" s="27" t="s">
        <v>845</v>
      </c>
      <c r="B229" s="26">
        <v>28</v>
      </c>
      <c r="C229" s="13">
        <v>14</v>
      </c>
      <c r="D229" s="580">
        <v>1</v>
      </c>
      <c r="E229" s="126">
        <f t="shared" si="60"/>
        <v>33.6</v>
      </c>
      <c r="F229" s="140">
        <f t="array" ref="F229">IF(D229=0,0,IF(D229=1,C229*$F$2,C229*$F$2*2))</f>
        <v>14</v>
      </c>
      <c r="G229" s="140">
        <f t="array" ref="G229">IF(D229&gt;2,C229*(D229-2)*$G$2,0)</f>
        <v>0</v>
      </c>
      <c r="H229" s="94">
        <f t="shared" si="61"/>
        <v>47.6</v>
      </c>
      <c r="I229" s="13" t="s">
        <v>30</v>
      </c>
      <c r="J229" s="27"/>
      <c r="K229" s="13"/>
    </row>
    <row r="230" spans="1:12" x14ac:dyDescent="0.25">
      <c r="A230" s="27" t="s">
        <v>431</v>
      </c>
      <c r="B230" s="26">
        <v>0</v>
      </c>
      <c r="C230" s="13">
        <v>28</v>
      </c>
      <c r="D230" s="580">
        <v>0</v>
      </c>
      <c r="E230" s="126">
        <f t="shared" si="60"/>
        <v>0</v>
      </c>
      <c r="F230" s="140">
        <f t="array" ref="F230">IF(D230=0,0,IF(D230=1,C230*$F$2,C230*$F$2*2))</f>
        <v>0</v>
      </c>
      <c r="G230" s="140">
        <f t="array" ref="G230">IF(D230&gt;2,C230*(D230-2)*$G$2,0)</f>
        <v>0</v>
      </c>
      <c r="H230" s="94">
        <f t="shared" si="61"/>
        <v>0</v>
      </c>
      <c r="I230" s="13" t="s">
        <v>30</v>
      </c>
      <c r="J230" s="27"/>
      <c r="K230" s="13"/>
    </row>
    <row r="231" spans="1:12" x14ac:dyDescent="0.25">
      <c r="A231" s="27" t="s">
        <v>432</v>
      </c>
      <c r="B231" s="26">
        <v>0</v>
      </c>
      <c r="C231" s="13">
        <v>28</v>
      </c>
      <c r="D231" s="580">
        <v>0</v>
      </c>
      <c r="E231" s="126">
        <f t="shared" si="60"/>
        <v>0</v>
      </c>
      <c r="F231" s="140">
        <f t="array" ref="F231">IF(D231=0,0,IF(D231=1,C231*$F$2,C231*$F$2*2))</f>
        <v>0</v>
      </c>
      <c r="G231" s="140">
        <f t="array" ref="G231">IF(D231&gt;2,C231*(D231-2)*$G$2,0)</f>
        <v>0</v>
      </c>
      <c r="H231" s="94">
        <f t="shared" si="61"/>
        <v>0</v>
      </c>
      <c r="I231" s="13" t="s">
        <v>30</v>
      </c>
      <c r="J231" s="27"/>
      <c r="K231" s="13"/>
    </row>
    <row r="232" spans="1:12" x14ac:dyDescent="0.25">
      <c r="A232" s="27" t="s">
        <v>846</v>
      </c>
      <c r="B232" s="26">
        <v>14</v>
      </c>
      <c r="C232" s="13">
        <v>14</v>
      </c>
      <c r="D232" s="580">
        <v>1</v>
      </c>
      <c r="E232" s="126">
        <f t="shared" si="60"/>
        <v>16.8</v>
      </c>
      <c r="F232" s="140">
        <f t="array" ref="F232">IF(D232=0,0,IF(D232=1,C232*$F$2,C232*$F$2*2))</f>
        <v>14</v>
      </c>
      <c r="G232" s="140">
        <f t="array" ref="G232">IF(D232&gt;2,C232*(D232-2)*$G$2,0)</f>
        <v>0</v>
      </c>
      <c r="H232" s="94">
        <f t="shared" si="61"/>
        <v>30.8</v>
      </c>
      <c r="I232" s="13" t="s">
        <v>30</v>
      </c>
      <c r="J232" s="27"/>
      <c r="K232" s="13"/>
    </row>
    <row r="233" spans="1:12" x14ac:dyDescent="0.25">
      <c r="A233" s="131" t="s">
        <v>847</v>
      </c>
      <c r="B233" s="26">
        <v>0</v>
      </c>
      <c r="C233" s="13">
        <v>14</v>
      </c>
      <c r="D233" s="580">
        <v>0</v>
      </c>
      <c r="E233" s="126">
        <f t="shared" si="60"/>
        <v>0</v>
      </c>
      <c r="F233" s="140">
        <f t="array" ref="F233">IF(D233=0,0,IF(D233=1,C233*$F$2,C233*$F$2*2))</f>
        <v>0</v>
      </c>
      <c r="G233" s="140">
        <f t="array" ref="G233">IF(D233&gt;2,C233*(D233-2)*$G$2,0)</f>
        <v>0</v>
      </c>
      <c r="H233" s="94">
        <f t="shared" si="61"/>
        <v>0</v>
      </c>
      <c r="I233" s="13" t="s">
        <v>30</v>
      </c>
      <c r="J233" s="27"/>
      <c r="K233" s="13"/>
    </row>
    <row r="234" spans="1:12" x14ac:dyDescent="0.25">
      <c r="A234" s="131" t="s">
        <v>848</v>
      </c>
      <c r="B234" s="26">
        <v>28</v>
      </c>
      <c r="C234" s="13">
        <v>28</v>
      </c>
      <c r="D234" s="580">
        <v>1</v>
      </c>
      <c r="E234" s="126">
        <f t="shared" si="60"/>
        <v>33.6</v>
      </c>
      <c r="F234" s="140">
        <f t="array" ref="F234">IF(D234=0,0,IF(D234=1,C234*$F$2,C234*$F$2*2))</f>
        <v>28</v>
      </c>
      <c r="G234" s="140">
        <f t="array" ref="G234">IF(D234&gt;2,C234*(D234-2)*$G$2,0)</f>
        <v>0</v>
      </c>
      <c r="H234" s="94">
        <f t="shared" si="61"/>
        <v>61.6</v>
      </c>
      <c r="I234" s="13" t="s">
        <v>30</v>
      </c>
      <c r="J234" s="27"/>
      <c r="K234" s="13"/>
    </row>
    <row r="235" spans="1:12" x14ac:dyDescent="0.25">
      <c r="A235" s="27" t="s">
        <v>849</v>
      </c>
      <c r="B235" s="26">
        <v>0</v>
      </c>
      <c r="C235" s="13">
        <v>28</v>
      </c>
      <c r="D235" s="580">
        <v>0</v>
      </c>
      <c r="E235" s="126">
        <f t="shared" si="60"/>
        <v>0</v>
      </c>
      <c r="F235" s="140">
        <f t="array" ref="F235">IF(D235=0,0,IF(D235=1,C235*$F$2,C235*$F$2*2))</f>
        <v>0</v>
      </c>
      <c r="G235" s="140">
        <f t="array" ref="G235">IF(D235&gt;2,C235*(D235-2)*$G$2,0)</f>
        <v>0</v>
      </c>
      <c r="H235" s="94">
        <f t="shared" si="61"/>
        <v>0</v>
      </c>
      <c r="I235" s="13" t="s">
        <v>30</v>
      </c>
      <c r="J235" s="27"/>
      <c r="K235" s="13"/>
    </row>
    <row r="236" spans="1:12" x14ac:dyDescent="0.25">
      <c r="A236" s="27" t="s">
        <v>850</v>
      </c>
      <c r="B236" s="26">
        <v>0</v>
      </c>
      <c r="C236" s="13">
        <v>28</v>
      </c>
      <c r="D236" s="580">
        <v>2</v>
      </c>
      <c r="E236" s="126">
        <f t="shared" si="60"/>
        <v>0</v>
      </c>
      <c r="F236" s="140">
        <f t="array" ref="F236">IF(D236=0,0,IF(D236=1,C236*$F$2,C236*$F$2*2))</f>
        <v>56</v>
      </c>
      <c r="G236" s="140">
        <f t="array" ref="G236">IF(D236&gt;2,C236*(D236-2)*$G$2,0)</f>
        <v>0</v>
      </c>
      <c r="H236" s="94">
        <f t="shared" si="61"/>
        <v>56</v>
      </c>
      <c r="I236" s="13" t="s">
        <v>30</v>
      </c>
      <c r="J236" s="27"/>
      <c r="K236" s="13"/>
    </row>
    <row r="237" spans="1:12" x14ac:dyDescent="0.25">
      <c r="A237" s="27" t="s">
        <v>851</v>
      </c>
      <c r="B237" s="26">
        <v>28</v>
      </c>
      <c r="C237" s="13">
        <v>28</v>
      </c>
      <c r="D237" s="580">
        <v>2</v>
      </c>
      <c r="E237" s="126">
        <f t="shared" si="60"/>
        <v>33.6</v>
      </c>
      <c r="F237" s="140">
        <f t="array" ref="F237">IF(D237=0,0,IF(D237=1,C237*$F$2,C237*$F$2*2))</f>
        <v>56</v>
      </c>
      <c r="G237" s="140">
        <f t="array" ref="G237">IF(D237&gt;2,C237*(D237-2)*$G$2,0)</f>
        <v>0</v>
      </c>
      <c r="H237" s="94">
        <f t="shared" si="61"/>
        <v>89.6</v>
      </c>
      <c r="I237" s="13" t="s">
        <v>30</v>
      </c>
      <c r="J237" s="27"/>
      <c r="K237" s="13"/>
    </row>
    <row r="238" spans="1:12" s="27" customFormat="1" x14ac:dyDescent="0.25">
      <c r="A238" s="27" t="s">
        <v>852</v>
      </c>
      <c r="B238" s="26">
        <v>8</v>
      </c>
      <c r="C238" s="13">
        <v>12</v>
      </c>
      <c r="D238" s="580">
        <v>1</v>
      </c>
      <c r="E238" s="126">
        <f>B238*$E$2</f>
        <v>9.6</v>
      </c>
      <c r="F238" s="140">
        <f t="array" ref="F238">IF(D238=0,0,IF(D238=1,C238*$F$2,C238*$F$2*2))</f>
        <v>12</v>
      </c>
      <c r="G238" s="140">
        <f t="array" ref="G238">IF(D238&gt;2,C238*(D238-2)*$G$2,0)</f>
        <v>0</v>
      </c>
      <c r="H238" s="94">
        <f>SUM(E238:G238)</f>
        <v>21.6</v>
      </c>
      <c r="I238" s="13" t="s">
        <v>30</v>
      </c>
      <c r="K238" s="13"/>
    </row>
    <row r="239" spans="1:12" s="27" customFormat="1" x14ac:dyDescent="0.25">
      <c r="A239" s="27" t="s">
        <v>433</v>
      </c>
      <c r="B239" s="26">
        <v>0</v>
      </c>
      <c r="C239" s="13">
        <v>12</v>
      </c>
      <c r="D239" s="580">
        <v>0</v>
      </c>
      <c r="E239" s="126">
        <f t="shared" ref="E239:E240" si="62">B239*$E$2</f>
        <v>0</v>
      </c>
      <c r="F239" s="140">
        <f t="array" ref="F239">IF(D239=0,0,IF(D239=1,C239*$F$2,C239*$F$2*2))</f>
        <v>0</v>
      </c>
      <c r="G239" s="140">
        <f t="array" ref="G239">IF(D239&gt;2,C239*(D239-2)*$G$2,0)</f>
        <v>0</v>
      </c>
      <c r="H239" s="94">
        <f t="shared" ref="H239:H240" si="63">SUM(E239:G239)</f>
        <v>0</v>
      </c>
      <c r="I239" s="13" t="s">
        <v>30</v>
      </c>
      <c r="K239" s="13"/>
    </row>
    <row r="240" spans="1:12" s="27" customFormat="1" x14ac:dyDescent="0.25">
      <c r="A240" s="27" t="s">
        <v>434</v>
      </c>
      <c r="B240" s="26">
        <v>0</v>
      </c>
      <c r="C240" s="13">
        <v>2</v>
      </c>
      <c r="D240" s="580">
        <v>0</v>
      </c>
      <c r="E240" s="126">
        <f t="shared" si="62"/>
        <v>0</v>
      </c>
      <c r="F240" s="140">
        <f t="array" ref="F240">IF(D240=0,0,IF(D240=1,C240*$F$2,C240*$F$2*2))</f>
        <v>0</v>
      </c>
      <c r="G240" s="140">
        <f t="array" ref="G240">IF(D240&gt;2,C240*(D240-2)*$G$2,0)</f>
        <v>0</v>
      </c>
      <c r="H240" s="94">
        <f t="shared" si="63"/>
        <v>0</v>
      </c>
      <c r="I240" s="13" t="s">
        <v>30</v>
      </c>
      <c r="K240" s="13"/>
    </row>
    <row r="241" spans="1:11" s="27" customFormat="1" x14ac:dyDescent="0.25">
      <c r="A241" s="27" t="s">
        <v>853</v>
      </c>
      <c r="B241" s="26">
        <v>8</v>
      </c>
      <c r="C241" s="13">
        <v>0</v>
      </c>
      <c r="D241" s="580">
        <v>1</v>
      </c>
      <c r="E241" s="126">
        <f>B241*$E$2</f>
        <v>9.6</v>
      </c>
      <c r="F241" s="140">
        <f t="array" ref="F241">IF(D241=0,0,IF(D241=1,C241*$F$2,C241*$F$2*2))</f>
        <v>0</v>
      </c>
      <c r="G241" s="140">
        <f t="array" ref="G241">IF(D241&gt;2,C241*(D241-2)*$G$2,0)</f>
        <v>0</v>
      </c>
      <c r="H241" s="94">
        <f>SUM(E241:G241)</f>
        <v>9.6</v>
      </c>
      <c r="I241" s="13" t="s">
        <v>30</v>
      </c>
      <c r="K241" s="13"/>
    </row>
    <row r="242" spans="1:11" s="27" customFormat="1" ht="16.5" thickBot="1" x14ac:dyDescent="0.3">
      <c r="A242" s="131" t="s">
        <v>854</v>
      </c>
      <c r="B242" s="26">
        <v>8</v>
      </c>
      <c r="C242" s="13">
        <v>12</v>
      </c>
      <c r="D242" s="580">
        <v>1</v>
      </c>
      <c r="E242" s="126">
        <f>B242*$E$2</f>
        <v>9.6</v>
      </c>
      <c r="F242" s="140">
        <f t="array" ref="F242">IF(D242=0,0,IF(D242=1,C242*$F$2,C242*$F$2*2))</f>
        <v>12</v>
      </c>
      <c r="G242" s="140">
        <f t="array" ref="G242">IF(D242&gt;2,C242*(D242-2)*$G$2,0)</f>
        <v>0</v>
      </c>
      <c r="H242" s="94">
        <f>SUM(E242:G242)</f>
        <v>21.6</v>
      </c>
      <c r="I242" s="13" t="s">
        <v>30</v>
      </c>
      <c r="K242" s="13"/>
    </row>
    <row r="243" spans="1:11" ht="16.5" thickBot="1" x14ac:dyDescent="0.3">
      <c r="A243" s="19" t="s">
        <v>19</v>
      </c>
      <c r="B243" s="26"/>
      <c r="C243" s="13"/>
      <c r="D243" s="26"/>
      <c r="E243" s="126"/>
      <c r="H243" s="141">
        <f>SUM(H217:H242)</f>
        <v>1073.5999999999999</v>
      </c>
      <c r="I243" s="13"/>
      <c r="J243" s="27"/>
      <c r="K243" s="13"/>
    </row>
    <row r="244" spans="1:11" x14ac:dyDescent="0.25">
      <c r="A244" s="27" t="s">
        <v>855</v>
      </c>
      <c r="B244" s="26">
        <v>28</v>
      </c>
      <c r="C244" s="13">
        <v>56</v>
      </c>
      <c r="D244" s="580">
        <v>2</v>
      </c>
      <c r="E244" s="126">
        <f>B244*$E$2</f>
        <v>33.6</v>
      </c>
      <c r="F244" s="140">
        <f t="array" ref="F244">IF(D244=0,0,IF(D244=1,C244*$F$2,C244*$F$2*2))</f>
        <v>112</v>
      </c>
      <c r="G244" s="140">
        <f t="array" ref="G244">IF(D244&gt;2,C244*(D244-2)*$G$2,0)</f>
        <v>0</v>
      </c>
      <c r="H244" s="129">
        <f>SUM(E244:G244)</f>
        <v>145.6</v>
      </c>
      <c r="I244" s="13" t="s">
        <v>30</v>
      </c>
      <c r="J244" s="27"/>
      <c r="K244" s="13"/>
    </row>
    <row r="245" spans="1:11" x14ac:dyDescent="0.25">
      <c r="A245" s="27" t="s">
        <v>856</v>
      </c>
      <c r="B245" s="26">
        <v>0</v>
      </c>
      <c r="C245" s="13">
        <v>28</v>
      </c>
      <c r="D245" s="580">
        <v>1</v>
      </c>
      <c r="E245" s="126">
        <f>B245*$E$2</f>
        <v>0</v>
      </c>
      <c r="F245" s="140">
        <f t="array" ref="F245">IF(D245=0,0,IF(D245=1,C245*$F$2,C245*$F$2*2))</f>
        <v>28</v>
      </c>
      <c r="G245" s="140">
        <f t="array" ref="G245">IF(D245&gt;2,C245*(D245-2)*$G$2,0)</f>
        <v>0</v>
      </c>
      <c r="H245" s="94">
        <f>SUM(E245:G245)</f>
        <v>28</v>
      </c>
      <c r="I245" s="13" t="s">
        <v>30</v>
      </c>
      <c r="J245" s="27"/>
      <c r="K245" s="13"/>
    </row>
    <row r="246" spans="1:11" x14ac:dyDescent="0.25">
      <c r="A246" s="27" t="s">
        <v>857</v>
      </c>
      <c r="B246" s="26">
        <v>28</v>
      </c>
      <c r="C246" s="13">
        <v>28</v>
      </c>
      <c r="D246" s="580">
        <v>1</v>
      </c>
      <c r="E246" s="126">
        <f t="shared" ref="E246:E252" si="64">B246*$E$2</f>
        <v>33.6</v>
      </c>
      <c r="F246" s="140">
        <f t="array" ref="F246">IF(D246=0,0,IF(D246=1,C246*$F$2,C246*$F$2*2))</f>
        <v>28</v>
      </c>
      <c r="G246" s="140">
        <f t="array" ref="G246">IF(D246&gt;2,C246*(D246-2)*$G$2,0)</f>
        <v>0</v>
      </c>
      <c r="H246" s="129">
        <f t="shared" ref="H246:H252" si="65">SUM(E246:G246)</f>
        <v>61.6</v>
      </c>
      <c r="I246" s="13" t="s">
        <v>30</v>
      </c>
      <c r="J246" s="27"/>
      <c r="K246" s="13"/>
    </row>
    <row r="247" spans="1:11" x14ac:dyDescent="0.25">
      <c r="A247" s="27" t="s">
        <v>858</v>
      </c>
      <c r="B247" s="26">
        <v>28</v>
      </c>
      <c r="C247" s="13">
        <v>28</v>
      </c>
      <c r="D247" s="580">
        <v>4</v>
      </c>
      <c r="E247" s="126">
        <f t="shared" si="64"/>
        <v>33.6</v>
      </c>
      <c r="F247" s="140">
        <f t="array" ref="F247">IF(D247=0,0,IF(D247=1,C247*$F$2,C247*$F$2*2))</f>
        <v>56</v>
      </c>
      <c r="G247" s="140">
        <f t="array" ref="G247">IF(D247&gt;2,C247*(D247-2)*$G$2,0)</f>
        <v>44.800000000000004</v>
      </c>
      <c r="H247" s="129">
        <f t="shared" si="65"/>
        <v>134.4</v>
      </c>
      <c r="I247" s="13" t="s">
        <v>30</v>
      </c>
      <c r="J247" s="27"/>
      <c r="K247" s="13"/>
    </row>
    <row r="248" spans="1:11" x14ac:dyDescent="0.25">
      <c r="A248" s="27" t="s">
        <v>728</v>
      </c>
      <c r="B248" s="26">
        <v>0</v>
      </c>
      <c r="C248" s="13">
        <v>24</v>
      </c>
      <c r="D248" s="580">
        <v>1</v>
      </c>
      <c r="E248" s="126">
        <f t="shared" si="64"/>
        <v>0</v>
      </c>
      <c r="F248" s="140">
        <f t="array" ref="F248">IF(D248=0,0,IF(D248=1,C248*$F$2,C248*$F$2*2))</f>
        <v>24</v>
      </c>
      <c r="G248" s="140">
        <f t="array" ref="G248">IF(D248&gt;2,C248*(D248-2)*$G$2,0)</f>
        <v>0</v>
      </c>
      <c r="H248" s="129">
        <f t="shared" si="65"/>
        <v>24</v>
      </c>
      <c r="I248" s="13" t="s">
        <v>30</v>
      </c>
      <c r="J248" s="27" t="s">
        <v>859</v>
      </c>
      <c r="K248" s="13"/>
    </row>
    <row r="249" spans="1:11" x14ac:dyDescent="0.25">
      <c r="A249" s="27" t="s">
        <v>860</v>
      </c>
      <c r="B249" s="26">
        <v>42</v>
      </c>
      <c r="C249" s="13">
        <v>42</v>
      </c>
      <c r="D249" s="580">
        <v>2</v>
      </c>
      <c r="E249" s="126">
        <f t="shared" si="64"/>
        <v>50.4</v>
      </c>
      <c r="F249" s="140">
        <f t="array" ref="F249">IF(D249=0,0,IF(D249=1,C249*$F$2,C249*$F$2*2))</f>
        <v>84</v>
      </c>
      <c r="G249" s="140">
        <f t="array" ref="G249">IF(D249&gt;2,C249*(D249-2)*$G$2,0)</f>
        <v>0</v>
      </c>
      <c r="H249" s="94">
        <f t="shared" si="65"/>
        <v>134.4</v>
      </c>
      <c r="I249" s="13" t="s">
        <v>30</v>
      </c>
      <c r="J249" s="27"/>
      <c r="K249" s="13"/>
    </row>
    <row r="250" spans="1:11" x14ac:dyDescent="0.25">
      <c r="A250" s="27" t="s">
        <v>861</v>
      </c>
      <c r="B250" s="26">
        <v>0</v>
      </c>
      <c r="C250" s="13">
        <v>28</v>
      </c>
      <c r="D250" s="580">
        <v>1</v>
      </c>
      <c r="E250" s="126">
        <f t="shared" si="64"/>
        <v>0</v>
      </c>
      <c r="F250" s="140">
        <f t="array" ref="F250">IF(D250=0,0,IF(D250=1,C250*$F$2,C250*$F$2*2))</f>
        <v>28</v>
      </c>
      <c r="G250" s="140">
        <f t="array" ref="G250">IF(D250&gt;2,C250*(D250-2)*$G$2,0)</f>
        <v>0</v>
      </c>
      <c r="H250" s="94">
        <f t="shared" si="65"/>
        <v>28</v>
      </c>
      <c r="I250" s="13" t="s">
        <v>30</v>
      </c>
      <c r="J250" s="27"/>
      <c r="K250" s="13"/>
    </row>
    <row r="251" spans="1:11" x14ac:dyDescent="0.25">
      <c r="A251" s="131" t="s">
        <v>862</v>
      </c>
      <c r="B251" s="26">
        <v>28</v>
      </c>
      <c r="C251" s="13">
        <v>28</v>
      </c>
      <c r="D251" s="580">
        <v>1</v>
      </c>
      <c r="E251" s="126">
        <f t="shared" si="64"/>
        <v>33.6</v>
      </c>
      <c r="F251" s="140">
        <f t="array" ref="F251">IF(D251=0,0,IF(D251=1,C251*$F$2,C251*$F$2*2))</f>
        <v>28</v>
      </c>
      <c r="G251" s="140">
        <f t="array" ref="G251">IF(D251&gt;2,C251*(D251-2)*$G$2,0)</f>
        <v>0</v>
      </c>
      <c r="H251" s="129">
        <f t="shared" si="65"/>
        <v>61.6</v>
      </c>
      <c r="I251" s="13" t="s">
        <v>30</v>
      </c>
      <c r="J251" s="27"/>
      <c r="K251" s="13"/>
    </row>
    <row r="252" spans="1:11" x14ac:dyDescent="0.25">
      <c r="A252" s="131" t="s">
        <v>863</v>
      </c>
      <c r="B252" s="26">
        <v>28</v>
      </c>
      <c r="C252" s="13">
        <v>28</v>
      </c>
      <c r="D252" s="580">
        <v>2</v>
      </c>
      <c r="E252" s="126">
        <f t="shared" si="64"/>
        <v>33.6</v>
      </c>
      <c r="F252" s="140">
        <f t="array" ref="F252">IF(D252=0,0,IF(D252=1,C252*$F$2,C252*$F$2*2))</f>
        <v>56</v>
      </c>
      <c r="G252" s="140">
        <f t="array" ref="G252">IF(D252&gt;2,C252*(D252-2)*$G$2,0)</f>
        <v>0</v>
      </c>
      <c r="H252" s="129">
        <f t="shared" si="65"/>
        <v>89.6</v>
      </c>
      <c r="I252" s="13" t="s">
        <v>30</v>
      </c>
      <c r="J252" s="27"/>
      <c r="K252" s="13"/>
    </row>
    <row r="253" spans="1:11" s="19" customFormat="1" x14ac:dyDescent="0.25">
      <c r="A253" s="131" t="s">
        <v>864</v>
      </c>
      <c r="B253" s="26">
        <v>28</v>
      </c>
      <c r="C253" s="13">
        <v>28</v>
      </c>
      <c r="D253" s="580">
        <v>2</v>
      </c>
      <c r="E253" s="126">
        <f>B253*$E$2</f>
        <v>33.6</v>
      </c>
      <c r="F253" s="140">
        <f t="array" ref="F253">IF(D253=0,0,IF(D253=1,C253*$F$2,C253*$F$2*2))</f>
        <v>56</v>
      </c>
      <c r="G253" s="140">
        <f t="array" ref="G253">IF(D253&gt;2,C253*(D253-2)*$G$2,0)</f>
        <v>0</v>
      </c>
      <c r="H253" s="129">
        <f>SUM(E253:G253)</f>
        <v>89.6</v>
      </c>
      <c r="I253" s="13" t="s">
        <v>30</v>
      </c>
      <c r="J253" s="27"/>
      <c r="K253" s="13"/>
    </row>
    <row r="254" spans="1:11" x14ac:dyDescent="0.25">
      <c r="A254" s="131" t="s">
        <v>865</v>
      </c>
      <c r="B254" s="26">
        <v>28</v>
      </c>
      <c r="C254" s="13">
        <v>28</v>
      </c>
      <c r="D254" s="580">
        <v>2</v>
      </c>
      <c r="E254" s="126">
        <f>B254*$E$2</f>
        <v>33.6</v>
      </c>
      <c r="F254" s="140">
        <f t="array" ref="F254">IF(D254=0,0,IF(D254=1,C254*$F$2,C254*$F$2*2))</f>
        <v>56</v>
      </c>
      <c r="G254" s="140">
        <f t="array" ref="G254">IF(D254&gt;2,C254*(D254-2)*$G$2,0)</f>
        <v>0</v>
      </c>
      <c r="H254" s="94">
        <f>SUM(E254:G254)</f>
        <v>89.6</v>
      </c>
      <c r="I254" s="13" t="s">
        <v>30</v>
      </c>
      <c r="J254" s="27"/>
      <c r="K254" s="13"/>
    </row>
    <row r="255" spans="1:11" x14ac:dyDescent="0.25">
      <c r="A255" s="131" t="s">
        <v>866</v>
      </c>
      <c r="B255" s="26">
        <v>28</v>
      </c>
      <c r="C255" s="13">
        <v>28</v>
      </c>
      <c r="D255" s="580">
        <v>3</v>
      </c>
      <c r="E255" s="126">
        <f>B255*$E$2</f>
        <v>33.6</v>
      </c>
      <c r="F255" s="140">
        <f t="array" ref="F255">IF(D255=0,0,IF(D255=1,C255*$F$2,C255*$F$2*2))</f>
        <v>56</v>
      </c>
      <c r="G255" s="140">
        <f t="array" ref="G255">IF(D255&gt;2,C255*(D255-2)*$G$2,0)</f>
        <v>22.400000000000002</v>
      </c>
      <c r="H255" s="129">
        <f>SUM(E255:G255)</f>
        <v>112</v>
      </c>
      <c r="I255" s="13" t="s">
        <v>30</v>
      </c>
      <c r="J255" s="19"/>
      <c r="K255" s="13"/>
    </row>
    <row r="256" spans="1:11" x14ac:dyDescent="0.25">
      <c r="A256" s="131" t="s">
        <v>867</v>
      </c>
      <c r="B256" s="26">
        <v>28</v>
      </c>
      <c r="C256" s="13">
        <v>28</v>
      </c>
      <c r="D256" s="580">
        <v>1</v>
      </c>
      <c r="E256" s="126">
        <f>B256*$E$2</f>
        <v>33.6</v>
      </c>
      <c r="F256" s="140">
        <f t="array" ref="F256">IF(D256=0,0,IF(D256=1,C256*$F$2,C256*$F$2*2))</f>
        <v>28</v>
      </c>
      <c r="G256" s="140">
        <f t="array" ref="G256">IF(D256&gt;2,C256*(D256-2)*$G$2,0)</f>
        <v>0</v>
      </c>
      <c r="H256" s="129">
        <f t="shared" ref="H256:H264" si="66">SUM(E256:G256)</f>
        <v>61.6</v>
      </c>
      <c r="I256" s="13" t="s">
        <v>30</v>
      </c>
      <c r="J256" s="19"/>
      <c r="K256" s="13"/>
    </row>
    <row r="257" spans="1:11" s="27" customFormat="1" x14ac:dyDescent="0.25">
      <c r="A257" s="131" t="s">
        <v>868</v>
      </c>
      <c r="B257" s="26">
        <v>28</v>
      </c>
      <c r="C257" s="13">
        <v>14</v>
      </c>
      <c r="D257" s="580">
        <v>1</v>
      </c>
      <c r="E257" s="126">
        <f>B257*$E$2</f>
        <v>33.6</v>
      </c>
      <c r="F257" s="140">
        <f t="array" ref="F257">IF(D257=0,0,IF(D257=1,C257*$F$2,C257*$F$2*2))</f>
        <v>14</v>
      </c>
      <c r="G257" s="140">
        <f t="array" ref="G257">IF(D257&gt;2,C257*(D257-2)*$G$2,0)</f>
        <v>0</v>
      </c>
      <c r="H257" s="94">
        <f t="shared" si="66"/>
        <v>47.6</v>
      </c>
      <c r="I257" s="13" t="s">
        <v>30</v>
      </c>
      <c r="K257" s="13"/>
    </row>
    <row r="258" spans="1:11" s="27" customFormat="1" x14ac:dyDescent="0.25">
      <c r="A258" s="131" t="s">
        <v>869</v>
      </c>
      <c r="B258" s="26">
        <v>14</v>
      </c>
      <c r="C258" s="13">
        <v>14</v>
      </c>
      <c r="D258" s="580">
        <v>1</v>
      </c>
      <c r="E258" s="126">
        <f>B258*$E$3</f>
        <v>16.8</v>
      </c>
      <c r="F258" s="140">
        <f t="array" ref="F258">IF(D258=0,0,IF(D258=1,C258*$F$2,C258*$F$2*2))</f>
        <v>14</v>
      </c>
      <c r="G258" s="140">
        <f t="array" ref="G258">IF(D258&gt;2,C258*(D258-2)*$G$2,0)</f>
        <v>0</v>
      </c>
      <c r="H258" s="94">
        <f t="shared" si="66"/>
        <v>30.8</v>
      </c>
      <c r="I258" s="13" t="s">
        <v>30</v>
      </c>
      <c r="K258" s="13"/>
    </row>
    <row r="259" spans="1:11" x14ac:dyDescent="0.25">
      <c r="A259" s="131" t="s">
        <v>870</v>
      </c>
      <c r="B259" s="26">
        <v>28</v>
      </c>
      <c r="C259" s="13">
        <v>28</v>
      </c>
      <c r="D259" s="580">
        <v>1</v>
      </c>
      <c r="E259" s="126">
        <f>B259*$E$2</f>
        <v>33.6</v>
      </c>
      <c r="F259" s="140">
        <f t="array" ref="F259">IF(D259=0,0,IF(D259=1,C259*$F$2,C259*$F$2*2))</f>
        <v>28</v>
      </c>
      <c r="G259" s="140">
        <f t="array" ref="G259">IF(D259&gt;2,C259*(D259-2)*$G$2,0)</f>
        <v>0</v>
      </c>
      <c r="H259" s="94">
        <f t="shared" si="66"/>
        <v>61.6</v>
      </c>
      <c r="I259" s="13" t="s">
        <v>30</v>
      </c>
      <c r="J259" s="27"/>
      <c r="K259" s="13"/>
    </row>
    <row r="260" spans="1:11" x14ac:dyDescent="0.25">
      <c r="A260" s="131" t="s">
        <v>871</v>
      </c>
      <c r="B260" s="26">
        <v>28</v>
      </c>
      <c r="C260" s="13">
        <v>28</v>
      </c>
      <c r="D260" s="580">
        <v>1</v>
      </c>
      <c r="E260" s="126">
        <f>B260*$E$3</f>
        <v>33.6</v>
      </c>
      <c r="F260" s="140">
        <f t="array" ref="F260">IF(D260=0,0,IF(D260=1,C260*$F$2,C260*$F$2*2))</f>
        <v>28</v>
      </c>
      <c r="G260" s="140">
        <f t="array" ref="G260">IF(D260&gt;2,C260*(D260-2)*$G$2,0)</f>
        <v>0</v>
      </c>
      <c r="H260" s="94">
        <f t="shared" si="66"/>
        <v>61.6</v>
      </c>
      <c r="I260" s="13" t="s">
        <v>30</v>
      </c>
      <c r="J260" s="27"/>
      <c r="K260" s="13"/>
    </row>
    <row r="261" spans="1:11" s="27" customFormat="1" x14ac:dyDescent="0.25">
      <c r="A261" s="131" t="s">
        <v>872</v>
      </c>
      <c r="B261" s="26">
        <v>14</v>
      </c>
      <c r="C261" s="13">
        <v>28</v>
      </c>
      <c r="D261" s="580">
        <v>1</v>
      </c>
      <c r="E261" s="126">
        <f>B261*$E$2</f>
        <v>16.8</v>
      </c>
      <c r="F261" s="140">
        <f t="array" ref="F261">IF(D261=0,0,IF(D261=1,C261*$F$2,C261*$F$2*2))</f>
        <v>28</v>
      </c>
      <c r="G261" s="140">
        <f t="array" ref="G261">IF(D261&gt;2,C261*(D261-2)*$G$2,0)</f>
        <v>0</v>
      </c>
      <c r="H261" s="94">
        <f t="shared" si="66"/>
        <v>44.8</v>
      </c>
      <c r="I261" s="13" t="s">
        <v>30</v>
      </c>
      <c r="K261" s="13"/>
    </row>
    <row r="262" spans="1:11" s="27" customFormat="1" x14ac:dyDescent="0.25">
      <c r="A262" s="27" t="s">
        <v>873</v>
      </c>
      <c r="B262" s="26">
        <v>10</v>
      </c>
      <c r="C262" s="13">
        <v>6</v>
      </c>
      <c r="D262" s="580">
        <v>1</v>
      </c>
      <c r="E262" s="126">
        <f>B262*$E$3</f>
        <v>12</v>
      </c>
      <c r="F262" s="140">
        <f t="array" ref="F262">IF(D262=0,0,IF(D262=1,C262*$F$2,C262*$F$2*2))</f>
        <v>6</v>
      </c>
      <c r="G262" s="140">
        <f t="array" ref="G262">IF(D262&gt;2,C262*(D262-2)*$G$2,0)</f>
        <v>0</v>
      </c>
      <c r="H262" s="94">
        <f t="shared" si="66"/>
        <v>18</v>
      </c>
      <c r="I262" s="13" t="s">
        <v>30</v>
      </c>
      <c r="K262" s="13"/>
    </row>
    <row r="263" spans="1:11" s="27" customFormat="1" x14ac:dyDescent="0.25">
      <c r="A263" s="27" t="s">
        <v>874</v>
      </c>
      <c r="B263" s="26">
        <v>16</v>
      </c>
      <c r="C263" s="13">
        <v>0</v>
      </c>
      <c r="D263" s="580">
        <v>1</v>
      </c>
      <c r="E263" s="126">
        <f>B263*$E$2</f>
        <v>19.2</v>
      </c>
      <c r="F263" s="140">
        <f t="array" ref="F263">IF(D263=0,0,IF(D263=1,C263*$F$2,C263*$F$2*2))</f>
        <v>0</v>
      </c>
      <c r="G263" s="140">
        <f t="array" ref="G263">IF(D263&gt;2,C263*(D263-2)*$G$2,0)</f>
        <v>0</v>
      </c>
      <c r="H263" s="94">
        <f t="shared" si="66"/>
        <v>19.2</v>
      </c>
      <c r="I263" s="13" t="s">
        <v>30</v>
      </c>
      <c r="K263" s="13"/>
    </row>
    <row r="264" spans="1:11" s="27" customFormat="1" ht="16.5" thickBot="1" x14ac:dyDescent="0.3">
      <c r="A264" s="131" t="s">
        <v>875</v>
      </c>
      <c r="B264" s="26">
        <v>8</v>
      </c>
      <c r="C264" s="13">
        <v>7</v>
      </c>
      <c r="D264" s="580">
        <v>1</v>
      </c>
      <c r="E264" s="126">
        <f>B264*$E$2</f>
        <v>9.6</v>
      </c>
      <c r="F264" s="140">
        <f t="array" ref="F264">IF(D264=0,0,IF(D264=1,C264*$F$2,C264*$F$2*2))</f>
        <v>7</v>
      </c>
      <c r="G264" s="140">
        <f t="array" ref="G264">IF(D264&gt;2,C264*(D264-2)*$G$2,0)</f>
        <v>0</v>
      </c>
      <c r="H264" s="129">
        <f t="shared" si="66"/>
        <v>16.600000000000001</v>
      </c>
      <c r="I264" s="13" t="s">
        <v>30</v>
      </c>
      <c r="K264" s="13"/>
    </row>
    <row r="265" spans="1:11" ht="16.5" thickBot="1" x14ac:dyDescent="0.3">
      <c r="A265" s="19" t="s">
        <v>20</v>
      </c>
      <c r="B265" s="89"/>
      <c r="C265" s="13"/>
      <c r="D265" s="26"/>
      <c r="E265" s="126"/>
      <c r="H265" s="141">
        <f>SUM(H244:H264)</f>
        <v>1360.1999999999996</v>
      </c>
      <c r="I265" s="13"/>
      <c r="J265" s="27"/>
      <c r="K265" s="13"/>
    </row>
    <row r="266" spans="1:11" x14ac:dyDescent="0.25">
      <c r="A266" s="27" t="s">
        <v>364</v>
      </c>
      <c r="B266" s="26">
        <v>28</v>
      </c>
      <c r="C266" s="13">
        <v>28</v>
      </c>
      <c r="D266" s="580">
        <v>1</v>
      </c>
      <c r="E266" s="126">
        <f>B266*$E$2</f>
        <v>33.6</v>
      </c>
      <c r="F266" s="140">
        <f t="array" ref="F266">IF(D266=0,0,IF(D266=1,C266*$F$2,C266*$F$2*2))</f>
        <v>28</v>
      </c>
      <c r="G266" s="140">
        <f t="array" ref="G266">IF(D266&gt;2,C266*(D266-2)*$G$2,0)</f>
        <v>0</v>
      </c>
      <c r="H266" s="129">
        <f>SUM(E266:G266)</f>
        <v>61.6</v>
      </c>
      <c r="I266" s="13" t="s">
        <v>30</v>
      </c>
      <c r="J266" s="27"/>
      <c r="K266" s="13"/>
    </row>
    <row r="267" spans="1:11" x14ac:dyDescent="0.25">
      <c r="A267" s="27" t="s">
        <v>365</v>
      </c>
      <c r="B267" s="26">
        <v>28</v>
      </c>
      <c r="C267" s="13">
        <v>28</v>
      </c>
      <c r="D267" s="580">
        <v>1</v>
      </c>
      <c r="E267" s="126">
        <f>B267*$E$2</f>
        <v>33.6</v>
      </c>
      <c r="F267" s="140">
        <f t="array" ref="F267">IF(D267=0,0,IF(D267=1,C267*$F$2,C267*$F$2*2))</f>
        <v>28</v>
      </c>
      <c r="G267" s="140">
        <f t="array" ref="G267">IF(D267&gt;2,C267*(D267-2)*$G$2,0)</f>
        <v>0</v>
      </c>
      <c r="H267" s="129">
        <f>SUM(E267:G267)</f>
        <v>61.6</v>
      </c>
      <c r="I267" s="13" t="s">
        <v>30</v>
      </c>
      <c r="J267" s="27"/>
      <c r="K267" s="13"/>
    </row>
    <row r="268" spans="1:11" x14ac:dyDescent="0.25">
      <c r="A268" s="27" t="s">
        <v>303</v>
      </c>
      <c r="B268" s="26">
        <v>0</v>
      </c>
      <c r="C268" s="13">
        <v>28</v>
      </c>
      <c r="D268" s="580">
        <v>0</v>
      </c>
      <c r="E268" s="126">
        <f>B268*$E$2</f>
        <v>0</v>
      </c>
      <c r="F268" s="140">
        <f t="array" ref="F268">IF(D268=0,0,IF(D268=1,C268*$F$2,C268*$F$2*2))</f>
        <v>0</v>
      </c>
      <c r="G268" s="140">
        <f t="array" ref="G268">IF(D268&gt;2,C268*(D268-2)*$G$2,0)</f>
        <v>0</v>
      </c>
      <c r="H268" s="129">
        <f>SUM(E268:G268)</f>
        <v>0</v>
      </c>
      <c r="I268" s="13" t="s">
        <v>30</v>
      </c>
      <c r="J268" s="27"/>
      <c r="K268" s="13"/>
    </row>
    <row r="269" spans="1:11" x14ac:dyDescent="0.25">
      <c r="A269" s="27" t="s">
        <v>876</v>
      </c>
      <c r="B269" s="26">
        <v>28</v>
      </c>
      <c r="C269" s="13">
        <v>28</v>
      </c>
      <c r="D269" s="580">
        <v>1</v>
      </c>
      <c r="E269" s="126">
        <f>B269*$E$2</f>
        <v>33.6</v>
      </c>
      <c r="F269" s="140">
        <f t="array" ref="F269">IF(D269=0,0,IF(D269=1,C269*$F$2,C269*$F$2*2))</f>
        <v>28</v>
      </c>
      <c r="G269" s="140">
        <f t="array" ref="G269">IF(D269&gt;2,C269*(D269-2)*$G$2,0)</f>
        <v>0</v>
      </c>
      <c r="H269" s="129">
        <f>SUM(E269:G269)</f>
        <v>61.6</v>
      </c>
      <c r="I269" s="13" t="s">
        <v>30</v>
      </c>
      <c r="J269" s="27"/>
      <c r="K269" s="13"/>
    </row>
    <row r="270" spans="1:11" x14ac:dyDescent="0.25">
      <c r="A270" s="27" t="s">
        <v>877</v>
      </c>
      <c r="B270" s="26">
        <v>28</v>
      </c>
      <c r="C270" s="13">
        <v>28</v>
      </c>
      <c r="D270" s="580">
        <v>1</v>
      </c>
      <c r="E270" s="126">
        <f>B270*$E$2</f>
        <v>33.6</v>
      </c>
      <c r="F270" s="140">
        <f t="array" ref="F270">IF(D270=0,0,IF(D270=1,C270*$F$2,C270*$F$2*2))</f>
        <v>28</v>
      </c>
      <c r="G270" s="140">
        <f t="array" ref="G270">IF(D270&gt;2,C270*(D270-2)*$G$2,0)</f>
        <v>0</v>
      </c>
      <c r="H270" s="129">
        <f>SUM(E270:G270)</f>
        <v>61.6</v>
      </c>
      <c r="I270" s="13" t="s">
        <v>30</v>
      </c>
      <c r="J270" s="27"/>
      <c r="K270" s="13"/>
    </row>
    <row r="271" spans="1:11" x14ac:dyDescent="0.25">
      <c r="A271" s="27" t="s">
        <v>878</v>
      </c>
      <c r="B271" s="26">
        <v>28</v>
      </c>
      <c r="C271" s="13">
        <v>28</v>
      </c>
      <c r="D271" s="580">
        <v>2</v>
      </c>
      <c r="E271" s="126">
        <f t="shared" ref="E271:E274" si="67">B271*$E$2</f>
        <v>33.6</v>
      </c>
      <c r="F271" s="140">
        <f t="array" ref="F271">IF(D271=0,0,IF(D271=1,C271*$F$2,C271*$F$2*2))</f>
        <v>56</v>
      </c>
      <c r="G271" s="140">
        <f t="array" ref="G271">IF(D271&gt;2,C271*(D271-2)*$G$2,0)</f>
        <v>0</v>
      </c>
      <c r="H271" s="129">
        <f t="shared" ref="H271:H277" si="68">SUM(E271:G271)</f>
        <v>89.6</v>
      </c>
      <c r="I271" s="13" t="s">
        <v>30</v>
      </c>
      <c r="J271" s="21"/>
      <c r="K271" s="13"/>
    </row>
    <row r="272" spans="1:11" x14ac:dyDescent="0.25">
      <c r="A272" s="27" t="s">
        <v>879</v>
      </c>
      <c r="B272" s="26">
        <v>28</v>
      </c>
      <c r="C272" s="13">
        <v>28</v>
      </c>
      <c r="D272" s="580">
        <v>2</v>
      </c>
      <c r="E272" s="126">
        <f t="shared" si="67"/>
        <v>33.6</v>
      </c>
      <c r="F272" s="140">
        <f t="array" ref="F272">IF(D272=0,0,IF(D272=1,C272*$F$2,C272*$F$2*2))</f>
        <v>56</v>
      </c>
      <c r="G272" s="140">
        <f t="array" ref="G272">IF(D272&gt;2,C272*(D272-2)*$G$2,0)</f>
        <v>0</v>
      </c>
      <c r="H272" s="129">
        <f t="shared" si="68"/>
        <v>89.6</v>
      </c>
      <c r="I272" s="13" t="s">
        <v>30</v>
      </c>
      <c r="J272" s="27"/>
      <c r="K272" s="13"/>
    </row>
    <row r="273" spans="1:11" x14ac:dyDescent="0.25">
      <c r="A273" s="27" t="s">
        <v>366</v>
      </c>
      <c r="B273" s="26">
        <v>28</v>
      </c>
      <c r="C273" s="13">
        <v>28</v>
      </c>
      <c r="D273" s="580">
        <v>1</v>
      </c>
      <c r="E273" s="126">
        <f t="shared" si="67"/>
        <v>33.6</v>
      </c>
      <c r="F273" s="140">
        <f t="array" ref="F273">IF(D273=0,0,IF(D273=1,C273*$F$2,C273*$F$2*2))</f>
        <v>28</v>
      </c>
      <c r="G273" s="140">
        <f t="array" ref="G273">IF(D273&gt;2,C273*(D273-2)*$G$2,0)</f>
        <v>0</v>
      </c>
      <c r="H273" s="94">
        <f t="shared" si="68"/>
        <v>61.6</v>
      </c>
      <c r="I273" s="13" t="s">
        <v>30</v>
      </c>
      <c r="J273" s="27"/>
      <c r="K273" s="13"/>
    </row>
    <row r="274" spans="1:11" x14ac:dyDescent="0.25">
      <c r="A274" s="27" t="s">
        <v>880</v>
      </c>
      <c r="B274" s="26">
        <v>28</v>
      </c>
      <c r="C274" s="13">
        <v>28</v>
      </c>
      <c r="D274" s="580">
        <v>1</v>
      </c>
      <c r="E274" s="126">
        <f t="shared" si="67"/>
        <v>33.6</v>
      </c>
      <c r="F274" s="140">
        <f t="array" ref="F274">IF(D274=0,0,IF(D274=1,C274*$F$2,C274*$F$2*2))</f>
        <v>28</v>
      </c>
      <c r="G274" s="140">
        <f t="array" ref="G274">IF(D274&gt;2,C274*(D274-2)*$G$2,0)</f>
        <v>0</v>
      </c>
      <c r="H274" s="129">
        <f t="shared" si="68"/>
        <v>61.6</v>
      </c>
      <c r="I274" s="13" t="s">
        <v>30</v>
      </c>
      <c r="J274" s="27"/>
      <c r="K274" s="13"/>
    </row>
    <row r="275" spans="1:11" x14ac:dyDescent="0.25">
      <c r="A275" s="27" t="s">
        <v>417</v>
      </c>
      <c r="B275" s="26">
        <v>28</v>
      </c>
      <c r="C275" s="13">
        <v>28</v>
      </c>
      <c r="D275" s="580">
        <v>1</v>
      </c>
      <c r="E275" s="126">
        <f>B275*$E$3</f>
        <v>33.6</v>
      </c>
      <c r="F275" s="140">
        <f t="array" ref="F275">IF(D275=0,0,IF(D275=1,C275*$F$2,C275*$F$2*2))</f>
        <v>28</v>
      </c>
      <c r="G275" s="140">
        <f t="array" ref="G275">IF(D275&gt;2,C275*(D275-2)*$G$2,0)</f>
        <v>0</v>
      </c>
      <c r="H275" s="129">
        <f t="shared" si="68"/>
        <v>61.6</v>
      </c>
      <c r="I275" s="13" t="s">
        <v>30</v>
      </c>
      <c r="J275" s="27" t="s">
        <v>881</v>
      </c>
      <c r="K275" s="13"/>
    </row>
    <row r="276" spans="1:11" x14ac:dyDescent="0.25">
      <c r="A276" s="131" t="s">
        <v>435</v>
      </c>
      <c r="B276" s="26">
        <v>20</v>
      </c>
      <c r="C276" s="13">
        <v>20</v>
      </c>
      <c r="D276" s="580">
        <v>1</v>
      </c>
      <c r="E276" s="126">
        <f t="shared" ref="E276:E277" si="69">B276*$E$2</f>
        <v>24</v>
      </c>
      <c r="F276" s="140">
        <f t="array" ref="F276">IF(D276=0,0,IF(D276=1,C276*$F$2,C276*$F$2*2))</f>
        <v>20</v>
      </c>
      <c r="G276" s="140">
        <f t="array" ref="G276">IF(D276&gt;2,C276*(D276-2)*$G$2,0)</f>
        <v>0</v>
      </c>
      <c r="H276" s="129">
        <f t="shared" si="68"/>
        <v>44</v>
      </c>
      <c r="I276" s="13" t="s">
        <v>30</v>
      </c>
      <c r="J276" s="27"/>
      <c r="K276" s="13"/>
    </row>
    <row r="277" spans="1:11" x14ac:dyDescent="0.25">
      <c r="A277" s="131" t="s">
        <v>882</v>
      </c>
      <c r="B277" s="26">
        <v>0</v>
      </c>
      <c r="C277" s="13">
        <v>20</v>
      </c>
      <c r="D277" s="580">
        <v>1</v>
      </c>
      <c r="E277" s="126">
        <f t="shared" si="69"/>
        <v>0</v>
      </c>
      <c r="F277" s="140">
        <f t="array" ref="F277">IF(D277=0,0,IF(D277=1,C277*$F$2,C277*$F$2*2))</f>
        <v>20</v>
      </c>
      <c r="G277" s="140">
        <f t="array" ref="G277">IF(D277&gt;2,C277*(D277-2)*$G$2,0)</f>
        <v>0</v>
      </c>
      <c r="H277" s="129">
        <f t="shared" si="68"/>
        <v>20</v>
      </c>
      <c r="I277" s="13" t="s">
        <v>30</v>
      </c>
      <c r="J277" s="27" t="s">
        <v>837</v>
      </c>
      <c r="K277" s="13"/>
    </row>
    <row r="278" spans="1:11" x14ac:dyDescent="0.25">
      <c r="A278" s="131" t="s">
        <v>883</v>
      </c>
      <c r="B278" s="26">
        <v>20</v>
      </c>
      <c r="C278" s="13">
        <v>20</v>
      </c>
      <c r="D278" s="580">
        <v>1</v>
      </c>
      <c r="E278" s="126">
        <f>B278*$E$2</f>
        <v>24</v>
      </c>
      <c r="F278" s="140">
        <f t="array" ref="F278">IF(D278=0,0,IF(D278=1,C278*$F$2,C278*$F$2*2))</f>
        <v>20</v>
      </c>
      <c r="G278" s="140">
        <f t="array" ref="G278">IF(D278&gt;2,C278*(D278-2)*$G$2,0)</f>
        <v>0</v>
      </c>
      <c r="H278" s="129">
        <f>SUM(E278:G278)</f>
        <v>44</v>
      </c>
      <c r="I278" s="13" t="s">
        <v>30</v>
      </c>
      <c r="J278" s="27"/>
      <c r="K278" s="13"/>
    </row>
    <row r="279" spans="1:11" x14ac:dyDescent="0.25">
      <c r="A279" s="131" t="s">
        <v>367</v>
      </c>
      <c r="B279" s="26">
        <v>20</v>
      </c>
      <c r="C279" s="13">
        <v>20</v>
      </c>
      <c r="D279" s="580">
        <v>1</v>
      </c>
      <c r="E279" s="126">
        <f>B279*$E$2</f>
        <v>24</v>
      </c>
      <c r="F279" s="140">
        <f t="array" ref="F279">IF(D279=0,0,IF(D279=1,C279*$F$2,C279*$F$2*2))</f>
        <v>20</v>
      </c>
      <c r="G279" s="140">
        <f t="array" ref="G279">IF(D279&gt;2,C279*(D279-2)*$G$2,0)</f>
        <v>0</v>
      </c>
      <c r="H279" s="129">
        <f>SUM(E279:G279)</f>
        <v>44</v>
      </c>
      <c r="I279" s="13" t="s">
        <v>30</v>
      </c>
      <c r="J279" s="27"/>
      <c r="K279" s="13"/>
    </row>
    <row r="280" spans="1:11" x14ac:dyDescent="0.25">
      <c r="A280" s="131" t="s">
        <v>368</v>
      </c>
      <c r="B280" s="26">
        <v>20</v>
      </c>
      <c r="C280" s="13">
        <v>20</v>
      </c>
      <c r="D280" s="580">
        <v>1</v>
      </c>
      <c r="E280" s="126">
        <f t="shared" ref="E280" si="70">B280*$E$2</f>
        <v>24</v>
      </c>
      <c r="F280" s="140">
        <f t="array" ref="F280">IF(D280=0,0,IF(D280=1,C280*$F$2,C280*$F$2*2))</f>
        <v>20</v>
      </c>
      <c r="G280" s="140">
        <f t="array" ref="G280">IF(D280&gt;2,C280*(D280-2)*$G$2,0)</f>
        <v>0</v>
      </c>
      <c r="H280" s="129">
        <f t="shared" ref="H280" si="71">SUM(E280:G280)</f>
        <v>44</v>
      </c>
      <c r="I280" s="13" t="s">
        <v>30</v>
      </c>
      <c r="J280" s="27"/>
      <c r="K280" s="13"/>
    </row>
    <row r="281" spans="1:11" x14ac:dyDescent="0.25">
      <c r="A281" s="131" t="s">
        <v>884</v>
      </c>
      <c r="B281" s="26">
        <v>20</v>
      </c>
      <c r="C281" s="13">
        <v>20</v>
      </c>
      <c r="D281" s="580">
        <v>1</v>
      </c>
      <c r="E281" s="126">
        <f>B281*$E$2</f>
        <v>24</v>
      </c>
      <c r="F281" s="140">
        <f t="array" ref="F281">IF(D281=0,0,IF(D281=1,C281*$F$2,C281*$F$2*2))</f>
        <v>20</v>
      </c>
      <c r="G281" s="140">
        <f t="array" ref="G281">IF(D281&gt;2,C281*(D281-2)*$G$2,0)</f>
        <v>0</v>
      </c>
      <c r="H281" s="129">
        <f>SUM(E281:G281)</f>
        <v>44</v>
      </c>
      <c r="I281" s="13" t="s">
        <v>30</v>
      </c>
      <c r="J281" s="27"/>
      <c r="K281" s="13"/>
    </row>
    <row r="282" spans="1:11" x14ac:dyDescent="0.25">
      <c r="A282" s="131" t="s">
        <v>885</v>
      </c>
      <c r="B282" s="26">
        <v>20</v>
      </c>
      <c r="C282" s="13">
        <v>20</v>
      </c>
      <c r="D282" s="580">
        <v>1</v>
      </c>
      <c r="E282" s="149">
        <f t="shared" ref="E282" si="72">B282*$E$2</f>
        <v>24</v>
      </c>
      <c r="F282" s="140">
        <f t="array" ref="F282">IF(D282=0,0,IF(D282=1,C282*$F$2,C282*$F$2*2))</f>
        <v>20</v>
      </c>
      <c r="G282" s="140">
        <f t="array" ref="G282">IF(D282&gt;2,C282*(D282-2)*$G$2,0)</f>
        <v>0</v>
      </c>
      <c r="H282" s="94">
        <f t="shared" ref="H282" si="73">SUM(E282:G282)</f>
        <v>44</v>
      </c>
      <c r="I282" s="13" t="s">
        <v>30</v>
      </c>
      <c r="J282" s="27"/>
      <c r="K282" s="13"/>
    </row>
    <row r="283" spans="1:11" x14ac:dyDescent="0.25">
      <c r="A283" s="131" t="s">
        <v>421</v>
      </c>
      <c r="B283" s="26">
        <v>20</v>
      </c>
      <c r="C283" s="13">
        <v>20</v>
      </c>
      <c r="D283" s="580">
        <v>1</v>
      </c>
      <c r="E283" s="149">
        <f>B283*$E$2</f>
        <v>24</v>
      </c>
      <c r="F283" s="140">
        <f t="array" ref="F283">IF(D283=0,0,IF(D283=1,C283*$F$2,C283*$F$2*2))</f>
        <v>20</v>
      </c>
      <c r="G283" s="140">
        <f t="array" ref="G283">IF(D283&gt;2,C283*(D283-2)*$G$2,0)</f>
        <v>0</v>
      </c>
      <c r="H283" s="94">
        <f>SUM(E283:G283)</f>
        <v>44</v>
      </c>
      <c r="I283" s="13" t="s">
        <v>30</v>
      </c>
      <c r="J283" s="27" t="s">
        <v>837</v>
      </c>
      <c r="K283" s="13"/>
    </row>
    <row r="284" spans="1:11" x14ac:dyDescent="0.25">
      <c r="A284" s="131" t="s">
        <v>886</v>
      </c>
      <c r="B284" s="26">
        <v>20</v>
      </c>
      <c r="C284" s="13">
        <v>20</v>
      </c>
      <c r="D284" s="580">
        <v>1</v>
      </c>
      <c r="E284" s="149">
        <f>B284*$E$2</f>
        <v>24</v>
      </c>
      <c r="F284" s="140">
        <f t="array" ref="F284">IF(D284=0,0,IF(D284=1,C284*$F$2,C284*$F$2*2))</f>
        <v>20</v>
      </c>
      <c r="G284" s="140">
        <f t="array" ref="G284">IF(D284&gt;2,C284*(D284-2)*$G$2,0)</f>
        <v>0</v>
      </c>
      <c r="H284" s="94">
        <f>SUM(E284:G284)</f>
        <v>44</v>
      </c>
      <c r="I284" s="13" t="s">
        <v>30</v>
      </c>
      <c r="J284" s="27" t="s">
        <v>887</v>
      </c>
      <c r="K284" s="13"/>
    </row>
    <row r="285" spans="1:11" x14ac:dyDescent="0.25">
      <c r="A285" s="27" t="s">
        <v>888</v>
      </c>
      <c r="B285" s="26">
        <v>12</v>
      </c>
      <c r="C285" s="13">
        <v>0</v>
      </c>
      <c r="D285" s="580">
        <v>1</v>
      </c>
      <c r="E285" s="126">
        <f t="shared" ref="E285:E294" si="74">B285*$E$2</f>
        <v>14.399999999999999</v>
      </c>
      <c r="F285" s="140">
        <f t="array" ref="F285">IF(D285=0,0,IF(D285=1,C285*$F$2,C285*$F$2*2))</f>
        <v>0</v>
      </c>
      <c r="G285" s="140">
        <f t="array" ref="G285">IF(D285&gt;2,C285*(D285-2)*$G$2,0)</f>
        <v>0</v>
      </c>
      <c r="H285" s="94">
        <f t="shared" ref="H285" si="75">SUM(E285:G285)</f>
        <v>14.399999999999999</v>
      </c>
      <c r="I285" s="13" t="s">
        <v>30</v>
      </c>
      <c r="J285" s="27"/>
      <c r="K285" s="13"/>
    </row>
    <row r="286" spans="1:11" x14ac:dyDescent="0.25">
      <c r="A286" s="27" t="s">
        <v>369</v>
      </c>
      <c r="B286" s="26">
        <v>0</v>
      </c>
      <c r="C286" s="13">
        <v>28</v>
      </c>
      <c r="D286" s="580">
        <v>0</v>
      </c>
      <c r="E286" s="126">
        <f t="shared" si="74"/>
        <v>0</v>
      </c>
      <c r="F286" s="140">
        <f t="array" ref="F286">IF(D286=0,0,IF(D286=1,C286*$F$2,C286*$F$2*2))</f>
        <v>0</v>
      </c>
      <c r="G286" s="140">
        <f t="array" ref="G286">IF(D286&gt;2,C286*(D286-2)*$G$2,0)</f>
        <v>0</v>
      </c>
      <c r="H286" s="94">
        <f t="shared" ref="H286:H294" si="76">SUM(E286:G286)</f>
        <v>0</v>
      </c>
      <c r="I286" s="13" t="s">
        <v>30</v>
      </c>
      <c r="J286" s="27"/>
      <c r="K286" s="13"/>
    </row>
    <row r="287" spans="1:11" x14ac:dyDescent="0.25">
      <c r="A287" s="27" t="s">
        <v>889</v>
      </c>
      <c r="B287" s="26">
        <v>14</v>
      </c>
      <c r="C287" s="13">
        <v>14</v>
      </c>
      <c r="D287" s="580">
        <v>1</v>
      </c>
      <c r="E287" s="126">
        <f t="shared" si="74"/>
        <v>16.8</v>
      </c>
      <c r="F287" s="140">
        <f t="array" ref="F287">IF(D287=0,0,IF(D287=1,C287*$F$2,C287*$F$2*2))</f>
        <v>14</v>
      </c>
      <c r="G287" s="140">
        <f t="array" ref="G287">IF(D287&gt;2,C287*(D287-2)*$G$2,0)</f>
        <v>0</v>
      </c>
      <c r="H287" s="94">
        <f t="shared" si="76"/>
        <v>30.8</v>
      </c>
      <c r="I287" s="13" t="s">
        <v>30</v>
      </c>
      <c r="J287" s="27"/>
      <c r="K287" s="13"/>
    </row>
    <row r="288" spans="1:11" x14ac:dyDescent="0.25">
      <c r="A288" s="27" t="s">
        <v>890</v>
      </c>
      <c r="B288" s="26">
        <v>8</v>
      </c>
      <c r="C288" s="13">
        <v>12</v>
      </c>
      <c r="D288" s="580">
        <v>1</v>
      </c>
      <c r="E288" s="126">
        <f t="shared" si="74"/>
        <v>9.6</v>
      </c>
      <c r="F288" s="140">
        <f t="array" ref="F288">IF(D288=0,0,IF(D288=1,C288*$F$2,C288*$F$2*2))</f>
        <v>12</v>
      </c>
      <c r="G288" s="140">
        <f t="array" ref="G288">IF(D288&gt;2,C288*(D288-2)*$G$2,0)</f>
        <v>0</v>
      </c>
      <c r="H288" s="94">
        <f t="shared" si="76"/>
        <v>21.6</v>
      </c>
      <c r="I288" s="13" t="s">
        <v>30</v>
      </c>
      <c r="J288" s="27"/>
      <c r="K288" s="13"/>
    </row>
    <row r="289" spans="1:11" x14ac:dyDescent="0.25">
      <c r="A289" s="27" t="s">
        <v>891</v>
      </c>
      <c r="B289" s="26">
        <v>4</v>
      </c>
      <c r="C289" s="13">
        <v>6</v>
      </c>
      <c r="D289" s="580">
        <v>1</v>
      </c>
      <c r="E289" s="126">
        <f t="shared" si="74"/>
        <v>4.8</v>
      </c>
      <c r="F289" s="140">
        <f t="array" ref="F289">IF(D289=0,0,IF(D289=1,C289*$F$2,C289*$F$2*2))</f>
        <v>6</v>
      </c>
      <c r="G289" s="140">
        <f t="array" ref="G289">IF(D289&gt;2,C289*(D289-2)*$G$2,0)</f>
        <v>0</v>
      </c>
      <c r="H289" s="94">
        <f t="shared" si="76"/>
        <v>10.8</v>
      </c>
      <c r="I289" s="13" t="s">
        <v>30</v>
      </c>
      <c r="J289" s="27"/>
      <c r="K289" s="13"/>
    </row>
    <row r="290" spans="1:11" x14ac:dyDescent="0.25">
      <c r="A290" s="131" t="s">
        <v>892</v>
      </c>
      <c r="B290" s="26">
        <v>12</v>
      </c>
      <c r="C290" s="13">
        <v>12</v>
      </c>
      <c r="D290" s="580">
        <v>1</v>
      </c>
      <c r="E290" s="126">
        <f t="shared" si="74"/>
        <v>14.399999999999999</v>
      </c>
      <c r="F290" s="140">
        <f t="array" ref="F290">IF(D290=0,0,IF(D290=1,C290*$F$2,C290*$F$2*2))</f>
        <v>12</v>
      </c>
      <c r="G290" s="140">
        <f t="array" ref="G290">IF(D290&gt;2,C290*(D290-2)*$G$2,0)</f>
        <v>0</v>
      </c>
      <c r="H290" s="94">
        <f t="shared" si="76"/>
        <v>26.4</v>
      </c>
      <c r="I290" s="13" t="s">
        <v>30</v>
      </c>
      <c r="J290" s="27"/>
      <c r="K290" s="13"/>
    </row>
    <row r="291" spans="1:11" x14ac:dyDescent="0.25">
      <c r="A291" s="131" t="s">
        <v>436</v>
      </c>
      <c r="B291" s="26">
        <v>4</v>
      </c>
      <c r="C291" s="13">
        <v>6</v>
      </c>
      <c r="D291" s="580">
        <v>1</v>
      </c>
      <c r="E291" s="126">
        <f t="shared" si="74"/>
        <v>4.8</v>
      </c>
      <c r="F291" s="140">
        <f t="array" ref="F291">IF(D291=0,0,IF(D291=1,C291*$F$2,C291*$F$2*2))</f>
        <v>6</v>
      </c>
      <c r="G291" s="140">
        <f t="array" ref="G291">IF(D291&gt;2,C291*(D291-2)*$G$2,0)</f>
        <v>0</v>
      </c>
      <c r="H291" s="94">
        <f t="shared" si="76"/>
        <v>10.8</v>
      </c>
      <c r="I291" s="13" t="s">
        <v>30</v>
      </c>
      <c r="J291" s="27"/>
      <c r="K291" s="13"/>
    </row>
    <row r="292" spans="1:11" x14ac:dyDescent="0.25">
      <c r="A292" s="131" t="s">
        <v>893</v>
      </c>
      <c r="B292" s="26">
        <v>28</v>
      </c>
      <c r="C292" s="13">
        <v>28</v>
      </c>
      <c r="D292" s="580">
        <v>1</v>
      </c>
      <c r="E292" s="126">
        <f t="shared" si="74"/>
        <v>33.6</v>
      </c>
      <c r="F292" s="140">
        <f t="array" ref="F292">IF(D292=0,0,IF(D292=1,C292*$F$2,C292*$F$2*2))</f>
        <v>28</v>
      </c>
      <c r="G292" s="140">
        <f t="array" ref="G292">IF(D292&gt;2,C292*(D292-2)*$G$2,0)</f>
        <v>0</v>
      </c>
      <c r="H292" s="94">
        <f t="shared" si="76"/>
        <v>61.6</v>
      </c>
      <c r="I292" s="13" t="s">
        <v>30</v>
      </c>
      <c r="J292" s="27"/>
      <c r="K292" s="144"/>
    </row>
    <row r="293" spans="1:11" x14ac:dyDescent="0.25">
      <c r="A293" s="131" t="s">
        <v>894</v>
      </c>
      <c r="B293" s="26">
        <v>28</v>
      </c>
      <c r="C293" s="13">
        <v>28</v>
      </c>
      <c r="D293" s="580">
        <v>1</v>
      </c>
      <c r="E293" s="126">
        <f t="shared" si="74"/>
        <v>33.6</v>
      </c>
      <c r="F293" s="140">
        <f t="array" ref="F293">IF(D293=0,0,IF(D293=1,C293*$F$2,C293*$F$2*2))</f>
        <v>28</v>
      </c>
      <c r="G293" s="140">
        <f t="array" ref="G293">IF(D293&gt;2,C293*(D293-2)*$G$2,0)</f>
        <v>0</v>
      </c>
      <c r="H293" s="94">
        <f t="shared" si="76"/>
        <v>61.6</v>
      </c>
      <c r="I293" s="13" t="s">
        <v>30</v>
      </c>
      <c r="J293" s="27"/>
      <c r="K293" s="22"/>
    </row>
    <row r="294" spans="1:11" ht="16.5" thickBot="1" x14ac:dyDescent="0.3">
      <c r="A294" s="27" t="s">
        <v>895</v>
      </c>
      <c r="B294" s="26">
        <v>0</v>
      </c>
      <c r="C294" s="13">
        <v>28</v>
      </c>
      <c r="D294" s="580">
        <v>0</v>
      </c>
      <c r="E294" s="126">
        <f t="shared" si="74"/>
        <v>0</v>
      </c>
      <c r="F294" s="140">
        <f t="array" ref="F294">IF(D294=0,0,IF(D294=1,C294*$F$2,C294*$F$2*2))</f>
        <v>0</v>
      </c>
      <c r="G294" s="140">
        <f t="array" ref="G294">IF(D294&gt;2,C294*(D294-2)*$G$2,0)</f>
        <v>0</v>
      </c>
      <c r="H294" s="94">
        <f t="shared" si="76"/>
        <v>0</v>
      </c>
      <c r="I294" s="13" t="s">
        <v>30</v>
      </c>
      <c r="J294" s="27"/>
      <c r="K294" s="13"/>
    </row>
    <row r="295" spans="1:11" ht="16.5" thickBot="1" x14ac:dyDescent="0.3">
      <c r="A295" s="27"/>
      <c r="B295" s="95"/>
      <c r="C295" s="144"/>
      <c r="D295" s="27"/>
      <c r="E295" s="126"/>
      <c r="F295" s="126"/>
      <c r="G295" s="126"/>
      <c r="H295" s="141">
        <f>SUM(H266:H294)</f>
        <v>1220.3999999999999</v>
      </c>
      <c r="I295" s="154"/>
      <c r="J295" s="27"/>
      <c r="K295" s="13"/>
    </row>
    <row r="296" spans="1:11" ht="16.5" thickBot="1" x14ac:dyDescent="0.3">
      <c r="A296" s="19" t="s">
        <v>21</v>
      </c>
      <c r="B296" s="89"/>
      <c r="C296" s="13"/>
      <c r="D296" s="26"/>
      <c r="E296" s="26"/>
      <c r="F296" s="26"/>
      <c r="G296" s="146" t="s">
        <v>158</v>
      </c>
      <c r="H296" s="141">
        <f>SUM(H295,H265,H243)</f>
        <v>3654.1999999999994</v>
      </c>
      <c r="I296" s="74"/>
      <c r="J296" s="27"/>
      <c r="K296" s="13"/>
    </row>
    <row r="297" spans="1:11" x14ac:dyDescent="0.25">
      <c r="A297" s="27" t="s">
        <v>896</v>
      </c>
      <c r="B297" s="26">
        <v>14</v>
      </c>
      <c r="C297" s="13">
        <v>28</v>
      </c>
      <c r="D297" s="580">
        <v>1</v>
      </c>
      <c r="E297" s="126">
        <f t="shared" ref="E297:E301" si="77">B297*$E$3</f>
        <v>16.8</v>
      </c>
      <c r="F297" s="147">
        <f t="array" ref="F297">IF(D297=0,0,IF(D297=1,C297*$F$3,C297*$F$3*2))</f>
        <v>28</v>
      </c>
      <c r="G297" s="147">
        <f t="array" ref="G297">IF(D297&gt;2,C297*(D297-2)*$G$3,0)</f>
        <v>0</v>
      </c>
      <c r="H297" s="129">
        <f t="shared" ref="H297:H301" si="78">SUM(E297:G297)</f>
        <v>44.8</v>
      </c>
      <c r="I297" s="20" t="s">
        <v>147</v>
      </c>
      <c r="J297" s="27"/>
      <c r="K297" s="13"/>
    </row>
    <row r="298" spans="1:11" x14ac:dyDescent="0.25">
      <c r="A298" s="27" t="s">
        <v>897</v>
      </c>
      <c r="B298" s="26">
        <v>28</v>
      </c>
      <c r="C298" s="13">
        <v>28</v>
      </c>
      <c r="D298" s="580">
        <v>1</v>
      </c>
      <c r="E298" s="126">
        <f t="shared" si="77"/>
        <v>33.6</v>
      </c>
      <c r="F298" s="147">
        <f t="array" ref="F298">IF(D298=0,0,IF(D298=1,C298*$F$3,C298*$F$3*2))</f>
        <v>28</v>
      </c>
      <c r="G298" s="147">
        <f t="array" ref="G298">IF(D298&gt;2,C298*(D298-2)*$G$3,0)</f>
        <v>0</v>
      </c>
      <c r="H298" s="129">
        <f t="shared" si="78"/>
        <v>61.6</v>
      </c>
      <c r="I298" s="20" t="s">
        <v>147</v>
      </c>
      <c r="J298" s="27"/>
      <c r="K298" s="13"/>
    </row>
    <row r="299" spans="1:11" x14ac:dyDescent="0.25">
      <c r="A299" s="27" t="s">
        <v>783</v>
      </c>
      <c r="B299" s="26">
        <v>28</v>
      </c>
      <c r="C299" s="13">
        <v>28</v>
      </c>
      <c r="D299" s="580">
        <v>0</v>
      </c>
      <c r="E299" s="126">
        <f t="shared" si="77"/>
        <v>33.6</v>
      </c>
      <c r="F299" s="147">
        <f t="array" ref="F299">IF(D299=0,0,IF(D299=1,C299*$F$3,C299*$F$3*2))</f>
        <v>0</v>
      </c>
      <c r="G299" s="147">
        <f t="array" ref="G299">IF(D299&gt;2,C299*(D299-2)*$G$3,0)</f>
        <v>0</v>
      </c>
      <c r="H299" s="129">
        <f t="shared" si="78"/>
        <v>33.6</v>
      </c>
      <c r="I299" s="20" t="s">
        <v>147</v>
      </c>
      <c r="J299" s="27" t="s">
        <v>898</v>
      </c>
      <c r="K299" s="13"/>
    </row>
    <row r="300" spans="1:11" x14ac:dyDescent="0.25">
      <c r="A300" s="27" t="s">
        <v>899</v>
      </c>
      <c r="B300" s="26">
        <v>28</v>
      </c>
      <c r="C300" s="13">
        <v>28</v>
      </c>
      <c r="D300" s="580">
        <v>1</v>
      </c>
      <c r="E300" s="126">
        <f t="shared" si="77"/>
        <v>33.6</v>
      </c>
      <c r="F300" s="147">
        <f t="array" ref="F300">IF(D300=0,0,IF(D300=1,C300*$F$3,C300*$F$3*2))</f>
        <v>28</v>
      </c>
      <c r="G300" s="147">
        <f t="array" ref="G300">IF(D300&gt;2,C300*(D300-2)*$G$3,0)</f>
        <v>0</v>
      </c>
      <c r="H300" s="129">
        <f t="shared" si="78"/>
        <v>61.6</v>
      </c>
      <c r="I300" s="20" t="s">
        <v>147</v>
      </c>
      <c r="J300" s="27"/>
      <c r="K300" s="13"/>
    </row>
    <row r="301" spans="1:11" x14ac:dyDescent="0.25">
      <c r="A301" s="27" t="s">
        <v>900</v>
      </c>
      <c r="B301" s="26">
        <v>28</v>
      </c>
      <c r="C301" s="13">
        <v>28</v>
      </c>
      <c r="D301" s="580">
        <v>1</v>
      </c>
      <c r="E301" s="126">
        <f t="shared" si="77"/>
        <v>33.6</v>
      </c>
      <c r="F301" s="147">
        <f t="array" ref="F301">IF(D301=0,0,IF(D301=1,C301*$F$3,C301*$F$3*2))</f>
        <v>28</v>
      </c>
      <c r="G301" s="147">
        <f t="array" ref="G301">IF(D301&gt;2,C301*(D301-2)*$G$3,0)</f>
        <v>0</v>
      </c>
      <c r="H301" s="129">
        <f t="shared" si="78"/>
        <v>61.6</v>
      </c>
      <c r="I301" s="20" t="s">
        <v>147</v>
      </c>
      <c r="J301" s="27"/>
      <c r="K301" s="13"/>
    </row>
    <row r="302" spans="1:11" x14ac:dyDescent="0.25">
      <c r="A302" s="27" t="s">
        <v>901</v>
      </c>
      <c r="B302" s="26">
        <v>0</v>
      </c>
      <c r="C302" s="13">
        <v>28</v>
      </c>
      <c r="D302" s="580">
        <v>0</v>
      </c>
      <c r="E302" s="126">
        <f>B302*$E$3</f>
        <v>0</v>
      </c>
      <c r="F302" s="147">
        <f t="array" ref="F302">IF(D302=0,0,IF(D302=1,C302*$F$3,C302*$F$3*2))</f>
        <v>0</v>
      </c>
      <c r="G302" s="147">
        <f t="array" ref="G302">IF(D302&gt;2,C302*(D302-2)*$G$3,0)</f>
        <v>0</v>
      </c>
      <c r="H302" s="129">
        <f>SUM(E302:G302)</f>
        <v>0</v>
      </c>
      <c r="I302" s="20" t="s">
        <v>147</v>
      </c>
      <c r="J302" s="27"/>
      <c r="K302" s="13"/>
    </row>
    <row r="303" spans="1:11" x14ac:dyDescent="0.25">
      <c r="A303" s="27" t="s">
        <v>902</v>
      </c>
      <c r="B303" s="26">
        <v>28</v>
      </c>
      <c r="C303" s="13">
        <v>28</v>
      </c>
      <c r="D303" s="580">
        <v>2</v>
      </c>
      <c r="E303" s="126">
        <f>B303*$E$3</f>
        <v>33.6</v>
      </c>
      <c r="F303" s="147">
        <f t="array" ref="F303">IF(D303=0,0,IF(D303=1,C303*$F$3,C303*$F$3*2))</f>
        <v>56</v>
      </c>
      <c r="G303" s="147">
        <f t="array" ref="G303">IF(D303&gt;2,C303*(D303-2)*$G$3,0)</f>
        <v>0</v>
      </c>
      <c r="H303" s="129">
        <f>SUM(E303:G303)</f>
        <v>89.6</v>
      </c>
      <c r="I303" s="20" t="s">
        <v>147</v>
      </c>
      <c r="J303" s="27"/>
      <c r="K303" s="13"/>
    </row>
    <row r="304" spans="1:11" x14ac:dyDescent="0.25">
      <c r="A304" s="27" t="s">
        <v>903</v>
      </c>
      <c r="B304" s="26">
        <v>28</v>
      </c>
      <c r="C304" s="13">
        <v>28</v>
      </c>
      <c r="D304" s="580">
        <v>1</v>
      </c>
      <c r="E304" s="126">
        <f t="shared" ref="E304:E305" si="79">B304*$E$3</f>
        <v>33.6</v>
      </c>
      <c r="F304" s="147">
        <f t="array" ref="F304">IF(D304=0,0,IF(D304=1,C304*$F$3,C304*$F$3*2))</f>
        <v>28</v>
      </c>
      <c r="G304" s="147">
        <f t="array" ref="G304">IF(D304&gt;2,C304*(D304-2)*$G$3,0)</f>
        <v>0</v>
      </c>
      <c r="H304" s="129">
        <f t="shared" ref="H304:H305" si="80">SUM(E304:G304)</f>
        <v>61.6</v>
      </c>
      <c r="I304" s="20" t="s">
        <v>147</v>
      </c>
      <c r="J304" s="27"/>
      <c r="K304" s="13"/>
    </row>
    <row r="305" spans="1:11" x14ac:dyDescent="0.25">
      <c r="A305" s="27" t="s">
        <v>904</v>
      </c>
      <c r="B305" s="26">
        <v>28</v>
      </c>
      <c r="C305" s="13">
        <v>28</v>
      </c>
      <c r="D305" s="580">
        <v>1</v>
      </c>
      <c r="E305" s="126">
        <f t="shared" si="79"/>
        <v>33.6</v>
      </c>
      <c r="F305" s="147">
        <f t="array" ref="F305">IF(D305=0,0,IF(D305=1,C305*$F$3,C305*$F$3*2))</f>
        <v>28</v>
      </c>
      <c r="G305" s="147">
        <f t="array" ref="G305">IF(D305&gt;2,C305*(D305-2)*$G$3,0)</f>
        <v>0</v>
      </c>
      <c r="H305" s="129">
        <f t="shared" si="80"/>
        <v>61.6</v>
      </c>
      <c r="I305" s="20" t="s">
        <v>147</v>
      </c>
      <c r="J305" s="27"/>
      <c r="K305" s="13"/>
    </row>
    <row r="306" spans="1:11" x14ac:dyDescent="0.25">
      <c r="A306" s="27" t="s">
        <v>905</v>
      </c>
      <c r="B306" s="26">
        <v>28</v>
      </c>
      <c r="C306" s="13">
        <v>28</v>
      </c>
      <c r="D306" s="580">
        <v>1</v>
      </c>
      <c r="E306" s="126">
        <f>B306*$E$3</f>
        <v>33.6</v>
      </c>
      <c r="F306" s="147">
        <f t="array" ref="F306">IF(D306=0,0,IF(D306=1,C306*$F$3,C306*$F$3*2))</f>
        <v>28</v>
      </c>
      <c r="G306" s="147">
        <f t="array" ref="G306">IF(D306&gt;2,C306*(D306-2)*$G$3,0)</f>
        <v>0</v>
      </c>
      <c r="H306" s="129">
        <f>SUM(E306:G306)</f>
        <v>61.6</v>
      </c>
      <c r="I306" s="20" t="s">
        <v>147</v>
      </c>
      <c r="J306" s="27"/>
      <c r="K306" s="13"/>
    </row>
    <row r="307" spans="1:11" x14ac:dyDescent="0.25">
      <c r="A307" s="27" t="s">
        <v>906</v>
      </c>
      <c r="B307" s="26">
        <v>14</v>
      </c>
      <c r="C307" s="13">
        <v>14</v>
      </c>
      <c r="D307" s="580">
        <v>1</v>
      </c>
      <c r="E307" s="126">
        <f>B307*$E$3</f>
        <v>16.8</v>
      </c>
      <c r="F307" s="147">
        <f t="array" ref="F307">IF(D307=0,0,IF(D307=1,C307*$F$3,C307*$F$3*2))</f>
        <v>14</v>
      </c>
      <c r="G307" s="147">
        <f t="array" ref="G307">IF(D307&gt;2,C307*(D307-2)*$G$3,0)</f>
        <v>0</v>
      </c>
      <c r="H307" s="129">
        <f>SUM(E307:G307)</f>
        <v>30.8</v>
      </c>
      <c r="I307" s="20" t="s">
        <v>147</v>
      </c>
      <c r="J307" s="27" t="s">
        <v>837</v>
      </c>
      <c r="K307" s="13"/>
    </row>
    <row r="308" spans="1:11" x14ac:dyDescent="0.25">
      <c r="A308" s="27" t="s">
        <v>790</v>
      </c>
      <c r="B308" s="26">
        <v>0</v>
      </c>
      <c r="C308" s="13">
        <v>24</v>
      </c>
      <c r="D308" s="580">
        <v>1</v>
      </c>
      <c r="E308" s="126">
        <f t="shared" ref="E308:E310" si="81">B308*$E$3</f>
        <v>0</v>
      </c>
      <c r="F308" s="147">
        <f t="array" ref="F308">IF(D308=0,0,IF(D308=1,C308*$F$3,C308*$F$3*2))</f>
        <v>24</v>
      </c>
      <c r="G308" s="147">
        <f t="array" ref="G308">IF(D308&gt;2,C308*(D308-2)*$G$3,0)</f>
        <v>0</v>
      </c>
      <c r="H308" s="129">
        <f t="shared" ref="H308:H310" si="82">SUM(E308:G308)</f>
        <v>24</v>
      </c>
      <c r="I308" s="20" t="s">
        <v>147</v>
      </c>
      <c r="J308" s="27" t="s">
        <v>859</v>
      </c>
      <c r="K308" s="13"/>
    </row>
    <row r="309" spans="1:11" x14ac:dyDescent="0.25">
      <c r="A309" s="27" t="s">
        <v>907</v>
      </c>
      <c r="B309" s="26">
        <v>28</v>
      </c>
      <c r="C309" s="13">
        <v>28</v>
      </c>
      <c r="D309" s="580">
        <v>1</v>
      </c>
      <c r="E309" s="126">
        <f t="shared" si="81"/>
        <v>33.6</v>
      </c>
      <c r="F309" s="147">
        <f t="array" ref="F309">IF(D309=0,0,IF(D309=1,C309*$F$3,C309*$F$3*2))</f>
        <v>28</v>
      </c>
      <c r="G309" s="147">
        <f t="array" ref="G309">IF(D309&gt;2,C309*(D309-2)*$G$3,0)</f>
        <v>0</v>
      </c>
      <c r="H309" s="94">
        <f t="shared" si="82"/>
        <v>61.6</v>
      </c>
      <c r="I309" s="20" t="s">
        <v>147</v>
      </c>
      <c r="J309" s="27"/>
      <c r="K309" s="13"/>
    </row>
    <row r="310" spans="1:11" x14ac:dyDescent="0.25">
      <c r="A310" s="27" t="s">
        <v>908</v>
      </c>
      <c r="B310" s="26">
        <v>14</v>
      </c>
      <c r="C310" s="13">
        <v>28</v>
      </c>
      <c r="D310" s="580">
        <v>2</v>
      </c>
      <c r="E310" s="126">
        <f t="shared" si="81"/>
        <v>16.8</v>
      </c>
      <c r="F310" s="147">
        <f t="array" ref="F310">IF(D310=0,0,IF(D310=1,C310*$F$3,C310*$F$3*2))</f>
        <v>56</v>
      </c>
      <c r="G310" s="147">
        <f t="array" ref="G310">IF(D310&gt;2,C310*(D310-2)*$G$3,0)</f>
        <v>0</v>
      </c>
      <c r="H310" s="129">
        <f t="shared" si="82"/>
        <v>72.8</v>
      </c>
      <c r="I310" s="20" t="s">
        <v>147</v>
      </c>
      <c r="J310" s="27"/>
      <c r="K310" s="13"/>
    </row>
    <row r="311" spans="1:11" x14ac:dyDescent="0.25">
      <c r="A311" s="27" t="s">
        <v>909</v>
      </c>
      <c r="B311" s="26">
        <v>28</v>
      </c>
      <c r="C311" s="13">
        <v>28</v>
      </c>
      <c r="D311" s="580">
        <v>1</v>
      </c>
      <c r="E311" s="126">
        <f>B311*$E$3</f>
        <v>33.6</v>
      </c>
      <c r="F311" s="147">
        <f t="array" ref="F311">IF(D311=0,0,IF(D311=1,C311*$F$3,C311*$F$3*2))</f>
        <v>28</v>
      </c>
      <c r="G311" s="147">
        <f t="array" ref="G311">IF(D311&gt;2,C311*(D311-2)*$G$3,0)</f>
        <v>0</v>
      </c>
      <c r="H311" s="94">
        <f>SUM(E311:G311)</f>
        <v>61.6</v>
      </c>
      <c r="I311" s="20" t="s">
        <v>147</v>
      </c>
      <c r="J311" s="27"/>
      <c r="K311" s="13"/>
    </row>
    <row r="312" spans="1:11" x14ac:dyDescent="0.25">
      <c r="A312" s="27" t="s">
        <v>437</v>
      </c>
      <c r="B312" s="26">
        <v>28</v>
      </c>
      <c r="C312" s="13">
        <v>28</v>
      </c>
      <c r="D312" s="580">
        <v>1</v>
      </c>
      <c r="E312" s="126">
        <f t="shared" ref="E312:E317" si="83">B312*$E$3</f>
        <v>33.6</v>
      </c>
      <c r="F312" s="147">
        <f t="array" ref="F312">IF(D312=0,0,IF(D312=1,C312*$F$3,C312*$F$3*2))</f>
        <v>28</v>
      </c>
      <c r="G312" s="147">
        <f t="array" ref="G312">IF(D312&gt;2,C312*(D312-2)*$G$3,0)</f>
        <v>0</v>
      </c>
      <c r="H312" s="129">
        <f t="shared" ref="H312:H317" si="84">SUM(E312:G312)</f>
        <v>61.6</v>
      </c>
      <c r="I312" s="20" t="s">
        <v>147</v>
      </c>
      <c r="J312" s="27"/>
      <c r="K312" s="13"/>
    </row>
    <row r="313" spans="1:11" x14ac:dyDescent="0.25">
      <c r="A313" s="27" t="s">
        <v>438</v>
      </c>
      <c r="B313" s="26">
        <v>28</v>
      </c>
      <c r="C313" s="13">
        <v>14</v>
      </c>
      <c r="D313" s="580">
        <v>1</v>
      </c>
      <c r="E313" s="126">
        <f t="shared" si="83"/>
        <v>33.6</v>
      </c>
      <c r="F313" s="147">
        <f t="array" ref="F313">IF(D313=0,0,IF(D313=1,C313*$F$3,C313*$F$3*2))</f>
        <v>14</v>
      </c>
      <c r="G313" s="147">
        <f t="array" ref="G313">IF(D313&gt;2,C313*(D313-2)*$G$3,0)</f>
        <v>0</v>
      </c>
      <c r="H313" s="129">
        <f t="shared" si="84"/>
        <v>47.6</v>
      </c>
      <c r="I313" s="20" t="s">
        <v>147</v>
      </c>
      <c r="J313" s="27"/>
      <c r="K313" s="13"/>
    </row>
    <row r="314" spans="1:11" x14ac:dyDescent="0.25">
      <c r="A314" s="27" t="s">
        <v>791</v>
      </c>
      <c r="B314" s="26">
        <v>0</v>
      </c>
      <c r="C314" s="13">
        <v>28</v>
      </c>
      <c r="D314" s="580">
        <v>1</v>
      </c>
      <c r="E314" s="126">
        <f t="shared" si="83"/>
        <v>0</v>
      </c>
      <c r="F314" s="147">
        <f t="array" ref="F314">IF(D314=0,0,IF(D314=1,C314*$F$3,C314*$F$3*2))</f>
        <v>28</v>
      </c>
      <c r="G314" s="147">
        <f t="array" ref="G314">IF(D314&gt;2,C314*(D314-2)*$G$3,0)</f>
        <v>0</v>
      </c>
      <c r="H314" s="129">
        <f t="shared" si="84"/>
        <v>28</v>
      </c>
      <c r="I314" s="20" t="s">
        <v>147</v>
      </c>
      <c r="J314" s="27" t="s">
        <v>910</v>
      </c>
      <c r="K314" s="13"/>
    </row>
    <row r="315" spans="1:11" x14ac:dyDescent="0.25">
      <c r="A315" s="131" t="s">
        <v>911</v>
      </c>
      <c r="B315" s="26">
        <v>28</v>
      </c>
      <c r="C315" s="13">
        <v>28</v>
      </c>
      <c r="D315" s="580">
        <v>1</v>
      </c>
      <c r="E315" s="126">
        <f t="shared" si="83"/>
        <v>33.6</v>
      </c>
      <c r="F315" s="147">
        <f t="array" ref="F315">IF(D315=0,0,IF(D315=1,C315*$F$3,C315*$F$3*2))</f>
        <v>28</v>
      </c>
      <c r="G315" s="147">
        <f t="array" ref="G315">IF(D315&gt;2,C315*(D315-2)*$G$3,0)</f>
        <v>0</v>
      </c>
      <c r="H315" s="129">
        <f t="shared" si="84"/>
        <v>61.6</v>
      </c>
      <c r="I315" s="20" t="s">
        <v>147</v>
      </c>
      <c r="J315" s="27"/>
      <c r="K315" s="13"/>
    </row>
    <row r="316" spans="1:11" x14ac:dyDescent="0.25">
      <c r="A316" s="27" t="s">
        <v>912</v>
      </c>
      <c r="B316" s="26">
        <v>28</v>
      </c>
      <c r="C316" s="13">
        <v>28</v>
      </c>
      <c r="D316" s="580">
        <v>1</v>
      </c>
      <c r="E316" s="126">
        <f t="shared" si="83"/>
        <v>33.6</v>
      </c>
      <c r="F316" s="147">
        <f t="array" ref="F316">IF(D316=0,0,IF(D316=1,C316*$F$3,C316*$F$3*2))</f>
        <v>28</v>
      </c>
      <c r="G316" s="147">
        <f t="array" ref="G316">IF(D316&gt;2,C316*(D316-2)*$G$3,0)</f>
        <v>0</v>
      </c>
      <c r="H316" s="129">
        <f t="shared" si="84"/>
        <v>61.6</v>
      </c>
      <c r="I316" s="20" t="s">
        <v>147</v>
      </c>
      <c r="J316" s="27"/>
      <c r="K316" s="13"/>
    </row>
    <row r="317" spans="1:11" x14ac:dyDescent="0.25">
      <c r="A317" s="131" t="s">
        <v>913</v>
      </c>
      <c r="B317" s="26">
        <v>28</v>
      </c>
      <c r="C317" s="13">
        <v>28</v>
      </c>
      <c r="D317" s="580">
        <v>1</v>
      </c>
      <c r="E317" s="126">
        <f t="shared" si="83"/>
        <v>33.6</v>
      </c>
      <c r="F317" s="147">
        <f t="array" ref="F317">IF(D317=0,0,IF(D317=1,C317*$F$3,C317*$F$3*2))</f>
        <v>28</v>
      </c>
      <c r="G317" s="147">
        <f t="array" ref="G317">IF(D317&gt;2,C317*(D317-2)*$G$3,0)</f>
        <v>0</v>
      </c>
      <c r="H317" s="94">
        <f t="shared" si="84"/>
        <v>61.6</v>
      </c>
      <c r="I317" s="20" t="s">
        <v>147</v>
      </c>
      <c r="J317" s="27"/>
      <c r="K317" s="13"/>
    </row>
    <row r="318" spans="1:11" x14ac:dyDescent="0.25">
      <c r="A318" s="579" t="s">
        <v>370</v>
      </c>
      <c r="B318" s="26">
        <v>0</v>
      </c>
      <c r="C318" s="13">
        <v>0</v>
      </c>
      <c r="D318" s="580">
        <v>0</v>
      </c>
      <c r="E318" s="126">
        <f>B318*$E$3</f>
        <v>0</v>
      </c>
      <c r="F318" s="147">
        <f t="array" ref="F318">IF(D318=0,0,IF(D318=1,C318*$F$3,C318*$F$3*2))</f>
        <v>0</v>
      </c>
      <c r="G318" s="147">
        <f t="array" ref="G318">IF(D318&gt;2,C318*(D318-2)*$G$3,0)</f>
        <v>0</v>
      </c>
      <c r="H318" s="129">
        <f>SUM(E318:G318)</f>
        <v>0</v>
      </c>
      <c r="I318" s="20" t="s">
        <v>147</v>
      </c>
      <c r="J318" s="27"/>
      <c r="K318" s="13"/>
    </row>
    <row r="319" spans="1:11" x14ac:dyDescent="0.25">
      <c r="A319" s="131" t="s">
        <v>914</v>
      </c>
      <c r="B319" s="26">
        <v>28</v>
      </c>
      <c r="C319" s="13">
        <v>28</v>
      </c>
      <c r="D319" s="580">
        <v>1</v>
      </c>
      <c r="E319" s="126">
        <f t="shared" ref="E319:E321" si="85">B319*$E$3</f>
        <v>33.6</v>
      </c>
      <c r="F319" s="147">
        <f t="array" ref="F319">IF(D319=0,0,IF(D319=1,C319*$F$3,C319*$F$3*2))</f>
        <v>28</v>
      </c>
      <c r="G319" s="147">
        <f t="array" ref="G319">IF(D319&gt;2,C319*(D319-2)*$G$3,0)</f>
        <v>0</v>
      </c>
      <c r="H319" s="129">
        <f t="shared" ref="H319:H321" si="86">SUM(E319:G319)</f>
        <v>61.6</v>
      </c>
      <c r="I319" s="20" t="s">
        <v>147</v>
      </c>
      <c r="J319" s="27"/>
      <c r="K319" s="13"/>
    </row>
    <row r="320" spans="1:11" x14ac:dyDescent="0.25">
      <c r="A320" s="131" t="s">
        <v>439</v>
      </c>
      <c r="B320" s="26">
        <v>28</v>
      </c>
      <c r="C320" s="13">
        <v>28</v>
      </c>
      <c r="D320" s="580">
        <v>1</v>
      </c>
      <c r="E320" s="126">
        <f t="shared" si="85"/>
        <v>33.6</v>
      </c>
      <c r="F320" s="147">
        <f t="array" ref="F320">IF(D320=0,0,IF(D320=1,C320*$F$3,C320*$F$3*2))</f>
        <v>28</v>
      </c>
      <c r="G320" s="147">
        <f t="array" ref="G320">IF(D320&gt;2,C320*(D320-2)*$G$3,0)</f>
        <v>0</v>
      </c>
      <c r="H320" s="129">
        <f t="shared" si="86"/>
        <v>61.6</v>
      </c>
      <c r="I320" s="20" t="s">
        <v>147</v>
      </c>
      <c r="J320" s="27"/>
      <c r="K320" s="13"/>
    </row>
    <row r="321" spans="1:11" x14ac:dyDescent="0.25">
      <c r="A321" s="27" t="s">
        <v>915</v>
      </c>
      <c r="B321" s="26">
        <v>0</v>
      </c>
      <c r="C321" s="13">
        <v>0</v>
      </c>
      <c r="D321" s="580">
        <v>0</v>
      </c>
      <c r="E321" s="126">
        <f t="shared" si="85"/>
        <v>0</v>
      </c>
      <c r="F321" s="147">
        <f t="array" ref="F321">IF(D321=0,0,IF(D321=1,C321*$F$3,C321*$F$3*2))</f>
        <v>0</v>
      </c>
      <c r="G321" s="147">
        <f t="array" ref="G321">IF(D321&gt;2,C321*(D321-2)*$G$3,0)</f>
        <v>0</v>
      </c>
      <c r="H321" s="94">
        <f t="shared" si="86"/>
        <v>0</v>
      </c>
      <c r="I321" s="20" t="s">
        <v>147</v>
      </c>
      <c r="J321" s="27"/>
      <c r="K321" s="13"/>
    </row>
    <row r="322" spans="1:11" x14ac:dyDescent="0.25">
      <c r="A322" s="131" t="s">
        <v>916</v>
      </c>
      <c r="B322" s="26">
        <v>14</v>
      </c>
      <c r="C322" s="13">
        <v>14</v>
      </c>
      <c r="D322" s="580">
        <v>1</v>
      </c>
      <c r="E322" s="126">
        <f>B322*$E$3</f>
        <v>16.8</v>
      </c>
      <c r="F322" s="147">
        <f t="array" ref="F322">IF(D322=0,0,IF(D322=1,C322*$F$3,C322*$F$3*2))</f>
        <v>14</v>
      </c>
      <c r="G322" s="147">
        <f t="array" ref="G322">IF(D322&gt;2,C322*(D322-2)*$G$3,0)</f>
        <v>0</v>
      </c>
      <c r="H322" s="94">
        <f>SUM(E322:G322)</f>
        <v>30.8</v>
      </c>
      <c r="I322" s="20" t="s">
        <v>147</v>
      </c>
      <c r="J322" s="27"/>
      <c r="K322" s="13"/>
    </row>
    <row r="323" spans="1:11" x14ac:dyDescent="0.25">
      <c r="A323" s="131" t="s">
        <v>917</v>
      </c>
      <c r="B323" s="26">
        <v>14</v>
      </c>
      <c r="C323" s="13">
        <v>14</v>
      </c>
      <c r="D323" s="580">
        <v>1</v>
      </c>
      <c r="E323" s="126">
        <f>B323*$E$3</f>
        <v>16.8</v>
      </c>
      <c r="F323" s="147">
        <f t="array" ref="F323">IF(D323=0,0,IF(D323=1,C323*$F$3,C323*$F$3*2))</f>
        <v>14</v>
      </c>
      <c r="G323" s="147">
        <f t="array" ref="G323">IF(D323&gt;2,C323*(D323-2)*$G$3,0)</f>
        <v>0</v>
      </c>
      <c r="H323" s="94">
        <f>SUM(E323:G323)</f>
        <v>30.8</v>
      </c>
      <c r="I323" s="20" t="s">
        <v>147</v>
      </c>
      <c r="J323" s="27"/>
      <c r="K323" s="13"/>
    </row>
    <row r="324" spans="1:11" x14ac:dyDescent="0.25">
      <c r="A324" s="131" t="s">
        <v>918</v>
      </c>
      <c r="B324" s="26">
        <v>28</v>
      </c>
      <c r="C324" s="13">
        <v>28</v>
      </c>
      <c r="D324" s="580">
        <v>1</v>
      </c>
      <c r="E324" s="126">
        <f t="shared" ref="E324" si="87">B324*$E$3</f>
        <v>33.6</v>
      </c>
      <c r="F324" s="147">
        <f t="array" ref="F324">IF(D324=0,0,IF(D324=1,C324*$F$3,C324*$F$3*2))</f>
        <v>28</v>
      </c>
      <c r="G324" s="147">
        <f t="array" ref="G324">IF(D324&gt;2,C324*(D324-2)*$G$3,0)</f>
        <v>0</v>
      </c>
      <c r="H324" s="94">
        <f t="shared" ref="H324" si="88">SUM(E324:G324)</f>
        <v>61.6</v>
      </c>
      <c r="I324" s="20" t="s">
        <v>147</v>
      </c>
      <c r="J324" s="27"/>
      <c r="K324" s="13"/>
    </row>
    <row r="325" spans="1:11" x14ac:dyDescent="0.25">
      <c r="A325" s="27" t="s">
        <v>371</v>
      </c>
      <c r="B325" s="26">
        <v>0</v>
      </c>
      <c r="C325" s="13">
        <v>6</v>
      </c>
      <c r="D325" s="580">
        <v>0</v>
      </c>
      <c r="E325" s="126">
        <f>B325*$E$3</f>
        <v>0</v>
      </c>
      <c r="F325" s="147">
        <f t="array" ref="F325">IF(D325=0,0,IF(D325=1,C325*$F$3,C325*$F$3*2))</f>
        <v>0</v>
      </c>
      <c r="G325" s="147">
        <f t="array" ref="G325">IF(D325&gt;2,C325*(D325-2)*$G$3,0)</f>
        <v>0</v>
      </c>
      <c r="H325" s="94">
        <f>SUM(E325:G325)</f>
        <v>0</v>
      </c>
      <c r="I325" s="20" t="s">
        <v>147</v>
      </c>
      <c r="J325" s="27"/>
      <c r="K325" s="13"/>
    </row>
    <row r="326" spans="1:11" x14ac:dyDescent="0.25">
      <c r="A326" s="131" t="s">
        <v>919</v>
      </c>
      <c r="B326" s="26">
        <v>2</v>
      </c>
      <c r="C326" s="13">
        <v>6</v>
      </c>
      <c r="D326" s="580">
        <v>1</v>
      </c>
      <c r="E326" s="126">
        <f>B326*$E$3</f>
        <v>2.4</v>
      </c>
      <c r="F326" s="147">
        <f t="array" ref="F326">IF(D326=0,0,IF(D326=1,C326*$F$3,C326*$F$3*2))</f>
        <v>6</v>
      </c>
      <c r="G326" s="147">
        <f t="array" ref="G326">IF(D326&gt;2,C326*(D326-2)*$G$3,0)</f>
        <v>0</v>
      </c>
      <c r="H326" s="94">
        <f>SUM(E326:G326)</f>
        <v>8.4</v>
      </c>
      <c r="I326" s="20" t="s">
        <v>147</v>
      </c>
      <c r="J326" s="27"/>
      <c r="K326" s="13"/>
    </row>
    <row r="327" spans="1:11" x14ac:dyDescent="0.25">
      <c r="A327" s="131" t="s">
        <v>920</v>
      </c>
      <c r="B327" s="26">
        <v>2</v>
      </c>
      <c r="C327" s="13">
        <v>6</v>
      </c>
      <c r="D327" s="580">
        <v>1</v>
      </c>
      <c r="E327" s="126">
        <f>B327*$E$3</f>
        <v>2.4</v>
      </c>
      <c r="F327" s="147">
        <f t="array" ref="F327">IF(D327=0,0,IF(D327=1,C327*$F$3,C327*$F$3*2))</f>
        <v>6</v>
      </c>
      <c r="G327" s="147">
        <f t="array" ref="G327">IF(D327&gt;2,C327*(D327-2)*$G$3,0)</f>
        <v>0</v>
      </c>
      <c r="H327" s="94">
        <f>SUM(E327:G327)</f>
        <v>8.4</v>
      </c>
      <c r="I327" s="20" t="s">
        <v>147</v>
      </c>
      <c r="J327" s="27"/>
      <c r="K327" s="13"/>
    </row>
    <row r="328" spans="1:11" x14ac:dyDescent="0.25">
      <c r="A328" s="131" t="s">
        <v>921</v>
      </c>
      <c r="B328" s="26">
        <v>8</v>
      </c>
      <c r="C328" s="13">
        <v>12</v>
      </c>
      <c r="D328" s="580">
        <v>1</v>
      </c>
      <c r="E328" s="126">
        <f t="shared" ref="E328" si="89">B328*$E$3</f>
        <v>9.6</v>
      </c>
      <c r="F328" s="147">
        <f t="array" ref="F328">IF(D328=0,0,IF(D328=1,C328*$F$3,C328*$F$3*2))</f>
        <v>12</v>
      </c>
      <c r="G328" s="147">
        <f t="array" ref="G328">IF(D328&gt;2,C328*(D328-2)*$G$3,0)</f>
        <v>0</v>
      </c>
      <c r="H328" s="94">
        <f t="shared" ref="H328" si="90">SUM(E328:G328)</f>
        <v>21.6</v>
      </c>
      <c r="I328" s="20" t="s">
        <v>147</v>
      </c>
      <c r="J328" s="27"/>
      <c r="K328" s="13"/>
    </row>
    <row r="329" spans="1:11" x14ac:dyDescent="0.25">
      <c r="A329" s="27" t="s">
        <v>922</v>
      </c>
      <c r="B329" s="26">
        <v>14</v>
      </c>
      <c r="C329" s="13">
        <v>14</v>
      </c>
      <c r="D329" s="580">
        <v>1</v>
      </c>
      <c r="E329" s="126">
        <f>B329*$E$2</f>
        <v>16.8</v>
      </c>
      <c r="F329" s="147">
        <f t="array" ref="F329">IF(D329=0,0,IF(D329=1,C329*$F$3,C329*$F$3*2))</f>
        <v>14</v>
      </c>
      <c r="G329" s="147">
        <f t="array" ref="G329">IF(D329&gt;2,C329*(D329-2)*$G$3,0)</f>
        <v>0</v>
      </c>
      <c r="H329" s="94">
        <f>SUM(E329:G329)</f>
        <v>30.8</v>
      </c>
      <c r="I329" s="13" t="s">
        <v>30</v>
      </c>
      <c r="J329" s="27"/>
      <c r="K329" s="13"/>
    </row>
    <row r="330" spans="1:11" x14ac:dyDescent="0.25">
      <c r="A330" s="131" t="s">
        <v>923</v>
      </c>
      <c r="B330" s="26">
        <v>0</v>
      </c>
      <c r="C330" s="13">
        <v>14</v>
      </c>
      <c r="D330" s="580">
        <v>1</v>
      </c>
      <c r="E330" s="126"/>
      <c r="F330" s="147">
        <f t="array" ref="F330">IF(D330=0,0,IF(D330=1,C330*$F$3,C330*$F$3*2))</f>
        <v>14</v>
      </c>
      <c r="G330" s="147">
        <f t="array" ref="G330">IF(D330&gt;2,C330*(D330-2)*$G$3,0)</f>
        <v>0</v>
      </c>
      <c r="H330" s="94">
        <f t="shared" ref="H330:H332" si="91">SUM(E330:G330)</f>
        <v>14</v>
      </c>
      <c r="I330" s="20" t="s">
        <v>147</v>
      </c>
      <c r="J330" s="27"/>
      <c r="K330" s="13"/>
    </row>
    <row r="331" spans="1:11" x14ac:dyDescent="0.25">
      <c r="A331" s="27" t="s">
        <v>924</v>
      </c>
      <c r="B331" s="26">
        <v>28</v>
      </c>
      <c r="C331" s="13">
        <v>28</v>
      </c>
      <c r="D331" s="580">
        <v>1</v>
      </c>
      <c r="E331" s="126">
        <f>B331*$E$3</f>
        <v>33.6</v>
      </c>
      <c r="F331" s="147">
        <f t="array" ref="F331">IF(D331=0,0,IF(D331=1,C331*$F$3,C331*$F$3*2))</f>
        <v>28</v>
      </c>
      <c r="G331" s="147">
        <f t="array" ref="G331">IF(D331&gt;2,C331*(D331-2)*$G$3,0)</f>
        <v>0</v>
      </c>
      <c r="H331" s="94">
        <f t="shared" si="91"/>
        <v>61.6</v>
      </c>
      <c r="I331" s="20" t="s">
        <v>147</v>
      </c>
      <c r="J331" s="27"/>
      <c r="K331" s="13"/>
    </row>
    <row r="332" spans="1:11" ht="16.5" thickBot="1" x14ac:dyDescent="0.3">
      <c r="A332" s="27" t="s">
        <v>925</v>
      </c>
      <c r="B332" s="26">
        <v>14</v>
      </c>
      <c r="C332" s="13">
        <v>28</v>
      </c>
      <c r="D332" s="580">
        <v>1</v>
      </c>
      <c r="E332" s="126">
        <f>B332*$E$3</f>
        <v>16.8</v>
      </c>
      <c r="F332" s="147">
        <f t="array" ref="F332">IF(D332=0,0,IF(D332=1,C332*$F$3,C332*$F$3*2))</f>
        <v>28</v>
      </c>
      <c r="G332" s="147">
        <f t="array" ref="G332">IF(D332&gt;2,C332*(D332-2)*$G$3,0)</f>
        <v>0</v>
      </c>
      <c r="H332" s="94">
        <f t="shared" si="91"/>
        <v>44.8</v>
      </c>
      <c r="I332" s="20" t="s">
        <v>147</v>
      </c>
      <c r="J332" s="27"/>
      <c r="K332" s="13"/>
    </row>
    <row r="333" spans="1:11" ht="16.5" thickBot="1" x14ac:dyDescent="0.3">
      <c r="A333" s="19" t="s">
        <v>22</v>
      </c>
      <c r="B333" s="89"/>
      <c r="C333" s="13"/>
      <c r="D333" s="26"/>
      <c r="E333" s="126"/>
      <c r="H333" s="141">
        <f>SUM(H297:H332)</f>
        <v>1546.3999999999994</v>
      </c>
      <c r="I333" s="20"/>
      <c r="J333" s="27"/>
      <c r="K333" s="13"/>
    </row>
    <row r="334" spans="1:11" x14ac:dyDescent="0.25">
      <c r="A334" s="27" t="s">
        <v>926</v>
      </c>
      <c r="B334" s="26">
        <v>28</v>
      </c>
      <c r="C334" s="13">
        <v>14</v>
      </c>
      <c r="D334" s="580">
        <v>1</v>
      </c>
      <c r="E334" s="126">
        <f t="shared" ref="E334:E335" si="92">B334*$E$3</f>
        <v>33.6</v>
      </c>
      <c r="F334" s="147">
        <f t="array" ref="F334">IF(D334=0,0,IF(D334=1,C334*$F$3,C334*$F$3*2))</f>
        <v>14</v>
      </c>
      <c r="G334" s="147">
        <f t="array" ref="G334">IF(D334&gt;2,C334*(D334-2)*$G$3,0)</f>
        <v>0</v>
      </c>
      <c r="H334" s="129">
        <f t="shared" ref="H334:H335" si="93">SUM(E334:G334)</f>
        <v>47.6</v>
      </c>
      <c r="I334" s="20" t="s">
        <v>147</v>
      </c>
      <c r="J334" s="27"/>
      <c r="K334" s="13"/>
    </row>
    <row r="335" spans="1:11" x14ac:dyDescent="0.25">
      <c r="A335" s="27" t="s">
        <v>304</v>
      </c>
      <c r="B335" s="26">
        <v>0</v>
      </c>
      <c r="C335" s="13">
        <v>28</v>
      </c>
      <c r="D335" s="580">
        <v>0</v>
      </c>
      <c r="E335" s="126">
        <f t="shared" si="92"/>
        <v>0</v>
      </c>
      <c r="F335" s="147">
        <f t="array" ref="F335">IF(D335=0,0,IF(D335=1,C335*$F$3,C335*$F$3*2))</f>
        <v>0</v>
      </c>
      <c r="G335" s="147">
        <f t="array" ref="G335">IF(D335&gt;2,C335*(D335-2)*$G$3,0)</f>
        <v>0</v>
      </c>
      <c r="H335" s="129">
        <f t="shared" si="93"/>
        <v>0</v>
      </c>
      <c r="I335" s="20" t="s">
        <v>147</v>
      </c>
      <c r="J335" s="27"/>
      <c r="K335" s="13"/>
    </row>
    <row r="336" spans="1:11" s="27" customFormat="1" ht="14.25" customHeight="1" x14ac:dyDescent="0.25">
      <c r="A336" s="27" t="s">
        <v>927</v>
      </c>
      <c r="B336" s="26">
        <v>28</v>
      </c>
      <c r="C336" s="13">
        <v>28</v>
      </c>
      <c r="D336" s="580">
        <v>1</v>
      </c>
      <c r="E336" s="126">
        <f>B336*$E$3</f>
        <v>33.6</v>
      </c>
      <c r="F336" s="147">
        <f t="array" ref="F336">IF(D336=0,0,IF(D336=1,C336*$F$3,C336*$F$3*2))</f>
        <v>28</v>
      </c>
      <c r="G336" s="147">
        <f t="array" ref="G336">IF(D336&gt;2,C336*(D336-2)*$G$3,0)</f>
        <v>0</v>
      </c>
      <c r="H336" s="129">
        <f>SUM(E336:G336)</f>
        <v>61.6</v>
      </c>
      <c r="I336" s="20" t="s">
        <v>147</v>
      </c>
      <c r="K336" s="13"/>
    </row>
    <row r="337" spans="1:11" s="27" customFormat="1" ht="14.25" customHeight="1" x14ac:dyDescent="0.25">
      <c r="A337" s="27" t="s">
        <v>928</v>
      </c>
      <c r="B337" s="26">
        <v>28</v>
      </c>
      <c r="C337" s="13">
        <v>28</v>
      </c>
      <c r="D337" s="580">
        <v>1</v>
      </c>
      <c r="E337" s="126">
        <f>B337*$E$3</f>
        <v>33.6</v>
      </c>
      <c r="F337" s="147">
        <f t="array" ref="F337">IF(D337=0,0,IF(D337=1,C337*$F$3,C337*$F$3*2))</f>
        <v>28</v>
      </c>
      <c r="G337" s="147">
        <f t="array" ref="G337">IF(D337&gt;2,C337*(D337-2)*$G$3,0)</f>
        <v>0</v>
      </c>
      <c r="H337" s="129">
        <f>SUM(E337:G337)</f>
        <v>61.6</v>
      </c>
      <c r="I337" s="20" t="s">
        <v>147</v>
      </c>
      <c r="K337" s="13"/>
    </row>
    <row r="338" spans="1:11" s="27" customFormat="1" ht="14.25" customHeight="1" x14ac:dyDescent="0.25">
      <c r="A338" s="27" t="s">
        <v>929</v>
      </c>
      <c r="B338" s="26">
        <v>0</v>
      </c>
      <c r="C338" s="13">
        <v>14</v>
      </c>
      <c r="D338" s="580">
        <v>0</v>
      </c>
      <c r="E338" s="126">
        <f>B338*$E$3</f>
        <v>0</v>
      </c>
      <c r="F338" s="147">
        <f t="array" ref="F338">IF(D338=0,0,IF(D338=1,C338*$F$3,C338*$F$3*2))</f>
        <v>0</v>
      </c>
      <c r="G338" s="147">
        <f t="array" ref="G338">IF(D338&gt;2,C338*(D338-2)*$G$3,0)</f>
        <v>0</v>
      </c>
      <c r="H338" s="129">
        <f>SUM(E338:G338)</f>
        <v>0</v>
      </c>
      <c r="I338" s="20" t="s">
        <v>147</v>
      </c>
      <c r="K338" s="13"/>
    </row>
    <row r="339" spans="1:11" x14ac:dyDescent="0.25">
      <c r="A339" s="27" t="s">
        <v>930</v>
      </c>
      <c r="B339" s="26">
        <v>28</v>
      </c>
      <c r="C339" s="13">
        <v>28</v>
      </c>
      <c r="D339" s="580">
        <v>1</v>
      </c>
      <c r="E339" s="126">
        <f>B339*$E$3</f>
        <v>33.6</v>
      </c>
      <c r="F339" s="147">
        <f t="array" ref="F339">IF(D339=0,0,IF(D339=1,C339*$F$3,C339*$F$3*2))</f>
        <v>28</v>
      </c>
      <c r="G339" s="147">
        <f t="array" ref="G339">IF(D339&gt;2,C339*(D339-2)*$G$3,0)</f>
        <v>0</v>
      </c>
      <c r="H339" s="129">
        <f>SUM(E339:G339)</f>
        <v>61.6</v>
      </c>
      <c r="I339" s="20" t="s">
        <v>147</v>
      </c>
      <c r="J339" s="27"/>
      <c r="K339" s="13"/>
    </row>
    <row r="340" spans="1:11" x14ac:dyDescent="0.25">
      <c r="A340" s="27" t="s">
        <v>931</v>
      </c>
      <c r="B340" s="26">
        <v>28</v>
      </c>
      <c r="C340" s="13">
        <v>28</v>
      </c>
      <c r="D340" s="580">
        <v>1</v>
      </c>
      <c r="E340" s="126">
        <f t="shared" ref="E340" si="94">B340*$E$3</f>
        <v>33.6</v>
      </c>
      <c r="F340" s="147">
        <f t="array" ref="F340">IF(D340=0,0,IF(D340=1,C340*$F$3,C340*$F$3*2))</f>
        <v>28</v>
      </c>
      <c r="G340" s="147">
        <f t="array" ref="G340">IF(D340&gt;2,C340*(D340-2)*$G$3,0)</f>
        <v>0</v>
      </c>
      <c r="H340" s="129">
        <f t="shared" ref="H340" si="95">SUM(E340:G340)</f>
        <v>61.6</v>
      </c>
      <c r="I340" s="20" t="s">
        <v>147</v>
      </c>
      <c r="J340" s="27"/>
      <c r="K340" s="13"/>
    </row>
    <row r="341" spans="1:11" x14ac:dyDescent="0.25">
      <c r="A341" s="27" t="s">
        <v>932</v>
      </c>
      <c r="B341" s="26">
        <v>0</v>
      </c>
      <c r="C341" s="13">
        <v>28</v>
      </c>
      <c r="D341" s="580">
        <v>0</v>
      </c>
      <c r="E341" s="126">
        <f>B341*$E$3</f>
        <v>0</v>
      </c>
      <c r="F341" s="147">
        <f t="array" ref="F341">IF(D341=0,0,IF(D341=1,C341*$F$3,C341*$F$3*2))</f>
        <v>0</v>
      </c>
      <c r="G341" s="147">
        <f t="array" ref="G341">IF(D341&gt;2,C341*(D341-2)*$G$3,0)</f>
        <v>0</v>
      </c>
      <c r="H341" s="129">
        <f>SUM(E341:G341)</f>
        <v>0</v>
      </c>
      <c r="I341" s="20" t="s">
        <v>147</v>
      </c>
      <c r="J341" s="27"/>
      <c r="K341" s="13"/>
    </row>
    <row r="342" spans="1:11" x14ac:dyDescent="0.25">
      <c r="A342" s="27" t="s">
        <v>933</v>
      </c>
      <c r="B342" s="26">
        <v>28</v>
      </c>
      <c r="C342" s="13">
        <v>28</v>
      </c>
      <c r="D342" s="580">
        <v>1</v>
      </c>
      <c r="E342" s="126">
        <f t="shared" ref="E342:E343" si="96">B342*$E$3</f>
        <v>33.6</v>
      </c>
      <c r="F342" s="147">
        <f t="array" ref="F342">IF(D342=0,0,IF(D342=1,C342*$F$3,C342*$F$3*2))</f>
        <v>28</v>
      </c>
      <c r="G342" s="147">
        <f t="array" ref="G342">IF(D342&gt;2,C342*(D342-2)*$G$3,0)</f>
        <v>0</v>
      </c>
      <c r="H342" s="129">
        <f t="shared" ref="H342:H343" si="97">SUM(E342:G342)</f>
        <v>61.6</v>
      </c>
      <c r="I342" s="20" t="s">
        <v>147</v>
      </c>
      <c r="J342" s="27"/>
      <c r="K342" s="13"/>
    </row>
    <row r="343" spans="1:11" x14ac:dyDescent="0.25">
      <c r="A343" s="27" t="s">
        <v>934</v>
      </c>
      <c r="B343" s="26">
        <v>28</v>
      </c>
      <c r="C343" s="13">
        <v>28</v>
      </c>
      <c r="D343" s="580">
        <v>1</v>
      </c>
      <c r="E343" s="126">
        <f t="shared" si="96"/>
        <v>33.6</v>
      </c>
      <c r="F343" s="147">
        <f t="array" ref="F343">IF(D343=0,0,IF(D343=1,C343*$F$3,C343*$F$3*2))</f>
        <v>28</v>
      </c>
      <c r="G343" s="147">
        <f t="array" ref="G343">IF(D343&gt;2,C343*(D343-2)*$G$3,0)</f>
        <v>0</v>
      </c>
      <c r="H343" s="129">
        <f t="shared" si="97"/>
        <v>61.6</v>
      </c>
      <c r="I343" s="20" t="s">
        <v>147</v>
      </c>
      <c r="J343" s="27"/>
      <c r="K343" s="144"/>
    </row>
    <row r="344" spans="1:11" x14ac:dyDescent="0.25">
      <c r="A344" s="131" t="s">
        <v>935</v>
      </c>
      <c r="B344" s="26">
        <v>20</v>
      </c>
      <c r="C344" s="13">
        <v>20</v>
      </c>
      <c r="D344" s="580">
        <v>1</v>
      </c>
      <c r="E344" s="126">
        <f>B344*$E$3</f>
        <v>24</v>
      </c>
      <c r="F344" s="147">
        <f t="array" ref="F344">IF(D344=0,0,IF(D344=1,C344*$F$3,C344*$F$3*2))</f>
        <v>20</v>
      </c>
      <c r="G344" s="147">
        <f t="array" ref="G344">IF(D344&gt;2,C344*(D344-2)*$G$3,0)</f>
        <v>0</v>
      </c>
      <c r="H344" s="129">
        <f>SUM(E344:G344)</f>
        <v>44</v>
      </c>
      <c r="I344" s="20" t="s">
        <v>147</v>
      </c>
      <c r="J344" s="27"/>
      <c r="K344" s="22"/>
    </row>
    <row r="345" spans="1:11" x14ac:dyDescent="0.25">
      <c r="A345" s="131" t="s">
        <v>936</v>
      </c>
      <c r="B345" s="26">
        <v>20</v>
      </c>
      <c r="C345" s="13">
        <v>0</v>
      </c>
      <c r="D345" s="580">
        <v>1</v>
      </c>
      <c r="E345" s="126">
        <f>B345*$E$3</f>
        <v>24</v>
      </c>
      <c r="F345" s="147">
        <f t="array" ref="F345">IF(D345=0,0,IF(D345=1,C345*$F$3,C345*$F$3*2))</f>
        <v>0</v>
      </c>
      <c r="G345" s="147">
        <f t="array" ref="G345">IF(D345&gt;2,C345*(D345-2)*$G$3,0)</f>
        <v>0</v>
      </c>
      <c r="H345" s="129">
        <f>SUM(E345:G345)</f>
        <v>24</v>
      </c>
      <c r="I345" s="20" t="s">
        <v>147</v>
      </c>
      <c r="J345" s="27"/>
      <c r="K345" s="22"/>
    </row>
    <row r="346" spans="1:11" x14ac:dyDescent="0.25">
      <c r="A346" s="131" t="s">
        <v>937</v>
      </c>
      <c r="B346" s="26">
        <v>20</v>
      </c>
      <c r="C346" s="13">
        <v>20</v>
      </c>
      <c r="D346" s="580">
        <v>1</v>
      </c>
      <c r="E346" s="126">
        <f t="shared" ref="E346" si="98">B346*$E$3</f>
        <v>24</v>
      </c>
      <c r="F346" s="147">
        <f t="array" ref="F346">IF(D346=0,0,IF(D346=1,C346*$F$3,C346*$F$3*2))</f>
        <v>20</v>
      </c>
      <c r="G346" s="147">
        <f t="array" ref="G346">IF(D346&gt;2,C346*(D346-2)*$G$3,0)</f>
        <v>0</v>
      </c>
      <c r="H346" s="129">
        <f t="shared" ref="H346" si="99">SUM(E346:G346)</f>
        <v>44</v>
      </c>
      <c r="I346" s="20" t="s">
        <v>147</v>
      </c>
      <c r="J346" s="27"/>
      <c r="K346" s="22"/>
    </row>
    <row r="347" spans="1:11" x14ac:dyDescent="0.25">
      <c r="A347" s="131" t="s">
        <v>938</v>
      </c>
      <c r="B347" s="26">
        <v>0</v>
      </c>
      <c r="C347" s="13">
        <v>20</v>
      </c>
      <c r="D347" s="580">
        <v>1</v>
      </c>
      <c r="E347" s="126">
        <f>B347*$E$3</f>
        <v>0</v>
      </c>
      <c r="F347" s="147">
        <f t="array" ref="F347">IF(D347=0,0,IF(D347=1,C347*$F$3,C347*$F$3*2))</f>
        <v>20</v>
      </c>
      <c r="G347" s="147">
        <f t="array" ref="G347">IF(D347&gt;2,C347*(D347-2)*$G$3,0)</f>
        <v>0</v>
      </c>
      <c r="H347" s="129">
        <f>SUM(E347:G347)</f>
        <v>20</v>
      </c>
      <c r="I347" s="20" t="s">
        <v>147</v>
      </c>
      <c r="J347" s="27" t="s">
        <v>837</v>
      </c>
      <c r="K347" s="22"/>
    </row>
    <row r="348" spans="1:11" x14ac:dyDescent="0.25">
      <c r="A348" s="131" t="s">
        <v>939</v>
      </c>
      <c r="B348" s="26">
        <v>0</v>
      </c>
      <c r="C348" s="13">
        <v>30</v>
      </c>
      <c r="D348" s="580">
        <v>1</v>
      </c>
      <c r="E348" s="126">
        <f t="shared" ref="E348" si="100">B348*$E$3</f>
        <v>0</v>
      </c>
      <c r="F348" s="147">
        <f t="array" ref="F348">IF(D348=0,0,IF(D348=1,C348*$F$3,C348*$F$3*2))</f>
        <v>30</v>
      </c>
      <c r="G348" s="147">
        <f t="array" ref="G348">IF(D348&gt;2,C348*(D348-2)*$G$3,0)</f>
        <v>0</v>
      </c>
      <c r="H348" s="94">
        <f t="shared" ref="H348" si="101">SUM(E348:G348)</f>
        <v>30</v>
      </c>
      <c r="I348" s="20" t="s">
        <v>147</v>
      </c>
      <c r="J348" s="27"/>
      <c r="K348" s="22"/>
    </row>
    <row r="349" spans="1:11" x14ac:dyDescent="0.25">
      <c r="A349" s="131" t="s">
        <v>940</v>
      </c>
      <c r="B349" s="26">
        <v>20</v>
      </c>
      <c r="C349" s="13">
        <v>20</v>
      </c>
      <c r="D349" s="580">
        <v>1</v>
      </c>
      <c r="E349" s="126">
        <f>B349*$E$3</f>
        <v>24</v>
      </c>
      <c r="F349" s="147">
        <f t="array" ref="F349">IF(D349=0,0,IF(D349=1,C349*$F$3,C349*$F$3*2))</f>
        <v>20</v>
      </c>
      <c r="G349" s="147">
        <f t="array" ref="G349">IF(D349&gt;2,C349*(D349-2)*$G$3,0)</f>
        <v>0</v>
      </c>
      <c r="H349" s="129">
        <f>SUM(E349:G349)</f>
        <v>44</v>
      </c>
      <c r="I349" s="20" t="s">
        <v>147</v>
      </c>
      <c r="J349" s="27"/>
      <c r="K349" s="22"/>
    </row>
    <row r="350" spans="1:11" x14ac:dyDescent="0.25">
      <c r="A350" s="131" t="s">
        <v>941</v>
      </c>
      <c r="B350" s="26">
        <v>20</v>
      </c>
      <c r="C350" s="13">
        <v>20</v>
      </c>
      <c r="D350" s="580">
        <v>1</v>
      </c>
      <c r="E350" s="126">
        <f t="shared" ref="E350" si="102">B350*$E$3</f>
        <v>24</v>
      </c>
      <c r="F350" s="147">
        <f t="array" ref="F350">IF(D350=0,0,IF(D350=1,C350*$F$3,C350*$F$3*2))</f>
        <v>20</v>
      </c>
      <c r="G350" s="147">
        <f t="array" ref="G350">IF(D350&gt;2,C350*(D350-2)*$G$3,0)</f>
        <v>0</v>
      </c>
      <c r="H350" s="129">
        <f t="shared" ref="H350" si="103">SUM(E350:G350)</f>
        <v>44</v>
      </c>
      <c r="I350" s="20" t="s">
        <v>147</v>
      </c>
      <c r="J350" s="27"/>
      <c r="K350" s="22"/>
    </row>
    <row r="351" spans="1:11" x14ac:dyDescent="0.25">
      <c r="A351" s="131" t="s">
        <v>942</v>
      </c>
      <c r="B351" s="26">
        <v>0</v>
      </c>
      <c r="C351" s="13">
        <v>20</v>
      </c>
      <c r="D351" s="580">
        <v>0</v>
      </c>
      <c r="E351" s="126">
        <f>B351*$E$3</f>
        <v>0</v>
      </c>
      <c r="F351" s="147">
        <f t="array" ref="F351">IF(D351=0,0,IF(D351=1,C351*$F$3,C351*$F$3*2))</f>
        <v>0</v>
      </c>
      <c r="G351" s="147">
        <f t="array" ref="G351">IF(D351&gt;2,C351*(D351-2)*$G$3,0)</f>
        <v>0</v>
      </c>
      <c r="H351" s="129">
        <f>SUM(E351:G351)</f>
        <v>0</v>
      </c>
      <c r="I351" s="20" t="s">
        <v>147</v>
      </c>
      <c r="J351" s="27"/>
      <c r="K351" s="22"/>
    </row>
    <row r="352" spans="1:11" x14ac:dyDescent="0.25">
      <c r="A352" s="131" t="s">
        <v>943</v>
      </c>
      <c r="B352" s="26">
        <v>20</v>
      </c>
      <c r="C352" s="13">
        <v>20</v>
      </c>
      <c r="D352" s="580">
        <v>1</v>
      </c>
      <c r="E352" s="126">
        <f t="shared" ref="E352" si="104">B352*$E$3</f>
        <v>24</v>
      </c>
      <c r="F352" s="147">
        <f t="array" ref="F352">IF(D352=0,0,IF(D352=1,C352*$F$3,C352*$F$3*2))</f>
        <v>20</v>
      </c>
      <c r="G352" s="147">
        <f t="array" ref="G352">IF(D352&gt;2,C352*(D352-2)*$G$3,0)</f>
        <v>0</v>
      </c>
      <c r="H352" s="129">
        <f t="shared" ref="H352" si="105">SUM(E352:G352)</f>
        <v>44</v>
      </c>
      <c r="I352" s="20" t="s">
        <v>147</v>
      </c>
      <c r="J352" s="27"/>
      <c r="K352" s="22"/>
    </row>
    <row r="353" spans="1:18" x14ac:dyDescent="0.25">
      <c r="A353" s="131" t="s">
        <v>944</v>
      </c>
      <c r="B353" s="26">
        <v>10</v>
      </c>
      <c r="C353" s="13">
        <v>20</v>
      </c>
      <c r="D353" s="580">
        <v>1</v>
      </c>
      <c r="E353" s="126">
        <f>B353*$E$3</f>
        <v>12</v>
      </c>
      <c r="F353" s="147">
        <f t="array" ref="F353">IF(D353=0,0,IF(D353=1,C353*$F$3,C353*$F$3*2))</f>
        <v>20</v>
      </c>
      <c r="G353" s="147">
        <f t="array" ref="G353">IF(D353&gt;2,C353*(D353-2)*$G$3,0)</f>
        <v>0</v>
      </c>
      <c r="H353" s="129">
        <f>SUM(E353:G353)</f>
        <v>32</v>
      </c>
      <c r="I353" s="20" t="s">
        <v>147</v>
      </c>
      <c r="J353" s="27" t="s">
        <v>945</v>
      </c>
      <c r="K353" s="22"/>
    </row>
    <row r="354" spans="1:18" x14ac:dyDescent="0.25">
      <c r="A354" s="131" t="s">
        <v>946</v>
      </c>
      <c r="B354" s="26">
        <v>20</v>
      </c>
      <c r="C354" s="13">
        <v>0</v>
      </c>
      <c r="D354" s="580">
        <v>1</v>
      </c>
      <c r="E354" s="126">
        <f>B354*$E$3</f>
        <v>24</v>
      </c>
      <c r="F354" s="147">
        <f t="array" ref="F354">IF(D354=0,0,IF(D354=1,C354*$F$3,C354*$F$3*2))</f>
        <v>0</v>
      </c>
      <c r="G354" s="147">
        <f t="array" ref="G354">IF(D354&gt;2,C354*(D354-2)*$G$3,0)</f>
        <v>0</v>
      </c>
      <c r="H354" s="129">
        <f>SUM(E354:G354)</f>
        <v>24</v>
      </c>
      <c r="I354" s="20" t="s">
        <v>147</v>
      </c>
      <c r="J354" s="27"/>
      <c r="K354" s="22"/>
    </row>
    <row r="355" spans="1:18" x14ac:dyDescent="0.25">
      <c r="A355" s="131" t="s">
        <v>947</v>
      </c>
      <c r="B355" s="26">
        <v>20</v>
      </c>
      <c r="C355" s="13">
        <v>20</v>
      </c>
      <c r="D355" s="580">
        <v>1</v>
      </c>
      <c r="E355" s="126">
        <f t="shared" ref="E355:E360" si="106">B355*$E$3</f>
        <v>24</v>
      </c>
      <c r="F355" s="147">
        <f t="array" ref="F355">IF(D355=0,0,IF(D355=1,C355*$F$3,C355*$F$3*2))</f>
        <v>20</v>
      </c>
      <c r="G355" s="147">
        <f t="array" ref="G355">IF(D355&gt;2,C355*(D355-2)*$G$3,0)</f>
        <v>0</v>
      </c>
      <c r="H355" s="94">
        <f t="shared" ref="H355:H360" si="107">SUM(E355:G355)</f>
        <v>44</v>
      </c>
      <c r="I355" s="20" t="s">
        <v>147</v>
      </c>
      <c r="J355" s="27"/>
      <c r="K355" s="22"/>
    </row>
    <row r="356" spans="1:18" x14ac:dyDescent="0.25">
      <c r="A356" s="131" t="s">
        <v>948</v>
      </c>
      <c r="B356" s="26">
        <v>20</v>
      </c>
      <c r="C356" s="13">
        <v>20</v>
      </c>
      <c r="D356" s="580">
        <v>1</v>
      </c>
      <c r="E356" s="126">
        <f t="shared" si="106"/>
        <v>24</v>
      </c>
      <c r="F356" s="147">
        <f t="array" ref="F356">IF(D356=0,0,IF(D356=1,C356*$F$3,C356*$F$3*2))</f>
        <v>20</v>
      </c>
      <c r="G356" s="147">
        <f t="array" ref="G356">IF(D356&gt;2,C356*(D356-2)*$G$3,0)</f>
        <v>0</v>
      </c>
      <c r="H356" s="129">
        <f t="shared" si="107"/>
        <v>44</v>
      </c>
      <c r="I356" s="20" t="s">
        <v>147</v>
      </c>
      <c r="J356" s="27"/>
      <c r="K356" s="22"/>
    </row>
    <row r="357" spans="1:18" x14ac:dyDescent="0.25">
      <c r="A357" s="27" t="s">
        <v>949</v>
      </c>
      <c r="B357" s="26">
        <v>0</v>
      </c>
      <c r="C357" s="13">
        <v>28</v>
      </c>
      <c r="D357" s="580">
        <v>1</v>
      </c>
      <c r="E357" s="126">
        <f t="shared" si="106"/>
        <v>0</v>
      </c>
      <c r="F357" s="147">
        <f t="array" ref="F357">IF(D357=0,0,IF(D357=1,C357*$F$3,C357*$F$3*2))</f>
        <v>28</v>
      </c>
      <c r="G357" s="147">
        <f t="array" ref="G357">IF(D357&gt;2,C357*(D357-2)*$G$3,0)</f>
        <v>0</v>
      </c>
      <c r="H357" s="129">
        <f t="shared" si="107"/>
        <v>28</v>
      </c>
      <c r="I357" s="20" t="s">
        <v>147</v>
      </c>
      <c r="J357" s="27"/>
      <c r="K357" s="22"/>
    </row>
    <row r="358" spans="1:18" x14ac:dyDescent="0.25">
      <c r="A358" s="27" t="s">
        <v>950</v>
      </c>
      <c r="B358" s="26">
        <v>14</v>
      </c>
      <c r="C358" s="13">
        <v>28</v>
      </c>
      <c r="D358" s="580">
        <v>1</v>
      </c>
      <c r="E358" s="126">
        <f t="shared" si="106"/>
        <v>16.8</v>
      </c>
      <c r="F358" s="147">
        <f t="array" ref="F358">IF(D358=0,0,IF(D358=1,C358*$F$3,C358*$F$3*2))</f>
        <v>28</v>
      </c>
      <c r="G358" s="147">
        <f t="array" ref="G358">IF(D358&gt;2,C358*(D358-2)*$G$3,0)</f>
        <v>0</v>
      </c>
      <c r="H358" s="94">
        <f t="shared" si="107"/>
        <v>44.8</v>
      </c>
      <c r="I358" s="20" t="s">
        <v>147</v>
      </c>
      <c r="J358" s="27"/>
      <c r="K358" s="22"/>
    </row>
    <row r="359" spans="1:18" x14ac:dyDescent="0.25">
      <c r="A359" s="131" t="s">
        <v>951</v>
      </c>
      <c r="B359" s="26">
        <v>0</v>
      </c>
      <c r="C359" s="13">
        <v>8</v>
      </c>
      <c r="D359" s="580">
        <v>1</v>
      </c>
      <c r="E359" s="126">
        <f t="shared" si="106"/>
        <v>0</v>
      </c>
      <c r="F359" s="147">
        <f t="array" ref="F359">IF(D359=0,0,IF(D359=1,C359*$F$3,C359*$F$3*2))</f>
        <v>8</v>
      </c>
      <c r="G359" s="147">
        <f t="array" ref="G359">IF(D359&gt;2,C359*(D359-2)*$G$3,0)</f>
        <v>0</v>
      </c>
      <c r="H359" s="94">
        <f t="shared" si="107"/>
        <v>8</v>
      </c>
      <c r="I359" s="20" t="s">
        <v>147</v>
      </c>
      <c r="J359" s="27"/>
      <c r="K359" s="22"/>
    </row>
    <row r="360" spans="1:18" ht="16.5" thickBot="1" x14ac:dyDescent="0.3">
      <c r="A360" s="27" t="s">
        <v>952</v>
      </c>
      <c r="B360" s="26">
        <v>28</v>
      </c>
      <c r="C360" s="13">
        <v>28</v>
      </c>
      <c r="D360" s="580">
        <v>1</v>
      </c>
      <c r="E360" s="126">
        <f t="shared" si="106"/>
        <v>33.6</v>
      </c>
      <c r="F360" s="147">
        <f t="array" ref="F360">IF(D360=0,0,IF(D360=1,C360*$F$3,C360*$F$3*2))</f>
        <v>28</v>
      </c>
      <c r="G360" s="147">
        <f t="array" ref="G360">IF(D360&gt;2,C360*(D360-2)*$G$3,0)</f>
        <v>0</v>
      </c>
      <c r="H360" s="94">
        <f t="shared" si="107"/>
        <v>61.6</v>
      </c>
      <c r="I360" s="20" t="s">
        <v>147</v>
      </c>
      <c r="J360" s="27"/>
      <c r="K360" s="22"/>
    </row>
    <row r="361" spans="1:18" ht="16.5" thickBot="1" x14ac:dyDescent="0.3">
      <c r="A361" s="27"/>
      <c r="B361" s="95"/>
      <c r="C361" s="95"/>
      <c r="D361" s="26"/>
      <c r="E361" s="126"/>
      <c r="F361" s="126"/>
      <c r="G361" s="126"/>
      <c r="H361" s="141">
        <f>SUM(H334:H360)</f>
        <v>997.6</v>
      </c>
      <c r="I361" s="154"/>
      <c r="J361" s="27"/>
      <c r="K361" s="22"/>
    </row>
    <row r="362" spans="1:18" ht="16.5" thickBot="1" x14ac:dyDescent="0.3">
      <c r="A362" s="27"/>
      <c r="B362" s="26"/>
      <c r="C362" s="13"/>
      <c r="D362" s="26"/>
      <c r="E362" s="126"/>
      <c r="F362" s="126"/>
      <c r="G362" s="146" t="s">
        <v>159</v>
      </c>
      <c r="H362" s="141">
        <f>SUM(H361,H333)</f>
        <v>2543.9999999999995</v>
      </c>
      <c r="I362" s="74"/>
      <c r="J362" s="27"/>
      <c r="K362" s="22"/>
    </row>
    <row r="363" spans="1:18" x14ac:dyDescent="0.25">
      <c r="A363" s="27"/>
      <c r="B363" s="26"/>
      <c r="C363" s="13"/>
      <c r="D363" s="26"/>
      <c r="E363" s="126"/>
      <c r="F363" s="126"/>
      <c r="G363" s="126"/>
      <c r="H363" s="94"/>
      <c r="I363" s="74"/>
      <c r="J363" s="27"/>
      <c r="K363" s="22"/>
    </row>
    <row r="364" spans="1:18" s="27" customFormat="1" x14ac:dyDescent="0.25">
      <c r="B364" s="26"/>
      <c r="C364" s="144"/>
      <c r="D364" s="26"/>
      <c r="E364" s="126"/>
      <c r="F364" s="126"/>
      <c r="G364" s="146" t="s">
        <v>158</v>
      </c>
      <c r="H364" s="94">
        <f>H35+H147+H296</f>
        <v>10753.8</v>
      </c>
      <c r="I364" s="94">
        <f>SUMIF($I$7:$I$360,J364,$H$7:H360)</f>
        <v>10695.000000000007</v>
      </c>
      <c r="J364" s="26" t="s">
        <v>30</v>
      </c>
      <c r="K364" s="71">
        <f>I364-H364</f>
        <v>-58.799999999991996</v>
      </c>
      <c r="L364" s="1"/>
      <c r="M364" s="1"/>
      <c r="N364" s="1"/>
      <c r="O364" s="1"/>
      <c r="P364" s="1"/>
      <c r="Q364" s="1"/>
      <c r="R364" s="1"/>
    </row>
    <row r="365" spans="1:18" s="27" customFormat="1" x14ac:dyDescent="0.25">
      <c r="B365" s="26"/>
      <c r="C365" s="144"/>
      <c r="D365" s="26"/>
      <c r="E365" s="126"/>
      <c r="F365" s="126"/>
      <c r="G365" s="146" t="s">
        <v>159</v>
      </c>
      <c r="H365" s="94">
        <f>H57+H213+H362</f>
        <v>6053.5999999999985</v>
      </c>
      <c r="I365" s="94">
        <f>SUMIF($I$7:$I$360,J365,$H$7:H361)</f>
        <v>6022.8000000000047</v>
      </c>
      <c r="J365" s="20" t="s">
        <v>147</v>
      </c>
      <c r="K365" s="71">
        <f>I365-H365</f>
        <v>-30.799999999993815</v>
      </c>
      <c r="L365" s="1"/>
      <c r="M365" s="1"/>
      <c r="N365" s="1"/>
      <c r="O365" s="1"/>
      <c r="P365" s="1"/>
      <c r="Q365" s="1"/>
      <c r="R365" s="1"/>
    </row>
    <row r="366" spans="1:18" s="27" customFormat="1" x14ac:dyDescent="0.25">
      <c r="A366" s="53"/>
      <c r="B366" s="49"/>
      <c r="C366" s="155"/>
      <c r="D366" s="26"/>
      <c r="E366" s="126"/>
      <c r="F366" s="126"/>
      <c r="G366" s="126"/>
      <c r="H366" s="38">
        <f>SUM(H364:H365)</f>
        <v>16807.399999999998</v>
      </c>
      <c r="I366" s="38">
        <f>SUM(I364:I365)</f>
        <v>16717.80000000001</v>
      </c>
      <c r="K366" s="1"/>
      <c r="L366" s="1"/>
      <c r="M366" s="1"/>
      <c r="N366" s="1"/>
      <c r="O366" s="1"/>
      <c r="P366" s="1"/>
      <c r="Q366" s="1"/>
      <c r="R366" s="1"/>
    </row>
    <row r="367" spans="1:18" s="27" customFormat="1" x14ac:dyDescent="0.25">
      <c r="A367" s="53"/>
      <c r="B367" s="49"/>
      <c r="C367" s="155"/>
      <c r="D367" s="26"/>
      <c r="E367" s="126"/>
      <c r="F367" s="126"/>
      <c r="G367" s="126"/>
      <c r="H367" s="94"/>
      <c r="I367" s="21"/>
      <c r="K367" s="1"/>
      <c r="L367" s="1"/>
      <c r="M367" s="1"/>
      <c r="N367" s="1"/>
      <c r="O367" s="1"/>
      <c r="P367" s="1"/>
      <c r="Q367" s="1"/>
      <c r="R367" s="1"/>
    </row>
    <row r="368" spans="1:18" s="27" customFormat="1" ht="16.5" thickBot="1" x14ac:dyDescent="0.3">
      <c r="A368" s="53"/>
      <c r="B368" s="49"/>
      <c r="C368" s="155"/>
      <c r="D368" s="26"/>
      <c r="E368" s="126"/>
      <c r="F368" s="126"/>
      <c r="G368" s="126"/>
      <c r="H368" s="175" t="s">
        <v>61</v>
      </c>
      <c r="I368" s="176"/>
      <c r="K368" s="1"/>
      <c r="L368" s="1"/>
      <c r="M368" s="1"/>
      <c r="N368" s="1"/>
      <c r="O368" s="1"/>
      <c r="P368" s="1"/>
      <c r="Q368" s="1"/>
      <c r="R368" s="1"/>
    </row>
    <row r="369" spans="1:20" s="27" customFormat="1" ht="16.5" thickBot="1" x14ac:dyDescent="0.3">
      <c r="A369" s="19" t="s">
        <v>103</v>
      </c>
      <c r="B369" s="157"/>
      <c r="C369" s="158" t="s">
        <v>123</v>
      </c>
      <c r="D369" s="159"/>
      <c r="E369" s="160"/>
      <c r="F369" s="158" t="s">
        <v>124</v>
      </c>
      <c r="G369" s="161"/>
      <c r="H369" s="175" t="s">
        <v>62</v>
      </c>
      <c r="I369" s="176"/>
      <c r="J369" s="30" t="s">
        <v>109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s="19" customFormat="1" x14ac:dyDescent="0.25">
      <c r="A370" s="15" t="s">
        <v>98</v>
      </c>
      <c r="B370" s="162">
        <f>H35</f>
        <v>1631.8000000000002</v>
      </c>
      <c r="C370" s="992">
        <f>B370/$B$373</f>
        <v>0.15174170990719563</v>
      </c>
      <c r="D370" s="163">
        <f>$B$381*C370</f>
        <v>3664856.0212643384</v>
      </c>
      <c r="E370" s="162">
        <f>H57</f>
        <v>690.80000000000018</v>
      </c>
      <c r="F370" s="992">
        <f>E370/$E$373</f>
        <v>0.11411391568653369</v>
      </c>
      <c r="G370" s="163">
        <f>$B$384*F370</f>
        <v>1265296.0881439317</v>
      </c>
      <c r="H370" s="163">
        <f>'2_Projekty_BP_DP'!J5</f>
        <v>504000</v>
      </c>
      <c r="I370" s="163">
        <f>D370+G370+H370</f>
        <v>5434152.1094082706</v>
      </c>
      <c r="J370" s="994">
        <f>I370/$I$373</f>
        <v>0.14439496570840837</v>
      </c>
      <c r="K370" s="1"/>
      <c r="L370" s="1"/>
      <c r="M370" s="1"/>
      <c r="N370" s="1"/>
      <c r="O370" s="1"/>
      <c r="P370" s="1"/>
      <c r="Q370" s="1"/>
      <c r="R370" s="1"/>
    </row>
    <row r="371" spans="1:20" s="19" customFormat="1" x14ac:dyDescent="0.25">
      <c r="A371" s="15" t="s">
        <v>99</v>
      </c>
      <c r="B371" s="164">
        <f>H147</f>
        <v>5467.7999999999993</v>
      </c>
      <c r="C371" s="716">
        <f>B371/$B$373</f>
        <v>0.50845282597779384</v>
      </c>
      <c r="D371" s="165">
        <f>$B$381*C371</f>
        <v>12280119.9614347</v>
      </c>
      <c r="E371" s="164">
        <f>H213</f>
        <v>2818.7999999999993</v>
      </c>
      <c r="F371" s="716">
        <f>E371/$E$373</f>
        <v>0.46564028016386944</v>
      </c>
      <c r="G371" s="165">
        <f>$B$384*F371</f>
        <v>5163023.4702665219</v>
      </c>
      <c r="H371" s="165">
        <f>'2_Projekty_BP_DP'!J6</f>
        <v>1262000</v>
      </c>
      <c r="I371" s="165">
        <f>D371+G371+H371</f>
        <v>18705143.431701221</v>
      </c>
      <c r="J371" s="995">
        <f>I371/$I$373</f>
        <v>0.49702851337473219</v>
      </c>
      <c r="K371" s="1"/>
      <c r="L371" s="1"/>
      <c r="M371" s="1"/>
      <c r="N371" s="1"/>
      <c r="O371" s="1"/>
      <c r="P371" s="1"/>
      <c r="Q371" s="1"/>
      <c r="R371" s="1"/>
    </row>
    <row r="372" spans="1:20" s="19" customFormat="1" ht="16.5" thickBot="1" x14ac:dyDescent="0.3">
      <c r="A372" s="15" t="s">
        <v>100</v>
      </c>
      <c r="B372" s="164">
        <f>H296</f>
        <v>3654.1999999999994</v>
      </c>
      <c r="C372" s="716">
        <f>B372/$B$373</f>
        <v>0.33980546411501045</v>
      </c>
      <c r="D372" s="165">
        <f>$B$381*C372</f>
        <v>8206959.721108065</v>
      </c>
      <c r="E372" s="164">
        <f>H362</f>
        <v>2543.9999999999995</v>
      </c>
      <c r="F372" s="716">
        <f>E372/$E$373</f>
        <v>0.42024580414959695</v>
      </c>
      <c r="G372" s="165">
        <f>$B$384*F372</f>
        <v>4659689.1259961799</v>
      </c>
      <c r="H372" s="165">
        <f>'2_Projekty_BP_DP'!J7</f>
        <v>628000</v>
      </c>
      <c r="I372" s="165">
        <f>D372+G372+H372</f>
        <v>13494648.847104244</v>
      </c>
      <c r="J372" s="995">
        <f>I372/$I$373</f>
        <v>0.35857652091685932</v>
      </c>
      <c r="K372" s="1"/>
      <c r="L372" s="1"/>
      <c r="M372" s="1"/>
      <c r="N372" s="1"/>
      <c r="O372" s="1"/>
      <c r="P372" s="1"/>
      <c r="Q372" s="1"/>
      <c r="R372" s="1"/>
    </row>
    <row r="373" spans="1:20" s="29" customFormat="1" ht="16.5" thickBot="1" x14ac:dyDescent="0.3">
      <c r="A373" s="27"/>
      <c r="B373" s="166">
        <f t="shared" ref="B373:J373" si="108">SUM(B370:B372)</f>
        <v>10753.8</v>
      </c>
      <c r="C373" s="993">
        <f t="shared" si="108"/>
        <v>0.99999999999999989</v>
      </c>
      <c r="D373" s="167">
        <f t="shared" si="108"/>
        <v>24151935.703807104</v>
      </c>
      <c r="E373" s="166">
        <f t="shared" si="108"/>
        <v>6053.5999999999985</v>
      </c>
      <c r="F373" s="993">
        <f t="shared" si="108"/>
        <v>1</v>
      </c>
      <c r="G373" s="168">
        <f t="shared" si="108"/>
        <v>11088008.684406634</v>
      </c>
      <c r="H373" s="169">
        <f t="shared" si="108"/>
        <v>2394000</v>
      </c>
      <c r="I373" s="170">
        <f t="shared" si="108"/>
        <v>37633944.388213739</v>
      </c>
      <c r="J373" s="993">
        <f t="shared" si="108"/>
        <v>0.99999999999999989</v>
      </c>
      <c r="K373" s="1"/>
      <c r="L373" s="1"/>
      <c r="M373" s="1"/>
      <c r="N373" s="1"/>
      <c r="O373" s="1"/>
      <c r="P373" s="1"/>
      <c r="Q373" s="1"/>
      <c r="R373" s="1"/>
    </row>
    <row r="374" spans="1:20" s="27" customFormat="1" x14ac:dyDescent="0.25">
      <c r="B374" s="26"/>
      <c r="C374" s="13"/>
      <c r="D374" s="783">
        <f>D373-B381</f>
        <v>0</v>
      </c>
      <c r="E374" s="38">
        <f>B373+E373</f>
        <v>16807.399999999998</v>
      </c>
      <c r="F374" s="126"/>
      <c r="G374" s="783">
        <f>G373-B384</f>
        <v>0</v>
      </c>
      <c r="H374" s="783">
        <f>H373-(B380+B383)</f>
        <v>0</v>
      </c>
      <c r="I374" s="783">
        <f>I373-B385</f>
        <v>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s="27" customFormat="1" ht="16.5" thickBot="1" x14ac:dyDescent="0.3">
      <c r="B375" s="26"/>
      <c r="C375" s="13"/>
      <c r="D375" s="26"/>
      <c r="E375" s="146"/>
      <c r="F375" s="126"/>
      <c r="G375" s="126"/>
      <c r="H375" s="126"/>
      <c r="I375" s="2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s="27" customFormat="1" ht="16.5" thickBot="1" x14ac:dyDescent="0.3">
      <c r="C376" s="709" t="s">
        <v>154</v>
      </c>
      <c r="D376" s="712">
        <f>D373/B373</f>
        <v>2245.8977946220971</v>
      </c>
      <c r="E376" s="711"/>
      <c r="F376" s="709" t="s">
        <v>155</v>
      </c>
      <c r="G376" s="712">
        <f>G373/E373</f>
        <v>1831.6388073884361</v>
      </c>
      <c r="H376" s="710"/>
      <c r="I376" s="2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s="27" customFormat="1" x14ac:dyDescent="0.25">
      <c r="C377" s="688"/>
      <c r="D377" s="689"/>
      <c r="E377" s="690"/>
      <c r="F377" s="688"/>
      <c r="G377" s="689"/>
      <c r="H377" s="690"/>
      <c r="I377" s="2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s="27" customFormat="1" ht="16.5" thickBot="1" x14ac:dyDescent="0.3">
      <c r="I378" s="2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s="27" customFormat="1" ht="16.5" thickBot="1" x14ac:dyDescent="0.3">
      <c r="A379" s="27" t="s">
        <v>453</v>
      </c>
      <c r="B379" s="604">
        <f>'1_Bc_Mag_DSP'!F6</f>
        <v>25619935.703807104</v>
      </c>
      <c r="D379" s="13"/>
      <c r="E379" s="126"/>
      <c r="F379" s="126"/>
      <c r="G379" s="13"/>
      <c r="H379" s="126"/>
      <c r="I379" s="2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s="27" customFormat="1" x14ac:dyDescent="0.25">
      <c r="A380" s="30" t="s">
        <v>454</v>
      </c>
      <c r="B380" s="172">
        <f>'2_Projekty_BP_DP'!G9</f>
        <v>1468000</v>
      </c>
      <c r="D380" s="13"/>
      <c r="E380" s="126"/>
      <c r="F380" s="126"/>
      <c r="G380" s="13"/>
      <c r="H380" s="126"/>
      <c r="I380" s="2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s="27" customFormat="1" ht="16.5" thickBot="1" x14ac:dyDescent="0.3">
      <c r="A381" s="30" t="s">
        <v>455</v>
      </c>
      <c r="B381" s="173">
        <f>B379-B380</f>
        <v>24151935.703807104</v>
      </c>
      <c r="D381" s="26"/>
      <c r="E381" s="126"/>
      <c r="F381" s="126"/>
      <c r="G381" s="174"/>
      <c r="H381" s="72"/>
      <c r="I381" s="21"/>
      <c r="K381" s="1"/>
      <c r="L381" s="1"/>
      <c r="M381" s="1"/>
      <c r="N381" s="1"/>
      <c r="O381" s="1"/>
      <c r="P381" s="1"/>
      <c r="Q381" s="1"/>
      <c r="R381" s="1"/>
    </row>
    <row r="382" spans="1:20" s="27" customFormat="1" ht="16.5" thickBot="1" x14ac:dyDescent="0.3">
      <c r="A382" s="27" t="s">
        <v>456</v>
      </c>
      <c r="B382" s="604">
        <f>'1_Bc_Mag_DSP'!F7</f>
        <v>12014008.684406633</v>
      </c>
      <c r="C382" s="133" t="s">
        <v>222</v>
      </c>
      <c r="D382" s="26"/>
      <c r="E382" s="126"/>
      <c r="F382" s="126"/>
      <c r="G382" s="126"/>
      <c r="H382" s="126"/>
      <c r="I382" s="21"/>
      <c r="K382" s="1"/>
      <c r="L382" s="1"/>
      <c r="M382" s="1"/>
      <c r="N382" s="1"/>
      <c r="O382" s="1"/>
      <c r="P382" s="1"/>
      <c r="Q382" s="1"/>
      <c r="R382" s="1"/>
    </row>
    <row r="383" spans="1:20" s="27" customFormat="1" x14ac:dyDescent="0.25">
      <c r="A383" s="30" t="s">
        <v>457</v>
      </c>
      <c r="B383" s="172">
        <f>'2_Projekty_BP_DP'!G10</f>
        <v>926000</v>
      </c>
      <c r="C383" s="707">
        <f>B380+B383</f>
        <v>2394000</v>
      </c>
      <c r="D383" s="26"/>
      <c r="E383" s="126"/>
      <c r="F383" s="126"/>
      <c r="H383" s="126"/>
      <c r="I383" s="21"/>
      <c r="L383" s="22"/>
    </row>
    <row r="384" spans="1:20" s="27" customFormat="1" ht="16.5" thickBot="1" x14ac:dyDescent="0.3">
      <c r="A384" s="30" t="s">
        <v>458</v>
      </c>
      <c r="B384" s="708">
        <f>B382-B383</f>
        <v>11088008.684406633</v>
      </c>
      <c r="C384" s="709" t="s">
        <v>351</v>
      </c>
      <c r="D384" s="26"/>
      <c r="E384" s="126"/>
      <c r="F384" s="126"/>
      <c r="G384" s="126"/>
      <c r="H384" s="126"/>
      <c r="I384" s="21"/>
      <c r="L384" s="22"/>
    </row>
    <row r="385" spans="1:12" s="27" customFormat="1" ht="16.5" thickBot="1" x14ac:dyDescent="0.3">
      <c r="A385" s="19" t="s">
        <v>992</v>
      </c>
      <c r="B385" s="170">
        <f>B382+B379</f>
        <v>37633944.388213739</v>
      </c>
      <c r="C385" s="719">
        <f>'1_Bc_Mag_DSP'!F6+'1_Bc_Mag_DSP'!F7</f>
        <v>37633944.388213739</v>
      </c>
      <c r="D385" s="26"/>
      <c r="E385" s="126"/>
      <c r="F385" s="126"/>
      <c r="G385" s="126"/>
      <c r="H385" s="126"/>
      <c r="I385" s="21"/>
      <c r="L385" s="22"/>
    </row>
    <row r="386" spans="1:12" s="44" customFormat="1" x14ac:dyDescent="0.25">
      <c r="C386" s="108"/>
      <c r="D386" s="40"/>
      <c r="E386" s="107"/>
      <c r="F386" s="107"/>
      <c r="G386" s="107"/>
      <c r="H386" s="107"/>
      <c r="I386" s="21"/>
      <c r="L386" s="153"/>
    </row>
    <row r="387" spans="1:12" s="44" customFormat="1" x14ac:dyDescent="0.25">
      <c r="I387" s="21"/>
    </row>
    <row r="388" spans="1:12" s="44" customFormat="1" x14ac:dyDescent="0.25">
      <c r="I388" s="21"/>
    </row>
    <row r="389" spans="1:12" s="44" customFormat="1" x14ac:dyDescent="0.25">
      <c r="A389" s="53"/>
      <c r="C389" s="53"/>
      <c r="D389" s="53"/>
      <c r="E389" s="53"/>
      <c r="F389" s="53"/>
      <c r="I389" s="21"/>
    </row>
    <row r="390" spans="1:12" s="44" customFormat="1" x14ac:dyDescent="0.25">
      <c r="A390" s="45"/>
      <c r="B390" s="861"/>
      <c r="C390" s="716"/>
      <c r="D390" s="109"/>
      <c r="E390" s="861"/>
      <c r="F390" s="716"/>
      <c r="G390" s="109"/>
      <c r="H390" s="109"/>
      <c r="I390" s="109"/>
      <c r="J390" s="387"/>
    </row>
    <row r="391" spans="1:12" s="44" customFormat="1" x14ac:dyDescent="0.25">
      <c r="A391" s="45"/>
      <c r="B391" s="861"/>
      <c r="C391" s="860"/>
      <c r="D391" s="109"/>
      <c r="E391" s="861"/>
      <c r="F391" s="716"/>
      <c r="G391" s="109"/>
      <c r="H391" s="109"/>
      <c r="I391" s="109"/>
      <c r="J391" s="387"/>
    </row>
    <row r="392" spans="1:12" s="44" customFormat="1" x14ac:dyDescent="0.25">
      <c r="A392" s="45"/>
      <c r="B392" s="861"/>
      <c r="C392" s="860"/>
      <c r="D392" s="863">
        <v>1956.9016126430927</v>
      </c>
      <c r="E392" s="861"/>
      <c r="F392" s="860"/>
      <c r="G392" s="863">
        <v>1375.5176651238405</v>
      </c>
      <c r="H392" s="109"/>
      <c r="I392" s="109"/>
      <c r="J392" s="387"/>
    </row>
    <row r="393" spans="1:12" s="44" customFormat="1" x14ac:dyDescent="0.25">
      <c r="B393" s="28"/>
      <c r="C393" s="860"/>
      <c r="D393" s="971">
        <f>D376/D392</f>
        <v>1.1476804863933201</v>
      </c>
      <c r="E393" s="28"/>
      <c r="F393" s="860"/>
      <c r="G393" s="971">
        <f>G376/G392</f>
        <v>1.3315996252389315</v>
      </c>
      <c r="H393" s="707"/>
      <c r="I393" s="717"/>
      <c r="J393" s="387"/>
    </row>
    <row r="394" spans="1:12" s="44" customFormat="1" x14ac:dyDescent="0.25">
      <c r="B394" s="28"/>
      <c r="C394" s="860"/>
      <c r="D394" s="718"/>
      <c r="E394" s="28"/>
      <c r="F394" s="860"/>
      <c r="G394" s="708"/>
      <c r="H394" s="707"/>
      <c r="I394" s="717"/>
      <c r="J394" s="387"/>
    </row>
    <row r="395" spans="1:12" s="44" customFormat="1" x14ac:dyDescent="0.25">
      <c r="A395" s="53"/>
      <c r="C395" s="53"/>
      <c r="D395" s="53"/>
      <c r="E395" s="53"/>
      <c r="F395" s="53"/>
      <c r="I395" s="21"/>
    </row>
    <row r="396" spans="1:12" s="44" customFormat="1" x14ac:dyDescent="0.25">
      <c r="A396" s="45"/>
      <c r="B396" s="861"/>
      <c r="C396" s="716"/>
      <c r="D396" s="109"/>
      <c r="E396" s="861"/>
      <c r="F396" s="716"/>
      <c r="G396" s="109"/>
      <c r="H396" s="109"/>
      <c r="I396" s="109"/>
      <c r="J396" s="387"/>
    </row>
    <row r="397" spans="1:12" s="44" customFormat="1" x14ac:dyDescent="0.25">
      <c r="A397" s="45"/>
      <c r="B397" s="861"/>
      <c r="C397" s="860"/>
      <c r="D397" s="109"/>
      <c r="E397" s="861"/>
      <c r="F397" s="716"/>
      <c r="G397" s="109"/>
      <c r="H397" s="109"/>
      <c r="I397" s="109"/>
      <c r="J397" s="387"/>
    </row>
    <row r="398" spans="1:12" s="44" customFormat="1" x14ac:dyDescent="0.25">
      <c r="A398" s="45"/>
      <c r="B398" s="861"/>
      <c r="C398" s="860"/>
      <c r="D398" s="109"/>
      <c r="E398" s="861"/>
      <c r="F398" s="860"/>
      <c r="G398" s="109"/>
      <c r="H398" s="109"/>
      <c r="I398" s="109"/>
      <c r="J398" s="387"/>
    </row>
    <row r="399" spans="1:12" s="44" customFormat="1" x14ac:dyDescent="0.25">
      <c r="B399" s="861"/>
      <c r="C399" s="860"/>
      <c r="D399" s="109"/>
      <c r="E399" s="28"/>
      <c r="F399" s="860"/>
      <c r="G399" s="708"/>
      <c r="H399" s="707"/>
      <c r="I399" s="717"/>
      <c r="J399" s="387"/>
    </row>
    <row r="400" spans="1:12" s="44" customFormat="1" x14ac:dyDescent="0.25">
      <c r="I400" s="21"/>
    </row>
    <row r="401" spans="1:10" s="44" customFormat="1" x14ac:dyDescent="0.25">
      <c r="A401" s="53"/>
      <c r="C401" s="53"/>
      <c r="F401" s="53"/>
      <c r="I401" s="21"/>
    </row>
    <row r="402" spans="1:10" s="44" customFormat="1" x14ac:dyDescent="0.25">
      <c r="A402" s="45"/>
      <c r="B402" s="861"/>
      <c r="C402" s="862"/>
      <c r="D402" s="109"/>
      <c r="E402" s="861"/>
      <c r="F402" s="860"/>
      <c r="G402" s="109"/>
      <c r="H402" s="109"/>
      <c r="I402" s="109"/>
      <c r="J402" s="387"/>
    </row>
    <row r="403" spans="1:10" s="44" customFormat="1" x14ac:dyDescent="0.25">
      <c r="A403" s="45"/>
      <c r="B403" s="861"/>
      <c r="C403" s="387"/>
      <c r="D403" s="109"/>
      <c r="E403" s="861"/>
      <c r="F403" s="860"/>
      <c r="G403" s="109"/>
      <c r="H403" s="109"/>
      <c r="I403" s="109"/>
      <c r="J403" s="387"/>
    </row>
    <row r="404" spans="1:10" s="44" customFormat="1" x14ac:dyDescent="0.25">
      <c r="A404" s="45"/>
      <c r="B404" s="861"/>
      <c r="C404" s="387"/>
      <c r="D404" s="109"/>
      <c r="E404" s="861"/>
      <c r="F404" s="860"/>
      <c r="G404" s="109"/>
      <c r="H404" s="109"/>
      <c r="I404" s="109"/>
      <c r="J404" s="387"/>
    </row>
    <row r="405" spans="1:10" s="44" customFormat="1" x14ac:dyDescent="0.25">
      <c r="B405" s="28"/>
      <c r="C405" s="860"/>
      <c r="D405" s="718"/>
      <c r="E405" s="28"/>
      <c r="F405" s="860"/>
      <c r="G405" s="708"/>
      <c r="H405" s="707"/>
      <c r="I405" s="863"/>
      <c r="J405" s="860"/>
    </row>
    <row r="406" spans="1:10" s="44" customFormat="1" x14ac:dyDescent="0.25">
      <c r="I406" s="21"/>
    </row>
    <row r="407" spans="1:10" s="44" customFormat="1" x14ac:dyDescent="0.25">
      <c r="A407" s="53"/>
      <c r="C407" s="53"/>
      <c r="F407" s="53"/>
      <c r="I407" s="21"/>
    </row>
    <row r="408" spans="1:10" s="44" customFormat="1" x14ac:dyDescent="0.25">
      <c r="A408" s="45"/>
      <c r="B408" s="861"/>
      <c r="C408" s="862"/>
      <c r="D408" s="109"/>
      <c r="E408" s="861"/>
      <c r="F408" s="860"/>
      <c r="G408" s="28"/>
      <c r="H408" s="109"/>
      <c r="I408" s="109"/>
      <c r="J408" s="387"/>
    </row>
    <row r="409" spans="1:10" s="44" customFormat="1" x14ac:dyDescent="0.25">
      <c r="A409" s="45"/>
      <c r="B409" s="861"/>
      <c r="C409" s="387"/>
      <c r="D409" s="109"/>
      <c r="E409" s="861"/>
      <c r="F409" s="860"/>
      <c r="G409" s="28"/>
      <c r="H409" s="109"/>
      <c r="I409" s="109"/>
      <c r="J409" s="387"/>
    </row>
    <row r="410" spans="1:10" s="44" customFormat="1" x14ac:dyDescent="0.25">
      <c r="A410" s="45"/>
      <c r="B410" s="861"/>
      <c r="C410" s="387"/>
      <c r="D410" s="109"/>
      <c r="E410" s="861"/>
      <c r="F410" s="860"/>
      <c r="G410" s="28"/>
      <c r="H410" s="109"/>
      <c r="I410" s="109"/>
      <c r="J410" s="387"/>
    </row>
    <row r="411" spans="1:10" s="44" customFormat="1" x14ac:dyDescent="0.25">
      <c r="B411" s="28"/>
      <c r="C411" s="860"/>
      <c r="D411" s="718"/>
      <c r="E411" s="28"/>
      <c r="F411" s="860"/>
      <c r="G411" s="708"/>
      <c r="H411" s="707"/>
      <c r="I411" s="863"/>
      <c r="J411" s="860"/>
    </row>
    <row r="412" spans="1:10" s="44" customFormat="1" x14ac:dyDescent="0.25"/>
    <row r="413" spans="1:10" s="44" customFormat="1" x14ac:dyDescent="0.25">
      <c r="I413" s="21"/>
    </row>
  </sheetData>
  <phoneticPr fontId="0" type="noConversion"/>
  <printOptions gridLines="1"/>
  <pageMargins left="0" right="0" top="1.1811023622047245" bottom="0.19685039370078741" header="0.78740157480314965" footer="0.51181102362204722"/>
  <pageSetup paperSize="9" scale="87" fitToHeight="9" orientation="landscape" r:id="rId1"/>
  <headerFooter alignWithMargins="0">
    <oddHeader>&amp;L&amp;Z&amp;F&amp;R&amp;"times,Roman"List: 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P52"/>
  <sheetViews>
    <sheetView topLeftCell="C15" workbookViewId="0">
      <selection activeCell="D48" sqref="D48"/>
    </sheetView>
  </sheetViews>
  <sheetFormatPr defaultColWidth="9.140625" defaultRowHeight="15.75" x14ac:dyDescent="0.25"/>
  <cols>
    <col min="1" max="1" width="3.85546875" style="1" bestFit="1" customWidth="1"/>
    <col min="2" max="2" width="22.42578125" style="1" bestFit="1" customWidth="1"/>
    <col min="3" max="3" width="44.42578125" style="1" bestFit="1" customWidth="1"/>
    <col min="4" max="4" width="29" style="1" customWidth="1"/>
    <col min="5" max="5" width="33.28515625" style="1" bestFit="1" customWidth="1"/>
    <col min="6" max="7" width="6.7109375" style="1" bestFit="1" customWidth="1"/>
    <col min="8" max="8" width="13" style="1" customWidth="1"/>
    <col min="9" max="9" width="12" style="1" customWidth="1"/>
    <col min="10" max="10" width="33.28515625" style="1" bestFit="1" customWidth="1"/>
    <col min="11" max="11" width="7.140625" style="1" customWidth="1"/>
    <col min="12" max="12" width="12.85546875" style="1" customWidth="1"/>
    <col min="13" max="13" width="7" style="3" customWidth="1"/>
    <col min="14" max="14" width="17.28515625" style="1" customWidth="1"/>
    <col min="15" max="15" width="25.85546875" style="1" bestFit="1" customWidth="1"/>
    <col min="16" max="16" width="14.5703125" style="1" customWidth="1"/>
    <col min="17" max="16384" width="9.140625" style="1"/>
  </cols>
  <sheetData>
    <row r="1" spans="1:16" s="2" customFormat="1" x14ac:dyDescent="0.25">
      <c r="A1" s="491" t="s">
        <v>503</v>
      </c>
      <c r="B1" s="491" t="s">
        <v>504</v>
      </c>
      <c r="C1" s="491" t="s">
        <v>505</v>
      </c>
      <c r="D1" s="491" t="s">
        <v>194</v>
      </c>
      <c r="E1" s="491" t="s">
        <v>506</v>
      </c>
      <c r="F1" s="491" t="s">
        <v>547</v>
      </c>
      <c r="G1" s="491" t="s">
        <v>548</v>
      </c>
      <c r="H1" s="491" t="s">
        <v>507</v>
      </c>
      <c r="I1" s="491" t="s">
        <v>508</v>
      </c>
      <c r="J1" s="491" t="s">
        <v>509</v>
      </c>
      <c r="K1" s="491" t="s">
        <v>551</v>
      </c>
      <c r="L1" s="491" t="s">
        <v>552</v>
      </c>
      <c r="M1" s="883" t="s">
        <v>553</v>
      </c>
      <c r="N1" s="491" t="s">
        <v>554</v>
      </c>
      <c r="O1" s="491" t="s">
        <v>351</v>
      </c>
      <c r="P1" s="2" t="s">
        <v>984</v>
      </c>
    </row>
    <row r="2" spans="1:16" ht="16.149999999999999" customHeight="1" x14ac:dyDescent="0.25">
      <c r="A2" s="490" t="s">
        <v>147</v>
      </c>
      <c r="B2" s="490" t="s">
        <v>510</v>
      </c>
      <c r="C2" s="490" t="s">
        <v>511</v>
      </c>
      <c r="D2" s="490"/>
      <c r="E2" s="490"/>
      <c r="F2" s="490" t="s">
        <v>197</v>
      </c>
      <c r="G2" s="490" t="s">
        <v>512</v>
      </c>
      <c r="H2" s="877">
        <v>44120</v>
      </c>
      <c r="I2" s="877">
        <v>47772</v>
      </c>
      <c r="J2" s="490" t="s">
        <v>513</v>
      </c>
      <c r="K2" s="490" t="s">
        <v>1</v>
      </c>
      <c r="L2" s="490">
        <f>COUNTIF($J$2:$J$39,J2)</f>
        <v>1</v>
      </c>
      <c r="M2" s="823" t="s">
        <v>16</v>
      </c>
      <c r="N2" s="490">
        <f>IF(M2="A",2000,0)</f>
        <v>2000</v>
      </c>
      <c r="O2" s="875" t="str">
        <f t="shared" ref="O2:O17" si="0">IF(SUMIF($J$2:$J$35,J2,$N$2:$N$35)=0,"!!","")</f>
        <v/>
      </c>
      <c r="P2" s="1">
        <f>SUMIF($J$2:$J$36,J2,$N$2:$N$36)</f>
        <v>2000</v>
      </c>
    </row>
    <row r="3" spans="1:16" ht="16.149999999999999" customHeight="1" x14ac:dyDescent="0.25">
      <c r="A3" s="490" t="s">
        <v>147</v>
      </c>
      <c r="B3" s="490" t="s">
        <v>510</v>
      </c>
      <c r="C3" s="490" t="s">
        <v>514</v>
      </c>
      <c r="D3" s="490"/>
      <c r="E3" s="490"/>
      <c r="F3" s="490" t="s">
        <v>197</v>
      </c>
      <c r="G3" s="490" t="s">
        <v>512</v>
      </c>
      <c r="H3" s="877">
        <v>43328</v>
      </c>
      <c r="I3" s="877">
        <v>46981</v>
      </c>
      <c r="J3" s="490" t="s">
        <v>515</v>
      </c>
      <c r="K3" s="490" t="s">
        <v>3</v>
      </c>
      <c r="L3" s="490">
        <f t="shared" ref="L3:L15" si="1">COUNTIF($J$2:$J$35,J3)</f>
        <v>2</v>
      </c>
      <c r="M3" s="823" t="s">
        <v>16</v>
      </c>
      <c r="N3" s="490">
        <f t="shared" ref="N3:N34" si="2">IF(M3="A",2000,0)</f>
        <v>2000</v>
      </c>
      <c r="O3" s="884" t="str">
        <f t="shared" si="0"/>
        <v/>
      </c>
      <c r="P3" s="1">
        <f t="shared" ref="P3:P35" si="3">SUMIF($J$2:$J$36,J3,$N$2:$N$36)</f>
        <v>2000</v>
      </c>
    </row>
    <row r="4" spans="1:16" ht="16.149999999999999" customHeight="1" x14ac:dyDescent="0.25">
      <c r="A4" s="490" t="s">
        <v>147</v>
      </c>
      <c r="B4" s="490" t="s">
        <v>510</v>
      </c>
      <c r="C4" s="490" t="s">
        <v>516</v>
      </c>
      <c r="D4" s="490"/>
      <c r="E4" s="490"/>
      <c r="F4" s="490" t="s">
        <v>197</v>
      </c>
      <c r="G4" s="490" t="s">
        <v>512</v>
      </c>
      <c r="H4" s="877">
        <v>43328</v>
      </c>
      <c r="I4" s="877">
        <v>46981</v>
      </c>
      <c r="J4" s="490" t="s">
        <v>517</v>
      </c>
      <c r="K4" s="490" t="s">
        <v>2</v>
      </c>
      <c r="L4" s="490">
        <f t="shared" si="1"/>
        <v>1</v>
      </c>
      <c r="M4" s="823" t="s">
        <v>16</v>
      </c>
      <c r="N4" s="490">
        <f t="shared" si="2"/>
        <v>2000</v>
      </c>
      <c r="O4" s="884" t="str">
        <f t="shared" si="0"/>
        <v/>
      </c>
      <c r="P4" s="1">
        <f t="shared" si="3"/>
        <v>2000</v>
      </c>
    </row>
    <row r="5" spans="1:16" ht="16.149999999999999" customHeight="1" x14ac:dyDescent="0.25">
      <c r="A5" s="490" t="s">
        <v>147</v>
      </c>
      <c r="B5" s="490" t="s">
        <v>510</v>
      </c>
      <c r="C5" s="490" t="s">
        <v>518</v>
      </c>
      <c r="D5" s="490"/>
      <c r="E5" s="490"/>
      <c r="F5" s="490" t="s">
        <v>197</v>
      </c>
      <c r="G5" s="490" t="s">
        <v>512</v>
      </c>
      <c r="H5" s="877">
        <v>43386</v>
      </c>
      <c r="I5" s="877">
        <v>47039</v>
      </c>
      <c r="J5" s="490" t="s">
        <v>519</v>
      </c>
      <c r="K5" s="490" t="s">
        <v>550</v>
      </c>
      <c r="L5" s="490">
        <f t="shared" si="1"/>
        <v>3</v>
      </c>
      <c r="M5" s="823" t="s">
        <v>16</v>
      </c>
      <c r="N5" s="490">
        <f t="shared" si="2"/>
        <v>2000</v>
      </c>
      <c r="O5" s="884" t="str">
        <f t="shared" si="0"/>
        <v/>
      </c>
      <c r="P5" s="1">
        <f t="shared" si="3"/>
        <v>2000</v>
      </c>
    </row>
    <row r="6" spans="1:16" ht="16.149999999999999" customHeight="1" x14ac:dyDescent="0.25">
      <c r="A6" s="490" t="s">
        <v>147</v>
      </c>
      <c r="B6" s="490" t="s">
        <v>520</v>
      </c>
      <c r="C6" s="490" t="s">
        <v>521</v>
      </c>
      <c r="D6" s="490"/>
      <c r="E6" s="490"/>
      <c r="F6" s="490" t="s">
        <v>197</v>
      </c>
      <c r="G6" s="490" t="s">
        <v>522</v>
      </c>
      <c r="H6" s="877">
        <v>44120</v>
      </c>
      <c r="I6" s="877">
        <v>47772</v>
      </c>
      <c r="J6" s="490" t="s">
        <v>523</v>
      </c>
      <c r="K6" s="490" t="s">
        <v>1</v>
      </c>
      <c r="L6" s="490">
        <f t="shared" si="1"/>
        <v>5</v>
      </c>
      <c r="M6" s="823" t="s">
        <v>16</v>
      </c>
      <c r="N6" s="490">
        <f t="shared" si="2"/>
        <v>2000</v>
      </c>
      <c r="O6" s="884" t="str">
        <f t="shared" si="0"/>
        <v/>
      </c>
      <c r="P6" s="1">
        <f t="shared" si="3"/>
        <v>2000</v>
      </c>
    </row>
    <row r="7" spans="1:16" ht="16.149999999999999" customHeight="1" x14ac:dyDescent="0.25">
      <c r="A7" s="490" t="s">
        <v>147</v>
      </c>
      <c r="B7" s="490" t="s">
        <v>520</v>
      </c>
      <c r="C7" s="490" t="s">
        <v>524</v>
      </c>
      <c r="D7" s="490"/>
      <c r="E7" s="490"/>
      <c r="F7" s="490" t="s">
        <v>197</v>
      </c>
      <c r="G7" s="490" t="s">
        <v>522</v>
      </c>
      <c r="H7" s="877">
        <v>44049</v>
      </c>
      <c r="I7" s="877">
        <v>45875</v>
      </c>
      <c r="J7" s="490" t="s">
        <v>525</v>
      </c>
      <c r="K7" s="490" t="s">
        <v>1</v>
      </c>
      <c r="L7" s="490">
        <f t="shared" si="1"/>
        <v>3</v>
      </c>
      <c r="M7" s="823" t="s">
        <v>16</v>
      </c>
      <c r="N7" s="490">
        <f t="shared" si="2"/>
        <v>2000</v>
      </c>
      <c r="O7" s="884" t="str">
        <f t="shared" si="0"/>
        <v/>
      </c>
      <c r="P7" s="1">
        <f t="shared" si="3"/>
        <v>2000</v>
      </c>
    </row>
    <row r="8" spans="1:16" ht="16.149999999999999" customHeight="1" x14ac:dyDescent="0.25">
      <c r="A8" s="490" t="s">
        <v>147</v>
      </c>
      <c r="B8" s="490" t="s">
        <v>520</v>
      </c>
      <c r="C8" s="490" t="s">
        <v>526</v>
      </c>
      <c r="D8" s="490"/>
      <c r="E8" s="490"/>
      <c r="F8" s="490" t="s">
        <v>197</v>
      </c>
      <c r="G8" s="490" t="s">
        <v>522</v>
      </c>
      <c r="H8" s="877">
        <v>44049</v>
      </c>
      <c r="I8" s="877">
        <v>45875</v>
      </c>
      <c r="J8" s="490" t="s">
        <v>525</v>
      </c>
      <c r="K8" s="490" t="s">
        <v>1</v>
      </c>
      <c r="L8" s="490">
        <f t="shared" si="1"/>
        <v>3</v>
      </c>
      <c r="M8" s="823" t="s">
        <v>147</v>
      </c>
      <c r="N8" s="490">
        <f t="shared" si="2"/>
        <v>0</v>
      </c>
      <c r="O8" s="884" t="str">
        <f t="shared" si="0"/>
        <v/>
      </c>
      <c r="P8" s="1">
        <f t="shared" si="3"/>
        <v>2000</v>
      </c>
    </row>
    <row r="9" spans="1:16" ht="16.149999999999999" customHeight="1" x14ac:dyDescent="0.25">
      <c r="A9" s="490" t="s">
        <v>147</v>
      </c>
      <c r="B9" s="490" t="s">
        <v>520</v>
      </c>
      <c r="C9" s="490" t="s">
        <v>527</v>
      </c>
      <c r="D9" s="490"/>
      <c r="E9" s="490"/>
      <c r="F9" s="490" t="s">
        <v>197</v>
      </c>
      <c r="G9" s="490" t="s">
        <v>522</v>
      </c>
      <c r="H9" s="877">
        <v>44028</v>
      </c>
      <c r="I9" s="877">
        <v>47680</v>
      </c>
      <c r="J9" s="490" t="s">
        <v>528</v>
      </c>
      <c r="K9" s="490" t="s">
        <v>2</v>
      </c>
      <c r="L9" s="490">
        <f t="shared" si="1"/>
        <v>5</v>
      </c>
      <c r="M9" s="823" t="s">
        <v>16</v>
      </c>
      <c r="N9" s="490">
        <f t="shared" si="2"/>
        <v>2000</v>
      </c>
      <c r="O9" s="884" t="str">
        <f t="shared" si="0"/>
        <v/>
      </c>
      <c r="P9" s="1">
        <f t="shared" si="3"/>
        <v>2000</v>
      </c>
    </row>
    <row r="10" spans="1:16" ht="16.149999999999999" customHeight="1" x14ac:dyDescent="0.25">
      <c r="A10" s="490" t="s">
        <v>147</v>
      </c>
      <c r="B10" s="490" t="s">
        <v>520</v>
      </c>
      <c r="C10" s="490" t="s">
        <v>529</v>
      </c>
      <c r="D10" s="490"/>
      <c r="E10" s="490"/>
      <c r="F10" s="490" t="s">
        <v>197</v>
      </c>
      <c r="G10" s="490" t="s">
        <v>522</v>
      </c>
      <c r="H10" s="877">
        <v>43462</v>
      </c>
      <c r="I10" s="877">
        <v>47115</v>
      </c>
      <c r="J10" s="490" t="s">
        <v>528</v>
      </c>
      <c r="K10" s="490" t="s">
        <v>2</v>
      </c>
      <c r="L10" s="490">
        <f t="shared" si="1"/>
        <v>5</v>
      </c>
      <c r="M10" s="823" t="s">
        <v>147</v>
      </c>
      <c r="N10" s="490">
        <f t="shared" si="2"/>
        <v>0</v>
      </c>
      <c r="O10" s="884" t="str">
        <f t="shared" si="0"/>
        <v/>
      </c>
      <c r="P10" s="1">
        <f t="shared" si="3"/>
        <v>2000</v>
      </c>
    </row>
    <row r="11" spans="1:16" ht="16.149999999999999" customHeight="1" x14ac:dyDescent="0.25">
      <c r="A11" s="490" t="s">
        <v>147</v>
      </c>
      <c r="B11" s="490" t="s">
        <v>520</v>
      </c>
      <c r="C11" s="490" t="s">
        <v>530</v>
      </c>
      <c r="D11" s="490"/>
      <c r="E11" s="490"/>
      <c r="F11" s="490" t="s">
        <v>197</v>
      </c>
      <c r="G11" s="490" t="s">
        <v>522</v>
      </c>
      <c r="H11" s="877">
        <v>43386</v>
      </c>
      <c r="I11" s="877">
        <v>47039</v>
      </c>
      <c r="J11" s="490" t="s">
        <v>519</v>
      </c>
      <c r="K11" s="490" t="s">
        <v>550</v>
      </c>
      <c r="L11" s="490">
        <f t="shared" si="1"/>
        <v>3</v>
      </c>
      <c r="M11" s="823" t="s">
        <v>147</v>
      </c>
      <c r="N11" s="490">
        <f t="shared" si="2"/>
        <v>0</v>
      </c>
      <c r="O11" s="884" t="str">
        <f t="shared" si="0"/>
        <v/>
      </c>
      <c r="P11" s="1">
        <f t="shared" si="3"/>
        <v>2000</v>
      </c>
    </row>
    <row r="12" spans="1:16" ht="16.149999999999999" customHeight="1" x14ac:dyDescent="0.25">
      <c r="A12" s="490" t="s">
        <v>147</v>
      </c>
      <c r="B12" s="490" t="s">
        <v>531</v>
      </c>
      <c r="C12" s="490" t="s">
        <v>532</v>
      </c>
      <c r="D12" s="490"/>
      <c r="E12" s="490"/>
      <c r="F12" s="490" t="s">
        <v>215</v>
      </c>
      <c r="G12" s="490" t="s">
        <v>533</v>
      </c>
      <c r="H12" s="877">
        <v>43963</v>
      </c>
      <c r="I12" s="877">
        <v>47615</v>
      </c>
      <c r="J12" s="490" t="s">
        <v>523</v>
      </c>
      <c r="K12" s="490" t="s">
        <v>1</v>
      </c>
      <c r="L12" s="490">
        <f t="shared" si="1"/>
        <v>5</v>
      </c>
      <c r="M12" s="823" t="s">
        <v>147</v>
      </c>
      <c r="N12" s="490">
        <f t="shared" si="2"/>
        <v>0</v>
      </c>
      <c r="O12" s="884" t="str">
        <f t="shared" si="0"/>
        <v/>
      </c>
      <c r="P12" s="1">
        <f t="shared" si="3"/>
        <v>2000</v>
      </c>
    </row>
    <row r="13" spans="1:16" ht="16.149999999999999" customHeight="1" x14ac:dyDescent="0.25">
      <c r="A13" s="490" t="s">
        <v>147</v>
      </c>
      <c r="B13" s="490" t="s">
        <v>531</v>
      </c>
      <c r="C13" s="490" t="s">
        <v>534</v>
      </c>
      <c r="D13" s="490"/>
      <c r="E13" s="490"/>
      <c r="F13" s="490" t="s">
        <v>215</v>
      </c>
      <c r="G13" s="490" t="s">
        <v>533</v>
      </c>
      <c r="H13" s="877">
        <v>43963</v>
      </c>
      <c r="I13" s="877">
        <v>47615</v>
      </c>
      <c r="J13" s="490" t="s">
        <v>523</v>
      </c>
      <c r="K13" s="490" t="s">
        <v>1</v>
      </c>
      <c r="L13" s="490">
        <f t="shared" si="1"/>
        <v>5</v>
      </c>
      <c r="M13" s="823" t="s">
        <v>147</v>
      </c>
      <c r="N13" s="490">
        <f t="shared" si="2"/>
        <v>0</v>
      </c>
      <c r="O13" s="884" t="str">
        <f t="shared" si="0"/>
        <v/>
      </c>
      <c r="P13" s="1">
        <f t="shared" si="3"/>
        <v>2000</v>
      </c>
    </row>
    <row r="14" spans="1:16" ht="16.149999999999999" customHeight="1" x14ac:dyDescent="0.25">
      <c r="A14" s="490" t="s">
        <v>147</v>
      </c>
      <c r="B14" s="490" t="s">
        <v>531</v>
      </c>
      <c r="C14" s="490" t="s">
        <v>535</v>
      </c>
      <c r="D14" s="490"/>
      <c r="E14" s="490"/>
      <c r="F14" s="490" t="s">
        <v>215</v>
      </c>
      <c r="G14" s="490" t="s">
        <v>533</v>
      </c>
      <c r="H14" s="877">
        <v>43690</v>
      </c>
      <c r="I14" s="877">
        <v>47343</v>
      </c>
      <c r="J14" s="490" t="s">
        <v>536</v>
      </c>
      <c r="K14" s="490" t="s">
        <v>3</v>
      </c>
      <c r="L14" s="490">
        <f t="shared" si="1"/>
        <v>3</v>
      </c>
      <c r="M14" s="823" t="s">
        <v>16</v>
      </c>
      <c r="N14" s="490">
        <f t="shared" si="2"/>
        <v>2000</v>
      </c>
      <c r="O14" s="950" t="str">
        <f t="shared" si="0"/>
        <v/>
      </c>
      <c r="P14" s="1">
        <f t="shared" si="3"/>
        <v>2000</v>
      </c>
    </row>
    <row r="15" spans="1:16" ht="16.149999999999999" customHeight="1" x14ac:dyDescent="0.25">
      <c r="A15" s="490" t="s">
        <v>147</v>
      </c>
      <c r="B15" s="490" t="s">
        <v>531</v>
      </c>
      <c r="C15" s="490" t="s">
        <v>537</v>
      </c>
      <c r="D15" s="490"/>
      <c r="E15" s="490"/>
      <c r="F15" s="490" t="s">
        <v>215</v>
      </c>
      <c r="G15" s="490" t="s">
        <v>533</v>
      </c>
      <c r="H15" s="877">
        <v>43690</v>
      </c>
      <c r="I15" s="877">
        <v>47343</v>
      </c>
      <c r="J15" s="490" t="s">
        <v>536</v>
      </c>
      <c r="K15" s="490" t="s">
        <v>3</v>
      </c>
      <c r="L15" s="490">
        <f t="shared" si="1"/>
        <v>3</v>
      </c>
      <c r="M15" s="823" t="s">
        <v>147</v>
      </c>
      <c r="N15" s="490">
        <f t="shared" si="2"/>
        <v>0</v>
      </c>
      <c r="O15" s="950" t="str">
        <f t="shared" si="0"/>
        <v/>
      </c>
      <c r="P15" s="1">
        <f t="shared" si="3"/>
        <v>2000</v>
      </c>
    </row>
    <row r="16" spans="1:16" ht="16.149999999999999" customHeight="1" x14ac:dyDescent="0.25">
      <c r="A16" s="490" t="s">
        <v>147</v>
      </c>
      <c r="B16" s="490" t="s">
        <v>531</v>
      </c>
      <c r="C16" s="955" t="s">
        <v>982</v>
      </c>
      <c r="D16" s="953"/>
      <c r="E16" s="953"/>
      <c r="F16" s="953" t="s">
        <v>215</v>
      </c>
      <c r="G16" s="953" t="s">
        <v>533</v>
      </c>
      <c r="H16" s="953"/>
      <c r="I16" s="954"/>
      <c r="J16" s="490" t="s">
        <v>544</v>
      </c>
      <c r="K16" s="490" t="s">
        <v>1</v>
      </c>
      <c r="L16" s="490">
        <f t="shared" ref="L16:L17" si="4">COUNTIF($J$2:$J$35,J16)</f>
        <v>3</v>
      </c>
      <c r="M16" s="823" t="s">
        <v>16</v>
      </c>
      <c r="N16" s="490">
        <f t="shared" si="2"/>
        <v>2000</v>
      </c>
      <c r="O16" s="950" t="str">
        <f t="shared" si="0"/>
        <v/>
      </c>
      <c r="P16" s="1">
        <f t="shared" si="3"/>
        <v>2000</v>
      </c>
    </row>
    <row r="17" spans="1:16" ht="16.149999999999999" customHeight="1" x14ac:dyDescent="0.25">
      <c r="A17" s="490" t="s">
        <v>147</v>
      </c>
      <c r="B17" s="490" t="s">
        <v>531</v>
      </c>
      <c r="C17" s="955" t="s">
        <v>983</v>
      </c>
      <c r="D17" s="953"/>
      <c r="E17" s="953"/>
      <c r="F17" s="953" t="s">
        <v>215</v>
      </c>
      <c r="G17" s="953" t="s">
        <v>533</v>
      </c>
      <c r="H17" s="953"/>
      <c r="I17" s="954"/>
      <c r="J17" s="490" t="s">
        <v>544</v>
      </c>
      <c r="K17" s="490" t="s">
        <v>1</v>
      </c>
      <c r="L17" s="490">
        <f t="shared" si="4"/>
        <v>3</v>
      </c>
      <c r="M17" s="823" t="s">
        <v>147</v>
      </c>
      <c r="N17" s="490">
        <f t="shared" si="2"/>
        <v>0</v>
      </c>
      <c r="O17" s="950" t="str">
        <f t="shared" si="0"/>
        <v/>
      </c>
      <c r="P17" s="1">
        <f t="shared" si="3"/>
        <v>2000</v>
      </c>
    </row>
    <row r="18" spans="1:16" ht="16.149999999999999" customHeight="1" x14ac:dyDescent="0.25">
      <c r="A18" s="953"/>
      <c r="B18" s="953"/>
      <c r="C18" s="953"/>
      <c r="D18" s="953"/>
      <c r="E18" s="953"/>
      <c r="F18" s="953"/>
      <c r="G18" s="953"/>
      <c r="H18" s="953"/>
      <c r="I18" s="954"/>
      <c r="J18" s="490"/>
      <c r="K18" s="490"/>
      <c r="L18" s="490"/>
      <c r="M18" s="823"/>
      <c r="N18" s="490"/>
      <c r="O18" s="950"/>
      <c r="P18" s="1">
        <f t="shared" si="3"/>
        <v>0</v>
      </c>
    </row>
    <row r="19" spans="1:16" ht="16.149999999999999" customHeight="1" x14ac:dyDescent="0.25">
      <c r="A19" s="953"/>
      <c r="B19" s="953"/>
      <c r="C19" s="953"/>
      <c r="D19" s="953"/>
      <c r="E19" s="953"/>
      <c r="F19" s="953"/>
      <c r="G19" s="953"/>
      <c r="H19" s="953"/>
      <c r="I19" s="954"/>
      <c r="J19" s="490"/>
      <c r="K19" s="490"/>
      <c r="L19" s="490"/>
      <c r="M19" s="823"/>
      <c r="N19" s="490"/>
      <c r="O19" s="950"/>
      <c r="P19" s="1">
        <f t="shared" si="3"/>
        <v>0</v>
      </c>
    </row>
    <row r="20" spans="1:16" ht="16.149999999999999" customHeight="1" x14ac:dyDescent="0.25">
      <c r="A20" s="490" t="s">
        <v>538</v>
      </c>
      <c r="B20" s="490" t="s">
        <v>510</v>
      </c>
      <c r="C20" s="490" t="s">
        <v>195</v>
      </c>
      <c r="D20" s="490" t="s">
        <v>196</v>
      </c>
      <c r="E20" s="490" t="s">
        <v>539</v>
      </c>
      <c r="F20" s="490" t="s">
        <v>215</v>
      </c>
      <c r="G20" s="490" t="s">
        <v>512</v>
      </c>
      <c r="H20" s="490"/>
      <c r="I20" s="877">
        <v>45657</v>
      </c>
      <c r="J20" s="490" t="s">
        <v>539</v>
      </c>
      <c r="K20" s="490" t="s">
        <v>2</v>
      </c>
      <c r="L20" s="490">
        <f t="shared" ref="L20:L35" si="5">COUNTIF($J$2:$J$35,J20)</f>
        <v>1</v>
      </c>
      <c r="M20" s="823" t="s">
        <v>16</v>
      </c>
      <c r="N20" s="490">
        <f t="shared" si="2"/>
        <v>2000</v>
      </c>
      <c r="O20" s="950" t="str">
        <f t="shared" ref="O20:O29" si="6">IF(SUMIF($J$2:$J$35,J20,$N$2:$N$35)=0,"!!","")</f>
        <v/>
      </c>
      <c r="P20" s="1">
        <f t="shared" si="3"/>
        <v>2000</v>
      </c>
    </row>
    <row r="21" spans="1:16" ht="16.149999999999999" customHeight="1" x14ac:dyDescent="0.25">
      <c r="A21" s="490" t="s">
        <v>538</v>
      </c>
      <c r="B21" s="490" t="s">
        <v>510</v>
      </c>
      <c r="C21" s="490" t="s">
        <v>195</v>
      </c>
      <c r="D21" s="490" t="s">
        <v>198</v>
      </c>
      <c r="E21" s="490" t="s">
        <v>285</v>
      </c>
      <c r="F21" s="490" t="s">
        <v>215</v>
      </c>
      <c r="G21" s="490" t="s">
        <v>512</v>
      </c>
      <c r="H21" s="490"/>
      <c r="I21" s="877">
        <v>45657</v>
      </c>
      <c r="J21" s="490" t="s">
        <v>285</v>
      </c>
      <c r="K21" s="490" t="s">
        <v>3</v>
      </c>
      <c r="L21" s="490">
        <f t="shared" si="5"/>
        <v>1</v>
      </c>
      <c r="M21" s="823" t="s">
        <v>549</v>
      </c>
      <c r="N21" s="490">
        <f t="shared" si="2"/>
        <v>0</v>
      </c>
      <c r="O21" s="950" t="str">
        <f t="shared" si="6"/>
        <v>!!</v>
      </c>
      <c r="P21" s="1">
        <f t="shared" si="3"/>
        <v>0</v>
      </c>
    </row>
    <row r="22" spans="1:16" ht="16.149999999999999" customHeight="1" x14ac:dyDescent="0.25">
      <c r="A22" s="490" t="s">
        <v>538</v>
      </c>
      <c r="B22" s="490" t="s">
        <v>510</v>
      </c>
      <c r="C22" s="490" t="s">
        <v>540</v>
      </c>
      <c r="D22" s="490" t="s">
        <v>199</v>
      </c>
      <c r="E22" s="490" t="s">
        <v>515</v>
      </c>
      <c r="F22" s="490" t="s">
        <v>197</v>
      </c>
      <c r="G22" s="490" t="s">
        <v>512</v>
      </c>
      <c r="H22" s="490"/>
      <c r="I22" s="877">
        <v>45657</v>
      </c>
      <c r="J22" s="490" t="s">
        <v>515</v>
      </c>
      <c r="K22" s="490" t="s">
        <v>3</v>
      </c>
      <c r="L22" s="490">
        <f t="shared" si="5"/>
        <v>2</v>
      </c>
      <c r="M22" s="823" t="s">
        <v>147</v>
      </c>
      <c r="N22" s="490">
        <f t="shared" si="2"/>
        <v>0</v>
      </c>
      <c r="O22" s="950" t="str">
        <f t="shared" si="6"/>
        <v/>
      </c>
      <c r="P22" s="1">
        <f t="shared" si="3"/>
        <v>2000</v>
      </c>
    </row>
    <row r="23" spans="1:16" ht="16.149999999999999" customHeight="1" x14ac:dyDescent="0.25">
      <c r="A23" s="490" t="s">
        <v>538</v>
      </c>
      <c r="B23" s="490" t="s">
        <v>510</v>
      </c>
      <c r="C23" s="490" t="s">
        <v>200</v>
      </c>
      <c r="D23" s="490" t="s">
        <v>201</v>
      </c>
      <c r="E23" s="490" t="s">
        <v>519</v>
      </c>
      <c r="F23" s="490" t="s">
        <v>197</v>
      </c>
      <c r="G23" s="490" t="s">
        <v>512</v>
      </c>
      <c r="H23" s="490"/>
      <c r="I23" s="877">
        <v>45657</v>
      </c>
      <c r="J23" s="490" t="s">
        <v>519</v>
      </c>
      <c r="K23" s="490" t="s">
        <v>550</v>
      </c>
      <c r="L23" s="490">
        <f t="shared" si="5"/>
        <v>3</v>
      </c>
      <c r="M23" s="823" t="s">
        <v>147</v>
      </c>
      <c r="N23" s="490">
        <f t="shared" si="2"/>
        <v>0</v>
      </c>
      <c r="O23" s="950" t="str">
        <f t="shared" si="6"/>
        <v/>
      </c>
      <c r="P23" s="1">
        <f t="shared" si="3"/>
        <v>2000</v>
      </c>
    </row>
    <row r="24" spans="1:16" ht="16.149999999999999" customHeight="1" x14ac:dyDescent="0.25">
      <c r="A24" s="490" t="s">
        <v>538</v>
      </c>
      <c r="B24" s="490" t="s">
        <v>510</v>
      </c>
      <c r="C24" s="490" t="s">
        <v>202</v>
      </c>
      <c r="D24" s="490" t="s">
        <v>203</v>
      </c>
      <c r="E24" s="490" t="s">
        <v>523</v>
      </c>
      <c r="F24" s="490" t="s">
        <v>197</v>
      </c>
      <c r="G24" s="490" t="s">
        <v>512</v>
      </c>
      <c r="H24" s="490"/>
      <c r="I24" s="877">
        <v>45657</v>
      </c>
      <c r="J24" s="490" t="s">
        <v>523</v>
      </c>
      <c r="K24" s="490" t="s">
        <v>1</v>
      </c>
      <c r="L24" s="490">
        <f t="shared" si="5"/>
        <v>5</v>
      </c>
      <c r="M24" s="823" t="s">
        <v>147</v>
      </c>
      <c r="N24" s="490">
        <f t="shared" si="2"/>
        <v>0</v>
      </c>
      <c r="O24" s="950" t="str">
        <f t="shared" si="6"/>
        <v/>
      </c>
      <c r="P24" s="1">
        <f t="shared" si="3"/>
        <v>2000</v>
      </c>
    </row>
    <row r="25" spans="1:16" ht="16.149999999999999" customHeight="1" x14ac:dyDescent="0.25">
      <c r="A25" s="490" t="s">
        <v>538</v>
      </c>
      <c r="B25" s="490" t="s">
        <v>520</v>
      </c>
      <c r="C25" s="490" t="s">
        <v>204</v>
      </c>
      <c r="D25" s="490" t="s">
        <v>220</v>
      </c>
      <c r="E25" s="490" t="s">
        <v>528</v>
      </c>
      <c r="F25" s="490" t="s">
        <v>197</v>
      </c>
      <c r="G25" s="490" t="s">
        <v>522</v>
      </c>
      <c r="H25" s="490"/>
      <c r="I25" s="877">
        <v>45657</v>
      </c>
      <c r="J25" s="490" t="s">
        <v>528</v>
      </c>
      <c r="K25" s="490" t="s">
        <v>2</v>
      </c>
      <c r="L25" s="490">
        <f t="shared" si="5"/>
        <v>5</v>
      </c>
      <c r="M25" s="823" t="s">
        <v>147</v>
      </c>
      <c r="N25" s="490">
        <f t="shared" si="2"/>
        <v>0</v>
      </c>
      <c r="O25" s="950" t="str">
        <f t="shared" si="6"/>
        <v/>
      </c>
      <c r="P25" s="1">
        <f t="shared" si="3"/>
        <v>2000</v>
      </c>
    </row>
    <row r="26" spans="1:16" ht="16.149999999999999" customHeight="1" x14ac:dyDescent="0.25">
      <c r="A26" s="490" t="s">
        <v>538</v>
      </c>
      <c r="B26" s="490" t="s">
        <v>520</v>
      </c>
      <c r="C26" s="490" t="s">
        <v>204</v>
      </c>
      <c r="D26" s="490" t="s">
        <v>205</v>
      </c>
      <c r="E26" s="490" t="s">
        <v>528</v>
      </c>
      <c r="F26" s="490" t="s">
        <v>197</v>
      </c>
      <c r="G26" s="490" t="s">
        <v>522</v>
      </c>
      <c r="H26" s="490"/>
      <c r="I26" s="877">
        <v>45657</v>
      </c>
      <c r="J26" s="490" t="s">
        <v>528</v>
      </c>
      <c r="K26" s="490" t="s">
        <v>2</v>
      </c>
      <c r="L26" s="490">
        <f t="shared" si="5"/>
        <v>5</v>
      </c>
      <c r="M26" s="823" t="s">
        <v>147</v>
      </c>
      <c r="N26" s="490">
        <f t="shared" si="2"/>
        <v>0</v>
      </c>
      <c r="O26" s="950" t="str">
        <f t="shared" si="6"/>
        <v/>
      </c>
      <c r="P26" s="1">
        <f t="shared" si="3"/>
        <v>2000</v>
      </c>
    </row>
    <row r="27" spans="1:16" ht="16.149999999999999" customHeight="1" x14ac:dyDescent="0.25">
      <c r="A27" s="490" t="s">
        <v>538</v>
      </c>
      <c r="B27" s="490" t="s">
        <v>520</v>
      </c>
      <c r="C27" s="490" t="s">
        <v>204</v>
      </c>
      <c r="D27" s="490" t="s">
        <v>206</v>
      </c>
      <c r="E27" s="490" t="s">
        <v>525</v>
      </c>
      <c r="F27" s="490" t="s">
        <v>197</v>
      </c>
      <c r="G27" s="490" t="s">
        <v>522</v>
      </c>
      <c r="H27" s="490"/>
      <c r="I27" s="877">
        <v>45657</v>
      </c>
      <c r="J27" s="490" t="s">
        <v>525</v>
      </c>
      <c r="K27" s="490" t="s">
        <v>1</v>
      </c>
      <c r="L27" s="490">
        <f t="shared" si="5"/>
        <v>3</v>
      </c>
      <c r="M27" s="823" t="s">
        <v>147</v>
      </c>
      <c r="N27" s="490">
        <f t="shared" si="2"/>
        <v>0</v>
      </c>
      <c r="O27" s="950" t="str">
        <f t="shared" si="6"/>
        <v/>
      </c>
      <c r="P27" s="1">
        <f t="shared" si="3"/>
        <v>2000</v>
      </c>
    </row>
    <row r="28" spans="1:16" ht="16.149999999999999" customHeight="1" x14ac:dyDescent="0.25">
      <c r="A28" s="490" t="s">
        <v>538</v>
      </c>
      <c r="B28" s="490" t="s">
        <v>520</v>
      </c>
      <c r="C28" s="490" t="s">
        <v>207</v>
      </c>
      <c r="D28" s="490" t="s">
        <v>208</v>
      </c>
      <c r="E28" s="490" t="s">
        <v>528</v>
      </c>
      <c r="F28" s="490" t="s">
        <v>197</v>
      </c>
      <c r="G28" s="490" t="s">
        <v>522</v>
      </c>
      <c r="H28" s="490"/>
      <c r="I28" s="877">
        <v>45657</v>
      </c>
      <c r="J28" s="490" t="s">
        <v>528</v>
      </c>
      <c r="K28" s="490" t="s">
        <v>2</v>
      </c>
      <c r="L28" s="490">
        <f t="shared" si="5"/>
        <v>5</v>
      </c>
      <c r="M28" s="823" t="s">
        <v>147</v>
      </c>
      <c r="N28" s="490">
        <f t="shared" si="2"/>
        <v>0</v>
      </c>
      <c r="O28" s="950" t="str">
        <f t="shared" si="6"/>
        <v/>
      </c>
      <c r="P28" s="1">
        <f t="shared" si="3"/>
        <v>2000</v>
      </c>
    </row>
    <row r="29" spans="1:16" ht="16.149999999999999" customHeight="1" x14ac:dyDescent="0.25">
      <c r="A29" s="490" t="s">
        <v>538</v>
      </c>
      <c r="B29" s="490" t="s">
        <v>520</v>
      </c>
      <c r="C29" s="490" t="s">
        <v>207</v>
      </c>
      <c r="D29" s="490" t="s">
        <v>542</v>
      </c>
      <c r="E29" s="490" t="s">
        <v>541</v>
      </c>
      <c r="F29" s="490" t="s">
        <v>197</v>
      </c>
      <c r="G29" s="490" t="s">
        <v>522</v>
      </c>
      <c r="H29" s="490"/>
      <c r="I29" s="877">
        <v>45657</v>
      </c>
      <c r="J29" s="490" t="s">
        <v>541</v>
      </c>
      <c r="K29" s="490" t="s">
        <v>2</v>
      </c>
      <c r="L29" s="490">
        <f t="shared" si="5"/>
        <v>1</v>
      </c>
      <c r="M29" s="823" t="s">
        <v>549</v>
      </c>
      <c r="N29" s="490">
        <f t="shared" si="2"/>
        <v>0</v>
      </c>
      <c r="O29" s="950" t="str">
        <f t="shared" si="6"/>
        <v>!!</v>
      </c>
      <c r="P29" s="1">
        <f t="shared" si="3"/>
        <v>0</v>
      </c>
    </row>
    <row r="30" spans="1:16" ht="16.149999999999999" customHeight="1" x14ac:dyDescent="0.25">
      <c r="A30" s="490" t="s">
        <v>538</v>
      </c>
      <c r="B30" s="490" t="s">
        <v>520</v>
      </c>
      <c r="C30" s="490" t="s">
        <v>209</v>
      </c>
      <c r="D30" s="490" t="s">
        <v>210</v>
      </c>
      <c r="E30" s="490" t="s">
        <v>543</v>
      </c>
      <c r="F30" s="490" t="s">
        <v>197</v>
      </c>
      <c r="G30" s="490" t="s">
        <v>522</v>
      </c>
      <c r="H30" s="490"/>
      <c r="I30" s="877">
        <v>45657</v>
      </c>
      <c r="J30" s="490" t="s">
        <v>543</v>
      </c>
      <c r="K30" s="490" t="s">
        <v>1</v>
      </c>
      <c r="L30" s="490">
        <f t="shared" si="5"/>
        <v>2</v>
      </c>
      <c r="M30" s="823" t="s">
        <v>16</v>
      </c>
      <c r="N30" s="490">
        <f t="shared" si="2"/>
        <v>2000</v>
      </c>
      <c r="O30" s="950" t="str">
        <f t="shared" ref="O30:O35" si="7">IF(SUMIF($J$2:$J$35,J30,$N$2:$N$35)=0,"!!","")</f>
        <v/>
      </c>
      <c r="P30" s="1">
        <f t="shared" si="3"/>
        <v>2000</v>
      </c>
    </row>
    <row r="31" spans="1:16" ht="16.149999999999999" customHeight="1" x14ac:dyDescent="0.25">
      <c r="A31" s="490" t="s">
        <v>538</v>
      </c>
      <c r="B31" s="490" t="s">
        <v>520</v>
      </c>
      <c r="C31" s="490" t="s">
        <v>211</v>
      </c>
      <c r="D31" s="490" t="s">
        <v>212</v>
      </c>
      <c r="E31" s="490" t="s">
        <v>523</v>
      </c>
      <c r="F31" s="490" t="s">
        <v>197</v>
      </c>
      <c r="G31" s="490" t="s">
        <v>522</v>
      </c>
      <c r="H31" s="490"/>
      <c r="I31" s="877">
        <v>45657</v>
      </c>
      <c r="J31" s="490" t="s">
        <v>523</v>
      </c>
      <c r="K31" s="490" t="s">
        <v>1</v>
      </c>
      <c r="L31" s="490">
        <f t="shared" si="5"/>
        <v>5</v>
      </c>
      <c r="M31" s="823" t="s">
        <v>147</v>
      </c>
      <c r="N31" s="490">
        <f t="shared" si="2"/>
        <v>0</v>
      </c>
      <c r="O31" s="950" t="str">
        <f t="shared" si="7"/>
        <v/>
      </c>
      <c r="P31" s="1">
        <f t="shared" si="3"/>
        <v>2000</v>
      </c>
    </row>
    <row r="32" spans="1:16" x14ac:dyDescent="0.25">
      <c r="A32" s="490" t="s">
        <v>538</v>
      </c>
      <c r="B32" s="490" t="s">
        <v>520</v>
      </c>
      <c r="C32" s="490" t="s">
        <v>211</v>
      </c>
      <c r="D32" s="490" t="s">
        <v>545</v>
      </c>
      <c r="E32" s="490" t="s">
        <v>544</v>
      </c>
      <c r="F32" s="490" t="s">
        <v>197</v>
      </c>
      <c r="G32" s="490" t="s">
        <v>522</v>
      </c>
      <c r="H32" s="490"/>
      <c r="I32" s="877">
        <v>45657</v>
      </c>
      <c r="J32" s="490" t="s">
        <v>544</v>
      </c>
      <c r="K32" s="490" t="s">
        <v>1</v>
      </c>
      <c r="L32" s="490">
        <f t="shared" si="5"/>
        <v>3</v>
      </c>
      <c r="M32" s="823" t="s">
        <v>147</v>
      </c>
      <c r="N32" s="490">
        <f t="shared" si="2"/>
        <v>0</v>
      </c>
      <c r="O32" s="950" t="str">
        <f t="shared" si="7"/>
        <v/>
      </c>
      <c r="P32" s="1">
        <f t="shared" si="3"/>
        <v>2000</v>
      </c>
    </row>
    <row r="33" spans="1:16" x14ac:dyDescent="0.25">
      <c r="A33" s="490" t="s">
        <v>538</v>
      </c>
      <c r="B33" s="490" t="s">
        <v>531</v>
      </c>
      <c r="C33" s="490" t="s">
        <v>213</v>
      </c>
      <c r="D33" s="490" t="s">
        <v>214</v>
      </c>
      <c r="E33" s="490" t="s">
        <v>536</v>
      </c>
      <c r="F33" s="490" t="s">
        <v>215</v>
      </c>
      <c r="G33" s="490" t="s">
        <v>533</v>
      </c>
      <c r="H33" s="490"/>
      <c r="I33" s="877">
        <v>45657</v>
      </c>
      <c r="J33" s="490" t="s">
        <v>536</v>
      </c>
      <c r="K33" s="490" t="s">
        <v>3</v>
      </c>
      <c r="L33" s="490">
        <f t="shared" si="5"/>
        <v>3</v>
      </c>
      <c r="M33" s="823" t="s">
        <v>147</v>
      </c>
      <c r="N33" s="490">
        <f t="shared" si="2"/>
        <v>0</v>
      </c>
      <c r="O33" s="950" t="str">
        <f t="shared" si="7"/>
        <v/>
      </c>
      <c r="P33" s="1">
        <f t="shared" si="3"/>
        <v>2000</v>
      </c>
    </row>
    <row r="34" spans="1:16" x14ac:dyDescent="0.25">
      <c r="A34" s="490" t="s">
        <v>538</v>
      </c>
      <c r="B34" s="490" t="s">
        <v>531</v>
      </c>
      <c r="C34" s="490" t="s">
        <v>216</v>
      </c>
      <c r="D34" s="490" t="s">
        <v>217</v>
      </c>
      <c r="E34" s="490" t="s">
        <v>546</v>
      </c>
      <c r="F34" s="490" t="s">
        <v>215</v>
      </c>
      <c r="G34" s="490" t="s">
        <v>533</v>
      </c>
      <c r="H34" s="490"/>
      <c r="I34" s="877">
        <v>45657</v>
      </c>
      <c r="J34" s="490" t="s">
        <v>546</v>
      </c>
      <c r="K34" s="490" t="s">
        <v>1</v>
      </c>
      <c r="L34" s="490">
        <f t="shared" si="5"/>
        <v>1</v>
      </c>
      <c r="M34" s="823" t="s">
        <v>16</v>
      </c>
      <c r="N34" s="490">
        <f t="shared" si="2"/>
        <v>2000</v>
      </c>
      <c r="O34" s="950" t="str">
        <f t="shared" si="7"/>
        <v/>
      </c>
      <c r="P34" s="1">
        <f t="shared" si="3"/>
        <v>2000</v>
      </c>
    </row>
    <row r="35" spans="1:16" x14ac:dyDescent="0.25">
      <c r="A35" s="490" t="s">
        <v>538</v>
      </c>
      <c r="B35" s="490" t="s">
        <v>531</v>
      </c>
      <c r="C35" s="490" t="s">
        <v>218</v>
      </c>
      <c r="D35" s="490" t="s">
        <v>219</v>
      </c>
      <c r="E35" s="490" t="s">
        <v>543</v>
      </c>
      <c r="F35" s="490" t="s">
        <v>215</v>
      </c>
      <c r="G35" s="490" t="s">
        <v>533</v>
      </c>
      <c r="H35" s="490"/>
      <c r="I35" s="877">
        <v>45657</v>
      </c>
      <c r="J35" s="490" t="s">
        <v>543</v>
      </c>
      <c r="K35" s="490" t="s">
        <v>1</v>
      </c>
      <c r="L35" s="490">
        <f t="shared" si="5"/>
        <v>2</v>
      </c>
      <c r="M35" s="823" t="s">
        <v>147</v>
      </c>
      <c r="N35" s="490">
        <f>IF(M35="A",2000,0)</f>
        <v>0</v>
      </c>
      <c r="O35" s="950" t="str">
        <f t="shared" si="7"/>
        <v/>
      </c>
      <c r="P35" s="1">
        <f t="shared" si="3"/>
        <v>2000</v>
      </c>
    </row>
    <row r="36" spans="1:16" x14ac:dyDescent="0.25">
      <c r="A36" s="490"/>
      <c r="B36" s="490"/>
      <c r="L36" s="490"/>
      <c r="M36" s="823"/>
      <c r="N36" s="490"/>
      <c r="O36" s="895" t="str">
        <f>IF(SUMIF($J$2:$J$35,J16,$N$2:$N$35)=0,"!!","")</f>
        <v/>
      </c>
    </row>
    <row r="37" spans="1:16" x14ac:dyDescent="0.25">
      <c r="A37" s="490"/>
      <c r="B37" s="490"/>
      <c r="L37" s="490"/>
      <c r="M37" s="823"/>
      <c r="N37" s="490"/>
      <c r="O37" s="950" t="str">
        <f>IF(SUMIF($J$2:$J$35,J17,$N$2:$N$35)=0,"!!","")</f>
        <v/>
      </c>
    </row>
    <row r="38" spans="1:16" x14ac:dyDescent="0.25">
      <c r="A38" s="490"/>
      <c r="B38" s="490"/>
      <c r="C38" s="490"/>
      <c r="D38" s="953"/>
      <c r="E38" s="953"/>
      <c r="F38" s="953"/>
      <c r="G38" s="953"/>
      <c r="H38" s="953"/>
      <c r="I38" s="954"/>
      <c r="J38" s="490"/>
      <c r="K38" s="490"/>
      <c r="L38" s="490"/>
      <c r="M38" s="823"/>
      <c r="N38" s="490"/>
      <c r="O38" s="950"/>
    </row>
    <row r="39" spans="1:16" x14ac:dyDescent="0.25">
      <c r="A39" s="490"/>
      <c r="B39" s="490"/>
      <c r="C39" s="490"/>
      <c r="D39" s="953"/>
      <c r="E39" s="953"/>
      <c r="F39" s="953"/>
      <c r="G39" s="953"/>
      <c r="H39" s="953"/>
      <c r="I39" s="954"/>
      <c r="J39" s="490"/>
      <c r="K39" s="490"/>
      <c r="L39" s="490"/>
      <c r="M39" s="823"/>
      <c r="N39" s="490"/>
      <c r="O39" s="950"/>
    </row>
    <row r="40" spans="1:16" x14ac:dyDescent="0.25">
      <c r="A40" s="490"/>
      <c r="B40" s="490"/>
      <c r="C40" s="490"/>
      <c r="D40" s="490"/>
      <c r="E40" s="490"/>
      <c r="F40" s="490"/>
      <c r="G40" s="490"/>
      <c r="H40" s="490"/>
      <c r="I40" s="490"/>
      <c r="J40" s="490"/>
      <c r="K40" s="490"/>
      <c r="L40" s="490"/>
      <c r="M40" s="823"/>
      <c r="N40" s="490"/>
      <c r="O40" s="490" t="s">
        <v>555</v>
      </c>
    </row>
    <row r="41" spans="1:16" x14ac:dyDescent="0.25">
      <c r="A41" s="490"/>
      <c r="B41" s="490"/>
      <c r="C41" s="490"/>
      <c r="D41" s="490"/>
      <c r="E41" s="490"/>
      <c r="F41" s="490"/>
      <c r="G41" s="490"/>
      <c r="H41" s="490"/>
      <c r="I41" s="490"/>
      <c r="J41" s="490"/>
      <c r="K41" s="490"/>
      <c r="L41" s="490"/>
      <c r="M41" s="823"/>
      <c r="N41" s="490" t="s">
        <v>7</v>
      </c>
      <c r="O41" s="540" t="s">
        <v>472</v>
      </c>
    </row>
    <row r="42" spans="1:16" x14ac:dyDescent="0.25">
      <c r="A42" s="490"/>
      <c r="B42" s="490"/>
      <c r="C42" s="490"/>
      <c r="D42" s="490"/>
      <c r="E42" s="490"/>
      <c r="F42" s="490"/>
      <c r="G42" s="490"/>
      <c r="H42" s="490"/>
      <c r="I42" s="490"/>
      <c r="J42" s="490"/>
      <c r="K42" s="878" t="s">
        <v>3</v>
      </c>
      <c r="L42" s="878"/>
      <c r="M42" s="879"/>
      <c r="N42" s="880">
        <f>SUMIF($K$2:$K$36,K42,$N$2:$N$36)</f>
        <v>4000</v>
      </c>
      <c r="O42" s="882">
        <f>IF($O$41="ANO",N42*12*1.338,0)</f>
        <v>0</v>
      </c>
    </row>
    <row r="43" spans="1:16" x14ac:dyDescent="0.25">
      <c r="A43" s="490"/>
      <c r="B43" s="490"/>
      <c r="C43" s="490"/>
      <c r="D43" s="490"/>
      <c r="E43" s="490"/>
      <c r="F43" s="490"/>
      <c r="G43" s="490"/>
      <c r="H43" s="490"/>
      <c r="I43" s="490"/>
      <c r="J43" s="490"/>
      <c r="K43" s="878" t="s">
        <v>2</v>
      </c>
      <c r="L43" s="878"/>
      <c r="M43" s="879"/>
      <c r="N43" s="880">
        <f>SUMIF($K$2:$K$36,K43,$N$2:$N$36)</f>
        <v>6000</v>
      </c>
      <c r="O43" s="882">
        <f t="shared" ref="O43:O45" si="8">IF($O$41="ANO",N43*12*1.338,0)</f>
        <v>0</v>
      </c>
    </row>
    <row r="44" spans="1:16" x14ac:dyDescent="0.25">
      <c r="A44" s="490"/>
      <c r="B44" s="490"/>
      <c r="C44" s="490"/>
      <c r="D44" s="490"/>
      <c r="E44" s="490"/>
      <c r="F44" s="490"/>
      <c r="G44" s="490"/>
      <c r="H44" s="490"/>
      <c r="I44" s="490"/>
      <c r="J44" s="490"/>
      <c r="K44" s="878" t="s">
        <v>1</v>
      </c>
      <c r="L44" s="878"/>
      <c r="M44" s="879"/>
      <c r="N44" s="880">
        <f>SUMIF($K$2:$K$36,K44,$N$2:$N$36)</f>
        <v>12000</v>
      </c>
      <c r="O44" s="882">
        <f t="shared" si="8"/>
        <v>0</v>
      </c>
    </row>
    <row r="45" spans="1:16" x14ac:dyDescent="0.25">
      <c r="A45" s="490"/>
      <c r="B45" s="490"/>
      <c r="C45" s="490"/>
      <c r="D45" s="490"/>
      <c r="E45" s="490"/>
      <c r="F45" s="490"/>
      <c r="G45" s="490"/>
      <c r="H45" s="490"/>
      <c r="I45" s="490"/>
      <c r="J45" s="490"/>
      <c r="K45" s="878" t="s">
        <v>550</v>
      </c>
      <c r="L45" s="878"/>
      <c r="M45" s="879"/>
      <c r="N45" s="880">
        <f>SUMIF($K$2:$K$36,K45,$N$2:$N$36)</f>
        <v>2000</v>
      </c>
      <c r="O45" s="882">
        <f t="shared" si="8"/>
        <v>0</v>
      </c>
    </row>
    <row r="46" spans="1:16" x14ac:dyDescent="0.25">
      <c r="A46" s="490"/>
      <c r="B46" s="490"/>
      <c r="C46" s="490"/>
      <c r="D46" s="490"/>
      <c r="E46" s="490"/>
      <c r="F46" s="490"/>
      <c r="G46" s="490"/>
      <c r="H46" s="490"/>
      <c r="I46" s="490"/>
      <c r="J46" s="490"/>
      <c r="K46" s="490"/>
      <c r="L46" s="490"/>
      <c r="M46" s="823"/>
      <c r="N46" s="881">
        <f>SUM(N42:N45)*12</f>
        <v>288000</v>
      </c>
      <c r="O46" s="880">
        <f>IF(O41="NE",N46*1.338,O45)</f>
        <v>385344</v>
      </c>
    </row>
    <row r="47" spans="1:16" x14ac:dyDescent="0.25">
      <c r="A47" s="490"/>
      <c r="B47" s="490"/>
      <c r="C47" s="490"/>
      <c r="D47" s="490"/>
      <c r="E47" s="490"/>
      <c r="F47" s="490"/>
      <c r="G47" s="490"/>
      <c r="H47" s="490"/>
      <c r="I47" s="490"/>
      <c r="J47" s="490"/>
      <c r="K47" s="490"/>
      <c r="L47" s="490"/>
      <c r="M47" s="823"/>
      <c r="N47" s="490"/>
    </row>
    <row r="48" spans="1:16" x14ac:dyDescent="0.25">
      <c r="A48" s="490"/>
      <c r="B48" s="490"/>
      <c r="C48" s="490"/>
      <c r="D48" s="490"/>
      <c r="E48" s="490"/>
      <c r="F48" s="490"/>
      <c r="G48" s="490"/>
      <c r="H48" s="490"/>
      <c r="I48" s="490"/>
      <c r="J48" s="490"/>
      <c r="K48" s="490"/>
      <c r="L48" s="490"/>
      <c r="M48" s="823"/>
      <c r="N48" s="490"/>
    </row>
    <row r="49" spans="1:1" x14ac:dyDescent="0.25">
      <c r="A49" s="490"/>
    </row>
    <row r="50" spans="1:1" x14ac:dyDescent="0.25">
      <c r="A50" s="490"/>
    </row>
    <row r="51" spans="1:1" x14ac:dyDescent="0.25">
      <c r="A51" s="490"/>
    </row>
    <row r="52" spans="1:1" x14ac:dyDescent="0.25">
      <c r="A52" s="490"/>
    </row>
  </sheetData>
  <conditionalFormatting sqref="L2:L3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{7323F866-F70F-4628-94E5-F013C8105F08}</x14:id>
        </ext>
      </extLst>
    </cfRule>
  </conditionalFormatting>
  <conditionalFormatting sqref="P2:P3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{6BB004E2-5604-44AA-9DD2-0F47B2C3150E}</x14:id>
        </ext>
      </extLst>
    </cfRule>
  </conditionalFormatting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23F866-F70F-4628-94E5-F013C8105F0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L2:L39</xm:sqref>
        </x14:conditionalFormatting>
        <x14:conditionalFormatting xmlns:xm="http://schemas.microsoft.com/office/excel/2006/main">
          <x14:cfRule type="dataBar" id="{6BB004E2-5604-44AA-9DD2-0F47B2C315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P2:P35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F162"/>
  <sheetViews>
    <sheetView topLeftCell="A139" workbookViewId="0">
      <selection activeCell="A154" sqref="A154"/>
    </sheetView>
  </sheetViews>
  <sheetFormatPr defaultColWidth="9.140625" defaultRowHeight="15.75" x14ac:dyDescent="0.25"/>
  <cols>
    <col min="1" max="1" width="6.5703125" style="1" customWidth="1"/>
    <col min="2" max="2" width="13.5703125" style="1" customWidth="1"/>
    <col min="3" max="3" width="13.42578125" style="1" customWidth="1"/>
    <col min="4" max="4" width="41" style="1" customWidth="1"/>
    <col min="5" max="5" width="10.7109375" style="1" customWidth="1"/>
    <col min="6" max="6" width="11.7109375" style="1" customWidth="1"/>
    <col min="7" max="7" width="11" style="1" customWidth="1"/>
    <col min="8" max="8" width="15.7109375" style="1" customWidth="1"/>
    <col min="9" max="9" width="8" style="3" customWidth="1"/>
    <col min="10" max="10" width="13" style="3" customWidth="1"/>
    <col min="11" max="11" width="10.85546875" style="1" customWidth="1"/>
    <col min="12" max="12" width="12.7109375" style="1" customWidth="1"/>
    <col min="13" max="13" width="12.28515625" style="1" customWidth="1"/>
    <col min="14" max="14" width="12.5703125" style="1" customWidth="1"/>
    <col min="15" max="15" width="11.140625" style="1" customWidth="1"/>
    <col min="16" max="16" width="12.5703125" style="1" customWidth="1"/>
    <col min="17" max="17" width="11.85546875" style="1" customWidth="1"/>
    <col min="18" max="18" width="9" style="1" customWidth="1"/>
    <col min="19" max="19" width="9.7109375" style="1" bestFit="1" customWidth="1"/>
    <col min="20" max="21" width="8.140625" style="1" customWidth="1"/>
    <col min="22" max="16384" width="9.140625" style="1"/>
  </cols>
  <sheetData>
    <row r="1" spans="1:240" ht="27" customHeight="1" thickBot="1" x14ac:dyDescent="0.3">
      <c r="A1" s="557" t="s">
        <v>144</v>
      </c>
      <c r="B1" s="558" t="s">
        <v>28</v>
      </c>
      <c r="C1" s="557" t="s">
        <v>29</v>
      </c>
      <c r="D1" s="559" t="s">
        <v>13</v>
      </c>
      <c r="E1" s="560" t="s">
        <v>14</v>
      </c>
      <c r="F1" s="561" t="s">
        <v>344</v>
      </c>
      <c r="G1" s="560" t="s">
        <v>345</v>
      </c>
      <c r="H1" s="562" t="s">
        <v>15</v>
      </c>
      <c r="I1" s="31"/>
      <c r="J1" s="1"/>
      <c r="L1" s="95"/>
      <c r="M1" s="98"/>
      <c r="N1" s="68"/>
      <c r="O1" s="40"/>
      <c r="P1" s="68"/>
      <c r="Q1" s="68"/>
      <c r="R1" s="40"/>
      <c r="S1" s="65"/>
      <c r="T1" s="124"/>
      <c r="U1" s="124"/>
      <c r="V1" s="97"/>
      <c r="W1" s="97"/>
      <c r="X1" s="97"/>
      <c r="Y1" s="97"/>
      <c r="Z1" s="97"/>
      <c r="AA1" s="97"/>
      <c r="AB1" s="97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</row>
    <row r="2" spans="1:240" s="27" customFormat="1" ht="16.5" thickTop="1" x14ac:dyDescent="0.25">
      <c r="A2" s="543">
        <v>1</v>
      </c>
      <c r="B2" s="544" t="s">
        <v>16</v>
      </c>
      <c r="C2" s="543">
        <v>-1</v>
      </c>
      <c r="D2" s="546" t="s">
        <v>111</v>
      </c>
      <c r="E2" s="547">
        <v>16.2</v>
      </c>
      <c r="F2" s="563">
        <v>1</v>
      </c>
      <c r="G2" s="563">
        <v>1</v>
      </c>
      <c r="H2" s="545">
        <v>7625</v>
      </c>
      <c r="I2" s="1"/>
      <c r="J2" s="4"/>
      <c r="K2" s="4"/>
      <c r="M2" s="74"/>
      <c r="N2" s="44"/>
      <c r="O2" s="44"/>
      <c r="P2" s="44"/>
      <c r="Q2" s="44"/>
      <c r="R2" s="44"/>
      <c r="S2" s="44"/>
      <c r="T2" s="74"/>
      <c r="U2" s="44"/>
      <c r="V2" s="44"/>
      <c r="W2" s="44"/>
      <c r="X2" s="44"/>
      <c r="Y2" s="44"/>
      <c r="Z2" s="44"/>
      <c r="AA2" s="44"/>
      <c r="AB2" s="44"/>
    </row>
    <row r="3" spans="1:240" s="27" customFormat="1" x14ac:dyDescent="0.25">
      <c r="A3" s="543">
        <v>1</v>
      </c>
      <c r="B3" s="544" t="s">
        <v>16</v>
      </c>
      <c r="C3" s="543">
        <v>-1</v>
      </c>
      <c r="D3" s="546" t="s">
        <v>125</v>
      </c>
      <c r="E3" s="547">
        <v>11.5</v>
      </c>
      <c r="F3" s="563">
        <v>1</v>
      </c>
      <c r="G3" s="563">
        <v>1</v>
      </c>
      <c r="H3" s="545">
        <v>7625</v>
      </c>
      <c r="I3" s="1"/>
      <c r="J3" s="1"/>
      <c r="K3" s="1"/>
      <c r="L3" s="95"/>
      <c r="M3" s="98"/>
      <c r="N3" s="68"/>
      <c r="O3" s="40"/>
      <c r="P3" s="68"/>
      <c r="Q3" s="68"/>
      <c r="R3" s="40"/>
      <c r="S3" s="65"/>
      <c r="T3" s="124"/>
      <c r="U3" s="124"/>
      <c r="V3" s="44"/>
      <c r="W3" s="44"/>
      <c r="X3" s="44"/>
      <c r="Y3" s="44"/>
      <c r="Z3" s="44"/>
      <c r="AA3" s="44"/>
      <c r="AB3" s="44"/>
    </row>
    <row r="4" spans="1:240" s="27" customFormat="1" x14ac:dyDescent="0.25">
      <c r="A4" s="543">
        <v>1</v>
      </c>
      <c r="B4" s="544" t="s">
        <v>16</v>
      </c>
      <c r="C4" s="543">
        <v>-1</v>
      </c>
      <c r="D4" s="546" t="s">
        <v>112</v>
      </c>
      <c r="E4" s="547">
        <v>20.5</v>
      </c>
      <c r="F4" s="563">
        <v>1</v>
      </c>
      <c r="G4" s="563">
        <v>1</v>
      </c>
      <c r="H4" s="545">
        <v>7625</v>
      </c>
      <c r="I4" s="1"/>
      <c r="J4" s="4"/>
      <c r="K4" s="4"/>
      <c r="M4" s="74"/>
      <c r="N4" s="44"/>
      <c r="O4" s="44"/>
      <c r="P4" s="44"/>
      <c r="Q4" s="44"/>
      <c r="R4" s="44"/>
      <c r="S4" s="44"/>
      <c r="T4" s="74"/>
      <c r="U4" s="44"/>
      <c r="V4" s="44"/>
      <c r="W4" s="44"/>
      <c r="X4" s="44"/>
      <c r="Y4" s="44"/>
      <c r="Z4" s="44"/>
      <c r="AA4" s="44"/>
      <c r="AB4" s="44"/>
    </row>
    <row r="5" spans="1:240" s="27" customFormat="1" x14ac:dyDescent="0.25">
      <c r="A5" s="543">
        <v>1</v>
      </c>
      <c r="B5" s="544" t="s">
        <v>16</v>
      </c>
      <c r="C5" s="543">
        <v>-1</v>
      </c>
      <c r="D5" s="546" t="s">
        <v>113</v>
      </c>
      <c r="E5" s="547">
        <v>12.5</v>
      </c>
      <c r="F5" s="563">
        <v>1</v>
      </c>
      <c r="G5" s="563">
        <v>1</v>
      </c>
      <c r="H5" s="545">
        <v>7625</v>
      </c>
      <c r="I5" s="1"/>
      <c r="J5" s="1"/>
      <c r="K5" s="1"/>
      <c r="L5" s="95"/>
      <c r="M5" s="98"/>
      <c r="N5" s="68"/>
      <c r="O5" s="40"/>
      <c r="P5" s="68"/>
      <c r="Q5" s="68"/>
      <c r="R5" s="40"/>
      <c r="S5" s="65"/>
      <c r="T5" s="124"/>
      <c r="U5" s="124"/>
      <c r="V5" s="44"/>
      <c r="W5" s="44"/>
      <c r="X5" s="44"/>
      <c r="Y5" s="44"/>
      <c r="Z5" s="44"/>
      <c r="AA5" s="44"/>
      <c r="AB5" s="44"/>
    </row>
    <row r="6" spans="1:240" s="27" customFormat="1" x14ac:dyDescent="0.25">
      <c r="A6" s="543">
        <v>1</v>
      </c>
      <c r="B6" s="544" t="s">
        <v>16</v>
      </c>
      <c r="C6" s="543">
        <v>-1</v>
      </c>
      <c r="D6" s="546" t="s">
        <v>73</v>
      </c>
      <c r="E6" s="547">
        <v>8.1999999999999993</v>
      </c>
      <c r="F6" s="563">
        <v>1</v>
      </c>
      <c r="G6" s="563">
        <v>1</v>
      </c>
      <c r="H6" s="545">
        <v>7625</v>
      </c>
      <c r="I6" s="1"/>
      <c r="J6" s="4"/>
      <c r="K6" s="4"/>
      <c r="M6" s="74"/>
      <c r="N6" s="44"/>
      <c r="O6" s="44"/>
      <c r="P6" s="44"/>
      <c r="Q6" s="44"/>
      <c r="R6" s="44"/>
      <c r="S6" s="44"/>
      <c r="T6" s="74"/>
      <c r="U6" s="44"/>
      <c r="V6" s="44"/>
      <c r="W6" s="44"/>
      <c r="X6" s="44"/>
      <c r="Y6" s="44"/>
      <c r="Z6" s="44"/>
      <c r="AA6" s="44"/>
      <c r="AB6" s="44"/>
    </row>
    <row r="7" spans="1:240" s="27" customFormat="1" x14ac:dyDescent="0.25">
      <c r="A7" s="543">
        <v>1</v>
      </c>
      <c r="B7" s="544" t="s">
        <v>16</v>
      </c>
      <c r="C7" s="543">
        <v>-1</v>
      </c>
      <c r="D7" s="546" t="s">
        <v>76</v>
      </c>
      <c r="E7" s="547">
        <v>17.8</v>
      </c>
      <c r="F7" s="563">
        <v>1</v>
      </c>
      <c r="G7" s="563">
        <v>1</v>
      </c>
      <c r="H7" s="545">
        <v>7640</v>
      </c>
      <c r="I7" s="1"/>
      <c r="J7" s="1"/>
      <c r="K7" s="1"/>
      <c r="L7" s="95"/>
      <c r="M7" s="98"/>
      <c r="N7" s="68"/>
      <c r="O7" s="40"/>
      <c r="P7" s="68"/>
      <c r="Q7" s="68"/>
      <c r="R7" s="40"/>
      <c r="S7" s="65"/>
      <c r="T7" s="124"/>
      <c r="U7" s="124"/>
      <c r="V7" s="44"/>
      <c r="W7" s="44"/>
      <c r="X7" s="44"/>
      <c r="Y7" s="44"/>
      <c r="Z7" s="44"/>
      <c r="AA7" s="44"/>
      <c r="AB7" s="44"/>
    </row>
    <row r="8" spans="1:240" s="27" customFormat="1" x14ac:dyDescent="0.25">
      <c r="A8" s="543">
        <v>1</v>
      </c>
      <c r="B8" s="544" t="s">
        <v>16</v>
      </c>
      <c r="C8" s="543">
        <v>-1</v>
      </c>
      <c r="D8" s="546" t="s">
        <v>97</v>
      </c>
      <c r="E8" s="547">
        <v>41.9</v>
      </c>
      <c r="F8" s="563">
        <v>1</v>
      </c>
      <c r="G8" s="563">
        <v>1</v>
      </c>
      <c r="H8" s="545">
        <v>7640</v>
      </c>
      <c r="I8" s="1"/>
      <c r="J8" s="4"/>
      <c r="K8" s="4"/>
      <c r="M8" s="74"/>
      <c r="N8" s="44"/>
      <c r="O8" s="44"/>
      <c r="P8" s="44"/>
      <c r="Q8" s="44"/>
      <c r="R8" s="44"/>
      <c r="S8" s="44"/>
      <c r="T8" s="74"/>
      <c r="U8" s="44"/>
      <c r="V8" s="44"/>
      <c r="W8" s="44"/>
      <c r="X8" s="44"/>
      <c r="Y8" s="44"/>
      <c r="Z8" s="44"/>
      <c r="AA8" s="44"/>
      <c r="AB8" s="44"/>
    </row>
    <row r="9" spans="1:240" s="27" customFormat="1" x14ac:dyDescent="0.25">
      <c r="A9" s="543">
        <v>1</v>
      </c>
      <c r="B9" s="544" t="s">
        <v>16</v>
      </c>
      <c r="C9" s="543">
        <v>-1</v>
      </c>
      <c r="D9" s="546" t="s">
        <v>115</v>
      </c>
      <c r="E9" s="547">
        <v>3.7</v>
      </c>
      <c r="F9" s="563">
        <v>1</v>
      </c>
      <c r="G9" s="563">
        <v>1</v>
      </c>
      <c r="H9" s="548">
        <v>7635</v>
      </c>
      <c r="I9" s="1"/>
      <c r="J9" s="1"/>
      <c r="K9" s="1"/>
      <c r="L9" s="95"/>
      <c r="M9" s="98"/>
      <c r="N9" s="68"/>
      <c r="O9" s="40"/>
      <c r="P9" s="68"/>
      <c r="Q9" s="68"/>
      <c r="R9" s="40"/>
      <c r="S9" s="65"/>
      <c r="T9" s="124"/>
      <c r="U9" s="124"/>
      <c r="V9" s="44"/>
      <c r="W9" s="44"/>
      <c r="X9" s="44"/>
      <c r="Y9" s="44"/>
      <c r="Z9" s="44"/>
      <c r="AA9" s="44"/>
      <c r="AB9" s="44"/>
    </row>
    <row r="10" spans="1:240" s="27" customFormat="1" x14ac:dyDescent="0.25">
      <c r="A10" s="543">
        <v>1</v>
      </c>
      <c r="B10" s="544" t="s">
        <v>16</v>
      </c>
      <c r="C10" s="543">
        <v>-1</v>
      </c>
      <c r="D10" s="546" t="s">
        <v>115</v>
      </c>
      <c r="E10" s="547">
        <v>9.6</v>
      </c>
      <c r="F10" s="563">
        <v>1</v>
      </c>
      <c r="G10" s="563">
        <v>1</v>
      </c>
      <c r="H10" s="548">
        <v>7635</v>
      </c>
      <c r="I10" s="1"/>
      <c r="J10" s="4"/>
      <c r="K10" s="4"/>
      <c r="M10" s="74"/>
      <c r="N10" s="44"/>
      <c r="O10" s="44"/>
      <c r="P10" s="44"/>
      <c r="Q10" s="44"/>
      <c r="R10" s="44"/>
      <c r="S10" s="44"/>
      <c r="T10" s="74"/>
      <c r="U10" s="44"/>
      <c r="V10" s="44"/>
      <c r="W10" s="44"/>
      <c r="X10" s="44"/>
      <c r="Y10" s="44"/>
      <c r="Z10" s="44"/>
      <c r="AA10" s="44"/>
      <c r="AB10" s="44"/>
    </row>
    <row r="11" spans="1:240" s="27" customFormat="1" x14ac:dyDescent="0.25">
      <c r="A11" s="543">
        <v>1</v>
      </c>
      <c r="B11" s="544" t="s">
        <v>16</v>
      </c>
      <c r="C11" s="543">
        <v>-1</v>
      </c>
      <c r="D11" s="546" t="s">
        <v>81</v>
      </c>
      <c r="E11" s="547">
        <v>13.9</v>
      </c>
      <c r="F11" s="563">
        <v>1</v>
      </c>
      <c r="G11" s="563">
        <v>1</v>
      </c>
      <c r="H11" s="548">
        <v>7635</v>
      </c>
      <c r="I11" s="1"/>
      <c r="J11" s="1"/>
      <c r="K11" s="1"/>
      <c r="L11" s="95"/>
      <c r="M11" s="98"/>
      <c r="N11" s="68"/>
      <c r="O11" s="40"/>
      <c r="P11" s="68"/>
      <c r="Q11" s="68"/>
      <c r="R11" s="40"/>
      <c r="S11" s="65"/>
      <c r="T11" s="124"/>
      <c r="U11" s="124"/>
      <c r="V11" s="44"/>
      <c r="W11" s="44"/>
      <c r="X11" s="44"/>
      <c r="Y11" s="44"/>
      <c r="Z11" s="44"/>
      <c r="AA11" s="44"/>
      <c r="AB11" s="44"/>
    </row>
    <row r="12" spans="1:240" s="27" customFormat="1" x14ac:dyDescent="0.25">
      <c r="A12" s="543">
        <v>1</v>
      </c>
      <c r="B12" s="544" t="s">
        <v>16</v>
      </c>
      <c r="C12" s="543">
        <v>-1</v>
      </c>
      <c r="D12" s="546" t="s">
        <v>50</v>
      </c>
      <c r="E12" s="547">
        <v>10.7</v>
      </c>
      <c r="F12" s="563">
        <v>1</v>
      </c>
      <c r="G12" s="563">
        <v>1</v>
      </c>
      <c r="H12" s="548">
        <v>7635</v>
      </c>
      <c r="I12" s="1"/>
      <c r="J12" s="4"/>
      <c r="K12" s="4"/>
      <c r="M12" s="74"/>
      <c r="N12" s="44"/>
      <c r="O12" s="44"/>
      <c r="P12" s="44"/>
      <c r="Q12" s="44"/>
      <c r="R12" s="44"/>
      <c r="S12" s="44"/>
      <c r="T12" s="74"/>
      <c r="U12" s="44"/>
      <c r="V12" s="44"/>
      <c r="W12" s="44"/>
      <c r="X12" s="44"/>
      <c r="Y12" s="44"/>
      <c r="Z12" s="44"/>
      <c r="AA12" s="44"/>
      <c r="AB12" s="44"/>
    </row>
    <row r="13" spans="1:240" s="27" customFormat="1" x14ac:dyDescent="0.25">
      <c r="A13" s="543">
        <v>1</v>
      </c>
      <c r="B13" s="544" t="s">
        <v>16</v>
      </c>
      <c r="C13" s="543">
        <v>-1</v>
      </c>
      <c r="D13" s="546" t="s">
        <v>82</v>
      </c>
      <c r="E13" s="547">
        <v>118.7</v>
      </c>
      <c r="F13" s="563">
        <v>1</v>
      </c>
      <c r="G13" s="563">
        <v>1</v>
      </c>
      <c r="H13" s="545">
        <v>7630</v>
      </c>
      <c r="I13" s="1"/>
      <c r="J13" s="4"/>
      <c r="K13" s="4"/>
      <c r="M13" s="74"/>
      <c r="N13" s="44"/>
      <c r="O13" s="44"/>
      <c r="P13" s="44"/>
      <c r="Q13" s="44"/>
      <c r="R13" s="44"/>
      <c r="S13" s="44"/>
      <c r="T13" s="74"/>
      <c r="U13" s="44"/>
      <c r="V13" s="44"/>
      <c r="W13" s="44"/>
      <c r="X13" s="44"/>
      <c r="Y13" s="44"/>
      <c r="Z13" s="44"/>
      <c r="AA13" s="44"/>
      <c r="AB13" s="44"/>
    </row>
    <row r="14" spans="1:240" s="27" customFormat="1" x14ac:dyDescent="0.25">
      <c r="A14" s="543">
        <v>1</v>
      </c>
      <c r="B14" s="544" t="s">
        <v>16</v>
      </c>
      <c r="C14" s="543">
        <v>-1</v>
      </c>
      <c r="D14" s="546" t="s">
        <v>83</v>
      </c>
      <c r="E14" s="547">
        <v>53.4</v>
      </c>
      <c r="F14" s="563">
        <v>1</v>
      </c>
      <c r="G14" s="563">
        <v>1</v>
      </c>
      <c r="H14" s="545">
        <v>7630</v>
      </c>
      <c r="I14" s="1"/>
      <c r="J14" s="4"/>
      <c r="K14" s="4"/>
      <c r="M14" s="74"/>
      <c r="N14" s="44"/>
      <c r="O14" s="44"/>
      <c r="P14" s="44"/>
      <c r="Q14" s="44"/>
      <c r="R14" s="44"/>
      <c r="S14" s="44"/>
      <c r="T14" s="74"/>
      <c r="U14" s="44"/>
      <c r="V14" s="44"/>
      <c r="W14" s="44"/>
      <c r="X14" s="44"/>
      <c r="Y14" s="44"/>
      <c r="Z14" s="44"/>
      <c r="AA14" s="44"/>
      <c r="AB14" s="44"/>
    </row>
    <row r="15" spans="1:240" s="27" customFormat="1" x14ac:dyDescent="0.25">
      <c r="A15" s="543">
        <v>1</v>
      </c>
      <c r="B15" s="544" t="s">
        <v>16</v>
      </c>
      <c r="C15" s="543">
        <v>-1</v>
      </c>
      <c r="D15" s="546" t="s">
        <v>84</v>
      </c>
      <c r="E15" s="547">
        <v>34.75</v>
      </c>
      <c r="F15" s="563">
        <v>1</v>
      </c>
      <c r="G15" s="563">
        <v>1</v>
      </c>
      <c r="H15" s="545">
        <v>7630</v>
      </c>
      <c r="I15" s="1"/>
      <c r="J15" s="1"/>
      <c r="K15" s="1"/>
      <c r="L15" s="95"/>
      <c r="M15" s="98"/>
      <c r="N15" s="68"/>
      <c r="O15" s="40"/>
      <c r="P15" s="68"/>
      <c r="Q15" s="68"/>
      <c r="R15" s="40"/>
      <c r="S15" s="65"/>
      <c r="T15" s="124"/>
      <c r="U15" s="124"/>
      <c r="V15" s="44"/>
      <c r="W15" s="44"/>
      <c r="X15" s="44"/>
      <c r="Y15" s="44"/>
      <c r="Z15" s="44"/>
      <c r="AA15" s="44"/>
      <c r="AB15" s="44"/>
    </row>
    <row r="16" spans="1:240" s="27" customFormat="1" x14ac:dyDescent="0.25">
      <c r="A16" s="543">
        <v>1</v>
      </c>
      <c r="B16" s="544" t="s">
        <v>16</v>
      </c>
      <c r="C16" s="543">
        <v>1</v>
      </c>
      <c r="D16" s="546" t="s">
        <v>76</v>
      </c>
      <c r="E16" s="549">
        <v>30.6</v>
      </c>
      <c r="F16" s="563">
        <v>1</v>
      </c>
      <c r="G16" s="563">
        <v>1</v>
      </c>
      <c r="H16" s="545">
        <v>7640</v>
      </c>
      <c r="I16" s="1"/>
      <c r="J16" s="4"/>
      <c r="K16" s="4"/>
      <c r="M16" s="74"/>
      <c r="N16" s="44"/>
      <c r="O16" s="44"/>
      <c r="P16" s="44"/>
      <c r="Q16" s="44"/>
      <c r="R16" s="44"/>
      <c r="S16" s="44"/>
      <c r="T16" s="74"/>
      <c r="U16" s="44"/>
      <c r="V16" s="44"/>
      <c r="W16" s="44"/>
      <c r="X16" s="124"/>
      <c r="Y16" s="44"/>
      <c r="Z16" s="44"/>
      <c r="AA16" s="44"/>
      <c r="AB16" s="44"/>
    </row>
    <row r="17" spans="1:28" s="27" customFormat="1" x14ac:dyDescent="0.25">
      <c r="A17" s="543">
        <v>1</v>
      </c>
      <c r="B17" s="544" t="s">
        <v>16</v>
      </c>
      <c r="C17" s="543">
        <v>1</v>
      </c>
      <c r="D17" s="546" t="s">
        <v>76</v>
      </c>
      <c r="E17" s="549">
        <v>12.6</v>
      </c>
      <c r="F17" s="563">
        <v>1</v>
      </c>
      <c r="G17" s="563">
        <v>1</v>
      </c>
      <c r="H17" s="550">
        <v>7640</v>
      </c>
      <c r="I17" s="1"/>
      <c r="J17" s="1"/>
      <c r="K17" s="1"/>
      <c r="L17" s="95"/>
      <c r="M17" s="98"/>
      <c r="N17" s="68"/>
      <c r="O17" s="40"/>
      <c r="P17" s="68"/>
      <c r="Q17" s="68"/>
      <c r="R17" s="40"/>
      <c r="S17" s="65"/>
      <c r="T17" s="124"/>
      <c r="U17" s="124"/>
      <c r="V17" s="44"/>
      <c r="W17" s="44"/>
      <c r="X17" s="124"/>
      <c r="Y17" s="44"/>
      <c r="Z17" s="44"/>
      <c r="AA17" s="44"/>
      <c r="AB17" s="44"/>
    </row>
    <row r="18" spans="1:28" s="27" customFormat="1" x14ac:dyDescent="0.25">
      <c r="A18" s="543">
        <v>1</v>
      </c>
      <c r="B18" s="544" t="s">
        <v>16</v>
      </c>
      <c r="C18" s="543">
        <v>1</v>
      </c>
      <c r="D18" s="546" t="s">
        <v>305</v>
      </c>
      <c r="E18" s="549">
        <v>133.19999999999999</v>
      </c>
      <c r="F18" s="563">
        <v>1</v>
      </c>
      <c r="G18" s="563">
        <v>1</v>
      </c>
      <c r="H18" s="545">
        <v>7630</v>
      </c>
      <c r="I18" s="1"/>
      <c r="J18" s="4"/>
      <c r="K18" s="4"/>
      <c r="M18" s="74"/>
      <c r="N18" s="44"/>
      <c r="O18" s="44"/>
      <c r="P18" s="44"/>
      <c r="Q18" s="44"/>
      <c r="R18" s="44"/>
      <c r="S18" s="44"/>
      <c r="T18" s="74"/>
      <c r="U18" s="44"/>
      <c r="V18" s="44"/>
      <c r="W18" s="44"/>
      <c r="X18" s="124"/>
      <c r="Y18" s="44"/>
      <c r="Z18" s="44"/>
      <c r="AA18" s="44"/>
      <c r="AB18" s="44"/>
    </row>
    <row r="19" spans="1:28" s="27" customFormat="1" x14ac:dyDescent="0.25">
      <c r="A19" s="543">
        <v>1</v>
      </c>
      <c r="B19" s="544" t="s">
        <v>16</v>
      </c>
      <c r="C19" s="543">
        <v>1</v>
      </c>
      <c r="D19" s="546" t="s">
        <v>50</v>
      </c>
      <c r="E19" s="549">
        <v>35.200000000000003</v>
      </c>
      <c r="F19" s="563">
        <v>1</v>
      </c>
      <c r="G19" s="563">
        <v>1</v>
      </c>
      <c r="H19" s="551">
        <v>7635</v>
      </c>
      <c r="I19" s="1"/>
      <c r="J19" s="1"/>
      <c r="K19" s="1"/>
      <c r="L19" s="95"/>
      <c r="M19" s="98"/>
      <c r="N19" s="68"/>
      <c r="O19" s="40"/>
      <c r="P19" s="68"/>
      <c r="Q19" s="68"/>
      <c r="R19" s="40"/>
      <c r="S19" s="65"/>
      <c r="T19" s="124"/>
      <c r="U19" s="124"/>
      <c r="V19" s="44"/>
      <c r="W19" s="44"/>
      <c r="X19" s="124"/>
      <c r="Y19" s="44"/>
      <c r="Z19" s="44"/>
      <c r="AA19" s="44"/>
      <c r="AB19" s="44"/>
    </row>
    <row r="20" spans="1:28" s="27" customFormat="1" x14ac:dyDescent="0.25">
      <c r="A20" s="543">
        <v>1</v>
      </c>
      <c r="B20" s="544" t="s">
        <v>16</v>
      </c>
      <c r="C20" s="543">
        <v>1</v>
      </c>
      <c r="D20" s="546" t="s">
        <v>306</v>
      </c>
      <c r="E20" s="549">
        <v>56.3</v>
      </c>
      <c r="F20" s="563">
        <v>1</v>
      </c>
      <c r="G20" s="563">
        <v>1</v>
      </c>
      <c r="H20" s="545">
        <v>7630</v>
      </c>
      <c r="I20" s="1"/>
      <c r="J20" s="4"/>
      <c r="K20" s="4"/>
      <c r="M20" s="74"/>
      <c r="N20" s="44"/>
      <c r="O20" s="44"/>
      <c r="P20" s="44"/>
      <c r="Q20" s="44"/>
      <c r="R20" s="44"/>
      <c r="S20" s="44"/>
      <c r="T20" s="74"/>
      <c r="U20" s="44"/>
      <c r="V20" s="44"/>
      <c r="W20" s="44"/>
      <c r="X20" s="124"/>
      <c r="Y20" s="44"/>
      <c r="Z20" s="44"/>
      <c r="AA20" s="44"/>
      <c r="AB20" s="44"/>
    </row>
    <row r="21" spans="1:28" s="27" customFormat="1" x14ac:dyDescent="0.25">
      <c r="A21" s="543">
        <v>1</v>
      </c>
      <c r="B21" s="544" t="s">
        <v>16</v>
      </c>
      <c r="C21" s="543">
        <v>1</v>
      </c>
      <c r="D21" s="546" t="s">
        <v>50</v>
      </c>
      <c r="E21" s="549">
        <v>35.299999999999997</v>
      </c>
      <c r="F21" s="563">
        <v>1</v>
      </c>
      <c r="G21" s="563">
        <v>1</v>
      </c>
      <c r="H21" s="548">
        <v>7635</v>
      </c>
      <c r="I21" s="1"/>
      <c r="J21" s="1"/>
      <c r="K21" s="1"/>
      <c r="L21" s="95"/>
      <c r="M21" s="98"/>
      <c r="N21" s="68"/>
      <c r="O21" s="40"/>
      <c r="P21" s="68"/>
      <c r="Q21" s="68"/>
      <c r="R21" s="40"/>
      <c r="S21" s="65"/>
      <c r="T21" s="124"/>
      <c r="U21" s="124"/>
      <c r="V21" s="44"/>
      <c r="W21" s="44"/>
      <c r="X21" s="124"/>
      <c r="Y21" s="44"/>
      <c r="Z21" s="44"/>
      <c r="AA21" s="44"/>
      <c r="AB21" s="44"/>
    </row>
    <row r="22" spans="1:28" s="27" customFormat="1" x14ac:dyDescent="0.25">
      <c r="A22" s="543">
        <v>1</v>
      </c>
      <c r="B22" s="544" t="s">
        <v>16</v>
      </c>
      <c r="C22" s="543">
        <v>1</v>
      </c>
      <c r="D22" s="546" t="s">
        <v>50</v>
      </c>
      <c r="E22" s="549">
        <v>35.9</v>
      </c>
      <c r="F22" s="563">
        <v>1</v>
      </c>
      <c r="G22" s="563">
        <v>1</v>
      </c>
      <c r="H22" s="548">
        <v>7635</v>
      </c>
      <c r="I22" s="1"/>
      <c r="J22" s="4"/>
      <c r="K22" s="4"/>
      <c r="M22" s="74"/>
      <c r="N22" s="44"/>
      <c r="O22" s="44"/>
      <c r="P22" s="44"/>
      <c r="Q22" s="44"/>
      <c r="R22" s="44"/>
      <c r="S22" s="44"/>
      <c r="T22" s="74"/>
      <c r="U22" s="44"/>
      <c r="V22" s="44"/>
      <c r="W22" s="44"/>
      <c r="X22" s="124"/>
      <c r="Y22" s="44"/>
      <c r="Z22" s="44"/>
      <c r="AA22" s="44"/>
      <c r="AB22" s="44"/>
    </row>
    <row r="23" spans="1:28" s="27" customFormat="1" x14ac:dyDescent="0.25">
      <c r="A23" s="543">
        <v>1</v>
      </c>
      <c r="B23" s="544" t="s">
        <v>16</v>
      </c>
      <c r="C23" s="543">
        <v>1</v>
      </c>
      <c r="D23" s="546" t="s">
        <v>339</v>
      </c>
      <c r="E23" s="549">
        <v>34.700000000000003</v>
      </c>
      <c r="F23" s="563">
        <v>1</v>
      </c>
      <c r="G23" s="563">
        <v>1</v>
      </c>
      <c r="H23" s="548">
        <v>7635</v>
      </c>
      <c r="I23" s="1"/>
      <c r="J23" s="1"/>
      <c r="K23" s="1"/>
      <c r="L23" s="95"/>
      <c r="M23" s="98"/>
      <c r="N23" s="68"/>
      <c r="O23" s="40"/>
      <c r="P23" s="68"/>
      <c r="Q23" s="68"/>
      <c r="R23" s="40"/>
      <c r="S23" s="65"/>
      <c r="T23" s="124"/>
      <c r="U23" s="124"/>
      <c r="V23" s="44"/>
      <c r="W23" s="44"/>
      <c r="X23" s="124"/>
      <c r="Y23" s="44"/>
      <c r="Z23" s="44"/>
      <c r="AA23" s="44"/>
      <c r="AB23" s="44"/>
    </row>
    <row r="24" spans="1:28" s="27" customFormat="1" x14ac:dyDescent="0.25">
      <c r="A24" s="543">
        <v>1</v>
      </c>
      <c r="B24" s="544" t="s">
        <v>16</v>
      </c>
      <c r="C24" s="543">
        <v>1</v>
      </c>
      <c r="D24" s="546" t="s">
        <v>50</v>
      </c>
      <c r="E24" s="549">
        <v>17.899999999999999</v>
      </c>
      <c r="F24" s="563">
        <v>1</v>
      </c>
      <c r="G24" s="563">
        <v>1</v>
      </c>
      <c r="H24" s="548">
        <v>7635</v>
      </c>
      <c r="I24" s="1"/>
      <c r="J24" s="4"/>
      <c r="K24" s="4"/>
      <c r="M24" s="74"/>
      <c r="N24" s="44"/>
      <c r="O24" s="44"/>
      <c r="P24" s="44"/>
      <c r="Q24" s="44"/>
      <c r="R24" s="44"/>
      <c r="S24" s="44"/>
      <c r="T24" s="74"/>
      <c r="U24" s="44"/>
      <c r="V24" s="44"/>
      <c r="W24" s="44"/>
      <c r="X24" s="124"/>
      <c r="Y24" s="44"/>
      <c r="Z24" s="44"/>
      <c r="AA24" s="44"/>
      <c r="AB24" s="44"/>
    </row>
    <row r="25" spans="1:28" s="27" customFormat="1" x14ac:dyDescent="0.25">
      <c r="A25" s="543">
        <v>1</v>
      </c>
      <c r="B25" s="544" t="s">
        <v>16</v>
      </c>
      <c r="C25" s="543">
        <v>1</v>
      </c>
      <c r="D25" s="546" t="s">
        <v>50</v>
      </c>
      <c r="E25" s="549">
        <v>18.600000000000001</v>
      </c>
      <c r="F25" s="563">
        <v>1</v>
      </c>
      <c r="G25" s="563">
        <v>1</v>
      </c>
      <c r="H25" s="548">
        <v>7635</v>
      </c>
      <c r="I25" s="1"/>
      <c r="J25" s="1"/>
      <c r="K25" s="1"/>
      <c r="L25" s="95"/>
      <c r="M25" s="98"/>
      <c r="N25" s="68"/>
      <c r="O25" s="40"/>
      <c r="P25" s="68"/>
      <c r="Q25" s="68"/>
      <c r="R25" s="40"/>
      <c r="S25" s="65"/>
      <c r="T25" s="124"/>
      <c r="U25" s="124"/>
      <c r="V25" s="44"/>
      <c r="W25" s="44"/>
      <c r="X25" s="124"/>
      <c r="Y25" s="44"/>
      <c r="Z25" s="44"/>
      <c r="AA25" s="44"/>
      <c r="AB25" s="44"/>
    </row>
    <row r="26" spans="1:28" s="27" customFormat="1" x14ac:dyDescent="0.25">
      <c r="A26" s="543">
        <v>1</v>
      </c>
      <c r="B26" s="544" t="s">
        <v>16</v>
      </c>
      <c r="C26" s="543">
        <v>1</v>
      </c>
      <c r="D26" s="546" t="s">
        <v>63</v>
      </c>
      <c r="E26" s="549">
        <v>32.799999999999997</v>
      </c>
      <c r="F26" s="563">
        <v>1</v>
      </c>
      <c r="G26" s="563">
        <v>1</v>
      </c>
      <c r="H26" s="548">
        <v>7635</v>
      </c>
      <c r="I26" s="1"/>
      <c r="J26" s="4"/>
      <c r="K26" s="4"/>
      <c r="M26" s="74"/>
      <c r="N26" s="44"/>
      <c r="O26" s="44"/>
      <c r="P26" s="44"/>
      <c r="Q26" s="44"/>
      <c r="R26" s="44"/>
      <c r="S26" s="44"/>
      <c r="T26" s="74"/>
      <c r="U26" s="44"/>
      <c r="V26" s="44"/>
      <c r="W26" s="44"/>
      <c r="X26" s="124"/>
      <c r="Y26" s="44"/>
      <c r="Z26" s="44"/>
      <c r="AA26" s="44"/>
      <c r="AB26" s="44"/>
    </row>
    <row r="27" spans="1:28" s="27" customFormat="1" x14ac:dyDescent="0.25">
      <c r="A27" s="543">
        <v>1</v>
      </c>
      <c r="B27" s="544" t="s">
        <v>16</v>
      </c>
      <c r="C27" s="543">
        <v>1</v>
      </c>
      <c r="D27" s="546" t="s">
        <v>126</v>
      </c>
      <c r="E27" s="549">
        <v>72.2</v>
      </c>
      <c r="F27" s="563">
        <v>1</v>
      </c>
      <c r="G27" s="563">
        <v>1</v>
      </c>
      <c r="H27" s="545">
        <v>7630</v>
      </c>
      <c r="I27" s="1"/>
      <c r="J27" s="1"/>
      <c r="K27" s="1"/>
      <c r="L27" s="95"/>
      <c r="M27" s="98"/>
      <c r="N27" s="68"/>
      <c r="O27" s="40"/>
      <c r="P27" s="68"/>
      <c r="Q27" s="68"/>
      <c r="R27" s="40"/>
      <c r="S27" s="65"/>
      <c r="T27" s="124"/>
      <c r="U27" s="124"/>
      <c r="V27" s="44"/>
      <c r="W27" s="44"/>
      <c r="X27" s="124"/>
      <c r="Y27" s="44"/>
      <c r="Z27" s="44"/>
      <c r="AA27" s="44"/>
      <c r="AB27" s="44"/>
    </row>
    <row r="28" spans="1:28" s="27" customFormat="1" x14ac:dyDescent="0.25">
      <c r="A28" s="543">
        <v>1</v>
      </c>
      <c r="B28" s="544" t="s">
        <v>16</v>
      </c>
      <c r="C28" s="543">
        <v>1</v>
      </c>
      <c r="D28" s="546" t="s">
        <v>127</v>
      </c>
      <c r="E28" s="549">
        <v>58.8</v>
      </c>
      <c r="F28" s="563">
        <v>1</v>
      </c>
      <c r="G28" s="563">
        <v>1</v>
      </c>
      <c r="H28" s="550">
        <v>7630</v>
      </c>
      <c r="I28" s="1"/>
      <c r="J28" s="4"/>
      <c r="K28" s="4"/>
      <c r="M28" s="74"/>
      <c r="N28" s="44"/>
      <c r="O28" s="44"/>
      <c r="P28" s="44"/>
      <c r="Q28" s="44"/>
      <c r="R28" s="44"/>
      <c r="S28" s="44"/>
      <c r="T28" s="74"/>
      <c r="U28" s="44"/>
      <c r="V28" s="44"/>
      <c r="W28" s="44"/>
      <c r="X28" s="53"/>
      <c r="Y28" s="44"/>
      <c r="Z28" s="44"/>
      <c r="AA28" s="44"/>
      <c r="AB28" s="44"/>
    </row>
    <row r="29" spans="1:28" s="27" customFormat="1" x14ac:dyDescent="0.25">
      <c r="A29" s="543">
        <v>1</v>
      </c>
      <c r="B29" s="544" t="s">
        <v>16</v>
      </c>
      <c r="C29" s="543">
        <v>1</v>
      </c>
      <c r="D29" s="546" t="s">
        <v>128</v>
      </c>
      <c r="E29" s="549">
        <v>37.450000000000003</v>
      </c>
      <c r="F29" s="563">
        <v>1</v>
      </c>
      <c r="G29" s="563">
        <v>1</v>
      </c>
      <c r="H29" s="545">
        <v>7630</v>
      </c>
      <c r="I29" s="1"/>
      <c r="J29" s="1"/>
      <c r="K29" s="1"/>
      <c r="L29" s="95"/>
      <c r="M29" s="98"/>
      <c r="N29" s="68"/>
      <c r="O29" s="40"/>
      <c r="P29" s="68"/>
      <c r="Q29" s="68"/>
      <c r="R29" s="40"/>
      <c r="S29" s="65"/>
      <c r="T29" s="124"/>
      <c r="U29" s="124"/>
      <c r="V29" s="44"/>
      <c r="W29" s="44"/>
      <c r="X29" s="44"/>
      <c r="Y29" s="44"/>
      <c r="Z29" s="44"/>
      <c r="AA29" s="44"/>
      <c r="AB29" s="44"/>
    </row>
    <row r="30" spans="1:28" s="27" customFormat="1" x14ac:dyDescent="0.25">
      <c r="A30" s="543">
        <v>1</v>
      </c>
      <c r="B30" s="544" t="s">
        <v>16</v>
      </c>
      <c r="C30" s="543">
        <v>1</v>
      </c>
      <c r="D30" s="546" t="s">
        <v>85</v>
      </c>
      <c r="E30" s="549">
        <v>60.5</v>
      </c>
      <c r="F30" s="563">
        <v>1</v>
      </c>
      <c r="G30" s="563">
        <v>1</v>
      </c>
      <c r="H30" s="545">
        <v>7630</v>
      </c>
      <c r="I30" s="1"/>
      <c r="J30" s="4"/>
      <c r="K30" s="4"/>
      <c r="M30" s="74"/>
      <c r="N30" s="44"/>
      <c r="O30" s="44"/>
      <c r="P30" s="44"/>
      <c r="Q30" s="44"/>
      <c r="R30" s="44"/>
      <c r="S30" s="44"/>
      <c r="T30" s="74"/>
      <c r="U30" s="44"/>
      <c r="V30" s="44"/>
      <c r="W30" s="44"/>
      <c r="X30" s="44"/>
      <c r="Y30" s="44"/>
      <c r="Z30" s="44"/>
      <c r="AA30" s="44"/>
      <c r="AB30" s="44"/>
    </row>
    <row r="31" spans="1:28" s="27" customFormat="1" x14ac:dyDescent="0.25">
      <c r="A31" s="543">
        <v>1</v>
      </c>
      <c r="B31" s="544" t="s">
        <v>16</v>
      </c>
      <c r="C31" s="543">
        <v>1</v>
      </c>
      <c r="D31" s="546" t="s">
        <v>114</v>
      </c>
      <c r="E31" s="549">
        <v>53.3</v>
      </c>
      <c r="F31" s="563">
        <v>1</v>
      </c>
      <c r="G31" s="563">
        <v>1</v>
      </c>
      <c r="H31" s="550">
        <v>7620</v>
      </c>
      <c r="I31" s="1"/>
      <c r="J31" s="1"/>
      <c r="K31" s="1"/>
      <c r="L31" s="95"/>
      <c r="M31" s="98"/>
      <c r="N31" s="68"/>
      <c r="O31" s="40"/>
      <c r="P31" s="68"/>
      <c r="Q31" s="68"/>
      <c r="R31" s="40"/>
      <c r="S31" s="65"/>
      <c r="T31" s="124"/>
      <c r="U31" s="124"/>
      <c r="V31" s="44"/>
      <c r="W31" s="44"/>
      <c r="X31" s="44"/>
      <c r="Y31" s="44"/>
      <c r="Z31" s="44"/>
      <c r="AA31" s="44"/>
      <c r="AB31" s="44"/>
    </row>
    <row r="32" spans="1:28" s="27" customFormat="1" x14ac:dyDescent="0.25">
      <c r="A32" s="543">
        <v>1</v>
      </c>
      <c r="B32" s="544" t="s">
        <v>16</v>
      </c>
      <c r="C32" s="543">
        <v>1</v>
      </c>
      <c r="D32" s="546" t="s">
        <v>340</v>
      </c>
      <c r="E32" s="549">
        <v>15.9</v>
      </c>
      <c r="F32" s="563">
        <v>1</v>
      </c>
      <c r="G32" s="563">
        <v>1</v>
      </c>
      <c r="H32" s="551">
        <v>7635</v>
      </c>
      <c r="I32" s="1"/>
      <c r="J32" s="4"/>
      <c r="K32" s="4"/>
      <c r="M32" s="74"/>
      <c r="N32" s="44"/>
      <c r="O32" s="44"/>
      <c r="P32" s="44"/>
      <c r="Q32" s="44"/>
      <c r="R32" s="44"/>
      <c r="S32" s="44"/>
      <c r="T32" s="74"/>
      <c r="U32" s="44"/>
      <c r="V32" s="44"/>
      <c r="W32" s="44"/>
      <c r="X32" s="44"/>
      <c r="Y32" s="44"/>
      <c r="Z32" s="44"/>
      <c r="AA32" s="44"/>
      <c r="AB32" s="44"/>
    </row>
    <row r="33" spans="1:28" s="27" customFormat="1" x14ac:dyDescent="0.25">
      <c r="A33" s="543">
        <v>1</v>
      </c>
      <c r="B33" s="544" t="s">
        <v>16</v>
      </c>
      <c r="C33" s="543">
        <v>1</v>
      </c>
      <c r="D33" s="546" t="s">
        <v>50</v>
      </c>
      <c r="E33" s="549">
        <v>23.4</v>
      </c>
      <c r="F33" s="563">
        <v>1</v>
      </c>
      <c r="G33" s="563">
        <v>1</v>
      </c>
      <c r="H33" s="548">
        <v>7635</v>
      </c>
      <c r="I33" s="1"/>
      <c r="J33" s="1"/>
      <c r="K33" s="1"/>
      <c r="L33" s="95"/>
      <c r="M33" s="98"/>
      <c r="N33" s="68"/>
      <c r="O33" s="40"/>
      <c r="P33" s="68"/>
      <c r="Q33" s="68"/>
      <c r="R33" s="40"/>
      <c r="S33" s="65"/>
      <c r="T33" s="124"/>
      <c r="U33" s="124"/>
      <c r="V33" s="44"/>
      <c r="W33" s="44"/>
      <c r="X33" s="44"/>
      <c r="Y33" s="44"/>
      <c r="Z33" s="44"/>
      <c r="AA33" s="44"/>
      <c r="AB33" s="44"/>
    </row>
    <row r="34" spans="1:28" s="27" customFormat="1" x14ac:dyDescent="0.25">
      <c r="A34" s="543">
        <v>1</v>
      </c>
      <c r="B34" s="544" t="s">
        <v>16</v>
      </c>
      <c r="C34" s="543">
        <v>1</v>
      </c>
      <c r="D34" s="546" t="s">
        <v>50</v>
      </c>
      <c r="E34" s="549">
        <v>38.4</v>
      </c>
      <c r="F34" s="563">
        <v>1</v>
      </c>
      <c r="G34" s="563">
        <v>1</v>
      </c>
      <c r="H34" s="548">
        <v>7635</v>
      </c>
      <c r="I34" s="1"/>
      <c r="J34" s="4"/>
      <c r="K34" s="4"/>
      <c r="M34" s="74"/>
      <c r="N34" s="44"/>
      <c r="O34" s="44"/>
      <c r="P34" s="44"/>
      <c r="Q34" s="44"/>
      <c r="R34" s="44"/>
      <c r="S34" s="44"/>
      <c r="T34" s="74"/>
      <c r="U34" s="44"/>
      <c r="V34" s="44"/>
      <c r="W34" s="44"/>
      <c r="X34" s="44"/>
      <c r="Y34" s="44"/>
      <c r="Z34" s="44"/>
      <c r="AA34" s="44"/>
      <c r="AB34" s="44"/>
    </row>
    <row r="35" spans="1:28" s="27" customFormat="1" x14ac:dyDescent="0.25">
      <c r="A35" s="543">
        <v>1</v>
      </c>
      <c r="B35" s="544" t="s">
        <v>16</v>
      </c>
      <c r="C35" s="543">
        <v>1</v>
      </c>
      <c r="D35" s="546" t="s">
        <v>594</v>
      </c>
      <c r="E35" s="549">
        <v>16.899999999999999</v>
      </c>
      <c r="F35" s="563">
        <v>1</v>
      </c>
      <c r="G35" s="563">
        <v>1</v>
      </c>
      <c r="H35" s="550">
        <v>7635</v>
      </c>
      <c r="I35" s="1"/>
      <c r="J35" s="1"/>
      <c r="K35" s="1"/>
      <c r="L35" s="95"/>
      <c r="M35" s="98"/>
      <c r="N35" s="68"/>
      <c r="O35" s="40"/>
      <c r="P35" s="68"/>
      <c r="Q35" s="68"/>
      <c r="R35" s="40"/>
      <c r="S35" s="65"/>
      <c r="T35" s="124"/>
      <c r="U35" s="124"/>
      <c r="V35" s="44"/>
      <c r="W35" s="44"/>
      <c r="X35" s="44"/>
      <c r="Y35" s="44"/>
      <c r="Z35" s="44"/>
      <c r="AA35" s="44"/>
      <c r="AB35" s="44"/>
    </row>
    <row r="36" spans="1:28" s="27" customFormat="1" x14ac:dyDescent="0.25">
      <c r="A36" s="543">
        <v>1</v>
      </c>
      <c r="B36" s="544" t="s">
        <v>16</v>
      </c>
      <c r="C36" s="543">
        <v>1</v>
      </c>
      <c r="D36" s="546" t="s">
        <v>595</v>
      </c>
      <c r="E36" s="549">
        <v>13.4</v>
      </c>
      <c r="F36" s="563">
        <v>1</v>
      </c>
      <c r="G36" s="563">
        <v>1</v>
      </c>
      <c r="H36" s="550">
        <v>7635</v>
      </c>
      <c r="I36" s="1"/>
      <c r="J36" s="4"/>
      <c r="K36" s="4"/>
      <c r="M36" s="74"/>
      <c r="N36" s="44"/>
      <c r="O36" s="44"/>
      <c r="P36" s="44"/>
      <c r="Q36" s="44"/>
      <c r="R36" s="44"/>
      <c r="S36" s="44"/>
      <c r="T36" s="74"/>
      <c r="U36" s="44"/>
      <c r="V36" s="44"/>
      <c r="W36" s="44"/>
      <c r="X36" s="44"/>
      <c r="Y36" s="44"/>
      <c r="Z36" s="44"/>
      <c r="AA36" s="44"/>
      <c r="AB36" s="44"/>
    </row>
    <row r="37" spans="1:28" s="27" customFormat="1" x14ac:dyDescent="0.25">
      <c r="A37" s="543">
        <v>1</v>
      </c>
      <c r="B37" s="544" t="s">
        <v>16</v>
      </c>
      <c r="C37" s="543">
        <v>1</v>
      </c>
      <c r="D37" s="911" t="s">
        <v>596</v>
      </c>
      <c r="E37" s="549">
        <v>34.299999999999997</v>
      </c>
      <c r="F37" s="563">
        <v>1</v>
      </c>
      <c r="G37" s="563">
        <v>1</v>
      </c>
      <c r="H37" s="545">
        <v>7630</v>
      </c>
      <c r="I37" s="1"/>
      <c r="J37" s="1"/>
      <c r="K37" s="1"/>
      <c r="L37" s="95"/>
      <c r="M37" s="98"/>
      <c r="N37" s="68"/>
      <c r="O37" s="40"/>
      <c r="P37" s="68"/>
      <c r="Q37" s="68"/>
      <c r="R37" s="40"/>
      <c r="S37" s="65"/>
      <c r="T37" s="124"/>
      <c r="U37" s="124"/>
      <c r="V37" s="44"/>
      <c r="W37" s="44"/>
      <c r="X37" s="44"/>
      <c r="Y37" s="44"/>
      <c r="Z37" s="44"/>
      <c r="AA37" s="44"/>
      <c r="AB37" s="44"/>
    </row>
    <row r="38" spans="1:28" s="27" customFormat="1" x14ac:dyDescent="0.25">
      <c r="A38" s="543">
        <v>1</v>
      </c>
      <c r="B38" s="544" t="s">
        <v>16</v>
      </c>
      <c r="C38" s="543">
        <v>1</v>
      </c>
      <c r="D38" s="911" t="s">
        <v>307</v>
      </c>
      <c r="E38" s="549">
        <v>50.9</v>
      </c>
      <c r="F38" s="563">
        <v>1</v>
      </c>
      <c r="G38" s="563">
        <v>1</v>
      </c>
      <c r="H38" s="545">
        <v>7630</v>
      </c>
      <c r="I38" s="1"/>
      <c r="J38" s="4"/>
      <c r="K38" s="4"/>
      <c r="M38" s="74"/>
      <c r="N38" s="44"/>
      <c r="O38" s="44"/>
      <c r="P38" s="44"/>
      <c r="Q38" s="44"/>
      <c r="R38" s="44"/>
      <c r="S38" s="44"/>
      <c r="T38" s="74"/>
      <c r="U38" s="44"/>
      <c r="V38" s="44"/>
      <c r="W38" s="44"/>
      <c r="X38" s="44"/>
      <c r="Y38" s="44"/>
      <c r="Z38" s="44"/>
      <c r="AA38" s="44"/>
      <c r="AB38" s="44"/>
    </row>
    <row r="39" spans="1:28" s="27" customFormat="1" x14ac:dyDescent="0.25">
      <c r="A39" s="543">
        <v>1</v>
      </c>
      <c r="B39" s="544" t="s">
        <v>16</v>
      </c>
      <c r="C39" s="543">
        <v>1</v>
      </c>
      <c r="D39" s="546" t="s">
        <v>49</v>
      </c>
      <c r="E39" s="549">
        <v>12.8</v>
      </c>
      <c r="F39" s="563">
        <v>1</v>
      </c>
      <c r="G39" s="563">
        <v>1</v>
      </c>
      <c r="H39" s="548">
        <v>7635</v>
      </c>
      <c r="I39" s="1"/>
      <c r="J39" s="1"/>
      <c r="K39" s="1"/>
      <c r="L39" s="95"/>
      <c r="M39" s="98"/>
      <c r="N39" s="68"/>
      <c r="O39" s="40"/>
      <c r="P39" s="68"/>
      <c r="Q39" s="68"/>
      <c r="R39" s="40"/>
      <c r="S39" s="65"/>
      <c r="T39" s="124"/>
      <c r="U39" s="124"/>
      <c r="V39" s="44"/>
      <c r="W39" s="44"/>
      <c r="X39" s="44"/>
      <c r="Y39" s="44"/>
      <c r="Z39" s="44"/>
      <c r="AA39" s="44"/>
      <c r="AB39" s="44"/>
    </row>
    <row r="40" spans="1:28" s="27" customFormat="1" x14ac:dyDescent="0.25">
      <c r="A40" s="543">
        <v>1</v>
      </c>
      <c r="B40" s="544" t="s">
        <v>16</v>
      </c>
      <c r="C40" s="543">
        <v>2</v>
      </c>
      <c r="D40" s="546" t="s">
        <v>77</v>
      </c>
      <c r="E40" s="549">
        <v>23.05</v>
      </c>
      <c r="F40" s="563">
        <v>1</v>
      </c>
      <c r="G40" s="563">
        <v>1</v>
      </c>
      <c r="H40" s="545">
        <v>7645</v>
      </c>
      <c r="I40" s="1"/>
      <c r="J40" s="4"/>
      <c r="K40" s="4"/>
      <c r="M40" s="74"/>
      <c r="N40" s="44"/>
      <c r="O40" s="44"/>
      <c r="P40" s="44"/>
      <c r="Q40" s="44"/>
      <c r="R40" s="44"/>
      <c r="S40" s="44"/>
      <c r="T40" s="74"/>
      <c r="U40" s="44"/>
      <c r="V40" s="44"/>
      <c r="W40" s="44"/>
      <c r="X40" s="44"/>
      <c r="Y40" s="44"/>
      <c r="Z40" s="44"/>
      <c r="AA40" s="44"/>
      <c r="AB40" s="44"/>
    </row>
    <row r="41" spans="1:28" s="27" customFormat="1" x14ac:dyDescent="0.25">
      <c r="A41" s="543">
        <v>1</v>
      </c>
      <c r="B41" s="544" t="s">
        <v>16</v>
      </c>
      <c r="C41" s="543">
        <v>2</v>
      </c>
      <c r="D41" s="546" t="s">
        <v>308</v>
      </c>
      <c r="E41" s="549">
        <v>84.7</v>
      </c>
      <c r="F41" s="563">
        <v>1</v>
      </c>
      <c r="G41" s="563">
        <v>1</v>
      </c>
      <c r="H41" s="550">
        <v>7630</v>
      </c>
      <c r="I41" s="1"/>
      <c r="J41" s="1"/>
      <c r="K41" s="1"/>
      <c r="L41" s="95"/>
      <c r="M41" s="98"/>
      <c r="N41" s="68"/>
      <c r="O41" s="40"/>
      <c r="P41" s="68"/>
      <c r="Q41" s="68"/>
      <c r="R41" s="40"/>
      <c r="S41" s="65"/>
      <c r="T41" s="124"/>
      <c r="U41" s="124"/>
      <c r="V41" s="44"/>
      <c r="W41" s="44"/>
      <c r="X41" s="44"/>
      <c r="Y41" s="44"/>
      <c r="Z41" s="44"/>
      <c r="AA41" s="44"/>
      <c r="AB41" s="44"/>
    </row>
    <row r="42" spans="1:28" s="27" customFormat="1" x14ac:dyDescent="0.25">
      <c r="A42" s="543">
        <v>1</v>
      </c>
      <c r="B42" s="544" t="s">
        <v>16</v>
      </c>
      <c r="C42" s="543">
        <v>2</v>
      </c>
      <c r="D42" s="546" t="s">
        <v>72</v>
      </c>
      <c r="E42" s="549">
        <v>6</v>
      </c>
      <c r="F42" s="563">
        <v>1</v>
      </c>
      <c r="G42" s="563">
        <v>5</v>
      </c>
      <c r="H42" s="550">
        <v>7817</v>
      </c>
      <c r="I42" s="1"/>
      <c r="J42" s="4"/>
      <c r="K42" s="4"/>
      <c r="M42" s="74"/>
      <c r="N42" s="44"/>
      <c r="O42" s="44"/>
      <c r="P42" s="44"/>
      <c r="Q42" s="44"/>
      <c r="R42" s="44"/>
      <c r="S42" s="44"/>
      <c r="T42" s="74"/>
      <c r="U42" s="44"/>
      <c r="V42" s="44"/>
      <c r="W42" s="44"/>
      <c r="X42" s="44"/>
      <c r="Y42" s="44"/>
      <c r="Z42" s="44"/>
      <c r="AA42" s="44"/>
      <c r="AB42" s="44"/>
    </row>
    <row r="43" spans="1:28" s="27" customFormat="1" x14ac:dyDescent="0.25">
      <c r="A43" s="543">
        <v>1</v>
      </c>
      <c r="B43" s="544" t="s">
        <v>16</v>
      </c>
      <c r="C43" s="543">
        <v>2</v>
      </c>
      <c r="D43" s="546" t="s">
        <v>129</v>
      </c>
      <c r="E43" s="549">
        <v>30.4</v>
      </c>
      <c r="F43" s="563">
        <v>1</v>
      </c>
      <c r="G43" s="563">
        <v>1</v>
      </c>
      <c r="H43" s="545">
        <v>7625</v>
      </c>
      <c r="I43" s="1"/>
      <c r="J43" s="1"/>
      <c r="K43" s="1"/>
      <c r="L43" s="95"/>
      <c r="M43" s="98"/>
      <c r="N43" s="68"/>
      <c r="O43" s="40"/>
      <c r="P43" s="68"/>
      <c r="Q43" s="68"/>
      <c r="R43" s="40"/>
      <c r="S43" s="65"/>
      <c r="T43" s="124"/>
      <c r="U43" s="124"/>
      <c r="V43" s="44"/>
      <c r="W43" s="44"/>
      <c r="X43" s="44"/>
      <c r="Y43" s="44"/>
      <c r="Z43" s="44"/>
      <c r="AA43" s="44"/>
      <c r="AB43" s="44"/>
    </row>
    <row r="44" spans="1:28" s="27" customFormat="1" x14ac:dyDescent="0.25">
      <c r="A44" s="543">
        <v>1</v>
      </c>
      <c r="B44" s="544" t="s">
        <v>16</v>
      </c>
      <c r="C44" s="543">
        <v>2</v>
      </c>
      <c r="D44" s="546" t="s">
        <v>48</v>
      </c>
      <c r="E44" s="549">
        <v>12.1</v>
      </c>
      <c r="F44" s="563">
        <v>1</v>
      </c>
      <c r="G44" s="563">
        <v>1</v>
      </c>
      <c r="H44" s="548">
        <v>7625</v>
      </c>
      <c r="I44" s="1"/>
      <c r="J44" s="4"/>
      <c r="K44" s="4"/>
      <c r="M44" s="74"/>
      <c r="N44" s="44"/>
      <c r="O44" s="44"/>
      <c r="P44" s="44"/>
      <c r="Q44" s="44"/>
      <c r="R44" s="44"/>
      <c r="S44" s="44"/>
      <c r="T44" s="74"/>
      <c r="U44" s="44"/>
      <c r="V44" s="44"/>
      <c r="W44" s="44"/>
      <c r="X44" s="44"/>
      <c r="Y44" s="44"/>
      <c r="Z44" s="44"/>
      <c r="AA44" s="44"/>
      <c r="AB44" s="44"/>
    </row>
    <row r="45" spans="1:28" s="27" customFormat="1" x14ac:dyDescent="0.25">
      <c r="A45" s="543">
        <v>1</v>
      </c>
      <c r="B45" s="544" t="s">
        <v>16</v>
      </c>
      <c r="C45" s="543">
        <v>2</v>
      </c>
      <c r="D45" s="546" t="s">
        <v>47</v>
      </c>
      <c r="E45" s="549">
        <v>23.8</v>
      </c>
      <c r="F45" s="563">
        <v>1</v>
      </c>
      <c r="G45" s="563">
        <v>1</v>
      </c>
      <c r="H45" s="548">
        <v>7625</v>
      </c>
      <c r="I45" s="1"/>
      <c r="J45" s="1"/>
      <c r="K45" s="1"/>
      <c r="L45" s="95"/>
      <c r="M45" s="98"/>
      <c r="N45" s="68"/>
      <c r="O45" s="40"/>
      <c r="P45" s="68"/>
      <c r="Q45" s="68"/>
      <c r="R45" s="40"/>
      <c r="S45" s="65"/>
      <c r="T45" s="124"/>
      <c r="U45" s="124"/>
      <c r="V45" s="44"/>
      <c r="W45" s="44"/>
      <c r="X45" s="44"/>
      <c r="Y45" s="44"/>
      <c r="Z45" s="44"/>
      <c r="AA45" s="44"/>
      <c r="AB45" s="44"/>
    </row>
    <row r="46" spans="1:28" s="27" customFormat="1" x14ac:dyDescent="0.25">
      <c r="A46" s="543">
        <v>1</v>
      </c>
      <c r="B46" s="544" t="s">
        <v>16</v>
      </c>
      <c r="C46" s="543">
        <v>2</v>
      </c>
      <c r="D46" s="546" t="s">
        <v>130</v>
      </c>
      <c r="E46" s="549">
        <v>14.1</v>
      </c>
      <c r="F46" s="563">
        <v>1</v>
      </c>
      <c r="G46" s="563">
        <v>1</v>
      </c>
      <c r="H46" s="548">
        <v>7625</v>
      </c>
      <c r="I46" s="1"/>
      <c r="J46" s="4"/>
      <c r="K46" s="4"/>
      <c r="M46" s="74"/>
      <c r="N46" s="44"/>
      <c r="O46" s="44"/>
      <c r="P46" s="44"/>
      <c r="Q46" s="44"/>
      <c r="R46" s="44"/>
      <c r="S46" s="44"/>
      <c r="T46" s="74"/>
      <c r="U46" s="44"/>
      <c r="V46" s="44"/>
      <c r="W46" s="44"/>
      <c r="X46" s="44"/>
      <c r="Y46" s="44"/>
      <c r="Z46" s="44"/>
      <c r="AA46" s="44"/>
      <c r="AB46" s="44"/>
    </row>
    <row r="47" spans="1:28" s="27" customFormat="1" x14ac:dyDescent="0.25">
      <c r="A47" s="543">
        <v>1</v>
      </c>
      <c r="B47" s="544" t="s">
        <v>16</v>
      </c>
      <c r="C47" s="543">
        <v>2</v>
      </c>
      <c r="D47" s="546" t="s">
        <v>48</v>
      </c>
      <c r="E47" s="549">
        <v>31.2</v>
      </c>
      <c r="F47" s="563">
        <v>1</v>
      </c>
      <c r="G47" s="563">
        <v>1</v>
      </c>
      <c r="H47" s="548">
        <v>7625</v>
      </c>
      <c r="I47" s="1"/>
      <c r="J47" s="1"/>
      <c r="K47" s="1"/>
      <c r="L47" s="95"/>
      <c r="M47" s="98"/>
      <c r="N47" s="68"/>
      <c r="O47" s="40"/>
      <c r="P47" s="68"/>
      <c r="Q47" s="68"/>
      <c r="R47" s="40"/>
      <c r="S47" s="65"/>
      <c r="T47" s="124"/>
      <c r="U47" s="124"/>
      <c r="V47" s="44"/>
      <c r="W47" s="44"/>
      <c r="X47" s="44"/>
      <c r="Y47" s="44"/>
      <c r="Z47" s="44"/>
      <c r="AA47" s="44"/>
      <c r="AB47" s="44"/>
    </row>
    <row r="48" spans="1:28" s="27" customFormat="1" x14ac:dyDescent="0.25">
      <c r="A48" s="543">
        <v>1</v>
      </c>
      <c r="B48" s="544" t="s">
        <v>16</v>
      </c>
      <c r="C48" s="543">
        <v>2</v>
      </c>
      <c r="D48" s="546" t="s">
        <v>48</v>
      </c>
      <c r="E48" s="549">
        <v>15.46</v>
      </c>
      <c r="F48" s="563">
        <v>1</v>
      </c>
      <c r="G48" s="563">
        <v>1</v>
      </c>
      <c r="H48" s="548">
        <v>7625</v>
      </c>
      <c r="I48" s="1"/>
      <c r="J48" s="4"/>
      <c r="K48" s="4"/>
      <c r="M48" s="74"/>
      <c r="N48" s="44"/>
      <c r="O48" s="44"/>
      <c r="P48" s="44"/>
      <c r="Q48" s="44"/>
      <c r="R48" s="44"/>
      <c r="S48" s="44"/>
      <c r="T48" s="74"/>
      <c r="U48" s="44"/>
      <c r="V48" s="44"/>
      <c r="W48" s="44"/>
      <c r="X48" s="44"/>
      <c r="Y48" s="44"/>
      <c r="Z48" s="44"/>
      <c r="AA48" s="44"/>
      <c r="AB48" s="44"/>
    </row>
    <row r="49" spans="1:28" s="27" customFormat="1" x14ac:dyDescent="0.25">
      <c r="A49" s="543">
        <v>1</v>
      </c>
      <c r="B49" s="544" t="s">
        <v>16</v>
      </c>
      <c r="C49" s="543">
        <v>2</v>
      </c>
      <c r="D49" s="546" t="s">
        <v>48</v>
      </c>
      <c r="E49" s="549">
        <v>31.83</v>
      </c>
      <c r="F49" s="563">
        <v>1</v>
      </c>
      <c r="G49" s="563">
        <v>1</v>
      </c>
      <c r="H49" s="548">
        <v>7625</v>
      </c>
      <c r="I49" s="1"/>
      <c r="J49" s="1"/>
      <c r="K49" s="1"/>
      <c r="L49" s="95"/>
      <c r="M49" s="98"/>
      <c r="N49" s="68"/>
      <c r="O49" s="40"/>
      <c r="P49" s="68"/>
      <c r="Q49" s="68"/>
      <c r="R49" s="40"/>
      <c r="S49" s="65"/>
      <c r="T49" s="124"/>
      <c r="U49" s="124"/>
      <c r="V49" s="44"/>
      <c r="W49" s="44"/>
      <c r="X49" s="44"/>
      <c r="Y49" s="44"/>
      <c r="Z49" s="44"/>
      <c r="AA49" s="44"/>
      <c r="AB49" s="44"/>
    </row>
    <row r="50" spans="1:28" s="27" customFormat="1" x14ac:dyDescent="0.25">
      <c r="A50" s="543">
        <v>1</v>
      </c>
      <c r="B50" s="544" t="s">
        <v>16</v>
      </c>
      <c r="C50" s="543">
        <v>2</v>
      </c>
      <c r="D50" s="546" t="s">
        <v>110</v>
      </c>
      <c r="E50" s="549">
        <v>17.52</v>
      </c>
      <c r="F50" s="563">
        <v>1</v>
      </c>
      <c r="G50" s="563">
        <v>5</v>
      </c>
      <c r="H50" s="545">
        <v>7117</v>
      </c>
      <c r="I50" s="1"/>
      <c r="J50" s="4"/>
      <c r="K50" s="4"/>
      <c r="M50" s="74"/>
      <c r="N50" s="44"/>
      <c r="O50" s="44"/>
      <c r="P50" s="44"/>
      <c r="Q50" s="44"/>
      <c r="R50" s="44"/>
      <c r="S50" s="44"/>
      <c r="T50" s="74"/>
      <c r="U50" s="44"/>
      <c r="V50" s="44"/>
      <c r="W50" s="44"/>
      <c r="X50" s="44"/>
      <c r="Y50" s="44"/>
      <c r="Z50" s="44"/>
      <c r="AA50" s="44"/>
      <c r="AB50" s="44"/>
    </row>
    <row r="51" spans="1:28" s="27" customFormat="1" x14ac:dyDescent="0.25">
      <c r="A51" s="543">
        <v>1</v>
      </c>
      <c r="B51" s="544" t="s">
        <v>16</v>
      </c>
      <c r="C51" s="543">
        <v>2</v>
      </c>
      <c r="D51" s="546" t="s">
        <v>110</v>
      </c>
      <c r="E51" s="549">
        <v>17.100000000000001</v>
      </c>
      <c r="F51" s="563">
        <v>1</v>
      </c>
      <c r="G51" s="563">
        <v>5</v>
      </c>
      <c r="H51" s="545">
        <v>7117</v>
      </c>
      <c r="I51" s="1"/>
      <c r="J51" s="1"/>
      <c r="K51" s="1"/>
      <c r="L51" s="95"/>
      <c r="M51" s="98"/>
      <c r="N51" s="68"/>
      <c r="O51" s="40"/>
      <c r="P51" s="68"/>
      <c r="Q51" s="68"/>
      <c r="R51" s="40"/>
      <c r="S51" s="65"/>
      <c r="T51" s="124"/>
      <c r="U51" s="124"/>
      <c r="V51" s="44"/>
      <c r="W51" s="44"/>
      <c r="X51" s="44"/>
      <c r="Y51" s="44"/>
      <c r="Z51" s="44"/>
      <c r="AA51" s="44"/>
      <c r="AB51" s="44"/>
    </row>
    <row r="52" spans="1:28" s="27" customFormat="1" x14ac:dyDescent="0.25">
      <c r="A52" s="543">
        <v>1</v>
      </c>
      <c r="B52" s="544" t="s">
        <v>16</v>
      </c>
      <c r="C52" s="543">
        <v>2</v>
      </c>
      <c r="D52" s="546" t="s">
        <v>48</v>
      </c>
      <c r="E52" s="549">
        <v>29.52</v>
      </c>
      <c r="F52" s="563">
        <v>1</v>
      </c>
      <c r="G52" s="563">
        <v>1</v>
      </c>
      <c r="H52" s="548">
        <v>7625</v>
      </c>
      <c r="I52" s="1"/>
      <c r="J52" s="4"/>
      <c r="K52" s="4"/>
      <c r="M52" s="74"/>
      <c r="N52" s="44"/>
      <c r="O52" s="44"/>
      <c r="P52" s="44"/>
      <c r="Q52" s="44"/>
      <c r="R52" s="44"/>
      <c r="S52" s="44"/>
      <c r="T52" s="74"/>
      <c r="U52" s="44"/>
      <c r="V52" s="44"/>
      <c r="W52" s="44"/>
      <c r="X52" s="44"/>
      <c r="Y52" s="44"/>
      <c r="Z52" s="44"/>
      <c r="AA52" s="44"/>
      <c r="AB52" s="44"/>
    </row>
    <row r="53" spans="1:28" s="27" customFormat="1" x14ac:dyDescent="0.25">
      <c r="A53" s="543">
        <v>1</v>
      </c>
      <c r="B53" s="544" t="s">
        <v>16</v>
      </c>
      <c r="C53" s="543">
        <v>2</v>
      </c>
      <c r="D53" s="546" t="s">
        <v>131</v>
      </c>
      <c r="E53" s="549">
        <v>21.86</v>
      </c>
      <c r="F53" s="563">
        <v>1</v>
      </c>
      <c r="G53" s="563">
        <v>1</v>
      </c>
      <c r="H53" s="545">
        <v>7625</v>
      </c>
      <c r="I53" s="1"/>
      <c r="J53" s="1"/>
      <c r="K53" s="1"/>
      <c r="L53" s="95"/>
      <c r="M53" s="98"/>
      <c r="N53" s="68"/>
      <c r="O53" s="40"/>
      <c r="P53" s="68"/>
      <c r="Q53" s="68"/>
      <c r="R53" s="40"/>
      <c r="S53" s="65"/>
      <c r="T53" s="124"/>
      <c r="U53" s="124"/>
      <c r="V53" s="44"/>
      <c r="W53" s="44"/>
      <c r="X53" s="44"/>
      <c r="Y53" s="44"/>
      <c r="Z53" s="44"/>
      <c r="AA53" s="44"/>
      <c r="AB53" s="44"/>
    </row>
    <row r="54" spans="1:28" s="27" customFormat="1" x14ac:dyDescent="0.25">
      <c r="A54" s="543">
        <v>1</v>
      </c>
      <c r="B54" s="544" t="s">
        <v>16</v>
      </c>
      <c r="C54" s="543">
        <v>2</v>
      </c>
      <c r="D54" s="546" t="s">
        <v>132</v>
      </c>
      <c r="E54" s="549">
        <v>99.25</v>
      </c>
      <c r="F54" s="563">
        <v>1</v>
      </c>
      <c r="G54" s="563">
        <v>1</v>
      </c>
      <c r="H54" s="545">
        <v>7620</v>
      </c>
      <c r="I54" s="1"/>
      <c r="J54" s="4"/>
      <c r="K54" s="4"/>
      <c r="M54" s="74"/>
      <c r="N54" s="44"/>
      <c r="O54" s="44"/>
      <c r="P54" s="44"/>
      <c r="Q54" s="44"/>
      <c r="R54" s="44"/>
      <c r="S54" s="44"/>
      <c r="T54" s="74"/>
      <c r="U54" s="44"/>
      <c r="V54" s="44"/>
      <c r="W54" s="44"/>
      <c r="X54" s="44"/>
      <c r="Y54" s="44"/>
      <c r="Z54" s="44"/>
      <c r="AA54" s="44"/>
      <c r="AB54" s="44"/>
    </row>
    <row r="55" spans="1:28" s="27" customFormat="1" x14ac:dyDescent="0.25">
      <c r="A55" s="543">
        <v>1</v>
      </c>
      <c r="B55" s="544" t="s">
        <v>16</v>
      </c>
      <c r="C55" s="543">
        <v>2</v>
      </c>
      <c r="D55" s="546" t="s">
        <v>48</v>
      </c>
      <c r="E55" s="549">
        <v>26.7</v>
      </c>
      <c r="F55" s="563">
        <v>1</v>
      </c>
      <c r="G55" s="563">
        <v>1</v>
      </c>
      <c r="H55" s="548">
        <v>7625</v>
      </c>
      <c r="I55" s="1"/>
      <c r="J55" s="1"/>
      <c r="K55" s="1"/>
      <c r="L55" s="95"/>
      <c r="M55" s="98"/>
      <c r="N55" s="68"/>
      <c r="O55" s="40"/>
      <c r="P55" s="68"/>
      <c r="Q55" s="68"/>
      <c r="R55" s="40"/>
      <c r="S55" s="65"/>
      <c r="T55" s="124"/>
      <c r="U55" s="124"/>
      <c r="V55" s="44"/>
      <c r="W55" s="44"/>
      <c r="X55" s="44"/>
      <c r="Y55" s="44"/>
      <c r="Z55" s="44"/>
      <c r="AA55" s="44"/>
      <c r="AB55" s="44"/>
    </row>
    <row r="56" spans="1:28" s="27" customFormat="1" x14ac:dyDescent="0.25">
      <c r="A56" s="543">
        <v>1</v>
      </c>
      <c r="B56" s="544" t="s">
        <v>16</v>
      </c>
      <c r="C56" s="543">
        <v>2</v>
      </c>
      <c r="D56" s="546" t="s">
        <v>45</v>
      </c>
      <c r="E56" s="549">
        <v>37.14</v>
      </c>
      <c r="F56" s="563">
        <v>1</v>
      </c>
      <c r="G56" s="563">
        <v>5</v>
      </c>
      <c r="H56" s="545">
        <v>7817</v>
      </c>
      <c r="I56" s="1"/>
      <c r="J56" s="4"/>
      <c r="K56" s="4"/>
      <c r="M56" s="74"/>
      <c r="N56" s="44"/>
      <c r="O56" s="44"/>
      <c r="P56" s="44"/>
      <c r="Q56" s="44"/>
      <c r="R56" s="44"/>
      <c r="S56" s="44"/>
      <c r="T56" s="74"/>
      <c r="U56" s="44"/>
      <c r="V56" s="44"/>
      <c r="W56" s="44"/>
      <c r="X56" s="44"/>
      <c r="Y56" s="44"/>
      <c r="Z56" s="44"/>
      <c r="AA56" s="44"/>
      <c r="AB56" s="44"/>
    </row>
    <row r="57" spans="1:28" s="27" customFormat="1" x14ac:dyDescent="0.25">
      <c r="A57" s="543">
        <v>1</v>
      </c>
      <c r="B57" s="544" t="s">
        <v>16</v>
      </c>
      <c r="C57" s="543">
        <v>2</v>
      </c>
      <c r="D57" s="546" t="s">
        <v>46</v>
      </c>
      <c r="E57" s="549">
        <v>38.44</v>
      </c>
      <c r="F57" s="563">
        <v>1</v>
      </c>
      <c r="G57" s="563">
        <v>5</v>
      </c>
      <c r="H57" s="545">
        <v>7817</v>
      </c>
      <c r="I57" s="1"/>
      <c r="J57" s="1"/>
      <c r="K57" s="1"/>
      <c r="L57" s="95"/>
      <c r="M57" s="98"/>
      <c r="N57" s="68"/>
      <c r="O57" s="40"/>
      <c r="P57" s="68"/>
      <c r="Q57" s="68"/>
      <c r="R57" s="40"/>
      <c r="S57" s="65"/>
      <c r="T57" s="124"/>
      <c r="U57" s="124"/>
      <c r="V57" s="44"/>
      <c r="W57" s="44"/>
      <c r="X57" s="44"/>
      <c r="Y57" s="44"/>
      <c r="Z57" s="44"/>
      <c r="AA57" s="44"/>
      <c r="AB57" s="44"/>
    </row>
    <row r="58" spans="1:28" s="27" customFormat="1" x14ac:dyDescent="0.25">
      <c r="A58" s="543">
        <v>1</v>
      </c>
      <c r="B58" s="544" t="s">
        <v>16</v>
      </c>
      <c r="C58" s="543">
        <v>2</v>
      </c>
      <c r="D58" s="546" t="s">
        <v>17</v>
      </c>
      <c r="E58" s="549">
        <v>19.100000000000001</v>
      </c>
      <c r="F58" s="563">
        <v>1</v>
      </c>
      <c r="G58" s="563">
        <v>1</v>
      </c>
      <c r="H58" s="545">
        <v>7817</v>
      </c>
      <c r="I58" s="1"/>
      <c r="J58" s="4"/>
      <c r="K58" s="4"/>
      <c r="M58" s="74"/>
      <c r="N58" s="44"/>
      <c r="O58" s="44"/>
      <c r="P58" s="44"/>
      <c r="Q58" s="44"/>
      <c r="R58" s="44"/>
      <c r="S58" s="44"/>
      <c r="T58" s="74"/>
      <c r="U58" s="44"/>
      <c r="V58" s="44"/>
      <c r="W58" s="44"/>
      <c r="X58" s="44"/>
      <c r="Y58" s="44"/>
      <c r="Z58" s="44"/>
      <c r="AA58" s="44"/>
      <c r="AB58" s="44"/>
    </row>
    <row r="59" spans="1:28" s="27" customFormat="1" x14ac:dyDescent="0.25">
      <c r="A59" s="543">
        <v>1</v>
      </c>
      <c r="B59" s="544" t="s">
        <v>16</v>
      </c>
      <c r="C59" s="543">
        <v>2</v>
      </c>
      <c r="D59" s="546" t="s">
        <v>44</v>
      </c>
      <c r="E59" s="549">
        <v>51.1</v>
      </c>
      <c r="F59" s="563">
        <v>1</v>
      </c>
      <c r="G59" s="563">
        <v>1</v>
      </c>
      <c r="H59" s="545">
        <v>7817</v>
      </c>
      <c r="I59" s="1"/>
      <c r="J59" s="1"/>
      <c r="K59" s="1"/>
      <c r="L59" s="95"/>
      <c r="M59" s="98"/>
      <c r="N59" s="68"/>
      <c r="O59" s="40"/>
      <c r="P59" s="68"/>
      <c r="Q59" s="68"/>
      <c r="R59" s="40"/>
      <c r="S59" s="65"/>
      <c r="T59" s="124"/>
      <c r="U59" s="124"/>
      <c r="V59" s="44"/>
      <c r="W59" s="44"/>
      <c r="X59" s="44"/>
      <c r="Y59" s="44"/>
      <c r="Z59" s="44"/>
      <c r="AA59" s="44"/>
      <c r="AB59" s="44"/>
    </row>
    <row r="60" spans="1:28" s="27" customFormat="1" x14ac:dyDescent="0.25">
      <c r="A60" s="543">
        <v>1</v>
      </c>
      <c r="B60" s="544" t="s">
        <v>16</v>
      </c>
      <c r="C60" s="543">
        <v>2</v>
      </c>
      <c r="D60" s="546" t="s">
        <v>48</v>
      </c>
      <c r="E60" s="549">
        <v>33</v>
      </c>
      <c r="F60" s="563">
        <v>1</v>
      </c>
      <c r="G60" s="563">
        <v>1</v>
      </c>
      <c r="H60" s="545">
        <v>7625</v>
      </c>
      <c r="I60" s="1"/>
      <c r="J60" s="4"/>
      <c r="K60" s="4"/>
      <c r="M60" s="74"/>
      <c r="N60" s="44"/>
      <c r="O60" s="44"/>
      <c r="P60" s="44"/>
      <c r="Q60" s="44"/>
      <c r="R60" s="44"/>
      <c r="S60" s="44"/>
      <c r="T60" s="74"/>
      <c r="U60" s="44"/>
      <c r="V60" s="44"/>
      <c r="W60" s="44"/>
      <c r="X60" s="44"/>
      <c r="Y60" s="44"/>
      <c r="Z60" s="44"/>
      <c r="AA60" s="44"/>
      <c r="AB60" s="44"/>
    </row>
    <row r="61" spans="1:28" s="27" customFormat="1" x14ac:dyDescent="0.25">
      <c r="A61" s="543">
        <v>1</v>
      </c>
      <c r="B61" s="544" t="s">
        <v>16</v>
      </c>
      <c r="C61" s="543">
        <v>2</v>
      </c>
      <c r="D61" s="546" t="s">
        <v>48</v>
      </c>
      <c r="E61" s="549">
        <v>18.399999999999999</v>
      </c>
      <c r="F61" s="563">
        <v>1</v>
      </c>
      <c r="G61" s="563">
        <v>1</v>
      </c>
      <c r="H61" s="545">
        <v>7625</v>
      </c>
      <c r="I61" s="1"/>
      <c r="J61" s="1"/>
      <c r="K61" s="44"/>
      <c r="L61" s="499"/>
      <c r="M61" s="98"/>
      <c r="N61" s="68"/>
      <c r="O61" s="40"/>
      <c r="P61" s="68"/>
      <c r="Q61" s="68"/>
      <c r="R61" s="40"/>
      <c r="S61" s="65"/>
      <c r="T61" s="124"/>
      <c r="U61" s="124"/>
      <c r="V61" s="44"/>
      <c r="W61" s="44"/>
      <c r="X61" s="44"/>
      <c r="Y61" s="44"/>
      <c r="Z61" s="44"/>
      <c r="AA61" s="44"/>
      <c r="AB61" s="44"/>
    </row>
    <row r="62" spans="1:28" s="27" customFormat="1" x14ac:dyDescent="0.25">
      <c r="A62" s="543">
        <v>1</v>
      </c>
      <c r="B62" s="544" t="s">
        <v>16</v>
      </c>
      <c r="C62" s="543">
        <v>2</v>
      </c>
      <c r="D62" s="546" t="s">
        <v>48</v>
      </c>
      <c r="E62" s="549">
        <v>20.58</v>
      </c>
      <c r="F62" s="563">
        <v>1</v>
      </c>
      <c r="G62" s="563">
        <v>1</v>
      </c>
      <c r="H62" s="545">
        <v>7625</v>
      </c>
      <c r="I62" s="1"/>
      <c r="J62" s="4"/>
      <c r="K62" s="49"/>
      <c r="L62" s="44"/>
      <c r="M62" s="74"/>
      <c r="N62" s="44"/>
      <c r="O62" s="44"/>
      <c r="P62" s="44"/>
      <c r="Q62" s="44"/>
      <c r="R62" s="44"/>
      <c r="S62" s="44"/>
      <c r="T62" s="74"/>
      <c r="U62" s="44"/>
      <c r="V62" s="44"/>
      <c r="W62" s="44"/>
      <c r="X62" s="44"/>
      <c r="Y62" s="44"/>
      <c r="Z62" s="44"/>
      <c r="AA62" s="44"/>
      <c r="AB62" s="44"/>
    </row>
    <row r="63" spans="1:28" s="27" customFormat="1" x14ac:dyDescent="0.25">
      <c r="A63" s="543">
        <v>1</v>
      </c>
      <c r="B63" s="544" t="s">
        <v>16</v>
      </c>
      <c r="C63" s="543">
        <v>2</v>
      </c>
      <c r="D63" s="546" t="s">
        <v>48</v>
      </c>
      <c r="E63" s="549">
        <v>17.190000000000001</v>
      </c>
      <c r="F63" s="563">
        <v>1</v>
      </c>
      <c r="G63" s="563">
        <v>1</v>
      </c>
      <c r="H63" s="545">
        <v>7620</v>
      </c>
      <c r="I63" s="1"/>
      <c r="J63" s="1"/>
      <c r="K63" s="44"/>
      <c r="L63" s="499"/>
      <c r="M63" s="98"/>
      <c r="N63" s="68"/>
      <c r="O63" s="40"/>
      <c r="P63" s="68"/>
      <c r="Q63" s="68"/>
      <c r="R63" s="40"/>
      <c r="S63" s="65"/>
      <c r="T63" s="124"/>
      <c r="U63" s="124"/>
      <c r="V63" s="44"/>
      <c r="W63" s="44"/>
      <c r="X63" s="44"/>
      <c r="Y63" s="44"/>
      <c r="Z63" s="44"/>
      <c r="AA63" s="44"/>
      <c r="AB63" s="44"/>
    </row>
    <row r="64" spans="1:28" s="27" customFormat="1" ht="18.75" x14ac:dyDescent="0.3">
      <c r="A64" s="543">
        <v>1</v>
      </c>
      <c r="B64" s="544" t="s">
        <v>16</v>
      </c>
      <c r="C64" s="543">
        <v>2</v>
      </c>
      <c r="D64" s="546" t="s">
        <v>341</v>
      </c>
      <c r="E64" s="549">
        <v>37.4</v>
      </c>
      <c r="F64" s="563">
        <v>1</v>
      </c>
      <c r="G64" s="563">
        <v>1</v>
      </c>
      <c r="H64" s="550">
        <v>7640</v>
      </c>
      <c r="I64" s="1"/>
      <c r="J64" s="4"/>
      <c r="K64" s="49"/>
      <c r="L64" s="44"/>
      <c r="M64" s="513"/>
      <c r="N64" s="47"/>
      <c r="O64" s="47"/>
      <c r="P64" s="44"/>
      <c r="Q64" s="44"/>
      <c r="R64" s="44"/>
      <c r="S64" s="44"/>
      <c r="T64" s="74"/>
      <c r="U64" s="44"/>
      <c r="V64" s="44"/>
      <c r="W64" s="44"/>
      <c r="X64" s="44"/>
      <c r="Y64" s="44"/>
      <c r="Z64" s="44"/>
      <c r="AA64" s="44"/>
      <c r="AB64" s="44"/>
    </row>
    <row r="65" spans="1:28" s="27" customFormat="1" x14ac:dyDescent="0.25">
      <c r="A65" s="543">
        <v>1</v>
      </c>
      <c r="B65" s="544" t="s">
        <v>16</v>
      </c>
      <c r="C65" s="543">
        <v>2</v>
      </c>
      <c r="D65" s="546" t="s">
        <v>133</v>
      </c>
      <c r="E65" s="549">
        <v>48.85</v>
      </c>
      <c r="F65" s="563">
        <v>1</v>
      </c>
      <c r="G65" s="563">
        <v>1</v>
      </c>
      <c r="H65" s="545">
        <v>7645</v>
      </c>
      <c r="I65" s="1"/>
      <c r="J65" s="1"/>
      <c r="K65" s="44"/>
      <c r="L65" s="499"/>
      <c r="M65" s="98"/>
      <c r="N65" s="68"/>
      <c r="O65" s="40"/>
      <c r="P65" s="68"/>
      <c r="Q65" s="68"/>
      <c r="R65" s="40"/>
      <c r="S65" s="65"/>
      <c r="T65" s="124"/>
      <c r="U65" s="124"/>
      <c r="V65" s="44"/>
      <c r="W65" s="44"/>
      <c r="X65" s="44"/>
      <c r="Y65" s="44"/>
      <c r="Z65" s="44"/>
      <c r="AA65" s="44"/>
      <c r="AB65" s="44"/>
    </row>
    <row r="66" spans="1:28" s="27" customFormat="1" x14ac:dyDescent="0.25">
      <c r="A66" s="543">
        <v>1</v>
      </c>
      <c r="B66" s="544" t="s">
        <v>16</v>
      </c>
      <c r="C66" s="543">
        <v>2</v>
      </c>
      <c r="D66" s="552" t="s">
        <v>48</v>
      </c>
      <c r="E66" s="553">
        <v>8.99</v>
      </c>
      <c r="F66" s="564">
        <v>1</v>
      </c>
      <c r="G66" s="563">
        <v>1</v>
      </c>
      <c r="H66" s="551">
        <v>7625</v>
      </c>
      <c r="I66" s="1"/>
      <c r="J66" s="4"/>
      <c r="K66" s="49"/>
      <c r="L66" s="44"/>
      <c r="M66" s="74"/>
      <c r="N66" s="44"/>
      <c r="O66" s="44"/>
      <c r="P66" s="44"/>
      <c r="Q66" s="44"/>
      <c r="R66" s="44"/>
      <c r="S66" s="44"/>
      <c r="T66" s="74"/>
      <c r="U66" s="44"/>
      <c r="V66" s="44"/>
      <c r="W66" s="44"/>
      <c r="X66" s="44"/>
      <c r="Y66" s="44"/>
      <c r="Z66" s="44"/>
      <c r="AA66" s="44"/>
      <c r="AB66" s="44"/>
    </row>
    <row r="67" spans="1:28" s="27" customFormat="1" x14ac:dyDescent="0.25">
      <c r="A67" s="543">
        <v>1</v>
      </c>
      <c r="B67" s="544" t="s">
        <v>16</v>
      </c>
      <c r="C67" s="543">
        <v>3</v>
      </c>
      <c r="D67" s="546" t="s">
        <v>53</v>
      </c>
      <c r="E67" s="549">
        <v>23.05</v>
      </c>
      <c r="F67" s="563">
        <v>1</v>
      </c>
      <c r="G67" s="563">
        <v>1</v>
      </c>
      <c r="H67" s="545">
        <v>7645</v>
      </c>
      <c r="I67" s="1"/>
      <c r="J67" s="1"/>
      <c r="K67" s="44"/>
      <c r="L67" s="499"/>
      <c r="M67" s="98"/>
      <c r="N67" s="68"/>
      <c r="O67" s="40"/>
      <c r="P67" s="68"/>
      <c r="Q67" s="68"/>
      <c r="R67" s="40"/>
      <c r="S67" s="65"/>
      <c r="T67" s="124"/>
      <c r="U67" s="124"/>
      <c r="V67" s="44"/>
      <c r="W67" s="44"/>
      <c r="X67" s="44"/>
      <c r="Y67" s="44"/>
      <c r="Z67" s="44"/>
      <c r="AA67" s="44"/>
      <c r="AB67" s="44"/>
    </row>
    <row r="68" spans="1:28" s="27" customFormat="1" x14ac:dyDescent="0.25">
      <c r="A68" s="543">
        <v>1</v>
      </c>
      <c r="B68" s="544" t="s">
        <v>16</v>
      </c>
      <c r="C68" s="543">
        <v>3</v>
      </c>
      <c r="D68" s="546" t="s">
        <v>309</v>
      </c>
      <c r="E68" s="549">
        <v>84.72</v>
      </c>
      <c r="F68" s="563">
        <v>1</v>
      </c>
      <c r="G68" s="563">
        <v>1</v>
      </c>
      <c r="H68" s="550">
        <v>7640</v>
      </c>
      <c r="I68" s="1"/>
      <c r="J68" s="4"/>
      <c r="K68" s="49"/>
      <c r="L68" s="44"/>
      <c r="M68" s="74"/>
      <c r="N68" s="44"/>
      <c r="O68" s="44"/>
      <c r="P68" s="44"/>
      <c r="Q68" s="44"/>
      <c r="R68" s="44"/>
      <c r="S68" s="44"/>
      <c r="T68" s="74"/>
      <c r="U68" s="44"/>
      <c r="V68" s="44"/>
      <c r="W68" s="44"/>
      <c r="X68" s="44"/>
      <c r="Y68" s="44"/>
      <c r="Z68" s="44"/>
      <c r="AA68" s="44"/>
      <c r="AB68" s="44"/>
    </row>
    <row r="69" spans="1:28" s="27" customFormat="1" x14ac:dyDescent="0.25">
      <c r="A69" s="543">
        <v>1</v>
      </c>
      <c r="B69" s="544" t="s">
        <v>16</v>
      </c>
      <c r="C69" s="543">
        <v>3</v>
      </c>
      <c r="D69" s="546" t="s">
        <v>53</v>
      </c>
      <c r="E69" s="549">
        <v>34.119999999999997</v>
      </c>
      <c r="F69" s="563">
        <v>1</v>
      </c>
      <c r="G69" s="563">
        <v>1</v>
      </c>
      <c r="H69" s="545">
        <v>7645</v>
      </c>
      <c r="I69" s="1"/>
      <c r="J69" s="1"/>
      <c r="K69" s="44"/>
      <c r="L69" s="499"/>
      <c r="M69" s="98"/>
      <c r="N69" s="68"/>
      <c r="O69" s="40"/>
      <c r="P69" s="68"/>
      <c r="Q69" s="68"/>
      <c r="R69" s="40"/>
      <c r="S69" s="65"/>
      <c r="T69" s="124"/>
      <c r="U69" s="124"/>
      <c r="V69" s="44"/>
      <c r="W69" s="44"/>
      <c r="X69" s="44"/>
      <c r="Y69" s="44"/>
      <c r="Z69" s="44"/>
      <c r="AA69" s="44"/>
      <c r="AB69" s="44"/>
    </row>
    <row r="70" spans="1:28" s="27" customFormat="1" x14ac:dyDescent="0.25">
      <c r="A70" s="543">
        <v>1</v>
      </c>
      <c r="B70" s="544" t="s">
        <v>16</v>
      </c>
      <c r="C70" s="543">
        <v>3</v>
      </c>
      <c r="D70" s="546" t="s">
        <v>78</v>
      </c>
      <c r="E70" s="549">
        <v>37.44</v>
      </c>
      <c r="F70" s="563">
        <v>1</v>
      </c>
      <c r="G70" s="563">
        <v>1</v>
      </c>
      <c r="H70" s="550">
        <v>7645</v>
      </c>
      <c r="I70" s="1"/>
      <c r="J70" s="4"/>
      <c r="K70" s="49"/>
      <c r="L70" s="44"/>
      <c r="M70" s="74"/>
      <c r="N70" s="44"/>
      <c r="O70" s="514"/>
      <c r="P70" s="514"/>
      <c r="Q70" s="514"/>
      <c r="R70" s="44"/>
      <c r="S70" s="44"/>
      <c r="T70" s="74"/>
      <c r="U70" s="44"/>
      <c r="V70" s="44"/>
      <c r="W70" s="44"/>
      <c r="X70" s="44"/>
      <c r="Y70" s="44"/>
      <c r="Z70" s="44"/>
      <c r="AA70" s="44"/>
      <c r="AB70" s="44"/>
    </row>
    <row r="71" spans="1:28" s="27" customFormat="1" x14ac:dyDescent="0.25">
      <c r="A71" s="543">
        <v>1</v>
      </c>
      <c r="B71" s="544" t="s">
        <v>16</v>
      </c>
      <c r="C71" s="543">
        <v>3</v>
      </c>
      <c r="D71" s="546" t="s">
        <v>50</v>
      </c>
      <c r="E71" s="549">
        <v>17</v>
      </c>
      <c r="F71" s="563">
        <v>1</v>
      </c>
      <c r="G71" s="563">
        <v>1</v>
      </c>
      <c r="H71" s="548">
        <v>7635</v>
      </c>
      <c r="I71" s="1"/>
      <c r="J71" s="1"/>
      <c r="K71" s="1"/>
      <c r="L71" s="95"/>
      <c r="M71" s="98"/>
      <c r="N71" s="68"/>
      <c r="O71" s="40"/>
      <c r="P71" s="68"/>
      <c r="Q71" s="68"/>
      <c r="R71" s="40"/>
      <c r="S71" s="65"/>
      <c r="T71" s="124"/>
      <c r="U71" s="124"/>
      <c r="V71" s="44"/>
      <c r="W71" s="44"/>
      <c r="X71" s="44"/>
      <c r="Y71" s="44"/>
      <c r="Z71" s="44"/>
      <c r="AA71" s="44"/>
      <c r="AB71" s="44"/>
    </row>
    <row r="72" spans="1:28" s="27" customFormat="1" x14ac:dyDescent="0.25">
      <c r="A72" s="543">
        <v>1</v>
      </c>
      <c r="B72" s="544" t="s">
        <v>16</v>
      </c>
      <c r="C72" s="543">
        <v>3</v>
      </c>
      <c r="D72" s="546" t="s">
        <v>134</v>
      </c>
      <c r="E72" s="549">
        <v>56.24</v>
      </c>
      <c r="F72" s="563">
        <v>1</v>
      </c>
      <c r="G72" s="563">
        <v>1</v>
      </c>
      <c r="H72" s="545">
        <v>7620</v>
      </c>
      <c r="I72" s="1"/>
      <c r="J72" s="1"/>
      <c r="K72" s="1"/>
      <c r="L72" s="95"/>
      <c r="M72" s="98"/>
      <c r="N72" s="68"/>
      <c r="O72" s="40"/>
      <c r="P72" s="68"/>
      <c r="Q72" s="68"/>
      <c r="R72" s="40"/>
      <c r="S72" s="65"/>
      <c r="T72" s="124"/>
      <c r="U72" s="124"/>
      <c r="V72" s="44"/>
      <c r="W72" s="44"/>
      <c r="X72" s="44"/>
      <c r="Y72" s="44"/>
      <c r="Z72" s="44"/>
      <c r="AA72" s="44"/>
      <c r="AB72" s="44"/>
    </row>
    <row r="73" spans="1:28" s="27" customFormat="1" x14ac:dyDescent="0.25">
      <c r="A73" s="543">
        <v>1</v>
      </c>
      <c r="B73" s="544" t="s">
        <v>16</v>
      </c>
      <c r="C73" s="543">
        <v>3</v>
      </c>
      <c r="D73" s="546" t="s">
        <v>86</v>
      </c>
      <c r="E73" s="549">
        <v>74.150000000000006</v>
      </c>
      <c r="F73" s="563">
        <v>1</v>
      </c>
      <c r="G73" s="563">
        <v>1</v>
      </c>
      <c r="H73" s="550">
        <v>7640</v>
      </c>
      <c r="I73" s="1"/>
      <c r="J73" s="4"/>
      <c r="K73" s="4"/>
      <c r="M73" s="74"/>
      <c r="N73" s="44"/>
      <c r="O73" s="44"/>
      <c r="P73" s="44"/>
      <c r="Q73" s="44"/>
      <c r="R73" s="44"/>
      <c r="S73" s="44"/>
      <c r="T73" s="74"/>
      <c r="U73" s="44"/>
      <c r="V73" s="44"/>
      <c r="W73" s="44"/>
      <c r="X73" s="44"/>
      <c r="Y73" s="44"/>
      <c r="Z73" s="44"/>
      <c r="AA73" s="44"/>
      <c r="AB73" s="44"/>
    </row>
    <row r="74" spans="1:28" s="27" customFormat="1" x14ac:dyDescent="0.25">
      <c r="A74" s="543">
        <v>1</v>
      </c>
      <c r="B74" s="544" t="s">
        <v>16</v>
      </c>
      <c r="C74" s="543">
        <v>3</v>
      </c>
      <c r="D74" s="546" t="s">
        <v>52</v>
      </c>
      <c r="E74" s="549">
        <v>3.6</v>
      </c>
      <c r="F74" s="563">
        <v>1</v>
      </c>
      <c r="G74" s="563">
        <v>1</v>
      </c>
      <c r="H74" s="550">
        <v>7645</v>
      </c>
      <c r="I74" s="1"/>
      <c r="J74" s="1"/>
      <c r="K74" s="1"/>
      <c r="L74" s="95"/>
      <c r="M74" s="98"/>
      <c r="N74" s="68"/>
      <c r="O74" s="40"/>
      <c r="P74" s="68"/>
      <c r="Q74" s="68"/>
      <c r="R74" s="40"/>
      <c r="S74" s="65"/>
      <c r="T74" s="124"/>
      <c r="U74" s="124"/>
      <c r="V74" s="44"/>
      <c r="W74" s="44"/>
      <c r="X74" s="44"/>
      <c r="Y74" s="44"/>
      <c r="Z74" s="44"/>
      <c r="AA74" s="44"/>
      <c r="AB74" s="44"/>
    </row>
    <row r="75" spans="1:28" s="27" customFormat="1" x14ac:dyDescent="0.25">
      <c r="A75" s="543">
        <v>1</v>
      </c>
      <c r="B75" s="544" t="s">
        <v>16</v>
      </c>
      <c r="C75" s="543">
        <v>3</v>
      </c>
      <c r="D75" s="552" t="s">
        <v>50</v>
      </c>
      <c r="E75" s="553">
        <v>17.059999999999999</v>
      </c>
      <c r="F75" s="564">
        <v>1</v>
      </c>
      <c r="G75" s="563">
        <v>1</v>
      </c>
      <c r="H75" s="551">
        <v>7635</v>
      </c>
      <c r="I75" s="1"/>
      <c r="J75" s="4"/>
      <c r="K75" s="4"/>
      <c r="M75" s="74"/>
      <c r="N75" s="44"/>
      <c r="O75" s="44"/>
      <c r="P75" s="44"/>
      <c r="Q75" s="44"/>
      <c r="R75" s="44"/>
      <c r="S75" s="44"/>
      <c r="T75" s="74"/>
      <c r="U75" s="44"/>
      <c r="V75" s="44"/>
      <c r="W75" s="44"/>
      <c r="X75" s="44"/>
      <c r="Y75" s="44"/>
      <c r="Z75" s="44"/>
      <c r="AA75" s="44"/>
      <c r="AB75" s="44"/>
    </row>
    <row r="76" spans="1:28" s="27" customFormat="1" x14ac:dyDescent="0.25">
      <c r="A76" s="543">
        <v>1</v>
      </c>
      <c r="B76" s="544" t="s">
        <v>16</v>
      </c>
      <c r="C76" s="543">
        <v>4</v>
      </c>
      <c r="D76" s="546" t="s">
        <v>50</v>
      </c>
      <c r="E76" s="549">
        <v>23.34</v>
      </c>
      <c r="F76" s="563">
        <v>1</v>
      </c>
      <c r="G76" s="563">
        <v>1</v>
      </c>
      <c r="H76" s="551">
        <v>7635</v>
      </c>
      <c r="I76" s="1"/>
      <c r="J76" s="1"/>
      <c r="K76" s="1"/>
      <c r="L76" s="95"/>
      <c r="M76" s="98"/>
      <c r="N76" s="68"/>
      <c r="O76" s="40"/>
      <c r="P76" s="68"/>
      <c r="Q76" s="68"/>
      <c r="R76" s="40"/>
      <c r="S76" s="65"/>
      <c r="T76" s="124"/>
      <c r="U76" s="124"/>
      <c r="V76" s="44"/>
      <c r="W76" s="44"/>
      <c r="X76" s="44"/>
      <c r="Y76" s="44"/>
      <c r="Z76" s="44"/>
      <c r="AA76" s="44"/>
      <c r="AB76" s="44"/>
    </row>
    <row r="77" spans="1:28" s="27" customFormat="1" x14ac:dyDescent="0.25">
      <c r="A77" s="543">
        <v>1</v>
      </c>
      <c r="B77" s="544" t="s">
        <v>16</v>
      </c>
      <c r="C77" s="543">
        <v>4</v>
      </c>
      <c r="D77" s="546" t="s">
        <v>50</v>
      </c>
      <c r="E77" s="549">
        <v>14.95</v>
      </c>
      <c r="F77" s="563">
        <v>1</v>
      </c>
      <c r="G77" s="563">
        <v>1</v>
      </c>
      <c r="H77" s="551">
        <v>7635</v>
      </c>
      <c r="I77" s="1"/>
      <c r="J77" s="4"/>
      <c r="K77" s="4"/>
      <c r="M77" s="74"/>
      <c r="N77" s="44"/>
      <c r="O77" s="44"/>
      <c r="P77" s="44"/>
      <c r="Q77" s="44"/>
      <c r="R77" s="44"/>
      <c r="S77" s="44"/>
      <c r="T77" s="74"/>
      <c r="U77" s="44"/>
      <c r="V77" s="44"/>
      <c r="W77" s="44"/>
      <c r="X77" s="44"/>
      <c r="Y77" s="44"/>
      <c r="Z77" s="44"/>
      <c r="AA77" s="44"/>
      <c r="AB77" s="44"/>
    </row>
    <row r="78" spans="1:28" s="27" customFormat="1" x14ac:dyDescent="0.25">
      <c r="A78" s="543">
        <v>1</v>
      </c>
      <c r="B78" s="544" t="s">
        <v>16</v>
      </c>
      <c r="C78" s="543">
        <v>4</v>
      </c>
      <c r="D78" s="554" t="s">
        <v>50</v>
      </c>
      <c r="E78" s="549">
        <v>14.37</v>
      </c>
      <c r="F78" s="563">
        <v>1</v>
      </c>
      <c r="G78" s="563">
        <v>1</v>
      </c>
      <c r="H78" s="551">
        <v>7635</v>
      </c>
      <c r="I78" s="1"/>
      <c r="J78" s="1"/>
      <c r="K78" s="1"/>
      <c r="L78" s="95"/>
      <c r="M78" s="98"/>
      <c r="N78" s="68"/>
      <c r="O78" s="40"/>
      <c r="P78" s="68"/>
      <c r="Q78" s="68"/>
      <c r="R78" s="40"/>
      <c r="S78" s="65"/>
      <c r="T78" s="124"/>
      <c r="U78" s="124"/>
      <c r="V78" s="44"/>
      <c r="W78" s="44"/>
      <c r="X78" s="44"/>
      <c r="Y78" s="44"/>
      <c r="Z78" s="44"/>
      <c r="AA78" s="44"/>
      <c r="AB78" s="44"/>
    </row>
    <row r="79" spans="1:28" s="27" customFormat="1" x14ac:dyDescent="0.25">
      <c r="A79" s="543">
        <v>1</v>
      </c>
      <c r="B79" s="544" t="s">
        <v>16</v>
      </c>
      <c r="C79" s="543">
        <v>4</v>
      </c>
      <c r="D79" s="546" t="s">
        <v>50</v>
      </c>
      <c r="E79" s="549">
        <v>18.86</v>
      </c>
      <c r="F79" s="563">
        <v>1</v>
      </c>
      <c r="G79" s="563">
        <v>1</v>
      </c>
      <c r="H79" s="551">
        <v>7635</v>
      </c>
      <c r="I79" s="1"/>
      <c r="J79" s="4"/>
      <c r="K79" s="4"/>
      <c r="M79" s="74"/>
      <c r="N79" s="44"/>
      <c r="O79" s="44"/>
      <c r="P79" s="44"/>
      <c r="Q79" s="44"/>
      <c r="R79" s="44"/>
      <c r="S79" s="44"/>
      <c r="T79" s="74"/>
      <c r="U79" s="44"/>
      <c r="V79" s="44"/>
      <c r="W79" s="44"/>
      <c r="X79" s="44"/>
      <c r="Y79" s="44"/>
      <c r="Z79" s="44"/>
      <c r="AA79" s="44"/>
      <c r="AB79" s="44"/>
    </row>
    <row r="80" spans="1:28" s="27" customFormat="1" x14ac:dyDescent="0.25">
      <c r="A80" s="543">
        <v>1</v>
      </c>
      <c r="B80" s="544" t="s">
        <v>16</v>
      </c>
      <c r="C80" s="543">
        <v>4</v>
      </c>
      <c r="D80" s="546" t="s">
        <v>50</v>
      </c>
      <c r="E80" s="549">
        <v>19.920000000000002</v>
      </c>
      <c r="F80" s="563">
        <v>1</v>
      </c>
      <c r="G80" s="563">
        <v>1</v>
      </c>
      <c r="H80" s="551">
        <v>7635</v>
      </c>
      <c r="I80" s="1"/>
      <c r="J80" s="1"/>
      <c r="K80" s="1"/>
      <c r="L80" s="95"/>
      <c r="M80" s="98"/>
      <c r="N80" s="68"/>
      <c r="O80" s="40"/>
      <c r="P80" s="68"/>
      <c r="Q80" s="68"/>
      <c r="R80" s="40"/>
      <c r="S80" s="65"/>
      <c r="T80" s="124"/>
      <c r="U80" s="124"/>
      <c r="V80" s="44"/>
      <c r="W80" s="44"/>
      <c r="X80" s="44"/>
      <c r="Y80" s="44"/>
      <c r="Z80" s="44"/>
      <c r="AA80" s="44"/>
      <c r="AB80" s="44"/>
    </row>
    <row r="81" spans="1:28" s="27" customFormat="1" x14ac:dyDescent="0.25">
      <c r="A81" s="543">
        <v>1</v>
      </c>
      <c r="B81" s="544" t="s">
        <v>16</v>
      </c>
      <c r="C81" s="543">
        <v>4</v>
      </c>
      <c r="D81" s="546" t="s">
        <v>135</v>
      </c>
      <c r="E81" s="549">
        <v>12.2</v>
      </c>
      <c r="F81" s="563">
        <v>1</v>
      </c>
      <c r="G81" s="563">
        <v>1</v>
      </c>
      <c r="H81" s="550">
        <v>7630</v>
      </c>
      <c r="I81" s="1"/>
      <c r="J81" s="4"/>
      <c r="K81" s="4"/>
      <c r="M81" s="74"/>
      <c r="N81" s="44"/>
      <c r="O81" s="44"/>
      <c r="P81" s="44"/>
      <c r="Q81" s="44"/>
      <c r="R81" s="44"/>
      <c r="S81" s="44"/>
      <c r="T81" s="74"/>
      <c r="U81" s="44"/>
      <c r="V81" s="44"/>
      <c r="W81" s="44"/>
      <c r="X81" s="44"/>
      <c r="Y81" s="44"/>
      <c r="Z81" s="44"/>
      <c r="AA81" s="44"/>
      <c r="AB81" s="44"/>
    </row>
    <row r="82" spans="1:28" s="27" customFormat="1" x14ac:dyDescent="0.25">
      <c r="A82" s="543">
        <v>1</v>
      </c>
      <c r="B82" s="544" t="s">
        <v>16</v>
      </c>
      <c r="C82" s="543">
        <v>4</v>
      </c>
      <c r="D82" s="546" t="s">
        <v>135</v>
      </c>
      <c r="E82" s="549">
        <v>41.47</v>
      </c>
      <c r="F82" s="563">
        <v>1</v>
      </c>
      <c r="G82" s="563">
        <v>1</v>
      </c>
      <c r="H82" s="550">
        <v>7630</v>
      </c>
      <c r="I82" s="1"/>
      <c r="J82" s="1"/>
      <c r="K82" s="1"/>
      <c r="L82" s="95"/>
      <c r="M82" s="98"/>
      <c r="N82" s="68"/>
      <c r="O82" s="40"/>
      <c r="P82" s="68"/>
      <c r="Q82" s="68"/>
      <c r="R82" s="40"/>
      <c r="S82" s="65"/>
      <c r="T82" s="124"/>
      <c r="U82" s="124"/>
      <c r="V82" s="44"/>
      <c r="W82" s="44"/>
      <c r="X82" s="44"/>
      <c r="Y82" s="44"/>
      <c r="Z82" s="44"/>
      <c r="AA82" s="44"/>
      <c r="AB82" s="44"/>
    </row>
    <row r="83" spans="1:28" s="27" customFormat="1" x14ac:dyDescent="0.25">
      <c r="A83" s="543">
        <v>1</v>
      </c>
      <c r="B83" s="544" t="s">
        <v>16</v>
      </c>
      <c r="C83" s="543">
        <v>4</v>
      </c>
      <c r="D83" s="546" t="s">
        <v>71</v>
      </c>
      <c r="E83" s="549">
        <v>7.31</v>
      </c>
      <c r="F83" s="563">
        <v>1</v>
      </c>
      <c r="G83" s="563">
        <v>1</v>
      </c>
      <c r="H83" s="545">
        <v>7645</v>
      </c>
      <c r="I83" s="1"/>
      <c r="J83" s="4"/>
      <c r="K83" s="4"/>
      <c r="M83" s="74"/>
      <c r="N83" s="44"/>
      <c r="O83" s="44"/>
      <c r="P83" s="44"/>
      <c r="Q83" s="44"/>
      <c r="R83" s="44"/>
      <c r="S83" s="44"/>
      <c r="T83" s="74"/>
      <c r="U83" s="44"/>
      <c r="V83" s="44"/>
      <c r="W83" s="44"/>
      <c r="X83" s="44"/>
      <c r="Y83" s="44"/>
      <c r="Z83" s="44"/>
      <c r="AA83" s="44"/>
      <c r="AB83" s="44"/>
    </row>
    <row r="84" spans="1:28" s="27" customFormat="1" x14ac:dyDescent="0.25">
      <c r="A84" s="543">
        <v>1</v>
      </c>
      <c r="B84" s="544" t="s">
        <v>16</v>
      </c>
      <c r="C84" s="543">
        <v>4</v>
      </c>
      <c r="D84" s="546" t="s">
        <v>171</v>
      </c>
      <c r="E84" s="549">
        <v>13.38</v>
      </c>
      <c r="F84" s="563">
        <v>1</v>
      </c>
      <c r="G84" s="563">
        <v>1</v>
      </c>
      <c r="H84" s="545">
        <v>7635</v>
      </c>
      <c r="I84" s="1"/>
      <c r="J84" s="1"/>
      <c r="K84" s="1"/>
      <c r="L84" s="95"/>
      <c r="M84" s="98"/>
      <c r="N84" s="68"/>
      <c r="O84" s="40"/>
      <c r="P84" s="68"/>
      <c r="Q84" s="68"/>
      <c r="R84" s="40"/>
      <c r="S84" s="65"/>
      <c r="T84" s="124"/>
      <c r="U84" s="124"/>
      <c r="V84" s="44"/>
      <c r="W84" s="44"/>
      <c r="X84" s="44"/>
      <c r="Y84" s="44"/>
      <c r="Z84" s="44"/>
      <c r="AA84" s="44"/>
      <c r="AB84" s="44"/>
    </row>
    <row r="85" spans="1:28" s="27" customFormat="1" x14ac:dyDescent="0.25">
      <c r="A85" s="543">
        <v>1</v>
      </c>
      <c r="B85" s="544" t="s">
        <v>16</v>
      </c>
      <c r="C85" s="543">
        <v>4</v>
      </c>
      <c r="D85" s="546" t="s">
        <v>51</v>
      </c>
      <c r="E85" s="549">
        <v>13.25</v>
      </c>
      <c r="F85" s="563">
        <v>1</v>
      </c>
      <c r="G85" s="563">
        <v>1</v>
      </c>
      <c r="H85" s="545">
        <v>7645</v>
      </c>
      <c r="I85" s="1"/>
      <c r="J85" s="4"/>
      <c r="K85" s="4"/>
      <c r="M85" s="74"/>
      <c r="N85" s="44"/>
      <c r="O85" s="44"/>
      <c r="P85" s="44"/>
      <c r="Q85" s="44"/>
      <c r="R85" s="44"/>
      <c r="S85" s="44"/>
      <c r="T85" s="74"/>
      <c r="U85" s="44"/>
      <c r="V85" s="44"/>
      <c r="W85" s="44"/>
      <c r="X85" s="44"/>
      <c r="Y85" s="44"/>
      <c r="Z85" s="44"/>
      <c r="AA85" s="44"/>
      <c r="AB85" s="44"/>
    </row>
    <row r="86" spans="1:28" s="27" customFormat="1" x14ac:dyDescent="0.25">
      <c r="A86" s="543">
        <v>1</v>
      </c>
      <c r="B86" s="544" t="s">
        <v>16</v>
      </c>
      <c r="C86" s="543">
        <v>4</v>
      </c>
      <c r="D86" s="546" t="s">
        <v>53</v>
      </c>
      <c r="E86" s="549">
        <v>13.89</v>
      </c>
      <c r="F86" s="563">
        <v>1</v>
      </c>
      <c r="G86" s="563">
        <v>1</v>
      </c>
      <c r="H86" s="545">
        <v>7645</v>
      </c>
      <c r="I86" s="1"/>
      <c r="J86" s="1"/>
      <c r="K86" s="1"/>
      <c r="L86" s="95"/>
      <c r="M86" s="98"/>
      <c r="N86" s="68"/>
      <c r="O86" s="40"/>
      <c r="P86" s="68"/>
      <c r="Q86" s="68"/>
      <c r="R86" s="40"/>
      <c r="S86" s="65"/>
      <c r="T86" s="124"/>
      <c r="U86" s="124"/>
      <c r="V86" s="44"/>
      <c r="W86" s="44"/>
      <c r="X86" s="44"/>
      <c r="Y86" s="44"/>
      <c r="Z86" s="44"/>
      <c r="AA86" s="44"/>
      <c r="AB86" s="44"/>
    </row>
    <row r="87" spans="1:28" s="27" customFormat="1" x14ac:dyDescent="0.25">
      <c r="A87" s="543">
        <v>1</v>
      </c>
      <c r="B87" s="544" t="s">
        <v>16</v>
      </c>
      <c r="C87" s="543">
        <v>4</v>
      </c>
      <c r="D87" s="546" t="s">
        <v>53</v>
      </c>
      <c r="E87" s="549">
        <v>13.89</v>
      </c>
      <c r="F87" s="563">
        <v>1</v>
      </c>
      <c r="G87" s="563">
        <v>1</v>
      </c>
      <c r="H87" s="545">
        <v>7645</v>
      </c>
      <c r="I87" s="1"/>
      <c r="J87" s="4"/>
      <c r="K87" s="4"/>
      <c r="M87" s="74"/>
      <c r="N87" s="44"/>
      <c r="O87" s="44"/>
      <c r="P87" s="44"/>
      <c r="Q87" s="44"/>
      <c r="R87" s="44"/>
      <c r="S87" s="44"/>
      <c r="T87" s="74"/>
      <c r="U87" s="44"/>
      <c r="V87" s="44"/>
      <c r="W87" s="44"/>
      <c r="X87" s="44"/>
      <c r="Y87" s="44"/>
      <c r="Z87" s="44"/>
      <c r="AA87" s="44"/>
      <c r="AB87" s="44"/>
    </row>
    <row r="88" spans="1:28" s="27" customFormat="1" x14ac:dyDescent="0.25">
      <c r="A88" s="543">
        <v>1</v>
      </c>
      <c r="B88" s="544" t="s">
        <v>16</v>
      </c>
      <c r="C88" s="543">
        <v>4</v>
      </c>
      <c r="D88" s="546" t="s">
        <v>53</v>
      </c>
      <c r="E88" s="549">
        <v>13.41</v>
      </c>
      <c r="F88" s="563">
        <v>1</v>
      </c>
      <c r="G88" s="563">
        <v>1</v>
      </c>
      <c r="H88" s="545">
        <v>7645</v>
      </c>
      <c r="I88" s="1"/>
      <c r="J88" s="1"/>
      <c r="K88" s="1"/>
      <c r="L88" s="95"/>
      <c r="M88" s="98"/>
      <c r="N88" s="68"/>
      <c r="O88" s="40"/>
      <c r="P88" s="68"/>
      <c r="Q88" s="68"/>
      <c r="R88" s="40"/>
      <c r="S88" s="65"/>
      <c r="T88" s="124"/>
      <c r="U88" s="124"/>
      <c r="V88" s="44"/>
      <c r="W88" s="44"/>
      <c r="X88" s="44"/>
      <c r="Y88" s="44"/>
      <c r="Z88" s="44"/>
      <c r="AA88" s="44"/>
      <c r="AB88" s="44"/>
    </row>
    <row r="89" spans="1:28" s="27" customFormat="1" x14ac:dyDescent="0.25">
      <c r="A89" s="543">
        <v>1</v>
      </c>
      <c r="B89" s="544" t="s">
        <v>16</v>
      </c>
      <c r="C89" s="543">
        <v>4</v>
      </c>
      <c r="D89" s="546" t="s">
        <v>52</v>
      </c>
      <c r="E89" s="549">
        <v>12.18</v>
      </c>
      <c r="F89" s="563">
        <v>1</v>
      </c>
      <c r="G89" s="563">
        <v>1</v>
      </c>
      <c r="H89" s="545">
        <v>7645</v>
      </c>
      <c r="I89" s="1"/>
      <c r="J89" s="4"/>
      <c r="K89" s="4"/>
      <c r="M89" s="74"/>
      <c r="N89" s="44"/>
      <c r="O89" s="44"/>
      <c r="P89" s="44"/>
      <c r="Q89" s="44"/>
      <c r="R89" s="44"/>
      <c r="S89" s="44"/>
      <c r="T89" s="74"/>
      <c r="U89" s="44"/>
      <c r="V89" s="44"/>
      <c r="W89" s="44"/>
      <c r="X89" s="44"/>
      <c r="Y89" s="44"/>
      <c r="Z89" s="44"/>
      <c r="AA89" s="44"/>
      <c r="AB89" s="44"/>
    </row>
    <row r="90" spans="1:28" s="27" customFormat="1" x14ac:dyDescent="0.25">
      <c r="A90" s="543">
        <v>1</v>
      </c>
      <c r="B90" s="544" t="s">
        <v>16</v>
      </c>
      <c r="C90" s="543">
        <v>4</v>
      </c>
      <c r="D90" s="546" t="s">
        <v>53</v>
      </c>
      <c r="E90" s="549">
        <v>34.65</v>
      </c>
      <c r="F90" s="563">
        <v>1</v>
      </c>
      <c r="G90" s="563">
        <v>1</v>
      </c>
      <c r="H90" s="545">
        <v>7645</v>
      </c>
      <c r="I90" s="1"/>
      <c r="J90" s="1"/>
      <c r="K90" s="1"/>
      <c r="L90" s="95"/>
      <c r="M90" s="98"/>
      <c r="N90" s="68"/>
      <c r="O90" s="40"/>
      <c r="P90" s="68"/>
      <c r="Q90" s="68"/>
      <c r="R90" s="40"/>
      <c r="S90" s="65"/>
      <c r="T90" s="124"/>
      <c r="U90" s="124"/>
      <c r="V90" s="44"/>
      <c r="W90" s="44"/>
      <c r="X90" s="44"/>
      <c r="Y90" s="44"/>
      <c r="Z90" s="44"/>
      <c r="AA90" s="44"/>
      <c r="AB90" s="44"/>
    </row>
    <row r="91" spans="1:28" s="27" customFormat="1" x14ac:dyDescent="0.25">
      <c r="A91" s="543">
        <v>1</v>
      </c>
      <c r="B91" s="544" t="s">
        <v>16</v>
      </c>
      <c r="C91" s="543">
        <v>4</v>
      </c>
      <c r="D91" s="546" t="s">
        <v>53</v>
      </c>
      <c r="E91" s="549">
        <v>16.5</v>
      </c>
      <c r="F91" s="563">
        <v>1</v>
      </c>
      <c r="G91" s="563">
        <v>1</v>
      </c>
      <c r="H91" s="545">
        <v>7645</v>
      </c>
      <c r="I91" s="1"/>
      <c r="J91" s="4"/>
      <c r="K91" s="4"/>
      <c r="M91" s="74"/>
      <c r="N91" s="44"/>
      <c r="O91" s="44"/>
      <c r="P91" s="44"/>
      <c r="Q91" s="44"/>
      <c r="R91" s="44"/>
      <c r="S91" s="44"/>
      <c r="T91" s="74"/>
      <c r="U91" s="44"/>
      <c r="V91" s="44"/>
      <c r="W91" s="44"/>
      <c r="X91" s="44"/>
      <c r="Y91" s="44"/>
      <c r="Z91" s="44"/>
      <c r="AA91" s="44"/>
      <c r="AB91" s="44"/>
    </row>
    <row r="92" spans="1:28" s="27" customFormat="1" x14ac:dyDescent="0.25">
      <c r="A92" s="543">
        <v>1</v>
      </c>
      <c r="B92" s="544" t="s">
        <v>16</v>
      </c>
      <c r="C92" s="543">
        <v>4</v>
      </c>
      <c r="D92" s="546" t="s">
        <v>171</v>
      </c>
      <c r="E92" s="549">
        <v>14.1</v>
      </c>
      <c r="F92" s="563">
        <v>1</v>
      </c>
      <c r="G92" s="563">
        <v>1</v>
      </c>
      <c r="H92" s="545">
        <v>7635</v>
      </c>
      <c r="I92" s="1"/>
      <c r="J92" s="1"/>
      <c r="K92" s="1"/>
      <c r="L92" s="95"/>
      <c r="M92" s="98"/>
      <c r="N92" s="68"/>
      <c r="O92" s="40"/>
      <c r="P92" s="68"/>
      <c r="Q92" s="68"/>
      <c r="R92" s="40"/>
      <c r="S92" s="65"/>
      <c r="T92" s="124"/>
      <c r="U92" s="124"/>
      <c r="V92" s="44"/>
      <c r="W92" s="44"/>
      <c r="X92" s="44"/>
      <c r="Y92" s="44"/>
      <c r="Z92" s="44"/>
      <c r="AA92" s="44"/>
      <c r="AB92" s="44"/>
    </row>
    <row r="93" spans="1:28" s="27" customFormat="1" x14ac:dyDescent="0.25">
      <c r="A93" s="543">
        <v>1</v>
      </c>
      <c r="B93" s="544" t="s">
        <v>16</v>
      </c>
      <c r="C93" s="543">
        <v>4</v>
      </c>
      <c r="D93" s="546" t="s">
        <v>171</v>
      </c>
      <c r="E93" s="549">
        <v>14.5</v>
      </c>
      <c r="F93" s="563">
        <v>1</v>
      </c>
      <c r="G93" s="563">
        <v>1</v>
      </c>
      <c r="H93" s="545">
        <v>7630</v>
      </c>
      <c r="I93" s="1"/>
      <c r="J93" s="4"/>
      <c r="K93" s="4"/>
      <c r="M93" s="74"/>
      <c r="N93" s="44"/>
      <c r="O93" s="44"/>
      <c r="P93" s="44"/>
      <c r="Q93" s="44"/>
      <c r="R93" s="44"/>
      <c r="S93" s="44"/>
      <c r="T93" s="74"/>
      <c r="U93" s="44"/>
      <c r="V93" s="44"/>
      <c r="W93" s="44"/>
      <c r="X93" s="44"/>
      <c r="Y93" s="44"/>
      <c r="Z93" s="44"/>
      <c r="AA93" s="44"/>
      <c r="AB93" s="44"/>
    </row>
    <row r="94" spans="1:28" s="27" customFormat="1" x14ac:dyDescent="0.25">
      <c r="A94" s="543">
        <v>1</v>
      </c>
      <c r="B94" s="544" t="s">
        <v>16</v>
      </c>
      <c r="C94" s="543">
        <v>4</v>
      </c>
      <c r="D94" s="546" t="s">
        <v>171</v>
      </c>
      <c r="E94" s="549">
        <v>14.5</v>
      </c>
      <c r="F94" s="563">
        <v>1</v>
      </c>
      <c r="G94" s="563">
        <v>1</v>
      </c>
      <c r="H94" s="550">
        <v>7630</v>
      </c>
      <c r="I94" s="1"/>
      <c r="J94" s="1"/>
      <c r="K94" s="1"/>
      <c r="L94" s="95"/>
      <c r="M94" s="98"/>
      <c r="N94" s="68"/>
      <c r="O94" s="40"/>
      <c r="P94" s="68"/>
      <c r="Q94" s="68"/>
      <c r="R94" s="40"/>
      <c r="S94" s="65"/>
      <c r="T94" s="124"/>
      <c r="U94" s="124"/>
      <c r="V94" s="44"/>
      <c r="W94" s="44"/>
      <c r="X94" s="44"/>
      <c r="Y94" s="44"/>
      <c r="Z94" s="44"/>
      <c r="AA94" s="44"/>
      <c r="AB94" s="44"/>
    </row>
    <row r="95" spans="1:28" s="27" customFormat="1" x14ac:dyDescent="0.25">
      <c r="A95" s="543">
        <v>1</v>
      </c>
      <c r="B95" s="544" t="s">
        <v>16</v>
      </c>
      <c r="C95" s="543">
        <v>4</v>
      </c>
      <c r="D95" s="546" t="s">
        <v>136</v>
      </c>
      <c r="E95" s="549">
        <v>13.87</v>
      </c>
      <c r="F95" s="563">
        <v>1</v>
      </c>
      <c r="G95" s="563">
        <v>1</v>
      </c>
      <c r="H95" s="550">
        <v>7645</v>
      </c>
      <c r="I95" s="1"/>
      <c r="J95" s="4"/>
      <c r="K95" s="4"/>
      <c r="M95" s="74"/>
      <c r="N95" s="44"/>
      <c r="O95" s="44"/>
      <c r="P95" s="44"/>
      <c r="Q95" s="44"/>
      <c r="R95" s="44"/>
      <c r="S95" s="44"/>
      <c r="T95" s="74"/>
      <c r="U95" s="44"/>
      <c r="V95" s="44"/>
      <c r="W95" s="44"/>
      <c r="X95" s="44"/>
      <c r="Y95" s="44"/>
      <c r="Z95" s="44"/>
      <c r="AA95" s="44"/>
      <c r="AB95" s="44"/>
    </row>
    <row r="96" spans="1:28" s="27" customFormat="1" x14ac:dyDescent="0.25">
      <c r="A96" s="543">
        <v>1</v>
      </c>
      <c r="B96" s="544" t="s">
        <v>16</v>
      </c>
      <c r="C96" s="543">
        <v>4</v>
      </c>
      <c r="D96" s="546" t="s">
        <v>136</v>
      </c>
      <c r="E96" s="549">
        <v>14.1</v>
      </c>
      <c r="F96" s="563">
        <v>1</v>
      </c>
      <c r="G96" s="563">
        <v>1</v>
      </c>
      <c r="H96" s="550">
        <v>7645</v>
      </c>
      <c r="I96" s="1"/>
      <c r="J96" s="1"/>
      <c r="K96" s="1"/>
      <c r="L96" s="95"/>
      <c r="M96" s="98"/>
      <c r="N96" s="68"/>
      <c r="O96" s="40"/>
      <c r="P96" s="68"/>
      <c r="Q96" s="68"/>
      <c r="R96" s="40"/>
      <c r="S96" s="65"/>
      <c r="T96" s="124"/>
      <c r="U96" s="124"/>
      <c r="V96" s="44"/>
      <c r="W96" s="44"/>
      <c r="X96" s="44"/>
      <c r="Y96" s="44"/>
      <c r="Z96" s="44"/>
      <c r="AA96" s="44"/>
      <c r="AB96" s="44"/>
    </row>
    <row r="97" spans="1:28" s="27" customFormat="1" x14ac:dyDescent="0.25">
      <c r="A97" s="543">
        <v>1</v>
      </c>
      <c r="B97" s="544" t="s">
        <v>16</v>
      </c>
      <c r="C97" s="543">
        <v>4</v>
      </c>
      <c r="D97" s="546" t="s">
        <v>50</v>
      </c>
      <c r="E97" s="549">
        <v>14.65</v>
      </c>
      <c r="F97" s="563">
        <v>1</v>
      </c>
      <c r="G97" s="563">
        <v>1</v>
      </c>
      <c r="H97" s="548">
        <v>7635</v>
      </c>
      <c r="I97" s="1"/>
      <c r="J97" s="4"/>
      <c r="K97" s="4"/>
      <c r="M97" s="74"/>
      <c r="N97" s="44"/>
      <c r="O97" s="44"/>
      <c r="P97" s="44"/>
      <c r="Q97" s="44"/>
      <c r="R97" s="44"/>
      <c r="S97" s="44"/>
      <c r="T97" s="74"/>
      <c r="U97" s="44"/>
      <c r="V97" s="44"/>
      <c r="W97" s="44"/>
      <c r="X97" s="44"/>
      <c r="Y97" s="44"/>
      <c r="Z97" s="44"/>
      <c r="AA97" s="44"/>
      <c r="AB97" s="44"/>
    </row>
    <row r="98" spans="1:28" s="27" customFormat="1" x14ac:dyDescent="0.25">
      <c r="A98" s="543">
        <v>1</v>
      </c>
      <c r="B98" s="544" t="s">
        <v>16</v>
      </c>
      <c r="C98" s="543">
        <v>4</v>
      </c>
      <c r="D98" s="546" t="s">
        <v>50</v>
      </c>
      <c r="E98" s="549">
        <v>14.5</v>
      </c>
      <c r="F98" s="563">
        <v>1</v>
      </c>
      <c r="G98" s="563">
        <v>1</v>
      </c>
      <c r="H98" s="548">
        <v>7635</v>
      </c>
      <c r="I98" s="1"/>
      <c r="J98" s="1"/>
      <c r="K98" s="1"/>
      <c r="L98" s="95"/>
      <c r="M98" s="98"/>
      <c r="N98" s="68"/>
      <c r="O98" s="40"/>
      <c r="P98" s="68"/>
      <c r="Q98" s="68"/>
      <c r="R98" s="40"/>
      <c r="S98" s="65"/>
      <c r="T98" s="124"/>
      <c r="U98" s="124"/>
      <c r="V98" s="44"/>
      <c r="W98" s="44"/>
      <c r="X98" s="44"/>
      <c r="Y98" s="44"/>
      <c r="Z98" s="44"/>
      <c r="AA98" s="44"/>
      <c r="AB98" s="44"/>
    </row>
    <row r="99" spans="1:28" s="27" customFormat="1" x14ac:dyDescent="0.25">
      <c r="A99" s="543">
        <v>1</v>
      </c>
      <c r="B99" s="544" t="s">
        <v>16</v>
      </c>
      <c r="C99" s="543">
        <v>4</v>
      </c>
      <c r="D99" s="546" t="s">
        <v>50</v>
      </c>
      <c r="E99" s="549">
        <v>14.62</v>
      </c>
      <c r="F99" s="563">
        <v>1</v>
      </c>
      <c r="G99" s="563">
        <v>1</v>
      </c>
      <c r="H99" s="548">
        <v>7635</v>
      </c>
      <c r="I99" s="1"/>
      <c r="J99" s="4"/>
      <c r="K99" s="4"/>
      <c r="M99" s="74"/>
      <c r="N99" s="44"/>
      <c r="O99" s="44"/>
      <c r="P99" s="44"/>
      <c r="Q99" s="44"/>
      <c r="R99" s="44"/>
      <c r="S99" s="44"/>
      <c r="T99" s="74"/>
      <c r="U99" s="44"/>
      <c r="V99" s="44"/>
      <c r="W99" s="44"/>
      <c r="X99" s="44"/>
      <c r="Y99" s="44"/>
      <c r="Z99" s="44"/>
      <c r="AA99" s="44"/>
      <c r="AB99" s="44"/>
    </row>
    <row r="100" spans="1:28" s="27" customFormat="1" x14ac:dyDescent="0.25">
      <c r="A100" s="543">
        <v>1</v>
      </c>
      <c r="B100" s="544" t="s">
        <v>16</v>
      </c>
      <c r="C100" s="543">
        <v>4</v>
      </c>
      <c r="D100" s="546" t="s">
        <v>50</v>
      </c>
      <c r="E100" s="549">
        <v>14.89</v>
      </c>
      <c r="F100" s="563">
        <v>1</v>
      </c>
      <c r="G100" s="563">
        <v>1</v>
      </c>
      <c r="H100" s="551">
        <v>7635</v>
      </c>
      <c r="I100" s="1"/>
      <c r="J100" s="1"/>
      <c r="K100" s="1"/>
      <c r="L100" s="95"/>
      <c r="M100" s="98"/>
      <c r="N100" s="68"/>
      <c r="O100" s="40"/>
      <c r="P100" s="68"/>
      <c r="Q100" s="68"/>
      <c r="R100" s="40"/>
      <c r="S100" s="65"/>
      <c r="T100" s="124"/>
      <c r="U100" s="124"/>
      <c r="V100" s="44"/>
      <c r="W100" s="44"/>
      <c r="X100" s="44"/>
      <c r="Y100" s="44"/>
      <c r="Z100" s="44"/>
      <c r="AA100" s="44"/>
      <c r="AB100" s="44"/>
    </row>
    <row r="101" spans="1:28" s="27" customFormat="1" x14ac:dyDescent="0.25">
      <c r="A101" s="543">
        <v>1</v>
      </c>
      <c r="B101" s="544" t="s">
        <v>16</v>
      </c>
      <c r="C101" s="543">
        <v>4</v>
      </c>
      <c r="D101" s="546" t="s">
        <v>71</v>
      </c>
      <c r="E101" s="549">
        <v>6</v>
      </c>
      <c r="F101" s="563">
        <v>1</v>
      </c>
      <c r="G101" s="563">
        <v>1</v>
      </c>
      <c r="H101" s="550">
        <v>7645</v>
      </c>
      <c r="I101" s="1"/>
      <c r="J101" s="4"/>
      <c r="K101" s="4"/>
      <c r="M101" s="74"/>
      <c r="N101" s="44"/>
      <c r="O101" s="44"/>
      <c r="P101" s="44"/>
      <c r="Q101" s="44"/>
      <c r="R101" s="44"/>
      <c r="S101" s="44"/>
      <c r="T101" s="74"/>
      <c r="U101" s="44"/>
      <c r="V101" s="44"/>
      <c r="W101" s="44"/>
      <c r="X101" s="44"/>
      <c r="Y101" s="44"/>
      <c r="Z101" s="44"/>
      <c r="AA101" s="44"/>
      <c r="AB101" s="44"/>
    </row>
    <row r="102" spans="1:28" s="27" customFormat="1" x14ac:dyDescent="0.25">
      <c r="A102" s="543">
        <v>1</v>
      </c>
      <c r="B102" s="544" t="s">
        <v>16</v>
      </c>
      <c r="C102" s="543">
        <v>4</v>
      </c>
      <c r="D102" s="546" t="s">
        <v>74</v>
      </c>
      <c r="E102" s="549">
        <v>9.27</v>
      </c>
      <c r="F102" s="563">
        <v>1</v>
      </c>
      <c r="G102" s="563">
        <v>1</v>
      </c>
      <c r="H102" s="550">
        <v>7630</v>
      </c>
      <c r="I102" s="1"/>
      <c r="J102" s="1"/>
      <c r="K102" s="1"/>
      <c r="L102" s="95"/>
      <c r="M102" s="98"/>
      <c r="N102" s="68"/>
      <c r="O102" s="40"/>
      <c r="P102" s="68"/>
      <c r="Q102" s="68"/>
      <c r="R102" s="40"/>
      <c r="S102" s="65"/>
      <c r="T102" s="124"/>
      <c r="U102" s="124"/>
      <c r="V102" s="44"/>
      <c r="W102" s="44"/>
      <c r="X102" s="44"/>
      <c r="Y102" s="44"/>
      <c r="Z102" s="44"/>
      <c r="AA102" s="44"/>
      <c r="AB102" s="44"/>
    </row>
    <row r="103" spans="1:28" s="27" customFormat="1" x14ac:dyDescent="0.25">
      <c r="A103" s="543">
        <v>1</v>
      </c>
      <c r="B103" s="544" t="s">
        <v>16</v>
      </c>
      <c r="C103" s="543">
        <v>4</v>
      </c>
      <c r="D103" s="546" t="s">
        <v>75</v>
      </c>
      <c r="E103" s="549">
        <v>13.7</v>
      </c>
      <c r="F103" s="563">
        <v>1</v>
      </c>
      <c r="G103" s="563">
        <v>1</v>
      </c>
      <c r="H103" s="551">
        <v>7635</v>
      </c>
      <c r="I103" s="1"/>
      <c r="J103" s="4"/>
      <c r="K103" s="4"/>
      <c r="M103" s="74"/>
      <c r="N103" s="44"/>
      <c r="O103" s="44"/>
      <c r="P103" s="44"/>
      <c r="Q103" s="44"/>
      <c r="R103" s="44"/>
      <c r="S103" s="44"/>
      <c r="T103" s="74"/>
      <c r="U103" s="44"/>
      <c r="V103" s="44"/>
      <c r="W103" s="44"/>
      <c r="X103" s="44"/>
      <c r="Y103" s="44"/>
      <c r="Z103" s="44"/>
      <c r="AA103" s="44"/>
      <c r="AB103" s="44"/>
    </row>
    <row r="104" spans="1:28" s="27" customFormat="1" x14ac:dyDescent="0.25">
      <c r="A104" s="543">
        <v>1</v>
      </c>
      <c r="B104" s="544" t="s">
        <v>16</v>
      </c>
      <c r="C104" s="543">
        <v>4</v>
      </c>
      <c r="D104" s="546" t="s">
        <v>137</v>
      </c>
      <c r="E104" s="549">
        <v>2.06</v>
      </c>
      <c r="F104" s="563">
        <v>1</v>
      </c>
      <c r="G104" s="563">
        <v>1</v>
      </c>
      <c r="H104" s="551">
        <v>7635</v>
      </c>
      <c r="I104" s="1"/>
      <c r="J104" s="4"/>
      <c r="K104" s="4"/>
      <c r="M104" s="74"/>
      <c r="N104" s="44"/>
      <c r="O104" s="44"/>
      <c r="P104" s="44"/>
      <c r="Q104" s="44"/>
      <c r="R104" s="44"/>
      <c r="S104" s="44"/>
      <c r="T104" s="74"/>
      <c r="U104" s="44"/>
      <c r="V104" s="44"/>
      <c r="W104" s="44"/>
      <c r="X104" s="44"/>
      <c r="Y104" s="44"/>
      <c r="Z104" s="44"/>
      <c r="AA104" s="44"/>
      <c r="AB104" s="44"/>
    </row>
    <row r="105" spans="1:28" s="27" customFormat="1" x14ac:dyDescent="0.25">
      <c r="A105" s="543">
        <v>1</v>
      </c>
      <c r="B105" s="544" t="s">
        <v>342</v>
      </c>
      <c r="C105" s="555">
        <v>1</v>
      </c>
      <c r="D105" s="546" t="s">
        <v>592</v>
      </c>
      <c r="E105" s="556">
        <v>10.72</v>
      </c>
      <c r="F105" s="565">
        <v>1</v>
      </c>
      <c r="G105" s="565">
        <v>1</v>
      </c>
      <c r="H105" s="550">
        <v>7640</v>
      </c>
      <c r="I105" s="1"/>
      <c r="J105" s="4"/>
      <c r="K105" s="4"/>
      <c r="M105" s="74"/>
      <c r="N105" s="44"/>
      <c r="O105" s="44"/>
      <c r="P105" s="44"/>
      <c r="Q105" s="44"/>
      <c r="R105" s="44"/>
      <c r="S105" s="44"/>
      <c r="T105" s="74"/>
      <c r="U105" s="44"/>
      <c r="V105" s="44"/>
      <c r="W105" s="44"/>
      <c r="X105" s="44"/>
      <c r="Y105" s="44"/>
      <c r="Z105" s="44"/>
      <c r="AA105" s="44"/>
      <c r="AB105" s="44"/>
    </row>
    <row r="106" spans="1:28" s="27" customFormat="1" x14ac:dyDescent="0.25">
      <c r="A106" s="543">
        <v>1</v>
      </c>
      <c r="B106" s="544" t="s">
        <v>342</v>
      </c>
      <c r="C106" s="555">
        <v>2</v>
      </c>
      <c r="D106" s="546" t="s">
        <v>50</v>
      </c>
      <c r="E106" s="556">
        <v>12.73</v>
      </c>
      <c r="F106" s="565">
        <v>1</v>
      </c>
      <c r="G106" s="565">
        <v>1</v>
      </c>
      <c r="H106" s="550">
        <v>7635</v>
      </c>
      <c r="I106" s="1"/>
      <c r="J106" s="4"/>
      <c r="K106" s="4"/>
      <c r="M106" s="74"/>
      <c r="N106" s="44"/>
      <c r="O106" s="44"/>
      <c r="P106" s="44"/>
      <c r="Q106" s="44"/>
      <c r="R106" s="44"/>
      <c r="S106" s="44"/>
      <c r="T106" s="74"/>
      <c r="U106" s="44"/>
      <c r="V106" s="44"/>
      <c r="W106" s="44"/>
      <c r="X106" s="44"/>
      <c r="Y106" s="44"/>
      <c r="Z106" s="44"/>
      <c r="AA106" s="44"/>
      <c r="AB106" s="44"/>
    </row>
    <row r="107" spans="1:28" s="27" customFormat="1" x14ac:dyDescent="0.25">
      <c r="A107" s="543">
        <v>1</v>
      </c>
      <c r="B107" s="544" t="s">
        <v>342</v>
      </c>
      <c r="C107" s="555">
        <v>2</v>
      </c>
      <c r="D107" s="546" t="s">
        <v>51</v>
      </c>
      <c r="E107" s="556">
        <v>9.25</v>
      </c>
      <c r="F107" s="565">
        <v>1</v>
      </c>
      <c r="G107" s="565">
        <v>1</v>
      </c>
      <c r="H107" s="548">
        <v>7645</v>
      </c>
      <c r="I107" s="1"/>
      <c r="J107" s="4"/>
      <c r="K107" s="4"/>
      <c r="M107" s="74"/>
      <c r="N107" s="44"/>
      <c r="O107" s="44"/>
      <c r="P107" s="44"/>
      <c r="Q107" s="44"/>
      <c r="R107" s="44"/>
      <c r="S107" s="44"/>
      <c r="T107" s="74"/>
      <c r="U107" s="44"/>
      <c r="V107" s="44"/>
      <c r="W107" s="44"/>
      <c r="X107" s="44"/>
      <c r="Y107" s="44"/>
      <c r="Z107" s="44"/>
      <c r="AA107" s="44"/>
      <c r="AB107" s="44"/>
    </row>
    <row r="108" spans="1:28" s="27" customFormat="1" x14ac:dyDescent="0.25">
      <c r="A108" s="543">
        <v>1</v>
      </c>
      <c r="B108" s="544" t="s">
        <v>342</v>
      </c>
      <c r="C108" s="555">
        <v>2</v>
      </c>
      <c r="D108" s="546" t="s">
        <v>593</v>
      </c>
      <c r="E108" s="556">
        <v>23.47</v>
      </c>
      <c r="F108" s="565">
        <v>1</v>
      </c>
      <c r="G108" s="565">
        <v>1</v>
      </c>
      <c r="H108" s="548">
        <v>7645</v>
      </c>
      <c r="I108" s="1"/>
      <c r="J108" s="4"/>
      <c r="K108" s="4"/>
      <c r="M108" s="74"/>
      <c r="N108" s="44"/>
      <c r="O108" s="44"/>
      <c r="P108" s="44"/>
      <c r="Q108" s="44"/>
      <c r="R108" s="44"/>
      <c r="S108" s="44"/>
      <c r="T108" s="74"/>
      <c r="U108" s="44"/>
      <c r="V108" s="44"/>
      <c r="W108" s="44"/>
      <c r="X108" s="44"/>
      <c r="Y108" s="44"/>
      <c r="Z108" s="44"/>
      <c r="AA108" s="44"/>
      <c r="AB108" s="44"/>
    </row>
    <row r="109" spans="1:28" s="27" customFormat="1" x14ac:dyDescent="0.25">
      <c r="A109" s="543">
        <v>1</v>
      </c>
      <c r="B109" s="544" t="s">
        <v>342</v>
      </c>
      <c r="C109" s="555">
        <v>2</v>
      </c>
      <c r="D109" s="546" t="s">
        <v>51</v>
      </c>
      <c r="E109" s="556">
        <v>20.97</v>
      </c>
      <c r="F109" s="565">
        <v>1</v>
      </c>
      <c r="G109" s="565">
        <v>1</v>
      </c>
      <c r="H109" s="550">
        <v>7645</v>
      </c>
      <c r="I109" s="1"/>
      <c r="J109" s="4"/>
      <c r="K109" s="4"/>
      <c r="M109" s="74"/>
      <c r="N109" s="44"/>
      <c r="O109" s="44"/>
      <c r="P109" s="44"/>
      <c r="Q109" s="44"/>
      <c r="R109" s="44"/>
      <c r="S109" s="44"/>
      <c r="T109" s="74"/>
      <c r="U109" s="44"/>
      <c r="V109" s="44"/>
      <c r="W109" s="44"/>
      <c r="X109" s="44"/>
      <c r="Y109" s="44"/>
      <c r="Z109" s="44"/>
      <c r="AA109" s="44"/>
      <c r="AB109" s="44"/>
    </row>
    <row r="110" spans="1:28" s="27" customFormat="1" x14ac:dyDescent="0.25">
      <c r="A110" s="543">
        <v>1</v>
      </c>
      <c r="B110" s="544" t="s">
        <v>342</v>
      </c>
      <c r="C110" s="555">
        <v>2</v>
      </c>
      <c r="D110" s="546" t="s">
        <v>51</v>
      </c>
      <c r="E110" s="556">
        <v>15.13</v>
      </c>
      <c r="F110" s="565">
        <v>1</v>
      </c>
      <c r="G110" s="565">
        <v>1</v>
      </c>
      <c r="H110" s="548">
        <v>7645</v>
      </c>
      <c r="I110" s="1"/>
      <c r="J110" s="4"/>
      <c r="K110" s="4"/>
      <c r="M110" s="74"/>
      <c r="N110" s="44"/>
      <c r="O110" s="44"/>
      <c r="P110" s="44"/>
      <c r="Q110" s="44"/>
      <c r="R110" s="44"/>
      <c r="S110" s="44"/>
      <c r="T110" s="74"/>
      <c r="U110" s="44"/>
      <c r="V110" s="44"/>
      <c r="W110" s="44"/>
      <c r="X110" s="44"/>
      <c r="Y110" s="44"/>
      <c r="Z110" s="44"/>
      <c r="AA110" s="44"/>
      <c r="AB110" s="44"/>
    </row>
    <row r="111" spans="1:28" s="27" customFormat="1" x14ac:dyDescent="0.25">
      <c r="A111" s="543">
        <v>1</v>
      </c>
      <c r="B111" s="544" t="s">
        <v>342</v>
      </c>
      <c r="C111" s="555">
        <v>2</v>
      </c>
      <c r="D111" s="546" t="s">
        <v>78</v>
      </c>
      <c r="E111" s="556">
        <v>14.37</v>
      </c>
      <c r="F111" s="565">
        <v>1</v>
      </c>
      <c r="G111" s="565">
        <v>1</v>
      </c>
      <c r="H111" s="545">
        <v>7645</v>
      </c>
      <c r="I111" s="1"/>
      <c r="J111" s="4"/>
      <c r="K111" s="4"/>
      <c r="M111" s="74"/>
      <c r="N111" s="44"/>
      <c r="O111" s="44"/>
      <c r="P111" s="44"/>
      <c r="Q111" s="44"/>
      <c r="R111" s="44"/>
      <c r="S111" s="44"/>
      <c r="T111" s="74"/>
      <c r="U111" s="44"/>
      <c r="V111" s="44"/>
      <c r="W111" s="44"/>
      <c r="X111" s="44"/>
      <c r="Y111" s="44"/>
      <c r="Z111" s="44"/>
      <c r="AA111" s="44"/>
      <c r="AB111" s="44"/>
    </row>
    <row r="112" spans="1:28" s="27" customFormat="1" x14ac:dyDescent="0.25">
      <c r="A112" s="543">
        <v>1</v>
      </c>
      <c r="B112" s="544" t="s">
        <v>342</v>
      </c>
      <c r="C112" s="555">
        <v>3</v>
      </c>
      <c r="D112" s="546" t="s">
        <v>50</v>
      </c>
      <c r="E112" s="556">
        <v>17.64</v>
      </c>
      <c r="F112" s="565">
        <v>1</v>
      </c>
      <c r="G112" s="565">
        <v>1</v>
      </c>
      <c r="H112" s="548">
        <v>7635</v>
      </c>
      <c r="I112" s="1"/>
      <c r="J112" s="4"/>
      <c r="K112" s="4"/>
      <c r="M112" s="74"/>
      <c r="N112" s="44"/>
      <c r="O112" s="44"/>
      <c r="P112" s="44"/>
      <c r="Q112" s="44"/>
      <c r="R112" s="44"/>
      <c r="S112" s="44"/>
      <c r="T112" s="74"/>
      <c r="U112" s="44"/>
      <c r="V112" s="44"/>
      <c r="W112" s="44"/>
      <c r="X112" s="44"/>
      <c r="Y112" s="44"/>
      <c r="Z112" s="44"/>
      <c r="AA112" s="44"/>
      <c r="AB112" s="44"/>
    </row>
    <row r="113" spans="1:28" s="27" customFormat="1" x14ac:dyDescent="0.25">
      <c r="A113" s="543">
        <v>1</v>
      </c>
      <c r="B113" s="544" t="s">
        <v>342</v>
      </c>
      <c r="C113" s="555">
        <v>3</v>
      </c>
      <c r="D113" s="546" t="s">
        <v>50</v>
      </c>
      <c r="E113" s="556">
        <v>23.52</v>
      </c>
      <c r="F113" s="565">
        <v>1</v>
      </c>
      <c r="G113" s="565">
        <v>1</v>
      </c>
      <c r="H113" s="548">
        <v>7635</v>
      </c>
      <c r="I113" s="1"/>
      <c r="J113" s="4"/>
      <c r="K113" s="4"/>
      <c r="M113" s="74"/>
      <c r="N113" s="44"/>
      <c r="O113" s="44"/>
      <c r="P113" s="44"/>
      <c r="Q113" s="44"/>
      <c r="R113" s="44"/>
      <c r="S113" s="44"/>
      <c r="T113" s="74"/>
      <c r="U113" s="44"/>
      <c r="V113" s="44"/>
      <c r="W113" s="44"/>
      <c r="X113" s="44"/>
      <c r="Y113" s="44"/>
      <c r="Z113" s="44"/>
      <c r="AA113" s="44"/>
      <c r="AB113" s="44"/>
    </row>
    <row r="114" spans="1:28" s="27" customFormat="1" x14ac:dyDescent="0.25">
      <c r="A114" s="543">
        <v>1</v>
      </c>
      <c r="B114" s="544" t="s">
        <v>342</v>
      </c>
      <c r="C114" s="555">
        <v>3</v>
      </c>
      <c r="D114" s="546" t="s">
        <v>75</v>
      </c>
      <c r="E114" s="556">
        <v>21.4</v>
      </c>
      <c r="F114" s="565">
        <v>1</v>
      </c>
      <c r="G114" s="565">
        <v>1</v>
      </c>
      <c r="H114" s="548">
        <v>7635</v>
      </c>
      <c r="I114" s="1"/>
      <c r="J114" s="4"/>
      <c r="K114" s="4"/>
      <c r="M114" s="74"/>
      <c r="N114" s="44"/>
      <c r="O114" s="44"/>
      <c r="P114" s="44"/>
      <c r="Q114" s="44"/>
      <c r="R114" s="44"/>
      <c r="S114" s="44"/>
      <c r="T114" s="74"/>
      <c r="U114" s="44"/>
      <c r="V114" s="44"/>
      <c r="W114" s="44"/>
      <c r="X114" s="44"/>
      <c r="Y114" s="44"/>
      <c r="Z114" s="44"/>
      <c r="AA114" s="44"/>
      <c r="AB114" s="44"/>
    </row>
    <row r="115" spans="1:28" s="27" customFormat="1" x14ac:dyDescent="0.25">
      <c r="A115" s="543">
        <v>1</v>
      </c>
      <c r="B115" s="544" t="s">
        <v>342</v>
      </c>
      <c r="C115" s="555">
        <v>3</v>
      </c>
      <c r="D115" s="546" t="s">
        <v>50</v>
      </c>
      <c r="E115" s="556">
        <v>102.73</v>
      </c>
      <c r="F115" s="565">
        <v>1</v>
      </c>
      <c r="G115" s="565">
        <v>1</v>
      </c>
      <c r="H115" s="548">
        <v>7635</v>
      </c>
      <c r="I115" s="1"/>
      <c r="J115" s="4"/>
      <c r="K115" s="4"/>
      <c r="M115" s="74"/>
      <c r="N115" s="44"/>
      <c r="O115" s="44"/>
      <c r="P115" s="44"/>
      <c r="Q115" s="44"/>
      <c r="R115" s="44"/>
      <c r="S115" s="44"/>
      <c r="T115" s="74"/>
      <c r="U115" s="44"/>
      <c r="V115" s="44"/>
      <c r="W115" s="44"/>
      <c r="X115" s="44"/>
      <c r="Y115" s="44"/>
      <c r="Z115" s="44"/>
      <c r="AA115" s="44"/>
      <c r="AB115" s="44"/>
    </row>
    <row r="116" spans="1:28" s="27" customFormat="1" x14ac:dyDescent="0.25">
      <c r="A116" s="543">
        <v>1</v>
      </c>
      <c r="B116" s="544" t="s">
        <v>343</v>
      </c>
      <c r="C116" s="543">
        <v>-1</v>
      </c>
      <c r="D116" s="546" t="s">
        <v>138</v>
      </c>
      <c r="E116" s="549">
        <v>60.05</v>
      </c>
      <c r="F116" s="563">
        <v>1</v>
      </c>
      <c r="G116" s="563">
        <v>1</v>
      </c>
      <c r="H116" s="545">
        <v>7640</v>
      </c>
      <c r="I116" s="1"/>
      <c r="J116" s="4"/>
      <c r="K116" s="4"/>
      <c r="M116" s="74"/>
      <c r="N116" s="44"/>
      <c r="O116" s="44"/>
      <c r="P116" s="44"/>
      <c r="Q116" s="44"/>
      <c r="R116" s="44"/>
      <c r="S116" s="44"/>
      <c r="T116" s="74"/>
      <c r="U116" s="44"/>
      <c r="V116" s="44"/>
      <c r="W116" s="44"/>
      <c r="X116" s="44"/>
      <c r="Y116" s="44"/>
      <c r="Z116" s="44"/>
      <c r="AA116" s="44"/>
      <c r="AB116" s="44"/>
    </row>
    <row r="117" spans="1:28" s="27" customFormat="1" x14ac:dyDescent="0.25">
      <c r="A117" s="543">
        <v>1</v>
      </c>
      <c r="B117" s="544" t="s">
        <v>343</v>
      </c>
      <c r="C117" s="543">
        <v>-1</v>
      </c>
      <c r="D117" s="546" t="s">
        <v>139</v>
      </c>
      <c r="E117" s="549">
        <v>21</v>
      </c>
      <c r="F117" s="563">
        <v>1</v>
      </c>
      <c r="G117" s="563">
        <v>1</v>
      </c>
      <c r="H117" s="545">
        <v>7640</v>
      </c>
      <c r="I117" s="1"/>
      <c r="J117" s="4"/>
      <c r="K117" s="4"/>
      <c r="M117" s="74"/>
      <c r="N117" s="44"/>
      <c r="O117" s="44"/>
      <c r="P117" s="44"/>
      <c r="Q117" s="44"/>
      <c r="R117" s="44"/>
      <c r="S117" s="44"/>
      <c r="T117" s="74"/>
      <c r="U117" s="44"/>
      <c r="V117" s="44"/>
      <c r="W117" s="44"/>
      <c r="X117" s="44"/>
      <c r="Y117" s="44"/>
      <c r="Z117" s="44"/>
      <c r="AA117" s="44"/>
      <c r="AB117" s="44"/>
    </row>
    <row r="118" spans="1:28" s="27" customFormat="1" x14ac:dyDescent="0.25">
      <c r="A118" s="543">
        <v>1</v>
      </c>
      <c r="B118" s="544" t="s">
        <v>343</v>
      </c>
      <c r="C118" s="543">
        <v>-1</v>
      </c>
      <c r="D118" s="546" t="s">
        <v>140</v>
      </c>
      <c r="E118" s="549">
        <v>4.2</v>
      </c>
      <c r="F118" s="563">
        <v>1</v>
      </c>
      <c r="G118" s="563">
        <v>1</v>
      </c>
      <c r="H118" s="545">
        <v>7640</v>
      </c>
      <c r="I118" s="1"/>
      <c r="J118" s="4"/>
      <c r="K118" s="4"/>
      <c r="M118" s="74"/>
      <c r="N118" s="44"/>
      <c r="O118" s="44"/>
      <c r="P118" s="44"/>
      <c r="Q118" s="44"/>
      <c r="R118" s="44"/>
      <c r="S118" s="44"/>
      <c r="T118" s="74"/>
      <c r="U118" s="44"/>
      <c r="V118" s="44"/>
      <c r="W118" s="44"/>
      <c r="X118" s="44"/>
      <c r="Y118" s="44"/>
      <c r="Z118" s="44"/>
      <c r="AA118" s="44"/>
      <c r="AB118" s="44"/>
    </row>
    <row r="119" spans="1:28" s="27" customFormat="1" x14ac:dyDescent="0.25">
      <c r="A119" s="543">
        <v>1</v>
      </c>
      <c r="B119" s="695" t="s">
        <v>400</v>
      </c>
      <c r="C119" s="543">
        <v>3</v>
      </c>
      <c r="D119" s="552" t="s">
        <v>401</v>
      </c>
      <c r="E119" s="553">
        <v>19.399999999999999</v>
      </c>
      <c r="F119" s="564">
        <v>1</v>
      </c>
      <c r="G119" s="564">
        <v>1</v>
      </c>
      <c r="H119" s="695">
        <v>7630</v>
      </c>
      <c r="I119" s="1"/>
      <c r="J119" s="4"/>
      <c r="K119" s="4"/>
      <c r="M119" s="74"/>
      <c r="N119" s="44"/>
      <c r="O119" s="44"/>
      <c r="P119" s="44"/>
      <c r="Q119" s="44"/>
      <c r="R119" s="44"/>
      <c r="S119" s="44"/>
      <c r="T119" s="74"/>
      <c r="U119" s="44"/>
      <c r="V119" s="44"/>
      <c r="W119" s="44"/>
      <c r="X119" s="44"/>
      <c r="Y119" s="44"/>
      <c r="Z119" s="44"/>
      <c r="AA119" s="44"/>
      <c r="AB119" s="44"/>
    </row>
    <row r="120" spans="1:28" s="27" customFormat="1" x14ac:dyDescent="0.25">
      <c r="A120" s="543">
        <v>1</v>
      </c>
      <c r="B120" s="695" t="s">
        <v>400</v>
      </c>
      <c r="C120" s="543">
        <v>3</v>
      </c>
      <c r="D120" s="552" t="s">
        <v>402</v>
      </c>
      <c r="E120" s="553">
        <v>45.41</v>
      </c>
      <c r="F120" s="564">
        <v>1</v>
      </c>
      <c r="G120" s="564">
        <v>1</v>
      </c>
      <c r="H120" s="695">
        <v>7630</v>
      </c>
      <c r="I120" s="1"/>
      <c r="J120" s="4"/>
      <c r="K120" s="4"/>
      <c r="M120" s="74"/>
      <c r="N120" s="44"/>
      <c r="O120" s="44"/>
      <c r="P120" s="44"/>
      <c r="Q120" s="44"/>
      <c r="R120" s="44"/>
      <c r="S120" s="44"/>
      <c r="T120" s="74"/>
      <c r="U120" s="44"/>
      <c r="V120" s="44"/>
      <c r="W120" s="44"/>
      <c r="X120" s="44"/>
      <c r="Y120" s="44"/>
      <c r="Z120" s="44"/>
      <c r="AA120" s="44"/>
      <c r="AB120" s="44"/>
    </row>
    <row r="121" spans="1:28" s="27" customFormat="1" x14ac:dyDescent="0.25">
      <c r="A121" s="543">
        <v>1</v>
      </c>
      <c r="B121" s="695" t="s">
        <v>400</v>
      </c>
      <c r="C121" s="543">
        <v>3</v>
      </c>
      <c r="D121" s="552" t="s">
        <v>403</v>
      </c>
      <c r="E121" s="553">
        <v>29.4</v>
      </c>
      <c r="F121" s="564">
        <v>1</v>
      </c>
      <c r="G121" s="564">
        <v>1</v>
      </c>
      <c r="H121" s="695">
        <v>7630</v>
      </c>
      <c r="I121" s="1"/>
      <c r="J121" s="4"/>
      <c r="K121" s="4"/>
      <c r="M121" s="74"/>
      <c r="N121" s="44"/>
      <c r="O121" s="44"/>
      <c r="P121" s="44"/>
      <c r="Q121" s="44"/>
      <c r="R121" s="44"/>
      <c r="S121" s="44"/>
      <c r="T121" s="74"/>
      <c r="U121" s="44"/>
      <c r="V121" s="44"/>
      <c r="W121" s="44"/>
      <c r="X121" s="44"/>
      <c r="Y121" s="44"/>
      <c r="Z121" s="44"/>
      <c r="AA121" s="44"/>
      <c r="AB121" s="44"/>
    </row>
    <row r="122" spans="1:28" s="27" customFormat="1" x14ac:dyDescent="0.25">
      <c r="A122" s="543">
        <v>1</v>
      </c>
      <c r="B122" s="695" t="s">
        <v>400</v>
      </c>
      <c r="C122" s="543">
        <v>3</v>
      </c>
      <c r="D122" s="552" t="s">
        <v>404</v>
      </c>
      <c r="E122" s="553">
        <v>45.8</v>
      </c>
      <c r="F122" s="564">
        <v>1</v>
      </c>
      <c r="G122" s="564">
        <v>1</v>
      </c>
      <c r="H122" s="695">
        <v>7640</v>
      </c>
      <c r="I122" s="1"/>
      <c r="J122" s="4"/>
      <c r="K122" s="4"/>
      <c r="M122" s="74"/>
      <c r="N122" s="44"/>
      <c r="O122" s="44"/>
      <c r="P122" s="44"/>
      <c r="Q122" s="44"/>
      <c r="R122" s="44"/>
      <c r="S122" s="44"/>
      <c r="T122" s="74"/>
      <c r="U122" s="44"/>
      <c r="V122" s="44"/>
      <c r="W122" s="44"/>
      <c r="X122" s="44"/>
      <c r="Y122" s="44"/>
      <c r="Z122" s="44"/>
      <c r="AA122" s="44"/>
      <c r="AB122" s="44"/>
    </row>
    <row r="123" spans="1:28" s="27" customFormat="1" x14ac:dyDescent="0.25">
      <c r="A123" s="543">
        <v>1</v>
      </c>
      <c r="B123" s="695" t="s">
        <v>400</v>
      </c>
      <c r="C123" s="543">
        <v>3</v>
      </c>
      <c r="D123" s="552" t="s">
        <v>405</v>
      </c>
      <c r="E123" s="553">
        <v>45.92</v>
      </c>
      <c r="F123" s="564">
        <v>1</v>
      </c>
      <c r="G123" s="564">
        <v>1</v>
      </c>
      <c r="H123" s="695">
        <v>7640</v>
      </c>
      <c r="I123" s="1"/>
      <c r="J123" s="895"/>
      <c r="K123" s="895"/>
      <c r="M123" s="74"/>
      <c r="N123" s="44"/>
      <c r="O123" s="44"/>
      <c r="P123" s="44"/>
      <c r="Q123" s="44"/>
      <c r="R123" s="44"/>
      <c r="S123" s="44"/>
      <c r="T123" s="74"/>
      <c r="U123" s="44"/>
      <c r="V123" s="44"/>
      <c r="W123" s="44"/>
      <c r="X123" s="44"/>
      <c r="Y123" s="44"/>
      <c r="Z123" s="44"/>
      <c r="AA123" s="44"/>
      <c r="AB123" s="44"/>
    </row>
    <row r="124" spans="1:28" s="27" customFormat="1" x14ac:dyDescent="0.25">
      <c r="A124" s="543">
        <v>1</v>
      </c>
      <c r="B124" s="695" t="s">
        <v>400</v>
      </c>
      <c r="C124" s="543">
        <v>3</v>
      </c>
      <c r="D124" s="552" t="s">
        <v>406</v>
      </c>
      <c r="E124" s="553">
        <v>30.45</v>
      </c>
      <c r="F124" s="564">
        <v>1</v>
      </c>
      <c r="G124" s="564">
        <v>1</v>
      </c>
      <c r="H124" s="695">
        <v>7630</v>
      </c>
      <c r="I124" s="1"/>
      <c r="J124" s="895"/>
      <c r="K124" s="895"/>
      <c r="M124" s="74"/>
      <c r="N124" s="44"/>
      <c r="O124" s="44"/>
      <c r="P124" s="44"/>
      <c r="Q124" s="44"/>
      <c r="R124" s="44"/>
      <c r="S124" s="44"/>
      <c r="T124" s="74"/>
      <c r="U124" s="44"/>
      <c r="V124" s="44"/>
      <c r="W124" s="44"/>
      <c r="X124" s="44"/>
      <c r="Y124" s="44"/>
      <c r="Z124" s="44"/>
      <c r="AA124" s="44"/>
      <c r="AB124" s="44"/>
    </row>
    <row r="125" spans="1:28" s="27" customFormat="1" x14ac:dyDescent="0.25">
      <c r="A125" s="543">
        <v>1</v>
      </c>
      <c r="B125" s="695" t="s">
        <v>400</v>
      </c>
      <c r="C125" s="543">
        <v>3</v>
      </c>
      <c r="D125" s="552" t="s">
        <v>407</v>
      </c>
      <c r="E125" s="553">
        <v>30.45</v>
      </c>
      <c r="F125" s="564">
        <v>1</v>
      </c>
      <c r="G125" s="564">
        <v>1</v>
      </c>
      <c r="H125" s="695">
        <v>7630</v>
      </c>
      <c r="I125" s="1"/>
      <c r="J125" s="895"/>
      <c r="K125" s="895"/>
      <c r="M125" s="74"/>
      <c r="N125" s="44"/>
      <c r="O125" s="44"/>
      <c r="P125" s="44"/>
      <c r="Q125" s="44"/>
      <c r="R125" s="44"/>
      <c r="S125" s="44"/>
      <c r="T125" s="74"/>
      <c r="U125" s="44"/>
      <c r="V125" s="44"/>
      <c r="W125" s="44"/>
      <c r="X125" s="44"/>
      <c r="Y125" s="44"/>
      <c r="Z125" s="44"/>
      <c r="AA125" s="44"/>
      <c r="AB125" s="44"/>
    </row>
    <row r="126" spans="1:28" s="27" customFormat="1" x14ac:dyDescent="0.25">
      <c r="A126" s="543">
        <v>1</v>
      </c>
      <c r="B126" s="695" t="s">
        <v>400</v>
      </c>
      <c r="C126" s="543">
        <v>3</v>
      </c>
      <c r="D126" s="552" t="s">
        <v>408</v>
      </c>
      <c r="E126" s="553">
        <v>30.45</v>
      </c>
      <c r="F126" s="564">
        <v>1</v>
      </c>
      <c r="G126" s="564">
        <v>1</v>
      </c>
      <c r="H126" s="695">
        <v>7630</v>
      </c>
      <c r="I126" s="1"/>
      <c r="J126" s="895"/>
      <c r="K126" s="895"/>
      <c r="M126" s="74"/>
      <c r="N126" s="44"/>
      <c r="O126" s="44"/>
      <c r="P126" s="44"/>
      <c r="Q126" s="44"/>
      <c r="R126" s="44"/>
      <c r="S126" s="44"/>
      <c r="T126" s="74"/>
      <c r="U126" s="44"/>
      <c r="V126" s="44"/>
      <c r="W126" s="44"/>
      <c r="X126" s="44"/>
      <c r="Y126" s="44"/>
      <c r="Z126" s="44"/>
      <c r="AA126" s="44"/>
      <c r="AB126" s="44"/>
    </row>
    <row r="127" spans="1:28" s="27" customFormat="1" x14ac:dyDescent="0.25">
      <c r="A127" s="543">
        <v>1</v>
      </c>
      <c r="B127" s="695" t="s">
        <v>400</v>
      </c>
      <c r="C127" s="543">
        <v>3</v>
      </c>
      <c r="D127" s="552" t="s">
        <v>409</v>
      </c>
      <c r="E127" s="553">
        <v>21.71</v>
      </c>
      <c r="F127" s="564">
        <v>1</v>
      </c>
      <c r="G127" s="564">
        <v>1</v>
      </c>
      <c r="H127" s="695">
        <v>7630</v>
      </c>
      <c r="I127" s="1"/>
      <c r="J127" s="895"/>
      <c r="K127" s="895"/>
      <c r="M127" s="74"/>
      <c r="N127" s="44"/>
      <c r="O127" s="44"/>
      <c r="P127" s="44"/>
      <c r="Q127" s="44"/>
      <c r="R127" s="44"/>
      <c r="S127" s="44"/>
      <c r="T127" s="74"/>
      <c r="U127" s="44"/>
      <c r="V127" s="44"/>
      <c r="W127" s="44"/>
      <c r="X127" s="44"/>
      <c r="Y127" s="44"/>
      <c r="Z127" s="44"/>
      <c r="AA127" s="44"/>
      <c r="AB127" s="44"/>
    </row>
    <row r="128" spans="1:28" x14ac:dyDescent="0.25">
      <c r="A128" s="566"/>
      <c r="B128" s="16"/>
      <c r="C128" s="16"/>
      <c r="D128" s="16"/>
      <c r="E128" s="427">
        <f>SUM(E2:E127)</f>
        <v>3567.3599999999974</v>
      </c>
      <c r="F128" s="17"/>
      <c r="G128" s="427"/>
      <c r="H128" s="17"/>
      <c r="J128" s="4"/>
      <c r="L128" s="95"/>
      <c r="M128" s="98"/>
      <c r="N128" s="68"/>
      <c r="O128" s="40"/>
      <c r="P128" s="68"/>
      <c r="Q128" s="68"/>
      <c r="R128" s="40"/>
      <c r="S128" s="65"/>
      <c r="T128" s="124"/>
      <c r="U128" s="124"/>
    </row>
    <row r="129" spans="1:23" ht="22.5" customHeight="1" x14ac:dyDescent="0.25">
      <c r="E129" s="945">
        <f>E128-B154</f>
        <v>0</v>
      </c>
      <c r="J129" s="1"/>
      <c r="L129" s="95"/>
      <c r="M129" s="98"/>
      <c r="N129" s="68"/>
      <c r="O129" s="40"/>
      <c r="P129" s="68"/>
      <c r="Q129" s="68"/>
      <c r="R129" s="40"/>
      <c r="S129" s="65"/>
      <c r="T129" s="124"/>
      <c r="U129" s="124"/>
    </row>
    <row r="130" spans="1:23" x14ac:dyDescent="0.25">
      <c r="A130" s="68"/>
      <c r="E130" s="69">
        <v>2021</v>
      </c>
      <c r="G130" s="4"/>
      <c r="H130" s="4"/>
      <c r="I130" s="73"/>
      <c r="J130" s="1"/>
      <c r="K130" s="49"/>
      <c r="L130" s="44"/>
      <c r="M130" s="74"/>
      <c r="N130" s="44"/>
      <c r="O130" s="44"/>
      <c r="P130" s="44"/>
      <c r="Q130" s="44"/>
      <c r="R130" s="44"/>
      <c r="S130" s="44"/>
      <c r="T130" s="74"/>
      <c r="U130" s="44"/>
    </row>
    <row r="131" spans="1:23" x14ac:dyDescent="0.25">
      <c r="E131" s="32">
        <f t="shared" ref="E131:E138" si="0">SUMIF($H$2:$H$127,F131,$E$2:$E$127)</f>
        <v>225.98000000000002</v>
      </c>
      <c r="F131" s="41">
        <v>7620</v>
      </c>
      <c r="G131" s="33"/>
      <c r="H131" s="33"/>
      <c r="I131" s="7"/>
      <c r="J131" s="1"/>
      <c r="K131" s="44"/>
      <c r="L131" s="499"/>
      <c r="M131" s="428"/>
      <c r="N131" s="68"/>
      <c r="O131" s="500"/>
      <c r="P131" s="501"/>
      <c r="Q131" s="502"/>
      <c r="R131" s="40"/>
      <c r="S131" s="65"/>
      <c r="T131" s="124"/>
      <c r="U131" s="124"/>
    </row>
    <row r="132" spans="1:23" x14ac:dyDescent="0.25">
      <c r="E132" s="32">
        <f t="shared" si="0"/>
        <v>386.84</v>
      </c>
      <c r="F132" s="41">
        <v>7625</v>
      </c>
      <c r="G132" s="33"/>
      <c r="H132" s="33"/>
      <c r="I132" s="7"/>
      <c r="J132" s="4"/>
      <c r="K132" s="44"/>
      <c r="L132" s="49"/>
      <c r="M132" s="428"/>
      <c r="N132" s="68"/>
      <c r="O132" s="503"/>
      <c r="P132" s="503"/>
      <c r="Q132" s="503"/>
      <c r="R132" s="40"/>
      <c r="S132" s="65"/>
      <c r="T132" s="124"/>
      <c r="U132" s="124"/>
    </row>
    <row r="133" spans="1:23" x14ac:dyDescent="0.25">
      <c r="E133" s="32">
        <f t="shared" si="0"/>
        <v>1094.4100000000001</v>
      </c>
      <c r="F133" s="41">
        <v>7630</v>
      </c>
      <c r="G133" s="33"/>
      <c r="H133" s="33"/>
      <c r="I133" s="7"/>
      <c r="J133" s="1"/>
      <c r="K133" s="44"/>
      <c r="L133" s="49"/>
      <c r="M133" s="428"/>
      <c r="N133" s="44"/>
      <c r="O133" s="503"/>
      <c r="P133" s="503"/>
      <c r="Q133" s="503"/>
      <c r="R133" s="44"/>
      <c r="S133" s="44"/>
      <c r="T133" s="74"/>
      <c r="U133" s="44"/>
    </row>
    <row r="134" spans="1:23" x14ac:dyDescent="0.25">
      <c r="E134" s="32">
        <f t="shared" si="0"/>
        <v>774.51999999999987</v>
      </c>
      <c r="F134" s="41">
        <v>7635</v>
      </c>
      <c r="G134" s="33"/>
      <c r="H134" s="33"/>
      <c r="I134" s="7"/>
      <c r="J134" s="1"/>
      <c r="K134" s="49"/>
      <c r="L134" s="49"/>
      <c r="M134" s="428"/>
      <c r="N134" s="68"/>
      <c r="O134" s="503"/>
      <c r="P134" s="503"/>
      <c r="Q134" s="503"/>
      <c r="R134" s="40"/>
      <c r="S134" s="65"/>
      <c r="T134" s="124"/>
      <c r="U134" s="124"/>
    </row>
    <row r="135" spans="1:23" x14ac:dyDescent="0.25">
      <c r="E135" s="32">
        <f t="shared" si="0"/>
        <v>486.86000000000007</v>
      </c>
      <c r="F135" s="41">
        <v>7640</v>
      </c>
      <c r="G135" s="33"/>
      <c r="H135" s="33"/>
      <c r="I135" s="7"/>
      <c r="J135" s="67"/>
      <c r="K135" s="44"/>
      <c r="L135" s="49"/>
      <c r="M135" s="428"/>
      <c r="N135" s="68"/>
      <c r="O135" s="503"/>
      <c r="P135" s="503"/>
      <c r="Q135" s="503"/>
      <c r="R135" s="40"/>
      <c r="S135" s="65"/>
      <c r="T135" s="124"/>
      <c r="U135" s="124"/>
    </row>
    <row r="136" spans="1:23" x14ac:dyDescent="0.25">
      <c r="C136" s="12" t="s">
        <v>54</v>
      </c>
      <c r="D136" s="35">
        <f>SUM(E131:E136)</f>
        <v>3380.96</v>
      </c>
      <c r="E136" s="32">
        <f t="shared" si="0"/>
        <v>412.35</v>
      </c>
      <c r="F136" s="41">
        <v>7645</v>
      </c>
      <c r="G136" s="33"/>
      <c r="H136" s="488"/>
      <c r="I136" s="7"/>
      <c r="J136" s="1"/>
      <c r="K136" s="44"/>
      <c r="L136" s="49"/>
      <c r="M136" s="504"/>
      <c r="N136" s="44"/>
      <c r="O136" s="503"/>
      <c r="P136" s="503"/>
      <c r="Q136" s="503"/>
      <c r="R136" s="44"/>
      <c r="S136" s="44"/>
      <c r="T136" s="44"/>
      <c r="U136" s="44"/>
    </row>
    <row r="137" spans="1:23" x14ac:dyDescent="0.25">
      <c r="C137" s="4"/>
      <c r="D137" s="4"/>
      <c r="E137" s="32">
        <f t="shared" si="0"/>
        <v>151.78</v>
      </c>
      <c r="F137" s="41">
        <v>7817</v>
      </c>
      <c r="G137" s="34"/>
      <c r="H137" s="489"/>
      <c r="J137" s="1"/>
      <c r="K137" s="505"/>
      <c r="L137" s="49"/>
      <c r="M137" s="504"/>
      <c r="N137" s="44"/>
      <c r="O137" s="503"/>
      <c r="P137" s="503"/>
      <c r="Q137" s="503"/>
      <c r="R137" s="44"/>
      <c r="S137" s="44"/>
      <c r="T137" s="44"/>
      <c r="U137" s="44"/>
    </row>
    <row r="138" spans="1:23" ht="16.5" thickBot="1" x14ac:dyDescent="0.3">
      <c r="C138" s="12" t="s">
        <v>116</v>
      </c>
      <c r="D138" s="35">
        <f>D136+E137+E138</f>
        <v>3567.36</v>
      </c>
      <c r="E138" s="32">
        <f t="shared" si="0"/>
        <v>34.620000000000005</v>
      </c>
      <c r="F138" s="41">
        <v>7117</v>
      </c>
      <c r="H138" s="489"/>
      <c r="J138" s="1"/>
      <c r="K138" s="44"/>
      <c r="L138" s="49"/>
      <c r="M138" s="504"/>
      <c r="N138" s="44"/>
      <c r="O138" s="503"/>
      <c r="P138" s="503"/>
      <c r="Q138" s="503"/>
      <c r="R138" s="44"/>
      <c r="S138" s="44"/>
      <c r="T138" s="44"/>
      <c r="U138" s="44"/>
    </row>
    <row r="139" spans="1:23" s="4" customFormat="1" ht="16.5" thickBot="1" x14ac:dyDescent="0.3">
      <c r="A139" s="1"/>
      <c r="B139" s="1"/>
      <c r="C139" s="1"/>
      <c r="D139" s="1"/>
      <c r="E139" s="36">
        <f>SUM(E131:E138)</f>
        <v>3567.36</v>
      </c>
      <c r="F139" s="56" t="s">
        <v>55</v>
      </c>
      <c r="G139" s="1"/>
      <c r="H139" s="55"/>
      <c r="I139" s="3"/>
      <c r="J139" s="1"/>
      <c r="K139" s="44"/>
      <c r="L139" s="49"/>
      <c r="M139" s="504"/>
      <c r="N139" s="44"/>
      <c r="O139" s="503"/>
      <c r="P139" s="503"/>
      <c r="Q139" s="503"/>
      <c r="R139" s="44"/>
      <c r="S139" s="44"/>
      <c r="T139" s="44"/>
      <c r="U139" s="44"/>
      <c r="V139" s="1"/>
      <c r="W139" s="1"/>
    </row>
    <row r="140" spans="1:23" x14ac:dyDescent="0.25">
      <c r="A140" s="2"/>
      <c r="B140" s="2"/>
      <c r="C140" s="2"/>
      <c r="E140" s="4"/>
      <c r="F140" s="4"/>
      <c r="H140" s="55"/>
      <c r="J140" s="1"/>
      <c r="K140" s="44"/>
      <c r="L140" s="44"/>
      <c r="M140" s="154"/>
      <c r="N140" s="44"/>
      <c r="O140" s="506"/>
      <c r="P140" s="506"/>
      <c r="Q140" s="506"/>
      <c r="R140" s="44"/>
      <c r="S140" s="44"/>
      <c r="T140" s="44"/>
      <c r="U140" s="44"/>
    </row>
    <row r="141" spans="1:23" x14ac:dyDescent="0.25">
      <c r="C141" s="1" t="s">
        <v>566</v>
      </c>
      <c r="K141" s="507"/>
      <c r="L141" s="44"/>
      <c r="M141" s="98"/>
      <c r="N141" s="49"/>
      <c r="O141" s="49"/>
      <c r="P141" s="49"/>
      <c r="Q141" s="49"/>
      <c r="R141" s="49"/>
      <c r="S141" s="508"/>
      <c r="T141" s="508"/>
      <c r="U141" s="49"/>
      <c r="V141" s="4"/>
      <c r="W141" s="4"/>
    </row>
    <row r="142" spans="1:23" x14ac:dyDescent="0.25">
      <c r="C142" s="101" t="s">
        <v>346</v>
      </c>
      <c r="K142" s="44"/>
      <c r="L142" s="44"/>
      <c r="M142" s="44"/>
      <c r="N142" s="44"/>
      <c r="O142" s="44"/>
      <c r="P142" s="44"/>
      <c r="Q142" s="509"/>
      <c r="R142" s="44"/>
      <c r="S142" s="510"/>
      <c r="T142" s="510"/>
      <c r="U142" s="44"/>
    </row>
    <row r="143" spans="1:23" x14ac:dyDescent="0.25">
      <c r="B143" s="55"/>
      <c r="C143" s="74"/>
      <c r="D143" s="498"/>
      <c r="E143" s="55"/>
      <c r="K143" s="44"/>
      <c r="L143" s="511"/>
      <c r="M143" s="74"/>
      <c r="N143" s="44"/>
      <c r="O143" s="44"/>
      <c r="P143" s="44"/>
      <c r="Q143" s="44"/>
      <c r="R143" s="44"/>
      <c r="S143" s="510"/>
      <c r="T143" s="510"/>
      <c r="U143" s="44"/>
    </row>
    <row r="144" spans="1:23" ht="31.5" x14ac:dyDescent="0.25">
      <c r="C144" s="95"/>
      <c r="D144" s="428" t="s">
        <v>310</v>
      </c>
      <c r="E144" s="696" t="s">
        <v>410</v>
      </c>
      <c r="F144" s="455" t="s">
        <v>334</v>
      </c>
      <c r="G144" s="512" t="s">
        <v>333</v>
      </c>
      <c r="H144" s="430" t="s">
        <v>311</v>
      </c>
      <c r="I144" s="40"/>
      <c r="J144" s="65"/>
      <c r="K144" s="124"/>
      <c r="L144" s="124"/>
      <c r="M144" s="74"/>
      <c r="N144" s="44"/>
      <c r="O144" s="44"/>
      <c r="P144" s="44"/>
      <c r="Q144" s="44"/>
      <c r="R144" s="44"/>
      <c r="S144" s="44"/>
      <c r="T144" s="44"/>
      <c r="U144" s="44"/>
    </row>
    <row r="145" spans="1:21" x14ac:dyDescent="0.25">
      <c r="A145" s="4"/>
      <c r="C145" s="41">
        <v>7620</v>
      </c>
      <c r="D145" s="429">
        <f>SUM(E145:G145)</f>
        <v>225.98000000000002</v>
      </c>
      <c r="E145" s="868">
        <v>116.44</v>
      </c>
      <c r="F145" s="868">
        <v>109.54</v>
      </c>
      <c r="G145" s="868">
        <v>0</v>
      </c>
      <c r="H145" s="431" t="s">
        <v>312</v>
      </c>
      <c r="I145" s="40"/>
      <c r="J145" s="65"/>
      <c r="K145" s="124"/>
      <c r="L145" s="124"/>
      <c r="M145" s="44"/>
      <c r="N145" s="44"/>
      <c r="O145" s="44"/>
      <c r="P145" s="44"/>
      <c r="Q145" s="44"/>
      <c r="R145" s="44"/>
      <c r="S145" s="44"/>
      <c r="T145" s="44"/>
      <c r="U145" s="44"/>
    </row>
    <row r="146" spans="1:21" x14ac:dyDescent="0.25">
      <c r="C146" s="41">
        <v>7625</v>
      </c>
      <c r="D146" s="429">
        <f t="shared" ref="D146:D152" si="1">SUM(E146:G146)</f>
        <v>386.84000000000003</v>
      </c>
      <c r="E146" s="869">
        <v>265.68</v>
      </c>
      <c r="F146" s="869">
        <v>68.900000000000006</v>
      </c>
      <c r="G146" s="869">
        <v>52.26</v>
      </c>
      <c r="H146" s="431" t="s">
        <v>313</v>
      </c>
      <c r="I146" s="44"/>
      <c r="J146" s="44"/>
      <c r="K146" s="74"/>
      <c r="L146" s="44"/>
      <c r="M146" s="505"/>
      <c r="N146" s="44"/>
      <c r="O146" s="44"/>
      <c r="P146" s="44"/>
      <c r="Q146" s="44"/>
      <c r="R146" s="44"/>
      <c r="S146" s="44"/>
      <c r="T146" s="44"/>
      <c r="U146" s="44"/>
    </row>
    <row r="147" spans="1:21" x14ac:dyDescent="0.25">
      <c r="B147" s="4"/>
      <c r="C147" s="41">
        <v>7630</v>
      </c>
      <c r="D147" s="429">
        <f t="shared" si="1"/>
        <v>1094.4099999999999</v>
      </c>
      <c r="E147" s="869">
        <v>163.5</v>
      </c>
      <c r="F147" s="869">
        <v>930.91</v>
      </c>
      <c r="G147" s="869">
        <v>0</v>
      </c>
      <c r="H147" s="503"/>
      <c r="I147" s="40"/>
      <c r="J147" s="65"/>
      <c r="K147" s="124"/>
      <c r="L147" s="124"/>
      <c r="M147" s="74"/>
      <c r="N147" s="44"/>
      <c r="O147" s="44"/>
      <c r="P147" s="44"/>
      <c r="Q147" s="44"/>
      <c r="R147" s="44"/>
      <c r="S147" s="44"/>
      <c r="T147" s="44"/>
      <c r="U147" s="44"/>
    </row>
    <row r="148" spans="1:21" x14ac:dyDescent="0.25">
      <c r="A148" s="67"/>
      <c r="C148" s="41">
        <v>7635</v>
      </c>
      <c r="D148" s="429">
        <f t="shared" si="1"/>
        <v>774.52</v>
      </c>
      <c r="E148" s="869">
        <v>683.96</v>
      </c>
      <c r="F148" s="869">
        <v>0</v>
      </c>
      <c r="G148" s="869">
        <v>90.56</v>
      </c>
      <c r="H148" s="503"/>
      <c r="I148" s="40"/>
      <c r="J148" s="65"/>
      <c r="K148" s="124"/>
      <c r="L148" s="124"/>
      <c r="M148" s="44"/>
      <c r="N148" s="44"/>
      <c r="O148" s="44"/>
      <c r="P148" s="44"/>
      <c r="Q148" s="44"/>
      <c r="R148" s="44"/>
      <c r="S148" s="44"/>
      <c r="T148" s="44"/>
      <c r="U148" s="44"/>
    </row>
    <row r="149" spans="1:21" x14ac:dyDescent="0.25">
      <c r="C149" s="41">
        <v>7640</v>
      </c>
      <c r="D149" s="429">
        <f t="shared" si="1"/>
        <v>486.86</v>
      </c>
      <c r="E149" s="869">
        <v>48.12</v>
      </c>
      <c r="F149" s="869">
        <v>438.74</v>
      </c>
      <c r="G149" s="869">
        <v>0</v>
      </c>
      <c r="H149" s="503"/>
      <c r="I149" s="1"/>
      <c r="J149" s="1"/>
    </row>
    <row r="150" spans="1:21" x14ac:dyDescent="0.25">
      <c r="B150" s="67"/>
      <c r="C150" s="41">
        <v>7645</v>
      </c>
      <c r="D150" s="429">
        <f t="shared" si="1"/>
        <v>412.34999999999997</v>
      </c>
      <c r="E150" s="869">
        <v>359.79</v>
      </c>
      <c r="F150" s="869">
        <v>23.47</v>
      </c>
      <c r="G150" s="869">
        <v>29.09</v>
      </c>
      <c r="H150" s="503"/>
      <c r="I150" s="1"/>
      <c r="J150" s="1"/>
    </row>
    <row r="151" spans="1:21" x14ac:dyDescent="0.25">
      <c r="C151" s="41">
        <v>7817</v>
      </c>
      <c r="D151" s="429">
        <f t="shared" si="1"/>
        <v>151.78</v>
      </c>
      <c r="E151" s="869">
        <v>75.58</v>
      </c>
      <c r="F151" s="869">
        <v>0</v>
      </c>
      <c r="G151" s="869">
        <v>76.2</v>
      </c>
      <c r="H151" s="503"/>
      <c r="I151" s="1"/>
      <c r="J151" s="1"/>
    </row>
    <row r="152" spans="1:21" x14ac:dyDescent="0.25">
      <c r="C152" s="41">
        <v>7117</v>
      </c>
      <c r="D152" s="429">
        <f t="shared" si="1"/>
        <v>34.619999999999997</v>
      </c>
      <c r="E152" s="869">
        <v>34.619999999999997</v>
      </c>
      <c r="F152" s="869">
        <v>0</v>
      </c>
      <c r="G152" s="869">
        <v>0</v>
      </c>
      <c r="H152" s="503"/>
      <c r="I152" s="1"/>
      <c r="J152" s="1"/>
    </row>
    <row r="153" spans="1:21" x14ac:dyDescent="0.25">
      <c r="D153" s="34">
        <f>SUM(D145:D152)</f>
        <v>3567.36</v>
      </c>
      <c r="E153" s="433">
        <f>SUM(E145:E152)</f>
        <v>1747.6899999999996</v>
      </c>
      <c r="F153" s="433">
        <f>SUM(F145:F152)</f>
        <v>1571.56</v>
      </c>
      <c r="G153" s="433">
        <f>SUM(G145:G152)</f>
        <v>248.11</v>
      </c>
      <c r="H153" s="433"/>
      <c r="I153" s="1"/>
      <c r="J153" s="1"/>
    </row>
    <row r="154" spans="1:21" x14ac:dyDescent="0.25">
      <c r="A154" s="26"/>
      <c r="B154" s="70">
        <v>3567.36</v>
      </c>
      <c r="C154" s="42" t="s">
        <v>572</v>
      </c>
      <c r="D154" s="71">
        <f>D153-E139</f>
        <v>0</v>
      </c>
      <c r="E154" s="4"/>
      <c r="F154" s="4"/>
      <c r="G154" s="4"/>
      <c r="H154" s="4"/>
      <c r="I154" s="4"/>
      <c r="J154" s="430"/>
      <c r="K154" s="430"/>
      <c r="L154" s="4"/>
    </row>
    <row r="155" spans="1:21" x14ac:dyDescent="0.25">
      <c r="A155" s="3"/>
      <c r="G155" s="432">
        <f>SUM(E153:G153)</f>
        <v>3567.3599999999997</v>
      </c>
      <c r="H155" s="432"/>
      <c r="I155" s="1"/>
      <c r="J155" s="431"/>
      <c r="K155" s="431"/>
    </row>
    <row r="156" spans="1:21" x14ac:dyDescent="0.25">
      <c r="A156" s="3"/>
      <c r="C156" s="56" t="s">
        <v>3</v>
      </c>
      <c r="D156" s="33">
        <f>D145+D146</f>
        <v>612.82000000000005</v>
      </c>
      <c r="I156" s="1"/>
      <c r="J156" s="431"/>
      <c r="K156" s="840"/>
    </row>
    <row r="157" spans="1:21" x14ac:dyDescent="0.25">
      <c r="A157" s="3"/>
      <c r="C157" s="56" t="s">
        <v>2</v>
      </c>
      <c r="D157" s="33">
        <f>D147+D148</f>
        <v>1868.9299999999998</v>
      </c>
      <c r="I157" s="1"/>
      <c r="J157" s="1"/>
      <c r="K157" s="840"/>
    </row>
    <row r="158" spans="1:21" x14ac:dyDescent="0.25">
      <c r="A158" s="3"/>
      <c r="B158" s="4"/>
      <c r="C158" s="56" t="s">
        <v>1</v>
      </c>
      <c r="D158" s="1">
        <f>D149+D150</f>
        <v>899.21</v>
      </c>
      <c r="I158" s="1"/>
      <c r="J158" s="1"/>
      <c r="K158" s="840"/>
    </row>
    <row r="159" spans="1:21" ht="16.5" thickBot="1" x14ac:dyDescent="0.3">
      <c r="A159" s="3"/>
      <c r="C159" s="56" t="s">
        <v>104</v>
      </c>
      <c r="D159" s="434">
        <f>D151+D152</f>
        <v>186.4</v>
      </c>
      <c r="I159" s="1"/>
      <c r="J159" s="1"/>
      <c r="K159" s="840"/>
    </row>
    <row r="160" spans="1:21" ht="16.5" thickTop="1" x14ac:dyDescent="0.25">
      <c r="A160" s="3"/>
      <c r="D160" s="33">
        <f>SUM(D156:D159)</f>
        <v>3567.36</v>
      </c>
      <c r="I160" s="1"/>
      <c r="J160" s="1"/>
      <c r="K160" s="840"/>
    </row>
    <row r="161" spans="1:10" x14ac:dyDescent="0.25">
      <c r="A161" s="3"/>
      <c r="I161" s="1"/>
      <c r="J161" s="1"/>
    </row>
    <row r="162" spans="1:10" x14ac:dyDescent="0.25">
      <c r="A162" s="3"/>
      <c r="I162" s="1"/>
      <c r="J162" s="1"/>
    </row>
  </sheetData>
  <autoFilter ref="A1:IF128" xr:uid="{00000000-0009-0000-0000-000009000000}"/>
  <phoneticPr fontId="0" type="noConversion"/>
  <printOptions gridLines="1"/>
  <pageMargins left="0" right="0" top="0.59055118110236227" bottom="0" header="0.19685039370078741" footer="0"/>
  <pageSetup paperSize="9" scale="90" fitToHeight="4" orientation="landscape" r:id="rId1"/>
  <headerFooter alignWithMargins="0">
    <oddHeader>&amp;L&amp;Z&amp;F&amp;RList: 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70"/>
  <sheetViews>
    <sheetView workbookViewId="0">
      <selection activeCell="A11" sqref="A11"/>
    </sheetView>
  </sheetViews>
  <sheetFormatPr defaultColWidth="9.140625" defaultRowHeight="18.75" x14ac:dyDescent="0.3"/>
  <cols>
    <col min="1" max="1" width="9.140625" style="9"/>
    <col min="2" max="2" width="18.140625" style="9" customWidth="1"/>
    <col min="3" max="3" width="17" style="9" customWidth="1"/>
    <col min="4" max="4" width="20.85546875" style="9" customWidth="1"/>
    <col min="5" max="5" width="23.28515625" style="9" customWidth="1"/>
    <col min="6" max="8" width="9.140625" style="9"/>
    <col min="9" max="9" width="15.7109375" style="9" customWidth="1"/>
    <col min="10" max="16384" width="9.140625" style="9"/>
  </cols>
  <sheetData>
    <row r="1" spans="1:15" s="1" customFormat="1" x14ac:dyDescent="0.3">
      <c r="A1" s="88" t="s">
        <v>236</v>
      </c>
      <c r="B1" s="952"/>
      <c r="C1" s="72"/>
      <c r="D1" s="72"/>
      <c r="E1" s="952"/>
      <c r="F1" s="27"/>
    </row>
    <row r="2" spans="1:15" s="1" customFormat="1" x14ac:dyDescent="0.3">
      <c r="A2" s="8"/>
      <c r="B2" s="33"/>
      <c r="C2" s="239"/>
      <c r="D2" s="239"/>
      <c r="E2" s="33"/>
    </row>
    <row r="3" spans="1:15" s="1" customFormat="1" ht="31.5" x14ac:dyDescent="0.25">
      <c r="B3" s="240"/>
      <c r="C3" s="241" t="s">
        <v>120</v>
      </c>
      <c r="D3" s="16"/>
      <c r="E3" s="27"/>
    </row>
    <row r="4" spans="1:15" s="1" customFormat="1" ht="15.75" x14ac:dyDescent="0.25">
      <c r="B4" s="242" t="s">
        <v>105</v>
      </c>
      <c r="C4" s="252">
        <v>3567.36</v>
      </c>
      <c r="D4" s="497" t="s">
        <v>332</v>
      </c>
      <c r="G4" s="42"/>
      <c r="H4" s="42"/>
    </row>
    <row r="5" spans="1:15" s="1" customFormat="1" ht="15.75" x14ac:dyDescent="0.25">
      <c r="B5" s="242" t="s">
        <v>9</v>
      </c>
      <c r="C5" s="243">
        <f>$C$4*E18</f>
        <v>186.4</v>
      </c>
      <c r="D5" s="384">
        <v>22297</v>
      </c>
      <c r="G5" s="42"/>
      <c r="H5" s="42"/>
      <c r="O5" s="42"/>
    </row>
    <row r="6" spans="1:15" s="1" customFormat="1" ht="15.75" x14ac:dyDescent="0.25">
      <c r="B6" s="242" t="s">
        <v>3</v>
      </c>
      <c r="C6" s="243">
        <f>$C$4*E19</f>
        <v>612.82000000000005</v>
      </c>
      <c r="D6" s="384">
        <v>73303</v>
      </c>
      <c r="O6" s="42"/>
    </row>
    <row r="7" spans="1:15" s="1" customFormat="1" ht="15.75" x14ac:dyDescent="0.25">
      <c r="B7" s="242" t="s">
        <v>2</v>
      </c>
      <c r="C7" s="243">
        <f>$C$4*E20</f>
        <v>1868.9299999999998</v>
      </c>
      <c r="D7" s="384">
        <v>223555</v>
      </c>
      <c r="O7" s="42"/>
    </row>
    <row r="8" spans="1:15" s="1" customFormat="1" ht="15.75" x14ac:dyDescent="0.25">
      <c r="B8" s="242" t="s">
        <v>1</v>
      </c>
      <c r="C8" s="243">
        <f>$C$4*E21</f>
        <v>899.21</v>
      </c>
      <c r="D8" s="384">
        <v>107561</v>
      </c>
      <c r="O8" s="42"/>
    </row>
    <row r="9" spans="1:15" s="1" customFormat="1" ht="15.75" x14ac:dyDescent="0.25">
      <c r="B9" s="244" t="s">
        <v>7</v>
      </c>
      <c r="C9" s="245">
        <f>C5+C6+C7+C8</f>
        <v>3567.3599999999997</v>
      </c>
      <c r="D9" s="245">
        <f>SUM(D5:D8)</f>
        <v>426716</v>
      </c>
    </row>
    <row r="10" spans="1:15" s="1" customFormat="1" ht="15.75" x14ac:dyDescent="0.25">
      <c r="B10" s="27"/>
      <c r="C10" s="252">
        <f>D22</f>
        <v>3567.3599999999997</v>
      </c>
      <c r="D10" s="1" t="s">
        <v>152</v>
      </c>
    </row>
    <row r="11" spans="1:15" s="1" customFormat="1" ht="15.75" x14ac:dyDescent="0.25">
      <c r="I11" s="246"/>
    </row>
    <row r="12" spans="1:15" s="1" customFormat="1" ht="15.75" x14ac:dyDescent="0.25">
      <c r="B12" s="2" t="s">
        <v>573</v>
      </c>
    </row>
    <row r="13" spans="1:15" s="1" customFormat="1" ht="15.75" x14ac:dyDescent="0.25"/>
    <row r="14" spans="1:15" s="1" customFormat="1" ht="15.75" x14ac:dyDescent="0.25">
      <c r="A14" s="1" t="s">
        <v>314</v>
      </c>
    </row>
    <row r="15" spans="1:15" s="1" customFormat="1" ht="16.5" thickBot="1" x14ac:dyDescent="0.3"/>
    <row r="16" spans="1:15" s="1" customFormat="1" ht="34.5" customHeight="1" thickBot="1" x14ac:dyDescent="0.3">
      <c r="B16" s="451">
        <v>2021</v>
      </c>
      <c r="C16" s="435" t="s">
        <v>120</v>
      </c>
      <c r="D16" s="436" t="s">
        <v>315</v>
      </c>
      <c r="E16" s="437" t="s">
        <v>316</v>
      </c>
    </row>
    <row r="17" spans="2:5" s="1" customFormat="1" ht="16.5" thickBot="1" x14ac:dyDescent="0.3">
      <c r="B17" s="440" t="s">
        <v>119</v>
      </c>
      <c r="C17" s="449">
        <f>'0_PRIDEL'!N26</f>
        <v>426715.94882107503</v>
      </c>
      <c r="D17" s="449">
        <f>'0_PRIDEL'!N25</f>
        <v>3567.36</v>
      </c>
      <c r="E17" s="450">
        <v>1</v>
      </c>
    </row>
    <row r="18" spans="2:5" s="1" customFormat="1" ht="16.5" thickTop="1" x14ac:dyDescent="0.25">
      <c r="B18" s="441" t="s">
        <v>9</v>
      </c>
      <c r="C18" s="452">
        <f>E18*$C$17</f>
        <v>22296.559040928973</v>
      </c>
      <c r="D18" s="442">
        <f>'7_Plochy pracovišť'!D159</f>
        <v>186.4</v>
      </c>
      <c r="E18" s="443">
        <f>D18/$D$17</f>
        <v>5.2251524937208464E-2</v>
      </c>
    </row>
    <row r="19" spans="2:5" s="1" customFormat="1" ht="15.75" x14ac:dyDescent="0.25">
      <c r="B19" s="444" t="s">
        <v>3</v>
      </c>
      <c r="C19" s="453">
        <f>E19*$C$17</f>
        <v>73303.526349045569</v>
      </c>
      <c r="D19" s="438">
        <f>'7_Plochy pracovišť'!D156</f>
        <v>612.82000000000005</v>
      </c>
      <c r="E19" s="445">
        <f>D19/$D$17</f>
        <v>0.17178529781126661</v>
      </c>
    </row>
    <row r="20" spans="2:5" s="1" customFormat="1" ht="15.75" x14ac:dyDescent="0.25">
      <c r="B20" s="444" t="s">
        <v>2</v>
      </c>
      <c r="C20" s="453">
        <f>E20*$C$17</f>
        <v>223555.30090323705</v>
      </c>
      <c r="D20" s="438">
        <f>'7_Plochy pracovišť'!D157</f>
        <v>1868.9299999999998</v>
      </c>
      <c r="E20" s="445">
        <f>D20/$D$17</f>
        <v>0.52389722371725866</v>
      </c>
    </row>
    <row r="21" spans="2:5" s="1" customFormat="1" ht="16.5" thickBot="1" x14ac:dyDescent="0.3">
      <c r="B21" s="446" t="s">
        <v>1</v>
      </c>
      <c r="C21" s="454">
        <f>E21*$C$17</f>
        <v>107560.56252786344</v>
      </c>
      <c r="D21" s="447">
        <f>'7_Plochy pracovišť'!D158</f>
        <v>899.21</v>
      </c>
      <c r="E21" s="448">
        <f>D21/$D$17</f>
        <v>0.25206595353426625</v>
      </c>
    </row>
    <row r="22" spans="2:5" s="1" customFormat="1" ht="16.5" thickTop="1" x14ac:dyDescent="0.25">
      <c r="B22" s="44" t="s">
        <v>7</v>
      </c>
      <c r="C22" s="433">
        <f>SUM(C18:C21)</f>
        <v>426715.94882107503</v>
      </c>
      <c r="D22" s="433">
        <f>SUM(D18:D21)</f>
        <v>3567.3599999999997</v>
      </c>
      <c r="E22" s="439">
        <f>SUM(E18:E21)</f>
        <v>1</v>
      </c>
    </row>
    <row r="23" spans="2:5" s="1" customFormat="1" ht="15.75" x14ac:dyDescent="0.25"/>
    <row r="24" spans="2:5" s="1" customFormat="1" ht="15.75" x14ac:dyDescent="0.25">
      <c r="C24" s="1" t="s">
        <v>574</v>
      </c>
      <c r="D24" s="253">
        <f>D17-D22</f>
        <v>0</v>
      </c>
    </row>
    <row r="25" spans="2:5" s="1" customFormat="1" ht="15.75" x14ac:dyDescent="0.25"/>
    <row r="26" spans="2:5" s="1" customFormat="1" ht="15.75" x14ac:dyDescent="0.25"/>
    <row r="27" spans="2:5" s="1" customFormat="1" ht="15.75" x14ac:dyDescent="0.25"/>
    <row r="28" spans="2:5" s="1" customFormat="1" ht="15.75" x14ac:dyDescent="0.25"/>
    <row r="29" spans="2:5" s="1" customFormat="1" ht="15.75" x14ac:dyDescent="0.25"/>
    <row r="30" spans="2:5" s="1" customFormat="1" ht="15.75" x14ac:dyDescent="0.25"/>
    <row r="31" spans="2:5" s="1" customFormat="1" ht="15.75" x14ac:dyDescent="0.25"/>
    <row r="32" spans="2:5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  <row r="40" s="1" customFormat="1" ht="15.75" x14ac:dyDescent="0.25"/>
    <row r="41" s="1" customFormat="1" ht="15.75" x14ac:dyDescent="0.25"/>
    <row r="42" s="1" customFormat="1" ht="15.75" x14ac:dyDescent="0.25"/>
    <row r="43" s="1" customFormat="1" ht="15.75" x14ac:dyDescent="0.25"/>
    <row r="44" s="1" customFormat="1" ht="15.75" x14ac:dyDescent="0.25"/>
    <row r="45" s="1" customFormat="1" ht="15.75" x14ac:dyDescent="0.25"/>
    <row r="46" s="1" customFormat="1" ht="15.75" x14ac:dyDescent="0.25"/>
    <row r="47" s="1" customFormat="1" ht="15.75" x14ac:dyDescent="0.25"/>
    <row r="48" s="1" customFormat="1" ht="15.75" x14ac:dyDescent="0.25"/>
    <row r="49" s="1" customFormat="1" ht="15.75" x14ac:dyDescent="0.25"/>
    <row r="50" s="1" customFormat="1" ht="15.75" x14ac:dyDescent="0.25"/>
    <row r="51" s="1" customFormat="1" ht="15.75" x14ac:dyDescent="0.25"/>
    <row r="52" s="1" customFormat="1" ht="15.75" x14ac:dyDescent="0.25"/>
    <row r="53" s="1" customFormat="1" ht="15.75" x14ac:dyDescent="0.25"/>
    <row r="54" s="1" customFormat="1" ht="15.75" x14ac:dyDescent="0.25"/>
    <row r="55" s="1" customFormat="1" ht="15.75" x14ac:dyDescent="0.25"/>
    <row r="56" s="1" customFormat="1" ht="15.75" x14ac:dyDescent="0.25"/>
    <row r="57" s="1" customFormat="1" ht="15.75" x14ac:dyDescent="0.25"/>
    <row r="58" s="1" customFormat="1" ht="15.75" x14ac:dyDescent="0.25"/>
    <row r="59" s="1" customFormat="1" ht="15.75" x14ac:dyDescent="0.25"/>
    <row r="60" s="1" customFormat="1" ht="15.75" x14ac:dyDescent="0.25"/>
    <row r="61" s="1" customFormat="1" ht="15.75" x14ac:dyDescent="0.25"/>
    <row r="62" s="1" customFormat="1" ht="15.75" x14ac:dyDescent="0.25"/>
    <row r="63" s="1" customFormat="1" ht="15.75" x14ac:dyDescent="0.25"/>
    <row r="64" s="1" customFormat="1" ht="15.75" x14ac:dyDescent="0.25"/>
    <row r="65" s="1" customFormat="1" ht="15.75" x14ac:dyDescent="0.25"/>
    <row r="66" s="1" customFormat="1" ht="15.75" x14ac:dyDescent="0.25"/>
    <row r="67" s="1" customFormat="1" ht="15.75" x14ac:dyDescent="0.25"/>
    <row r="68" s="1" customFormat="1" ht="15.75" x14ac:dyDescent="0.25"/>
    <row r="69" s="1" customFormat="1" ht="15.75" x14ac:dyDescent="0.25"/>
    <row r="70" s="1" customFormat="1" ht="15.75" x14ac:dyDescent="0.25"/>
    <row r="71" s="1" customFormat="1" ht="15.75" x14ac:dyDescent="0.25"/>
    <row r="72" s="1" customFormat="1" ht="15.75" x14ac:dyDescent="0.25"/>
    <row r="73" s="1" customFormat="1" ht="15.75" x14ac:dyDescent="0.25"/>
    <row r="74" s="1" customFormat="1" ht="15.75" x14ac:dyDescent="0.25"/>
    <row r="75" s="1" customFormat="1" ht="15.75" x14ac:dyDescent="0.25"/>
    <row r="76" s="1" customFormat="1" ht="15.75" x14ac:dyDescent="0.25"/>
    <row r="77" s="1" customFormat="1" ht="15.75" x14ac:dyDescent="0.25"/>
    <row r="78" s="1" customFormat="1" ht="15.75" x14ac:dyDescent="0.25"/>
    <row r="79" s="1" customFormat="1" ht="15.75" x14ac:dyDescent="0.25"/>
    <row r="80" s="1" customFormat="1" ht="15.75" x14ac:dyDescent="0.25"/>
    <row r="81" s="1" customFormat="1" ht="15.75" x14ac:dyDescent="0.25"/>
    <row r="82" s="1" customFormat="1" ht="15.75" x14ac:dyDescent="0.25"/>
    <row r="83" s="1" customFormat="1" ht="15.75" x14ac:dyDescent="0.25"/>
    <row r="84" s="1" customFormat="1" ht="15.75" x14ac:dyDescent="0.25"/>
    <row r="85" s="1" customFormat="1" ht="15.75" x14ac:dyDescent="0.25"/>
    <row r="86" s="1" customFormat="1" ht="15.75" x14ac:dyDescent="0.25"/>
    <row r="87" s="1" customFormat="1" ht="15.75" x14ac:dyDescent="0.25"/>
    <row r="88" s="1" customFormat="1" ht="15.75" x14ac:dyDescent="0.25"/>
    <row r="89" s="1" customFormat="1" ht="15.75" x14ac:dyDescent="0.25"/>
    <row r="90" s="1" customFormat="1" ht="15.75" x14ac:dyDescent="0.25"/>
    <row r="91" s="1" customFormat="1" ht="15.75" x14ac:dyDescent="0.25"/>
    <row r="92" s="1" customFormat="1" ht="15.75" x14ac:dyDescent="0.25"/>
    <row r="93" s="1" customFormat="1" ht="15.75" x14ac:dyDescent="0.25"/>
    <row r="94" s="1" customFormat="1" ht="15.75" x14ac:dyDescent="0.25"/>
    <row r="95" s="1" customFormat="1" ht="15.75" x14ac:dyDescent="0.25"/>
    <row r="96" s="1" customFormat="1" ht="15.75" x14ac:dyDescent="0.25"/>
    <row r="97" s="1" customFormat="1" ht="15.75" x14ac:dyDescent="0.25"/>
    <row r="98" s="1" customFormat="1" ht="15.75" x14ac:dyDescent="0.25"/>
    <row r="99" s="1" customFormat="1" ht="15.75" x14ac:dyDescent="0.25"/>
    <row r="100" s="1" customFormat="1" ht="15.75" x14ac:dyDescent="0.25"/>
    <row r="101" s="1" customFormat="1" ht="15.75" x14ac:dyDescent="0.25"/>
    <row r="102" s="1" customFormat="1" ht="15.75" x14ac:dyDescent="0.25"/>
    <row r="103" s="1" customFormat="1" ht="15.75" x14ac:dyDescent="0.25"/>
    <row r="104" s="1" customFormat="1" ht="15.75" x14ac:dyDescent="0.25"/>
    <row r="105" s="1" customFormat="1" ht="15.75" x14ac:dyDescent="0.25"/>
    <row r="106" s="1" customFormat="1" ht="15.75" x14ac:dyDescent="0.25"/>
    <row r="107" s="1" customFormat="1" ht="15.75" x14ac:dyDescent="0.25"/>
    <row r="108" s="1" customFormat="1" ht="15.75" x14ac:dyDescent="0.25"/>
    <row r="109" s="1" customFormat="1" ht="15.75" x14ac:dyDescent="0.25"/>
    <row r="110" s="1" customFormat="1" ht="15.75" x14ac:dyDescent="0.25"/>
    <row r="111" s="1" customFormat="1" ht="15.75" x14ac:dyDescent="0.25"/>
    <row r="112" s="1" customFormat="1" ht="15.75" x14ac:dyDescent="0.25"/>
    <row r="113" s="1" customFormat="1" ht="15.75" x14ac:dyDescent="0.25"/>
    <row r="114" s="1" customFormat="1" ht="15.75" x14ac:dyDescent="0.25"/>
    <row r="115" s="1" customFormat="1" ht="15.75" x14ac:dyDescent="0.25"/>
    <row r="116" s="1" customFormat="1" ht="15.75" x14ac:dyDescent="0.25"/>
    <row r="117" s="1" customFormat="1" ht="15.75" x14ac:dyDescent="0.25"/>
    <row r="118" s="1" customFormat="1" ht="15.75" x14ac:dyDescent="0.25"/>
    <row r="119" s="1" customFormat="1" ht="15.75" x14ac:dyDescent="0.25"/>
    <row r="120" s="1" customFormat="1" ht="15.75" x14ac:dyDescent="0.25"/>
    <row r="121" s="1" customFormat="1" ht="15.75" x14ac:dyDescent="0.25"/>
    <row r="122" s="1" customFormat="1" ht="15.75" x14ac:dyDescent="0.25"/>
    <row r="123" s="1" customFormat="1" ht="15.75" x14ac:dyDescent="0.25"/>
    <row r="124" s="1" customFormat="1" ht="15.75" x14ac:dyDescent="0.25"/>
    <row r="125" s="1" customFormat="1" ht="15.75" x14ac:dyDescent="0.25"/>
    <row r="126" s="1" customFormat="1" ht="15.75" x14ac:dyDescent="0.25"/>
    <row r="127" s="1" customFormat="1" ht="15.75" x14ac:dyDescent="0.25"/>
    <row r="128" s="1" customFormat="1" ht="15.75" x14ac:dyDescent="0.25"/>
    <row r="129" s="1" customFormat="1" ht="15.75" x14ac:dyDescent="0.25"/>
    <row r="130" s="1" customFormat="1" ht="15.75" x14ac:dyDescent="0.25"/>
    <row r="131" s="1" customFormat="1" ht="15.75" x14ac:dyDescent="0.25"/>
    <row r="132" s="1" customFormat="1" ht="15.75" x14ac:dyDescent="0.25"/>
    <row r="133" s="1" customFormat="1" ht="15.75" x14ac:dyDescent="0.25"/>
    <row r="134" s="1" customFormat="1" ht="15.75" x14ac:dyDescent="0.25"/>
    <row r="135" s="1" customFormat="1" ht="15.75" x14ac:dyDescent="0.25"/>
    <row r="136" s="1" customFormat="1" ht="15.75" x14ac:dyDescent="0.25"/>
    <row r="137" s="1" customFormat="1" ht="15.75" x14ac:dyDescent="0.25"/>
    <row r="138" s="1" customFormat="1" ht="15.75" x14ac:dyDescent="0.25"/>
    <row r="139" s="1" customFormat="1" ht="15.75" x14ac:dyDescent="0.25"/>
    <row r="140" s="1" customFormat="1" ht="15.75" x14ac:dyDescent="0.25"/>
    <row r="141" s="1" customFormat="1" ht="15.75" x14ac:dyDescent="0.25"/>
    <row r="142" s="1" customFormat="1" ht="15.75" x14ac:dyDescent="0.25"/>
    <row r="143" s="1" customFormat="1" ht="15.75" x14ac:dyDescent="0.25"/>
    <row r="144" s="1" customFormat="1" ht="15.75" x14ac:dyDescent="0.25"/>
    <row r="145" s="1" customFormat="1" ht="15.75" x14ac:dyDescent="0.25"/>
    <row r="146" s="1" customFormat="1" ht="15.75" x14ac:dyDescent="0.25"/>
    <row r="147" s="1" customFormat="1" ht="15.75" x14ac:dyDescent="0.25"/>
    <row r="148" s="1" customFormat="1" ht="15.75" x14ac:dyDescent="0.25"/>
    <row r="149" s="1" customFormat="1" ht="15.75" x14ac:dyDescent="0.25"/>
    <row r="150" s="1" customFormat="1" ht="15.75" x14ac:dyDescent="0.25"/>
    <row r="151" s="1" customFormat="1" ht="15.75" x14ac:dyDescent="0.25"/>
    <row r="152" s="1" customFormat="1" ht="15.75" x14ac:dyDescent="0.25"/>
    <row r="153" s="1" customFormat="1" ht="15.75" x14ac:dyDescent="0.25"/>
    <row r="154" s="1" customFormat="1" ht="15.75" x14ac:dyDescent="0.25"/>
    <row r="155" s="1" customFormat="1" ht="15.75" x14ac:dyDescent="0.25"/>
    <row r="156" s="1" customFormat="1" ht="15.75" x14ac:dyDescent="0.25"/>
    <row r="157" s="1" customFormat="1" ht="15.75" x14ac:dyDescent="0.25"/>
    <row r="158" s="1" customFormat="1" ht="15.75" x14ac:dyDescent="0.25"/>
    <row r="159" s="1" customFormat="1" ht="15.75" x14ac:dyDescent="0.25"/>
    <row r="160" s="1" customFormat="1" ht="15.75" x14ac:dyDescent="0.25"/>
    <row r="161" s="1" customFormat="1" ht="15.75" x14ac:dyDescent="0.25"/>
    <row r="162" s="1" customFormat="1" ht="15.75" x14ac:dyDescent="0.25"/>
    <row r="163" s="1" customFormat="1" ht="15.75" x14ac:dyDescent="0.25"/>
    <row r="164" s="1" customFormat="1" ht="15.75" x14ac:dyDescent="0.25"/>
    <row r="165" s="1" customFormat="1" ht="15.75" x14ac:dyDescent="0.25"/>
    <row r="166" s="1" customFormat="1" ht="15.75" x14ac:dyDescent="0.25"/>
    <row r="167" s="1" customFormat="1" ht="15.75" x14ac:dyDescent="0.25"/>
    <row r="168" s="1" customFormat="1" ht="15.75" x14ac:dyDescent="0.25"/>
    <row r="169" s="1" customFormat="1" ht="15.75" x14ac:dyDescent="0.25"/>
    <row r="170" s="1" customFormat="1" ht="15.75" x14ac:dyDescent="0.25"/>
  </sheetData>
  <printOptions gridLines="1"/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28"/>
  <sheetViews>
    <sheetView workbookViewId="0">
      <selection activeCell="I19" sqref="I19"/>
    </sheetView>
  </sheetViews>
  <sheetFormatPr defaultColWidth="9.140625" defaultRowHeight="15.75" x14ac:dyDescent="0.25"/>
  <cols>
    <col min="1" max="1" width="46.85546875" style="1" customWidth="1"/>
    <col min="2" max="4" width="23.140625" style="1" customWidth="1"/>
    <col min="5" max="9" width="22.5703125" style="1" customWidth="1"/>
    <col min="10" max="10" width="11" style="1" bestFit="1" customWidth="1"/>
    <col min="11" max="11" width="11.5703125" bestFit="1" customWidth="1"/>
    <col min="12" max="12" width="10.42578125" style="1" customWidth="1"/>
    <col min="13" max="13" width="4.140625" style="1" customWidth="1"/>
    <col min="14" max="14" width="9.7109375" style="1" customWidth="1"/>
    <col min="15" max="25" width="18.28515625" style="1" bestFit="1" customWidth="1"/>
    <col min="26" max="16384" width="9.140625" style="1"/>
  </cols>
  <sheetData>
    <row r="1" spans="1:19" ht="18.75" x14ac:dyDescent="0.3">
      <c r="A1" s="8" t="s">
        <v>575</v>
      </c>
    </row>
    <row r="2" spans="1:19" x14ac:dyDescent="0.25">
      <c r="D2" s="55"/>
      <c r="E2" s="55"/>
      <c r="F2" s="55"/>
      <c r="G2" s="55"/>
      <c r="H2" s="55"/>
      <c r="I2" s="55"/>
      <c r="J2" s="55"/>
      <c r="L2" s="55"/>
      <c r="M2" s="55"/>
      <c r="N2" s="55"/>
      <c r="O2" s="55"/>
      <c r="P2" s="55"/>
      <c r="Q2" s="55"/>
      <c r="R2" s="55"/>
      <c r="S2" s="55"/>
    </row>
    <row r="3" spans="1:19" x14ac:dyDescent="0.25">
      <c r="A3" s="12"/>
      <c r="B3" s="492"/>
      <c r="D3" s="55"/>
      <c r="E3" s="55"/>
      <c r="F3" s="55"/>
      <c r="G3" s="55"/>
      <c r="H3" s="55"/>
      <c r="I3" s="55"/>
      <c r="J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27"/>
      <c r="B4" s="19">
        <v>2021</v>
      </c>
      <c r="C4" s="694"/>
      <c r="D4" s="694"/>
      <c r="E4" s="44"/>
      <c r="F4" s="44"/>
      <c r="G4" s="57"/>
      <c r="H4" s="247"/>
      <c r="I4" s="247"/>
      <c r="J4" s="247"/>
      <c r="L4" s="247"/>
      <c r="M4" s="247"/>
      <c r="N4" s="247"/>
      <c r="O4" s="55"/>
      <c r="P4" s="55"/>
      <c r="Q4" s="55"/>
      <c r="R4" s="55"/>
      <c r="S4" s="55"/>
    </row>
    <row r="5" spans="1:19" ht="18.75" x14ac:dyDescent="0.3">
      <c r="A5" s="15" t="s">
        <v>393</v>
      </c>
      <c r="B5" s="652">
        <v>3800000</v>
      </c>
      <c r="C5" s="656"/>
      <c r="D5" s="656"/>
      <c r="E5" s="634"/>
      <c r="F5" s="634"/>
      <c r="G5" s="634"/>
      <c r="H5" s="634"/>
      <c r="I5" s="634"/>
      <c r="J5" s="634"/>
      <c r="L5" s="634"/>
      <c r="M5" s="634"/>
      <c r="N5" s="634"/>
      <c r="O5" s="55"/>
      <c r="P5" s="55"/>
      <c r="Q5" s="55"/>
      <c r="R5" s="55"/>
      <c r="S5" s="55"/>
    </row>
    <row r="6" spans="1:19" ht="18.75" x14ac:dyDescent="0.3">
      <c r="A6" s="12" t="s">
        <v>173</v>
      </c>
      <c r="B6" s="250">
        <f>C17</f>
        <v>2923797.6</v>
      </c>
      <c r="C6" s="385" t="e">
        <f>#REF!*C12*1.34*0</f>
        <v>#REF!</v>
      </c>
      <c r="D6" s="635"/>
      <c r="E6" s="636"/>
      <c r="F6" s="636"/>
      <c r="G6" s="608"/>
      <c r="H6" s="608"/>
      <c r="I6" s="609"/>
      <c r="J6" s="609"/>
      <c r="L6" s="609"/>
      <c r="M6" s="55"/>
      <c r="N6" s="55"/>
      <c r="O6" s="55"/>
      <c r="P6" s="55"/>
      <c r="Q6" s="55"/>
      <c r="R6" s="55"/>
      <c r="S6" s="55"/>
    </row>
    <row r="7" spans="1:19" ht="18.75" x14ac:dyDescent="0.3">
      <c r="A7" s="12" t="s">
        <v>391</v>
      </c>
      <c r="B7" s="648"/>
      <c r="C7" s="43" t="s">
        <v>392</v>
      </c>
      <c r="D7" s="636"/>
      <c r="E7" s="636"/>
      <c r="F7" s="636"/>
      <c r="G7" s="608"/>
      <c r="H7" s="609"/>
      <c r="I7" s="609"/>
      <c r="J7" s="609"/>
      <c r="L7" s="654"/>
      <c r="M7" s="55"/>
      <c r="N7" s="55"/>
      <c r="O7" s="55"/>
      <c r="P7" s="55"/>
      <c r="Q7" s="55"/>
      <c r="R7" s="55"/>
      <c r="S7" s="55"/>
    </row>
    <row r="8" spans="1:19" ht="18.75" x14ac:dyDescent="0.3">
      <c r="A8" s="12" t="s">
        <v>329</v>
      </c>
      <c r="B8" s="648">
        <f>'6_Garanti'!O46</f>
        <v>385344</v>
      </c>
      <c r="C8" s="43"/>
      <c r="D8" s="636"/>
      <c r="E8" s="636"/>
      <c r="F8" s="636"/>
      <c r="G8" s="608"/>
      <c r="H8" s="609"/>
      <c r="I8" s="609"/>
      <c r="J8" s="609"/>
      <c r="L8" s="654"/>
      <c r="M8" s="55"/>
      <c r="N8" s="55"/>
      <c r="O8" s="55"/>
      <c r="P8" s="55"/>
      <c r="Q8" s="55"/>
      <c r="R8" s="55"/>
      <c r="S8" s="55"/>
    </row>
    <row r="9" spans="1:19" ht="20.25" x14ac:dyDescent="0.3">
      <c r="A9" s="15" t="s">
        <v>354</v>
      </c>
      <c r="B9" s="606">
        <f>B6+B5+B7+B8</f>
        <v>7109141.5999999996</v>
      </c>
      <c r="D9" s="637"/>
      <c r="E9" s="637"/>
      <c r="F9" s="637"/>
      <c r="G9" s="637"/>
      <c r="H9" s="637"/>
      <c r="I9" s="637"/>
      <c r="J9" s="637"/>
      <c r="L9" s="655"/>
      <c r="M9" s="55"/>
      <c r="N9" s="55"/>
      <c r="O9" s="55"/>
      <c r="P9" s="55"/>
      <c r="Q9" s="55"/>
      <c r="R9" s="55"/>
      <c r="S9" s="55"/>
    </row>
    <row r="10" spans="1:19" x14ac:dyDescent="0.25">
      <c r="A10" s="607" t="s">
        <v>396</v>
      </c>
      <c r="B10" s="653">
        <f>B6-C17</f>
        <v>0</v>
      </c>
      <c r="D10" s="637"/>
      <c r="E10" s="637"/>
      <c r="F10" s="637"/>
      <c r="G10" s="637"/>
      <c r="H10" s="637"/>
      <c r="I10" s="637"/>
      <c r="J10" s="637"/>
      <c r="L10" s="655"/>
      <c r="M10" s="55"/>
      <c r="N10" s="55"/>
      <c r="O10" s="55"/>
      <c r="P10" s="55"/>
      <c r="Q10" s="55"/>
      <c r="R10" s="55"/>
      <c r="S10" s="55"/>
    </row>
    <row r="12" spans="1:19" x14ac:dyDescent="0.25">
      <c r="A12" s="15" t="s">
        <v>394</v>
      </c>
      <c r="B12" s="649" t="s">
        <v>390</v>
      </c>
      <c r="C12" s="650">
        <v>12</v>
      </c>
      <c r="G12" s="34"/>
    </row>
    <row r="13" spans="1:19" x14ac:dyDescent="0.25">
      <c r="B13" s="651" t="s">
        <v>398</v>
      </c>
      <c r="C13" s="691"/>
      <c r="F13" s="1" t="s">
        <v>576</v>
      </c>
    </row>
    <row r="14" spans="1:19" x14ac:dyDescent="0.25">
      <c r="B14" s="251" t="s">
        <v>3</v>
      </c>
      <c r="C14" s="263">
        <f>SUMIF($L$16:$L$25,B14,$K$16:$K$25)*$C$12*1.34</f>
        <v>0</v>
      </c>
      <c r="D14" s="627" t="str">
        <f>"mzdové náklady převedené "&amp;B14&amp;" (viz list 10/sl.K)"</f>
        <v>mzdové náklady převedené ITE (viz list 10/sl.K)</v>
      </c>
      <c r="F14" s="2" t="s">
        <v>320</v>
      </c>
    </row>
    <row r="15" spans="1:19" ht="16.5" thickBot="1" x14ac:dyDescent="0.3">
      <c r="B15" s="251" t="s">
        <v>2</v>
      </c>
      <c r="C15" s="263">
        <f>SUMIF($L$16:$L$25,B15,$K$16:$K$25)*$C$12*1.34</f>
        <v>0</v>
      </c>
      <c r="D15" s="627" t="str">
        <f>"mzdové náklady převedené "&amp;B15&amp;" (viz list 10/sl.K)"</f>
        <v>mzdové náklady převedené MTI (viz list 10/sl.K)</v>
      </c>
      <c r="G15" s="461" t="s">
        <v>327</v>
      </c>
      <c r="H15" s="461" t="s">
        <v>328</v>
      </c>
      <c r="I15" s="461" t="s">
        <v>353</v>
      </c>
      <c r="K15" s="461" t="s">
        <v>443</v>
      </c>
    </row>
    <row r="16" spans="1:19" x14ac:dyDescent="0.25">
      <c r="B16" s="251" t="s">
        <v>1</v>
      </c>
      <c r="C16" s="263">
        <f>SUMIF($L$16:$L$25,B16,$K$16:$K$25)*$C$12*1.34</f>
        <v>0</v>
      </c>
      <c r="D16" s="627" t="str">
        <f>"mzdové náklady převedené "&amp;B16&amp;" (viz list 10/sl.K)"</f>
        <v>mzdové náklady převedené NTI (viz list 10/sl.K)</v>
      </c>
      <c r="F16" s="459" t="s">
        <v>321</v>
      </c>
      <c r="G16" s="801">
        <f>(55000*0.65)+700</f>
        <v>36450</v>
      </c>
      <c r="H16" s="638">
        <v>15000</v>
      </c>
      <c r="I16" s="639">
        <v>5000</v>
      </c>
      <c r="J16" s="3" t="s">
        <v>597</v>
      </c>
      <c r="K16" s="458">
        <f>SUM(G16:I16)</f>
        <v>56450</v>
      </c>
      <c r="L16" s="462" t="s">
        <v>9</v>
      </c>
      <c r="N16" s="964">
        <v>58300</v>
      </c>
    </row>
    <row r="17" spans="1:14" x14ac:dyDescent="0.25">
      <c r="B17" s="251" t="s">
        <v>9</v>
      </c>
      <c r="C17" s="263">
        <f>SUMIF($L$16:$L$25,B17,$K$16:$K$25)*$C$12*1.338</f>
        <v>2923797.6</v>
      </c>
      <c r="D17" s="627" t="str">
        <f>"mzdové náklady rozpočtem "&amp;B17&amp;" mimo paušál &gt; viz B6"</f>
        <v>mzdové náklady rozpočtem DFM mimo paušál &gt; viz B6</v>
      </c>
      <c r="F17" s="460" t="s">
        <v>322</v>
      </c>
      <c r="G17" s="640">
        <f>40000*0.5</f>
        <v>20000</v>
      </c>
      <c r="H17" s="463">
        <v>11000</v>
      </c>
      <c r="I17" s="641">
        <v>0</v>
      </c>
      <c r="J17" s="647" t="s">
        <v>598</v>
      </c>
      <c r="K17" s="458">
        <f t="shared" ref="K17:K25" si="0">SUM(G17:I17)</f>
        <v>31000</v>
      </c>
      <c r="L17" s="462" t="s">
        <v>9</v>
      </c>
      <c r="N17" s="964">
        <v>31000</v>
      </c>
    </row>
    <row r="18" spans="1:14" x14ac:dyDescent="0.25">
      <c r="B18" s="251"/>
      <c r="C18" s="263"/>
      <c r="D18" s="627"/>
      <c r="F18" s="460" t="s">
        <v>323</v>
      </c>
      <c r="G18" s="640">
        <v>8700</v>
      </c>
      <c r="H18" s="463">
        <v>11000</v>
      </c>
      <c r="I18" s="641">
        <v>5800</v>
      </c>
      <c r="J18" s="647" t="s">
        <v>598</v>
      </c>
      <c r="K18" s="458">
        <f t="shared" si="0"/>
        <v>25500</v>
      </c>
      <c r="L18" s="462" t="s">
        <v>9</v>
      </c>
      <c r="N18" s="964">
        <v>26000</v>
      </c>
    </row>
    <row r="19" spans="1:14" x14ac:dyDescent="0.25">
      <c r="C19" s="653"/>
      <c r="D19" s="629"/>
      <c r="F19" s="460" t="s">
        <v>324</v>
      </c>
      <c r="G19" s="640">
        <v>13750</v>
      </c>
      <c r="H19" s="463">
        <v>11000</v>
      </c>
      <c r="I19" s="641">
        <v>13750</v>
      </c>
      <c r="J19" s="647" t="s">
        <v>598</v>
      </c>
      <c r="K19" s="458">
        <f t="shared" si="0"/>
        <v>38500</v>
      </c>
      <c r="L19" s="462" t="s">
        <v>9</v>
      </c>
      <c r="N19" s="964">
        <v>30250</v>
      </c>
    </row>
    <row r="20" spans="1:14" x14ac:dyDescent="0.25">
      <c r="F20" s="459" t="s">
        <v>325</v>
      </c>
      <c r="G20" s="642">
        <v>10000</v>
      </c>
      <c r="H20" s="458">
        <v>0</v>
      </c>
      <c r="I20" s="643">
        <v>0</v>
      </c>
      <c r="J20" s="912" t="s">
        <v>356</v>
      </c>
      <c r="K20" s="458">
        <f t="shared" si="0"/>
        <v>10000</v>
      </c>
      <c r="L20" s="462" t="s">
        <v>9</v>
      </c>
      <c r="N20" s="964">
        <v>8000</v>
      </c>
    </row>
    <row r="21" spans="1:14" x14ac:dyDescent="0.25">
      <c r="F21" s="459" t="s">
        <v>326</v>
      </c>
      <c r="G21" s="642">
        <f>29000*0.2</f>
        <v>5800</v>
      </c>
      <c r="H21" s="458">
        <v>0</v>
      </c>
      <c r="I21" s="643">
        <v>3500</v>
      </c>
      <c r="J21" s="913" t="s">
        <v>359</v>
      </c>
      <c r="K21" s="458">
        <f t="shared" si="0"/>
        <v>9300</v>
      </c>
      <c r="L21" s="462" t="s">
        <v>9</v>
      </c>
      <c r="N21" s="964">
        <v>10100</v>
      </c>
    </row>
    <row r="22" spans="1:14" x14ac:dyDescent="0.25">
      <c r="F22" s="459" t="s">
        <v>352</v>
      </c>
      <c r="G22" s="642">
        <f>30000*0.15</f>
        <v>4500</v>
      </c>
      <c r="H22" s="458">
        <v>0</v>
      </c>
      <c r="I22" s="643">
        <v>1000</v>
      </c>
      <c r="J22" s="913" t="s">
        <v>355</v>
      </c>
      <c r="K22" s="458">
        <f t="shared" si="0"/>
        <v>5500</v>
      </c>
      <c r="L22" s="462" t="s">
        <v>9</v>
      </c>
      <c r="N22" s="964">
        <v>5500</v>
      </c>
    </row>
    <row r="23" spans="1:14" x14ac:dyDescent="0.25">
      <c r="A23" s="27"/>
      <c r="F23" s="459" t="s">
        <v>444</v>
      </c>
      <c r="G23" s="642">
        <f>37000*0.05</f>
        <v>1850</v>
      </c>
      <c r="H23" s="458">
        <v>0</v>
      </c>
      <c r="I23" s="643">
        <v>0</v>
      </c>
      <c r="J23" s="913" t="s">
        <v>445</v>
      </c>
      <c r="K23" s="458">
        <f t="shared" si="0"/>
        <v>1850</v>
      </c>
      <c r="L23" s="462" t="s">
        <v>9</v>
      </c>
      <c r="N23" s="964">
        <v>1700</v>
      </c>
    </row>
    <row r="24" spans="1:14" x14ac:dyDescent="0.25">
      <c r="A24" s="27"/>
      <c r="F24" s="459" t="s">
        <v>599</v>
      </c>
      <c r="G24" s="914">
        <v>0</v>
      </c>
      <c r="H24" s="915">
        <v>0</v>
      </c>
      <c r="I24" s="916">
        <v>3000</v>
      </c>
      <c r="J24" s="913" t="s">
        <v>600</v>
      </c>
      <c r="K24" s="458">
        <f t="shared" si="0"/>
        <v>3000</v>
      </c>
      <c r="L24" s="462" t="s">
        <v>9</v>
      </c>
      <c r="N24" s="225"/>
    </row>
    <row r="25" spans="1:14" ht="16.5" thickBot="1" x14ac:dyDescent="0.3">
      <c r="F25" s="459" t="s">
        <v>577</v>
      </c>
      <c r="G25" s="644">
        <v>0</v>
      </c>
      <c r="H25" s="645">
        <v>0</v>
      </c>
      <c r="I25" s="646">
        <v>1000</v>
      </c>
      <c r="J25" s="913" t="s">
        <v>578</v>
      </c>
      <c r="K25" s="458">
        <f t="shared" si="0"/>
        <v>1000</v>
      </c>
      <c r="L25" s="462" t="s">
        <v>9</v>
      </c>
      <c r="N25" s="225"/>
    </row>
    <row r="26" spans="1:14" x14ac:dyDescent="0.25">
      <c r="F26" s="45"/>
      <c r="G26" s="570"/>
      <c r="H26" s="607" t="s">
        <v>395</v>
      </c>
      <c r="I26" s="656">
        <f>SUM(C14:C18)-SUM(G16:I25)*$C$12*1.338</f>
        <v>0</v>
      </c>
    </row>
    <row r="27" spans="1:14" x14ac:dyDescent="0.25">
      <c r="F27" s="581"/>
      <c r="K27" s="371"/>
    </row>
    <row r="28" spans="1:14" x14ac:dyDescent="0.25">
      <c r="G28" s="402"/>
      <c r="J28" s="402"/>
    </row>
  </sheetData>
  <printOptions horizontalCentered="1" gridLines="1"/>
  <pageMargins left="0" right="0" top="0.78740157480314965" bottom="0" header="0.31496062992125984" footer="0"/>
  <pageSetup paperSize="9" scale="99" orientation="landscape" horizontalDpi="4294967295" verticalDpi="4294967295" r:id="rId1"/>
  <headerFooter>
    <oddHeader>&amp;R&amp;Z&amp;F
List: 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A74"/>
  <sheetViews>
    <sheetView zoomScale="85" zoomScaleNormal="85" workbookViewId="0">
      <pane xSplit="1" ySplit="9" topLeftCell="B10" activePane="bottomRight" state="frozen"/>
      <selection pane="topRight" activeCell="B1" sqref="B1"/>
      <selection pane="bottomLeft" activeCell="A4" sqref="A4"/>
      <selection pane="bottomRight" activeCell="H13" sqref="H13"/>
    </sheetView>
  </sheetViews>
  <sheetFormatPr defaultColWidth="9.140625" defaultRowHeight="18.75" x14ac:dyDescent="0.3"/>
  <cols>
    <col min="1" max="1" width="6.28515625" style="9" customWidth="1"/>
    <col min="2" max="2" width="25" style="58" customWidth="1"/>
    <col min="3" max="3" width="14.42578125" style="76" customWidth="1"/>
    <col min="4" max="4" width="14.28515625" style="58" customWidth="1"/>
    <col min="5" max="5" width="11" style="76" customWidth="1"/>
    <col min="6" max="6" width="16.28515625" style="58" customWidth="1"/>
    <col min="7" max="7" width="19" style="58" customWidth="1"/>
    <col min="8" max="8" width="17.42578125" style="77" customWidth="1"/>
    <col min="9" max="9" width="17.28515625" style="11" customWidth="1"/>
    <col min="10" max="10" width="13.42578125" style="8" customWidth="1"/>
    <col min="11" max="13" width="16.28515625" style="8" customWidth="1"/>
    <col min="14" max="14" width="21.42578125" style="9" customWidth="1"/>
    <col min="15" max="15" width="8.140625" style="9" customWidth="1"/>
    <col min="16" max="16" width="13.85546875" style="9" bestFit="1" customWidth="1"/>
    <col min="17" max="17" width="9" style="42" customWidth="1"/>
    <col min="18" max="18" width="16.28515625" style="9" customWidth="1"/>
    <col min="19" max="19" width="13.5703125" style="9" customWidth="1"/>
    <col min="20" max="20" width="14" style="9" customWidth="1"/>
    <col min="21" max="21" width="22.28515625" style="9" customWidth="1"/>
    <col min="22" max="23" width="16" style="9" bestFit="1" customWidth="1"/>
    <col min="24" max="24" width="12.85546875" style="9" bestFit="1" customWidth="1"/>
    <col min="25" max="25" width="11.85546875" style="9" customWidth="1"/>
    <col min="26" max="26" width="18.5703125" style="9" customWidth="1"/>
    <col min="27" max="27" width="10" style="9" bestFit="1" customWidth="1"/>
    <col min="28" max="28" width="12.28515625" style="9" customWidth="1"/>
    <col min="29" max="29" width="17.5703125" style="9" customWidth="1"/>
    <col min="30" max="30" width="9.85546875" style="9" bestFit="1" customWidth="1"/>
    <col min="31" max="32" width="9.140625" style="9"/>
    <col min="33" max="33" width="16.42578125" style="9" customWidth="1"/>
    <col min="34" max="34" width="15" style="9" customWidth="1"/>
    <col min="35" max="35" width="9.140625" style="9"/>
    <col min="36" max="36" width="13.7109375" style="9" customWidth="1"/>
    <col min="37" max="16384" width="9.140625" style="9"/>
  </cols>
  <sheetData>
    <row r="1" spans="1:27" x14ac:dyDescent="0.3">
      <c r="A1" s="8" t="s">
        <v>579</v>
      </c>
      <c r="O1" s="42"/>
      <c r="P1" s="42"/>
    </row>
    <row r="2" spans="1:27" x14ac:dyDescent="0.3">
      <c r="A2" s="8"/>
      <c r="O2" s="42"/>
      <c r="P2" s="42"/>
    </row>
    <row r="3" spans="1:27" x14ac:dyDescent="0.3">
      <c r="A3" s="8"/>
      <c r="B3" s="810" t="s">
        <v>468</v>
      </c>
      <c r="C3" s="9"/>
      <c r="D3" s="212">
        <f>'0_PRIDEL'!B19</f>
        <v>47335436.63467373</v>
      </c>
      <c r="O3" s="42"/>
      <c r="P3" s="42"/>
    </row>
    <row r="4" spans="1:27" x14ac:dyDescent="0.3">
      <c r="A4" s="8"/>
      <c r="B4" s="80" t="s">
        <v>469</v>
      </c>
      <c r="C4" s="80">
        <f>'4_DOC_PROF'!I15</f>
        <v>85000</v>
      </c>
      <c r="D4" s="58">
        <f>D3-C4</f>
        <v>47250436.63467373</v>
      </c>
      <c r="O4" s="42"/>
      <c r="P4" s="42"/>
    </row>
    <row r="5" spans="1:27" x14ac:dyDescent="0.3">
      <c r="A5" s="8"/>
      <c r="B5" s="80" t="s">
        <v>466</v>
      </c>
      <c r="C5" s="80">
        <f>'4a_úvazky-na-FM'!J27</f>
        <v>245515.45713928752</v>
      </c>
      <c r="D5" s="811">
        <f>D4-C5</f>
        <v>47004921.177534439</v>
      </c>
      <c r="O5" s="42"/>
      <c r="P5" s="42"/>
    </row>
    <row r="6" spans="1:27" x14ac:dyDescent="0.3">
      <c r="A6" s="8"/>
      <c r="B6" s="80" t="s">
        <v>329</v>
      </c>
      <c r="C6" s="80">
        <f>'6_Garanti'!O46</f>
        <v>385344</v>
      </c>
      <c r="D6" s="811">
        <f>D5-C6</f>
        <v>46619577.177534439</v>
      </c>
      <c r="E6" s="876" t="s">
        <v>556</v>
      </c>
      <c r="O6" s="42"/>
      <c r="P6" s="42"/>
    </row>
    <row r="7" spans="1:27" ht="20.25" x14ac:dyDescent="0.3">
      <c r="A7" s="264"/>
      <c r="O7" s="42"/>
      <c r="P7" s="42"/>
    </row>
    <row r="8" spans="1:27" x14ac:dyDescent="0.3">
      <c r="B8" s="58" t="s">
        <v>92</v>
      </c>
      <c r="C8" s="58" t="s">
        <v>93</v>
      </c>
      <c r="D8" s="58" t="s">
        <v>94</v>
      </c>
      <c r="E8" s="58" t="s">
        <v>95</v>
      </c>
      <c r="F8" s="58" t="s">
        <v>38</v>
      </c>
      <c r="G8" s="58" t="s">
        <v>39</v>
      </c>
      <c r="H8" s="58" t="s">
        <v>91</v>
      </c>
      <c r="I8" s="58" t="s">
        <v>90</v>
      </c>
      <c r="J8" s="58" t="s">
        <v>40</v>
      </c>
      <c r="K8" s="58" t="s">
        <v>142</v>
      </c>
      <c r="L8" s="58" t="s">
        <v>241</v>
      </c>
      <c r="M8" s="58" t="s">
        <v>267</v>
      </c>
      <c r="N8" s="58" t="s">
        <v>330</v>
      </c>
      <c r="P8" s="77"/>
    </row>
    <row r="9" spans="1:27" s="11" customFormat="1" ht="56.25" x14ac:dyDescent="0.3">
      <c r="A9" s="265"/>
      <c r="B9" s="266" t="s">
        <v>59</v>
      </c>
      <c r="C9" s="38" t="s">
        <v>6</v>
      </c>
      <c r="D9" s="266" t="s">
        <v>0</v>
      </c>
      <c r="E9" s="38" t="s">
        <v>6</v>
      </c>
      <c r="F9" s="138" t="s">
        <v>31</v>
      </c>
      <c r="G9" s="720" t="s">
        <v>145</v>
      </c>
      <c r="H9" s="135" t="s">
        <v>37</v>
      </c>
      <c r="I9" s="722" t="s">
        <v>146</v>
      </c>
      <c r="J9" s="135" t="s">
        <v>244</v>
      </c>
      <c r="K9" s="135" t="s">
        <v>291</v>
      </c>
      <c r="L9" s="135" t="s">
        <v>266</v>
      </c>
      <c r="M9" s="135" t="s">
        <v>329</v>
      </c>
      <c r="N9" s="135" t="s">
        <v>264</v>
      </c>
      <c r="V9" s="9"/>
      <c r="W9" s="9"/>
      <c r="X9" s="9"/>
      <c r="Y9" s="9"/>
      <c r="Z9" s="9"/>
      <c r="AA9" s="9"/>
    </row>
    <row r="10" spans="1:27" x14ac:dyDescent="0.3">
      <c r="A10" s="15" t="s">
        <v>3</v>
      </c>
      <c r="B10" s="267">
        <f>'5_Výuka'!D370</f>
        <v>3664856.0212643384</v>
      </c>
      <c r="C10" s="268">
        <f>B10/$B$14*100</f>
        <v>15.174170990719563</v>
      </c>
      <c r="D10" s="269">
        <f>'5_Výuka'!G370</f>
        <v>1265296.0881439317</v>
      </c>
      <c r="E10" s="270">
        <f>D10/$D$14*100</f>
        <v>11.411391568653366</v>
      </c>
      <c r="F10" s="269">
        <f>'2_Projekty_BP_DP'!J5</f>
        <v>504000</v>
      </c>
      <c r="G10" s="721">
        <f>B10+D10+F10</f>
        <v>5434152.1094082706</v>
      </c>
      <c r="H10" s="269">
        <f>'3_DSP'!L7</f>
        <v>964007.33091686794</v>
      </c>
      <c r="I10" s="723">
        <f>G10+H10</f>
        <v>6398159.4403251382</v>
      </c>
      <c r="J10" s="267">
        <f>'4_DOC_PROF'!K7</f>
        <v>25000</v>
      </c>
      <c r="K10" s="267">
        <f>'9_DFM'!C14</f>
        <v>0</v>
      </c>
      <c r="L10" s="267">
        <f>'4a_úvazky-na-FM'!J24</f>
        <v>49365.91923861867</v>
      </c>
      <c r="M10" s="267">
        <f>'6_Garanti'!O42</f>
        <v>0</v>
      </c>
      <c r="N10" s="271">
        <f>I10+J10+K10+L10+M10</f>
        <v>6472525.3595637567</v>
      </c>
      <c r="O10" s="539"/>
      <c r="P10" s="539">
        <f>N10/SUM($N$10:$N$13)</f>
        <v>0.13673741745571144</v>
      </c>
      <c r="W10" s="78"/>
      <c r="X10" s="78"/>
      <c r="Z10" s="102"/>
    </row>
    <row r="11" spans="1:27" x14ac:dyDescent="0.3">
      <c r="A11" s="15" t="s">
        <v>2</v>
      </c>
      <c r="B11" s="267">
        <f>'5_Výuka'!D371</f>
        <v>12280119.9614347</v>
      </c>
      <c r="C11" s="268">
        <f>B11/$B$14*100</f>
        <v>50.845282597779388</v>
      </c>
      <c r="D11" s="269">
        <f>'5_Výuka'!G371</f>
        <v>5163023.4702665219</v>
      </c>
      <c r="E11" s="270">
        <f>D11/$D$14*100</f>
        <v>46.564028016386935</v>
      </c>
      <c r="F11" s="269">
        <f>'2_Projekty_BP_DP'!J6</f>
        <v>1262000</v>
      </c>
      <c r="G11" s="721">
        <f>B11+D11+F11</f>
        <v>18705143.431701221</v>
      </c>
      <c r="H11" s="269">
        <f>'3_DSP'!L8</f>
        <v>2850108.6305368263</v>
      </c>
      <c r="I11" s="723">
        <f t="shared" ref="I11:I12" si="0">G11+H11</f>
        <v>21555252.062238045</v>
      </c>
      <c r="J11" s="267">
        <f>'4_DOC_PROF'!K8</f>
        <v>0</v>
      </c>
      <c r="K11" s="267">
        <f>'9_DFM'!C15</f>
        <v>0</v>
      </c>
      <c r="L11" s="267">
        <f>'4a_úvazky-na-FM'!J25</f>
        <v>117358.33115291985</v>
      </c>
      <c r="M11" s="267">
        <f>'6_Garanti'!O43</f>
        <v>0</v>
      </c>
      <c r="N11" s="271">
        <f>I11+J11+K11+L11+M11</f>
        <v>21672610.393390965</v>
      </c>
      <c r="O11" s="539"/>
      <c r="P11" s="539">
        <f t="shared" ref="P11:P13" si="1">N11/SUM($N$10:$N$13)</f>
        <v>0.45785170549193888</v>
      </c>
      <c r="W11" s="78"/>
      <c r="X11" s="78"/>
      <c r="Z11" s="102"/>
    </row>
    <row r="12" spans="1:27" x14ac:dyDescent="0.3">
      <c r="A12" s="15" t="s">
        <v>1</v>
      </c>
      <c r="B12" s="267">
        <f>'5_Výuka'!D372</f>
        <v>8206959.721108065</v>
      </c>
      <c r="C12" s="268">
        <f>B12/$B$14*100</f>
        <v>33.980546411501045</v>
      </c>
      <c r="D12" s="269">
        <f>'5_Výuka'!G372</f>
        <v>4659689.1259961799</v>
      </c>
      <c r="E12" s="270">
        <f>D12/$D$14*100</f>
        <v>42.024580414959686</v>
      </c>
      <c r="F12" s="269">
        <f>'2_Projekty_BP_DP'!J7</f>
        <v>628000</v>
      </c>
      <c r="G12" s="721">
        <f>B12+D12+F12</f>
        <v>13494648.847104244</v>
      </c>
      <c r="H12" s="269">
        <f>'3_DSP'!L9</f>
        <v>5071516.8278670004</v>
      </c>
      <c r="I12" s="723">
        <f t="shared" si="0"/>
        <v>18566165.674971245</v>
      </c>
      <c r="J12" s="267">
        <f>'4_DOC_PROF'!K9</f>
        <v>60000.000000000007</v>
      </c>
      <c r="K12" s="267">
        <f>'9_DFM'!C16</f>
        <v>0</v>
      </c>
      <c r="L12" s="267">
        <f>'4a_úvazky-na-FM'!J26</f>
        <v>78791.206747749005</v>
      </c>
      <c r="M12" s="267">
        <f>'6_Garanti'!O44</f>
        <v>0</v>
      </c>
      <c r="N12" s="271">
        <f>I12+J12+K12+L12+M12</f>
        <v>18704956.881718993</v>
      </c>
      <c r="O12" s="539"/>
      <c r="P12" s="539">
        <f t="shared" si="1"/>
        <v>0.39515758618813313</v>
      </c>
      <c r="W12" s="78"/>
      <c r="X12" s="78"/>
    </row>
    <row r="13" spans="1:27" ht="19.5" thickBot="1" x14ac:dyDescent="0.35">
      <c r="A13" s="15" t="s">
        <v>9</v>
      </c>
      <c r="B13" s="724"/>
      <c r="C13" s="725"/>
      <c r="D13" s="726"/>
      <c r="E13" s="727"/>
      <c r="F13" s="726"/>
      <c r="G13" s="728"/>
      <c r="H13" s="269">
        <f>'3_DSP'!L10</f>
        <v>100000</v>
      </c>
      <c r="I13" s="723">
        <f>G13+H13</f>
        <v>100000</v>
      </c>
      <c r="J13" s="724"/>
      <c r="K13" s="724"/>
      <c r="L13" s="729"/>
      <c r="M13" s="267">
        <f>'6_Garanti'!O46</f>
        <v>385344</v>
      </c>
      <c r="N13" s="271">
        <f>I13+J13+K13+L13+M13</f>
        <v>485344</v>
      </c>
      <c r="O13" s="539"/>
      <c r="P13" s="539">
        <f t="shared" si="1"/>
        <v>1.0253290864216521E-2</v>
      </c>
      <c r="W13" s="78"/>
      <c r="X13" s="78"/>
    </row>
    <row r="14" spans="1:27" ht="19.5" thickBot="1" x14ac:dyDescent="0.35">
      <c r="A14" s="60"/>
      <c r="B14" s="272">
        <f t="shared" ref="B14:K14" si="2">SUM(B10:B13)</f>
        <v>24151935.703807104</v>
      </c>
      <c r="C14" s="273">
        <f t="shared" si="2"/>
        <v>100</v>
      </c>
      <c r="D14" s="274">
        <f t="shared" si="2"/>
        <v>11088008.684406634</v>
      </c>
      <c r="E14" s="273">
        <f t="shared" si="2"/>
        <v>99.999999999999986</v>
      </c>
      <c r="F14" s="275">
        <f t="shared" si="2"/>
        <v>2394000</v>
      </c>
      <c r="G14" s="276">
        <f t="shared" si="2"/>
        <v>37633944.388213739</v>
      </c>
      <c r="H14" s="232">
        <f t="shared" si="2"/>
        <v>8985632.7893206943</v>
      </c>
      <c r="I14" s="277">
        <f t="shared" si="2"/>
        <v>46619577.177534431</v>
      </c>
      <c r="J14" s="278">
        <f t="shared" si="2"/>
        <v>85000</v>
      </c>
      <c r="K14" s="278">
        <f t="shared" si="2"/>
        <v>0</v>
      </c>
      <c r="L14" s="278">
        <f>SUM(L10:L13)</f>
        <v>245515.45713928752</v>
      </c>
      <c r="M14" s="278">
        <f>SUM(M10:M13)</f>
        <v>385344</v>
      </c>
      <c r="N14" s="279">
        <f>SUM(N10:N13)</f>
        <v>47335436.634673715</v>
      </c>
      <c r="W14" s="79"/>
      <c r="X14" s="79"/>
    </row>
    <row r="15" spans="1:27" x14ac:dyDescent="0.3">
      <c r="C15" s="81"/>
      <c r="D15" s="79"/>
      <c r="E15" s="79"/>
      <c r="F15" s="79"/>
      <c r="G15" s="79"/>
      <c r="H15" s="42"/>
      <c r="I15" s="118"/>
      <c r="J15" s="119"/>
      <c r="K15" s="119"/>
      <c r="L15" s="119"/>
      <c r="M15" s="692" t="s">
        <v>351</v>
      </c>
      <c r="N15" s="693">
        <f>N14-'0_PRIDEL'!B19</f>
        <v>0</v>
      </c>
      <c r="O15" s="84"/>
      <c r="P15" s="84"/>
      <c r="R15" s="85"/>
    </row>
    <row r="16" spans="1:27" x14ac:dyDescent="0.3">
      <c r="B16" s="80"/>
      <c r="I16" s="87"/>
      <c r="N16" s="8"/>
      <c r="O16" s="2"/>
    </row>
    <row r="17" spans="2:15" x14ac:dyDescent="0.3">
      <c r="B17" s="80"/>
      <c r="I17" s="87"/>
      <c r="N17" s="8"/>
    </row>
    <row r="18" spans="2:15" x14ac:dyDescent="0.3">
      <c r="B18" s="80"/>
      <c r="I18" s="87"/>
      <c r="N18" s="8"/>
      <c r="O18" s="2"/>
    </row>
    <row r="19" spans="2:15" x14ac:dyDescent="0.3">
      <c r="B19" s="80"/>
      <c r="I19" s="87"/>
      <c r="N19" s="8"/>
      <c r="O19" s="2"/>
    </row>
    <row r="20" spans="2:15" x14ac:dyDescent="0.3">
      <c r="B20" s="82"/>
      <c r="I20" s="87"/>
      <c r="N20" s="8"/>
      <c r="O20" s="2"/>
    </row>
    <row r="21" spans="2:15" s="83" customFormat="1" x14ac:dyDescent="0.3">
      <c r="B21" s="82"/>
      <c r="I21" s="86"/>
      <c r="J21" s="88"/>
      <c r="K21" s="88"/>
      <c r="L21" s="88"/>
      <c r="M21" s="88"/>
      <c r="N21" s="88"/>
      <c r="O21" s="19"/>
    </row>
    <row r="22" spans="2:15" s="83" customFormat="1" x14ac:dyDescent="0.3">
      <c r="B22" s="82"/>
      <c r="I22" s="86"/>
      <c r="J22" s="88"/>
      <c r="K22" s="88"/>
      <c r="L22" s="88"/>
      <c r="M22" s="88"/>
      <c r="N22" s="88"/>
      <c r="O22" s="19"/>
    </row>
    <row r="23" spans="2:15" s="83" customFormat="1" x14ac:dyDescent="0.3">
      <c r="B23" s="82"/>
      <c r="I23" s="86"/>
      <c r="J23" s="88"/>
      <c r="K23" s="88"/>
      <c r="L23" s="88"/>
      <c r="M23" s="88"/>
      <c r="N23" s="88"/>
      <c r="O23" s="19"/>
    </row>
    <row r="24" spans="2:15" s="83" customFormat="1" x14ac:dyDescent="0.3">
      <c r="B24" s="103"/>
      <c r="C24" s="104"/>
      <c r="D24" s="104"/>
      <c r="E24" s="104"/>
      <c r="F24" s="104"/>
      <c r="G24" s="104"/>
      <c r="H24" s="104"/>
      <c r="I24" s="86"/>
      <c r="J24" s="88"/>
      <c r="K24" s="88"/>
      <c r="L24" s="88"/>
      <c r="M24" s="88"/>
      <c r="N24" s="88"/>
      <c r="O24" s="19"/>
    </row>
    <row r="25" spans="2:15" s="83" customFormat="1" x14ac:dyDescent="0.3">
      <c r="B25" s="113"/>
      <c r="C25" s="114"/>
      <c r="D25" s="62"/>
      <c r="E25" s="106"/>
      <c r="F25" s="105"/>
      <c r="G25" s="105"/>
      <c r="H25" s="115"/>
      <c r="I25" s="86"/>
      <c r="J25" s="88"/>
      <c r="K25" s="88"/>
      <c r="L25" s="88"/>
      <c r="M25" s="88"/>
      <c r="N25" s="88"/>
      <c r="O25" s="19"/>
    </row>
    <row r="26" spans="2:15" s="83" customFormat="1" x14ac:dyDescent="0.3">
      <c r="B26" s="60"/>
      <c r="C26" s="60"/>
      <c r="D26" s="60"/>
      <c r="E26" s="106"/>
      <c r="F26" s="105"/>
      <c r="G26" s="105"/>
      <c r="H26" s="115"/>
      <c r="I26" s="86"/>
      <c r="J26" s="88"/>
      <c r="K26" s="88"/>
      <c r="L26" s="88"/>
      <c r="M26" s="88"/>
      <c r="N26" s="88"/>
      <c r="O26" s="19"/>
    </row>
    <row r="27" spans="2:15" s="83" customFormat="1" x14ac:dyDescent="0.3">
      <c r="B27" s="105"/>
      <c r="C27" s="107"/>
      <c r="D27" s="105"/>
      <c r="E27" s="46"/>
      <c r="F27" s="46"/>
      <c r="G27" s="116"/>
      <c r="H27" s="46"/>
      <c r="I27" s="31"/>
      <c r="J27" s="89"/>
      <c r="K27" s="89"/>
      <c r="L27" s="89"/>
      <c r="M27" s="89"/>
      <c r="N27" s="90"/>
      <c r="O27" s="90"/>
    </row>
    <row r="28" spans="2:15" x14ac:dyDescent="0.3">
      <c r="B28" s="105"/>
      <c r="C28" s="106"/>
      <c r="D28" s="40"/>
      <c r="E28" s="117"/>
      <c r="F28" s="117"/>
      <c r="G28" s="117"/>
      <c r="H28" s="107"/>
      <c r="I28" s="37"/>
      <c r="J28" s="13"/>
      <c r="K28" s="13"/>
      <c r="L28" s="13"/>
      <c r="M28" s="13"/>
      <c r="N28" s="37"/>
      <c r="O28" s="37"/>
    </row>
    <row r="29" spans="2:15" x14ac:dyDescent="0.3">
      <c r="B29" s="105"/>
      <c r="C29" s="106"/>
      <c r="D29" s="40"/>
      <c r="E29" s="117"/>
      <c r="F29" s="117"/>
      <c r="G29" s="117"/>
      <c r="H29" s="107"/>
      <c r="I29" s="37"/>
      <c r="J29" s="13"/>
      <c r="K29" s="13"/>
      <c r="L29" s="13"/>
      <c r="M29" s="13"/>
      <c r="N29" s="37"/>
      <c r="O29" s="37"/>
    </row>
    <row r="30" spans="2:15" x14ac:dyDescent="0.3">
      <c r="B30" s="105"/>
      <c r="C30" s="106"/>
      <c r="D30" s="40"/>
      <c r="E30" s="117"/>
      <c r="F30" s="117"/>
      <c r="G30" s="117"/>
      <c r="H30" s="107"/>
      <c r="I30" s="37"/>
      <c r="J30" s="13"/>
      <c r="K30" s="13"/>
      <c r="L30" s="13"/>
      <c r="M30" s="13"/>
      <c r="N30" s="37"/>
      <c r="O30" s="37"/>
    </row>
    <row r="31" spans="2:15" x14ac:dyDescent="0.3">
      <c r="B31" s="105"/>
      <c r="C31" s="106"/>
      <c r="D31" s="105"/>
      <c r="E31" s="106"/>
      <c r="F31" s="106"/>
      <c r="G31" s="106"/>
      <c r="H31" s="94"/>
      <c r="I31" s="39"/>
      <c r="J31" s="6"/>
      <c r="K31" s="6"/>
      <c r="L31" s="6"/>
      <c r="M31" s="6"/>
      <c r="N31" s="39"/>
      <c r="O31" s="7"/>
    </row>
    <row r="32" spans="2:15" x14ac:dyDescent="0.3">
      <c r="B32" s="105"/>
      <c r="C32" s="106"/>
      <c r="D32" s="105"/>
      <c r="E32" s="107"/>
      <c r="F32" s="108"/>
      <c r="G32" s="108"/>
      <c r="H32" s="107"/>
      <c r="I32" s="3"/>
      <c r="J32" s="3"/>
      <c r="K32" s="3"/>
      <c r="L32" s="3"/>
      <c r="M32" s="3"/>
      <c r="N32" s="3"/>
      <c r="O32" s="77"/>
    </row>
    <row r="33" spans="1:19" x14ac:dyDescent="0.3">
      <c r="B33" s="105"/>
      <c r="C33" s="106"/>
      <c r="D33" s="105"/>
      <c r="E33" s="107"/>
      <c r="F33" s="108"/>
      <c r="G33" s="109"/>
      <c r="H33" s="94"/>
      <c r="I33" s="37"/>
      <c r="J33" s="37"/>
      <c r="K33" s="37"/>
      <c r="L33" s="37"/>
      <c r="M33" s="37"/>
      <c r="N33" s="37"/>
    </row>
    <row r="34" spans="1:19" x14ac:dyDescent="0.3">
      <c r="B34" s="105"/>
      <c r="C34" s="106"/>
      <c r="D34" s="105"/>
      <c r="E34" s="106"/>
      <c r="F34" s="105"/>
      <c r="G34" s="105"/>
      <c r="H34" s="110"/>
      <c r="J34" s="11"/>
      <c r="K34" s="11"/>
      <c r="L34" s="11"/>
      <c r="M34" s="11"/>
      <c r="N34" s="11"/>
    </row>
    <row r="35" spans="1:19" x14ac:dyDescent="0.3">
      <c r="B35" s="105"/>
      <c r="C35" s="106"/>
      <c r="D35" s="105"/>
      <c r="E35" s="106"/>
      <c r="F35" s="105"/>
      <c r="G35" s="105"/>
      <c r="H35" s="110"/>
      <c r="N35" s="8"/>
    </row>
    <row r="36" spans="1:19" x14ac:dyDescent="0.3">
      <c r="B36" s="105"/>
      <c r="C36" s="106"/>
      <c r="D36" s="105"/>
      <c r="E36" s="106"/>
      <c r="F36" s="105"/>
      <c r="G36" s="105"/>
      <c r="H36" s="46"/>
      <c r="I36" s="46"/>
      <c r="J36" s="91"/>
      <c r="K36" s="91"/>
      <c r="L36" s="91"/>
      <c r="M36" s="91"/>
      <c r="N36" s="91"/>
    </row>
    <row r="37" spans="1:19" x14ac:dyDescent="0.3">
      <c r="B37" s="105"/>
      <c r="C37" s="106"/>
      <c r="D37" s="111"/>
      <c r="E37" s="106"/>
      <c r="F37" s="105"/>
      <c r="G37" s="105"/>
      <c r="H37" s="112"/>
      <c r="I37" s="92"/>
      <c r="J37" s="91"/>
      <c r="K37" s="91"/>
      <c r="L37" s="91"/>
      <c r="M37" s="91"/>
      <c r="N37" s="91"/>
    </row>
    <row r="38" spans="1:19" x14ac:dyDescent="0.3">
      <c r="A38" s="42"/>
      <c r="B38" s="50"/>
      <c r="C38" s="106"/>
      <c r="D38" s="111"/>
      <c r="E38" s="106"/>
      <c r="F38" s="105"/>
      <c r="G38" s="105"/>
      <c r="H38" s="112"/>
      <c r="I38" s="92"/>
      <c r="N38" s="8"/>
    </row>
    <row r="39" spans="1:19" x14ac:dyDescent="0.3">
      <c r="A39" s="42"/>
      <c r="B39" s="42"/>
      <c r="D39" s="12"/>
      <c r="H39" s="92"/>
      <c r="I39" s="92"/>
      <c r="N39" s="8"/>
    </row>
    <row r="40" spans="1:19" x14ac:dyDescent="0.3">
      <c r="A40" s="42"/>
      <c r="B40" s="42"/>
      <c r="J40" s="9"/>
      <c r="K40" s="9"/>
      <c r="L40" s="9"/>
      <c r="M40" s="9"/>
    </row>
    <row r="41" spans="1:19" x14ac:dyDescent="0.3">
      <c r="N41" s="8"/>
      <c r="R41" s="93"/>
      <c r="S41" s="93"/>
    </row>
    <row r="42" spans="1:19" x14ac:dyDescent="0.3">
      <c r="N42" s="8"/>
      <c r="R42" s="93"/>
      <c r="S42" s="93"/>
    </row>
    <row r="43" spans="1:19" x14ac:dyDescent="0.3">
      <c r="N43" s="8"/>
      <c r="R43" s="93"/>
      <c r="S43" s="93"/>
    </row>
    <row r="44" spans="1:19" x14ac:dyDescent="0.3">
      <c r="N44" s="8"/>
      <c r="R44" s="93"/>
      <c r="S44" s="93"/>
    </row>
    <row r="45" spans="1:19" x14ac:dyDescent="0.3">
      <c r="N45" s="8"/>
      <c r="R45" s="93"/>
      <c r="S45" s="93"/>
    </row>
    <row r="46" spans="1:19" x14ac:dyDescent="0.3">
      <c r="N46" s="8"/>
      <c r="R46" s="93"/>
      <c r="S46" s="93"/>
    </row>
    <row r="47" spans="1:19" x14ac:dyDescent="0.3">
      <c r="N47" s="8"/>
    </row>
    <row r="48" spans="1:19" x14ac:dyDescent="0.3">
      <c r="N48" s="8"/>
    </row>
    <row r="49" spans="14:14" x14ac:dyDescent="0.3">
      <c r="N49" s="8"/>
    </row>
    <row r="50" spans="14:14" x14ac:dyDescent="0.3">
      <c r="N50" s="8"/>
    </row>
    <row r="51" spans="14:14" x14ac:dyDescent="0.3">
      <c r="N51" s="8"/>
    </row>
    <row r="52" spans="14:14" x14ac:dyDescent="0.3">
      <c r="N52" s="8"/>
    </row>
    <row r="53" spans="14:14" x14ac:dyDescent="0.3">
      <c r="N53" s="8"/>
    </row>
    <row r="54" spans="14:14" x14ac:dyDescent="0.3">
      <c r="N54" s="8"/>
    </row>
    <row r="55" spans="14:14" x14ac:dyDescent="0.3">
      <c r="N55" s="8"/>
    </row>
    <row r="56" spans="14:14" x14ac:dyDescent="0.3">
      <c r="N56" s="8"/>
    </row>
    <row r="57" spans="14:14" x14ac:dyDescent="0.3">
      <c r="N57" s="8"/>
    </row>
    <row r="58" spans="14:14" x14ac:dyDescent="0.3">
      <c r="N58" s="8"/>
    </row>
    <row r="59" spans="14:14" x14ac:dyDescent="0.3">
      <c r="N59" s="8"/>
    </row>
    <row r="60" spans="14:14" x14ac:dyDescent="0.3">
      <c r="N60" s="8"/>
    </row>
    <row r="61" spans="14:14" x14ac:dyDescent="0.3">
      <c r="N61" s="8"/>
    </row>
    <row r="62" spans="14:14" x14ac:dyDescent="0.3">
      <c r="N62" s="8"/>
    </row>
    <row r="63" spans="14:14" x14ac:dyDescent="0.3">
      <c r="N63" s="8"/>
    </row>
    <row r="64" spans="14:14" x14ac:dyDescent="0.3">
      <c r="N64" s="8"/>
    </row>
    <row r="65" spans="14:14" x14ac:dyDescent="0.3">
      <c r="N65" s="8"/>
    </row>
    <row r="66" spans="14:14" x14ac:dyDescent="0.3">
      <c r="N66" s="8"/>
    </row>
    <row r="67" spans="14:14" x14ac:dyDescent="0.3">
      <c r="N67" s="8"/>
    </row>
    <row r="68" spans="14:14" x14ac:dyDescent="0.3">
      <c r="N68" s="8"/>
    </row>
    <row r="69" spans="14:14" x14ac:dyDescent="0.3">
      <c r="N69" s="8"/>
    </row>
    <row r="70" spans="14:14" x14ac:dyDescent="0.3">
      <c r="N70" s="8"/>
    </row>
    <row r="71" spans="14:14" x14ac:dyDescent="0.3">
      <c r="N71" s="8"/>
    </row>
    <row r="72" spans="14:14" x14ac:dyDescent="0.3">
      <c r="N72" s="8"/>
    </row>
    <row r="73" spans="14:14" x14ac:dyDescent="0.3">
      <c r="N73" s="8"/>
    </row>
    <row r="74" spans="14:14" x14ac:dyDescent="0.3">
      <c r="N74" s="8"/>
    </row>
  </sheetData>
  <dataConsolidate>
    <dataRefs count="1">
      <dataRef ref="B14:C14" sheet="10_Celkem_106"/>
    </dataRefs>
  </dataConsolidate>
  <phoneticPr fontId="0" type="noConversion"/>
  <printOptions horizontalCentered="1" gridLines="1"/>
  <pageMargins left="0" right="0" top="1.5748031496062993" bottom="0.19685039370078741" header="1.1811023622047245" footer="0.51181102362204722"/>
  <pageSetup paperSize="9" scale="74" orientation="landscape" r:id="rId1"/>
  <headerFooter alignWithMargins="0">
    <oddHeader>&amp;R&amp;Z&amp;F
List: 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50"/>
  <sheetViews>
    <sheetView topLeftCell="A5" workbookViewId="0">
      <selection activeCell="B5" sqref="B5"/>
    </sheetView>
  </sheetViews>
  <sheetFormatPr defaultColWidth="9.140625" defaultRowHeight="15.75" x14ac:dyDescent="0.25"/>
  <cols>
    <col min="1" max="1" width="18.85546875" style="1" customWidth="1"/>
    <col min="2" max="2" width="15.140625" style="1" bestFit="1" customWidth="1"/>
    <col min="3" max="3" width="35.28515625" style="1" customWidth="1"/>
    <col min="4" max="4" width="20.5703125" style="1" customWidth="1"/>
    <col min="5" max="6" width="12.28515625" style="1" customWidth="1"/>
    <col min="7" max="7" width="10.28515625" style="1" customWidth="1"/>
    <col min="8" max="8" width="13.7109375" style="1" customWidth="1"/>
    <col min="9" max="9" width="9.140625" style="1"/>
    <col min="10" max="10" width="20.5703125" style="1" bestFit="1" customWidth="1"/>
    <col min="11" max="11" width="18.5703125" style="1" customWidth="1"/>
    <col min="12" max="12" width="12.140625" style="1" customWidth="1"/>
    <col min="13" max="13" width="20.5703125" style="1" customWidth="1"/>
    <col min="14" max="14" width="11" style="1" customWidth="1"/>
    <col min="15" max="15" width="10.140625" style="1" bestFit="1" customWidth="1"/>
    <col min="16" max="16" width="11.42578125" style="1" bestFit="1" customWidth="1"/>
    <col min="17" max="17" width="14.5703125" style="1" customWidth="1"/>
    <col min="18" max="18" width="11.28515625" style="1" bestFit="1" customWidth="1"/>
    <col min="19" max="16384" width="9.140625" style="1"/>
  </cols>
  <sheetData>
    <row r="1" spans="1:16" ht="18.75" x14ac:dyDescent="0.3">
      <c r="A1" s="8" t="s">
        <v>580</v>
      </c>
    </row>
    <row r="2" spans="1:16" ht="18.75" x14ac:dyDescent="0.3">
      <c r="A2" s="8"/>
    </row>
    <row r="3" spans="1:16" ht="16.5" thickBot="1" x14ac:dyDescent="0.3">
      <c r="A3" s="784" t="s">
        <v>993</v>
      </c>
      <c r="B3" s="785">
        <f>'0_PRIDEL'!B21</f>
        <v>4623000.4894172195</v>
      </c>
    </row>
    <row r="4" spans="1:16" ht="16.5" thickBot="1" x14ac:dyDescent="0.3">
      <c r="A4" s="593" t="s">
        <v>379</v>
      </c>
      <c r="B4" s="425">
        <f>E11</f>
        <v>285000</v>
      </c>
    </row>
    <row r="5" spans="1:16" x14ac:dyDescent="0.25">
      <c r="A5" s="784" t="s">
        <v>378</v>
      </c>
      <c r="B5" s="785">
        <f>B3-B4</f>
        <v>4338000.4894172195</v>
      </c>
    </row>
    <row r="7" spans="1:16" x14ac:dyDescent="0.25">
      <c r="D7" s="590"/>
      <c r="E7" s="591"/>
      <c r="F7" s="592" t="s">
        <v>374</v>
      </c>
      <c r="G7" s="5"/>
      <c r="H7" s="3"/>
      <c r="J7" s="1015" t="s">
        <v>375</v>
      </c>
      <c r="K7" s="1015"/>
      <c r="L7" s="1015"/>
      <c r="M7" s="1015"/>
    </row>
    <row r="8" spans="1:16" ht="47.25" x14ac:dyDescent="0.25">
      <c r="D8" s="27"/>
      <c r="E8" s="135" t="s">
        <v>88</v>
      </c>
      <c r="F8" s="135" t="s">
        <v>411</v>
      </c>
      <c r="G8" s="5"/>
      <c r="H8" s="3"/>
      <c r="J8" s="12" t="s">
        <v>380</v>
      </c>
      <c r="K8" s="12" t="s">
        <v>381</v>
      </c>
      <c r="L8" s="12" t="s">
        <v>382</v>
      </c>
      <c r="M8" s="1" t="s">
        <v>386</v>
      </c>
    </row>
    <row r="9" spans="1:16" x14ac:dyDescent="0.25">
      <c r="B9" s="484"/>
      <c r="D9" s="15" t="s">
        <v>372</v>
      </c>
      <c r="E9" s="415">
        <v>85000</v>
      </c>
      <c r="F9" s="415">
        <v>21068</v>
      </c>
      <c r="G9" s="194" t="s">
        <v>376</v>
      </c>
      <c r="H9" s="3"/>
      <c r="J9" s="15" t="s">
        <v>347</v>
      </c>
      <c r="K9" s="14">
        <f>SUMIF($D$9:$D$30,J9,$E$9:$E$30)</f>
        <v>466803</v>
      </c>
      <c r="M9" s="121">
        <f>SUM(K9:L9)</f>
        <v>466803</v>
      </c>
    </row>
    <row r="10" spans="1:16" ht="16.5" thickBot="1" x14ac:dyDescent="0.3">
      <c r="B10" s="567"/>
      <c r="D10" s="15" t="s">
        <v>372</v>
      </c>
      <c r="E10" s="415">
        <v>200000</v>
      </c>
      <c r="F10" s="415">
        <v>21069</v>
      </c>
      <c r="G10" s="1" t="s">
        <v>377</v>
      </c>
      <c r="J10" s="15" t="s">
        <v>348</v>
      </c>
      <c r="K10" s="14">
        <f>SUMIF($D$9:$D$30,J10,$E$9:$E$30)</f>
        <v>1429234</v>
      </c>
      <c r="L10" s="14"/>
      <c r="M10" s="121">
        <f>SUM(K10:L10)</f>
        <v>1429234</v>
      </c>
    </row>
    <row r="11" spans="1:16" ht="16.5" thickBot="1" x14ac:dyDescent="0.3">
      <c r="D11" s="201" t="s">
        <v>300</v>
      </c>
      <c r="E11" s="425">
        <f>SUM(E9:E10)</f>
        <v>285000</v>
      </c>
      <c r="F11" s="425"/>
      <c r="H11" s="225"/>
      <c r="J11" s="15" t="s">
        <v>349</v>
      </c>
      <c r="K11" s="14">
        <f>SUMIF($D$9:$D$30,J11,$E$9:$E$30)</f>
        <v>2275755</v>
      </c>
      <c r="L11" s="14"/>
      <c r="M11" s="121">
        <f>SUM(K11:L11)</f>
        <v>2275755</v>
      </c>
    </row>
    <row r="12" spans="1:16" x14ac:dyDescent="0.25">
      <c r="C12" s="121"/>
      <c r="M12" s="2"/>
    </row>
    <row r="13" spans="1:16" ht="47.25" x14ac:dyDescent="0.25">
      <c r="C13" s="121"/>
      <c r="D13" s="280"/>
      <c r="E13" s="135" t="str">
        <f>E8</f>
        <v>Účelová podpora činnost 115</v>
      </c>
      <c r="F13" s="135" t="s">
        <v>411</v>
      </c>
      <c r="G13" s="194" t="s">
        <v>301</v>
      </c>
      <c r="H13" s="582" t="s">
        <v>357</v>
      </c>
      <c r="J13" s="15" t="s">
        <v>373</v>
      </c>
      <c r="K13" s="14">
        <f>SUMIF($D$9:$D$30,J13,$E$9:$E$30)</f>
        <v>166208</v>
      </c>
      <c r="L13" s="14"/>
      <c r="M13" s="121">
        <f>SUM(K13:L13)</f>
        <v>166208</v>
      </c>
    </row>
    <row r="14" spans="1:16" x14ac:dyDescent="0.25">
      <c r="D14" s="15" t="s">
        <v>347</v>
      </c>
      <c r="E14" s="415">
        <v>258256</v>
      </c>
      <c r="F14" s="417">
        <v>21330</v>
      </c>
      <c r="G14" s="426"/>
      <c r="H14" s="582"/>
      <c r="J14" s="15" t="s">
        <v>372</v>
      </c>
      <c r="K14" s="14">
        <f>SUMIF($D$9:$D$30,J14,$E$9:$E$30)</f>
        <v>285000</v>
      </c>
      <c r="M14" s="121">
        <f>SUM(K14:L14)</f>
        <v>285000</v>
      </c>
    </row>
    <row r="15" spans="1:16" x14ac:dyDescent="0.25">
      <c r="D15" s="15" t="s">
        <v>347</v>
      </c>
      <c r="E15" s="416">
        <v>208547</v>
      </c>
      <c r="F15" s="417">
        <v>21433</v>
      </c>
      <c r="G15" s="426"/>
      <c r="H15" s="582"/>
      <c r="M15" s="14">
        <f>SUM(M9:M14)</f>
        <v>4623000</v>
      </c>
      <c r="P15" s="44"/>
    </row>
    <row r="16" spans="1:16" x14ac:dyDescent="0.25">
      <c r="D16" s="15" t="s">
        <v>348</v>
      </c>
      <c r="E16" s="416">
        <v>421860</v>
      </c>
      <c r="F16" s="417">
        <v>21362</v>
      </c>
      <c r="G16" s="426"/>
      <c r="H16" s="582"/>
      <c r="J16" s="588" t="s">
        <v>383</v>
      </c>
      <c r="K16" s="589">
        <f>SUM(K9:K15)</f>
        <v>4623000</v>
      </c>
      <c r="L16" s="589">
        <f>SUM(L9:L15)</f>
        <v>0</v>
      </c>
      <c r="M16" s="706">
        <f>SUM(K16:L16)</f>
        <v>4623000</v>
      </c>
      <c r="P16" s="44"/>
    </row>
    <row r="17" spans="3:19" x14ac:dyDescent="0.25">
      <c r="D17" s="15" t="s">
        <v>348</v>
      </c>
      <c r="E17" s="416">
        <v>151188</v>
      </c>
      <c r="F17" s="417">
        <v>21427</v>
      </c>
      <c r="G17" s="426"/>
      <c r="H17" s="582"/>
      <c r="J17" s="587" t="s">
        <v>351</v>
      </c>
      <c r="K17" s="586">
        <f>K16-E35</f>
        <v>0</v>
      </c>
      <c r="P17" s="44"/>
    </row>
    <row r="18" spans="3:19" x14ac:dyDescent="0.25">
      <c r="D18" s="15" t="s">
        <v>348</v>
      </c>
      <c r="E18" s="416">
        <v>308836</v>
      </c>
      <c r="F18" s="417">
        <v>21430</v>
      </c>
      <c r="G18" s="426"/>
      <c r="H18" s="582"/>
      <c r="P18" s="493"/>
    </row>
    <row r="19" spans="3:19" x14ac:dyDescent="0.25">
      <c r="C19" s="121"/>
      <c r="D19" s="15" t="s">
        <v>348</v>
      </c>
      <c r="E19" s="416">
        <v>186900</v>
      </c>
      <c r="F19" s="417">
        <v>21435</v>
      </c>
      <c r="G19" s="426"/>
      <c r="H19" s="582"/>
      <c r="J19" s="12" t="s">
        <v>384</v>
      </c>
      <c r="K19" s="14">
        <f>B3</f>
        <v>4623000.4894172195</v>
      </c>
      <c r="O19" s="44"/>
      <c r="P19" s="493"/>
    </row>
    <row r="20" spans="3:19" x14ac:dyDescent="0.25">
      <c r="C20" s="121"/>
      <c r="D20" s="15" t="s">
        <v>348</v>
      </c>
      <c r="E20" s="416">
        <v>360450</v>
      </c>
      <c r="F20" s="417">
        <v>21436</v>
      </c>
      <c r="G20" s="426"/>
      <c r="H20" s="582"/>
      <c r="J20" s="12" t="s">
        <v>385</v>
      </c>
      <c r="K20" s="605">
        <f>-L16</f>
        <v>0</v>
      </c>
      <c r="O20" s="44"/>
    </row>
    <row r="21" spans="3:19" x14ac:dyDescent="0.25">
      <c r="D21" s="15" t="s">
        <v>349</v>
      </c>
      <c r="E21" s="416">
        <v>291266</v>
      </c>
      <c r="F21" s="417">
        <v>21338</v>
      </c>
      <c r="G21" s="426"/>
      <c r="H21" s="582"/>
      <c r="O21" s="628"/>
    </row>
    <row r="22" spans="3:19" x14ac:dyDescent="0.25">
      <c r="D22" s="15" t="s">
        <v>349</v>
      </c>
      <c r="E22" s="416">
        <v>404505</v>
      </c>
      <c r="F22" s="417">
        <v>21365</v>
      </c>
      <c r="G22" s="426"/>
      <c r="H22" s="582"/>
      <c r="O22" s="628"/>
    </row>
    <row r="23" spans="3:19" x14ac:dyDescent="0.25">
      <c r="D23" s="15" t="s">
        <v>349</v>
      </c>
      <c r="E23" s="416">
        <v>287025</v>
      </c>
      <c r="F23" s="417">
        <v>21366</v>
      </c>
      <c r="G23" s="426"/>
      <c r="H23" s="583"/>
      <c r="O23" s="111"/>
    </row>
    <row r="24" spans="3:19" x14ac:dyDescent="0.25">
      <c r="D24" s="15" t="s">
        <v>349</v>
      </c>
      <c r="E24" s="416">
        <v>181653</v>
      </c>
      <c r="F24" s="417">
        <v>21428</v>
      </c>
      <c r="G24" s="426"/>
      <c r="H24" s="583"/>
      <c r="O24" s="111"/>
      <c r="P24" s="596"/>
      <c r="Q24" s="596"/>
      <c r="R24" s="44"/>
      <c r="S24" s="44"/>
    </row>
    <row r="25" spans="3:19" x14ac:dyDescent="0.25">
      <c r="D25" s="15" t="s">
        <v>349</v>
      </c>
      <c r="E25" s="416">
        <v>193575</v>
      </c>
      <c r="F25" s="416">
        <v>24429</v>
      </c>
      <c r="G25" s="426"/>
      <c r="H25" s="583"/>
      <c r="O25" s="111"/>
      <c r="P25" s="596"/>
      <c r="Q25" s="596"/>
      <c r="R25" s="44"/>
      <c r="S25" s="44"/>
    </row>
    <row r="26" spans="3:19" x14ac:dyDescent="0.25">
      <c r="D26" s="15" t="s">
        <v>349</v>
      </c>
      <c r="E26" s="416">
        <v>300375</v>
      </c>
      <c r="F26" s="416">
        <v>24431</v>
      </c>
      <c r="G26" s="426"/>
      <c r="H26" s="583"/>
      <c r="O26" s="111"/>
      <c r="P26" s="596"/>
      <c r="Q26" s="596"/>
      <c r="R26" s="44"/>
      <c r="S26" s="44"/>
    </row>
    <row r="27" spans="3:19" x14ac:dyDescent="0.25">
      <c r="D27" s="15" t="s">
        <v>349</v>
      </c>
      <c r="E27" s="416">
        <v>273675</v>
      </c>
      <c r="F27" s="416">
        <v>21432</v>
      </c>
      <c r="G27" s="426"/>
      <c r="H27" s="583"/>
      <c r="O27" s="111"/>
      <c r="P27" s="596"/>
      <c r="Q27" s="596"/>
      <c r="R27" s="44"/>
      <c r="S27" s="44"/>
    </row>
    <row r="28" spans="3:19" x14ac:dyDescent="0.25">
      <c r="D28" s="15" t="s">
        <v>349</v>
      </c>
      <c r="E28" s="416">
        <v>150106</v>
      </c>
      <c r="F28" s="416">
        <v>21434</v>
      </c>
      <c r="G28" s="426"/>
      <c r="H28" s="583"/>
      <c r="O28" s="111"/>
      <c r="P28" s="596"/>
      <c r="Q28" s="596"/>
      <c r="R28" s="44"/>
      <c r="S28" s="44"/>
    </row>
    <row r="29" spans="3:19" x14ac:dyDescent="0.25">
      <c r="D29" s="15" t="s">
        <v>349</v>
      </c>
      <c r="E29" s="416">
        <v>193575</v>
      </c>
      <c r="F29" s="416">
        <v>21437</v>
      </c>
      <c r="G29" s="426"/>
      <c r="H29" s="583"/>
      <c r="O29" s="111"/>
      <c r="P29" s="596"/>
      <c r="Q29" s="596"/>
      <c r="R29" s="44"/>
      <c r="S29" s="44"/>
    </row>
    <row r="30" spans="3:19" ht="16.5" thickBot="1" x14ac:dyDescent="0.3">
      <c r="D30" s="15" t="s">
        <v>373</v>
      </c>
      <c r="E30" s="416">
        <v>166208</v>
      </c>
      <c r="F30" s="697">
        <v>21331</v>
      </c>
      <c r="G30" s="426"/>
      <c r="H30" s="583"/>
      <c r="P30" s="600"/>
      <c r="Q30" s="44"/>
      <c r="R30" s="44"/>
      <c r="S30" s="44"/>
    </row>
    <row r="31" spans="3:19" ht="16.5" thickBot="1" x14ac:dyDescent="0.3">
      <c r="D31" s="201" t="s">
        <v>299</v>
      </c>
      <c r="E31" s="786">
        <f>SUM(E14:E30)</f>
        <v>4338000</v>
      </c>
      <c r="F31" s="786"/>
      <c r="G31" s="5"/>
      <c r="H31" s="3"/>
      <c r="I31" s="3"/>
      <c r="J31" s="3"/>
      <c r="K31" s="3"/>
      <c r="L31" s="3"/>
      <c r="P31" s="600"/>
      <c r="Q31" s="44"/>
      <c r="R31" s="44"/>
      <c r="S31" s="44"/>
    </row>
    <row r="32" spans="3:19" x14ac:dyDescent="0.25">
      <c r="D32" s="787" t="s">
        <v>351</v>
      </c>
      <c r="E32" s="788">
        <f>E31-B5</f>
        <v>-0.48941721953451633</v>
      </c>
      <c r="F32" s="422"/>
      <c r="G32" s="5"/>
      <c r="H32" s="3"/>
      <c r="I32" s="3"/>
      <c r="J32" s="3"/>
      <c r="K32" s="3"/>
      <c r="L32" s="3"/>
      <c r="P32" s="600"/>
      <c r="Q32" s="44"/>
      <c r="R32" s="44"/>
      <c r="S32" s="44"/>
    </row>
    <row r="33" spans="1:19" x14ac:dyDescent="0.25">
      <c r="I33" s="3"/>
      <c r="J33" s="3"/>
      <c r="K33" s="3"/>
      <c r="L33" s="3"/>
      <c r="N33" s="44"/>
      <c r="O33" s="44"/>
      <c r="P33" s="600"/>
      <c r="Q33" s="153"/>
      <c r="R33" s="601"/>
      <c r="S33" s="153"/>
    </row>
    <row r="34" spans="1:19" ht="16.5" thickBot="1" x14ac:dyDescent="0.3">
      <c r="I34" s="3"/>
      <c r="J34" s="3"/>
      <c r="K34" s="3"/>
      <c r="L34" s="3"/>
      <c r="N34" s="45"/>
      <c r="O34" s="153"/>
      <c r="P34" s="600"/>
      <c r="Q34" s="44"/>
      <c r="R34" s="602"/>
      <c r="S34" s="44"/>
    </row>
    <row r="35" spans="1:19" ht="16.5" thickBot="1" x14ac:dyDescent="0.3">
      <c r="D35" s="15" t="s">
        <v>310</v>
      </c>
      <c r="E35" s="424">
        <f>E31+E11</f>
        <v>4623000</v>
      </c>
      <c r="F35" s="424"/>
      <c r="N35" s="45"/>
      <c r="O35" s="153"/>
      <c r="P35" s="44"/>
      <c r="Q35" s="44"/>
      <c r="R35" s="44"/>
      <c r="S35" s="44"/>
    </row>
    <row r="36" spans="1:19" x14ac:dyDescent="0.25">
      <c r="D36" s="787" t="s">
        <v>351</v>
      </c>
      <c r="E36" s="788">
        <f>E35-B3</f>
        <v>-0.48941721953451633</v>
      </c>
      <c r="I36" s="225"/>
      <c r="J36" s="225"/>
      <c r="K36" s="225"/>
      <c r="L36" s="225"/>
      <c r="N36" s="45"/>
      <c r="O36" s="153"/>
      <c r="P36" s="44"/>
      <c r="Q36" s="597"/>
      <c r="R36" s="50"/>
      <c r="S36" s="44"/>
    </row>
    <row r="37" spans="1:19" x14ac:dyDescent="0.25">
      <c r="N37" s="45"/>
      <c r="O37" s="153"/>
      <c r="P37" s="44"/>
      <c r="Q37" s="599"/>
      <c r="R37" s="50"/>
      <c r="S37" s="44"/>
    </row>
    <row r="38" spans="1:19" x14ac:dyDescent="0.25">
      <c r="A38" s="568" t="s">
        <v>350</v>
      </c>
      <c r="N38" s="111"/>
      <c r="O38" s="153"/>
    </row>
    <row r="39" spans="1:19" x14ac:dyDescent="0.25">
      <c r="A39" s="1" t="s">
        <v>360</v>
      </c>
      <c r="N39" s="44"/>
      <c r="O39" s="153"/>
    </row>
    <row r="40" spans="1:19" x14ac:dyDescent="0.25">
      <c r="A40" s="1" t="s">
        <v>399</v>
      </c>
      <c r="N40" s="44"/>
      <c r="O40" s="597"/>
    </row>
    <row r="41" spans="1:19" x14ac:dyDescent="0.25">
      <c r="N41" s="44"/>
      <c r="O41" s="598"/>
    </row>
    <row r="44" spans="1:19" x14ac:dyDescent="0.25">
      <c r="D44" s="45"/>
      <c r="E44" s="423"/>
    </row>
    <row r="45" spans="1:19" x14ac:dyDescent="0.25">
      <c r="D45" s="45"/>
      <c r="E45" s="423"/>
    </row>
    <row r="46" spans="1:19" x14ac:dyDescent="0.25">
      <c r="D46" s="45"/>
      <c r="E46" s="423"/>
    </row>
    <row r="47" spans="1:19" x14ac:dyDescent="0.25">
      <c r="D47" s="44"/>
      <c r="E47" s="44"/>
    </row>
    <row r="48" spans="1:19" x14ac:dyDescent="0.25">
      <c r="D48" s="111"/>
      <c r="E48" s="493"/>
    </row>
    <row r="49" spans="4:5" x14ac:dyDescent="0.25">
      <c r="D49" s="111"/>
      <c r="E49" s="493"/>
    </row>
    <row r="50" spans="4:5" x14ac:dyDescent="0.25">
      <c r="D50" s="44"/>
      <c r="E50" s="494"/>
    </row>
  </sheetData>
  <mergeCells count="1">
    <mergeCell ref="J7:M7"/>
  </mergeCells>
  <printOptions horizontalCentered="1" verticalCentered="1" gridLines="1"/>
  <pageMargins left="0.70866141732283472" right="0.70866141732283472" top="0.78740157480314965" bottom="0.78740157480314965" header="0.31496062992125984" footer="0.31496062992125984"/>
  <pageSetup paperSize="9" orientation="landscape" r:id="rId1"/>
  <headerFooter>
    <oddHeader>&amp;R&amp;Z&amp;F
List: 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9"/>
  <sheetViews>
    <sheetView topLeftCell="B9" zoomScaleNormal="100" workbookViewId="0">
      <selection activeCell="U10" sqref="U10"/>
    </sheetView>
  </sheetViews>
  <sheetFormatPr defaultColWidth="9.140625" defaultRowHeight="15.75" x14ac:dyDescent="0.25"/>
  <cols>
    <col min="1" max="1" width="7.85546875" style="1" customWidth="1"/>
    <col min="2" max="2" width="21.7109375" style="1" customWidth="1"/>
    <col min="3" max="3" width="21" style="1" customWidth="1"/>
    <col min="4" max="4" width="6.28515625" style="1" customWidth="1"/>
    <col min="5" max="5" width="8.42578125" style="1" customWidth="1"/>
    <col min="6" max="7" width="15" style="1" customWidth="1"/>
    <col min="8" max="8" width="11.42578125" style="1" customWidth="1"/>
    <col min="9" max="10" width="17.85546875" style="1" customWidth="1"/>
    <col min="11" max="11" width="12.7109375" style="1" bestFit="1" customWidth="1"/>
    <col min="12" max="12" width="13.5703125" style="1" customWidth="1"/>
    <col min="13" max="13" width="4.140625" style="1" customWidth="1"/>
    <col min="14" max="14" width="5.140625" style="1" bestFit="1" customWidth="1"/>
    <col min="15" max="16" width="4" style="1" customWidth="1"/>
    <col min="17" max="17" width="10.140625" style="1" bestFit="1" customWidth="1"/>
    <col min="18" max="18" width="9.140625" style="1"/>
    <col min="19" max="19" width="4.140625" style="1" customWidth="1"/>
    <col min="20" max="20" width="10.140625" style="1" bestFit="1" customWidth="1"/>
    <col min="21" max="21" width="20.7109375" style="1" customWidth="1"/>
    <col min="22" max="22" width="5.140625" style="1" bestFit="1" customWidth="1"/>
    <col min="23" max="23" width="11.42578125" style="1" customWidth="1"/>
    <col min="24" max="24" width="6.28515625" style="1" bestFit="1" customWidth="1"/>
    <col min="25" max="25" width="3.85546875" style="1" customWidth="1"/>
    <col min="26" max="16384" width="9.140625" style="1"/>
  </cols>
  <sheetData>
    <row r="1" spans="1:25" ht="18.75" x14ac:dyDescent="0.3">
      <c r="A1" s="8" t="s">
        <v>581</v>
      </c>
    </row>
    <row r="2" spans="1:25" ht="18.75" x14ac:dyDescent="0.3">
      <c r="A2" s="8"/>
    </row>
    <row r="3" spans="1:25" ht="19.5" thickBot="1" x14ac:dyDescent="0.35">
      <c r="A3" s="8"/>
      <c r="B3" s="789" t="s">
        <v>459</v>
      </c>
      <c r="D3" s="790">
        <f>'0_PRIDEL'!B20</f>
        <v>20863301.4595728</v>
      </c>
    </row>
    <row r="4" spans="1:25" ht="16.5" thickBot="1" x14ac:dyDescent="0.3">
      <c r="B4" s="120" t="s">
        <v>464</v>
      </c>
      <c r="C4" s="14">
        <f>C15</f>
        <v>620400</v>
      </c>
      <c r="D4" s="348">
        <f>D3-C4</f>
        <v>20242901.4595728</v>
      </c>
      <c r="E4" s="627" t="s">
        <v>998</v>
      </c>
    </row>
    <row r="5" spans="1:25" ht="16.5" thickBot="1" x14ac:dyDescent="0.3">
      <c r="B5" s="120" t="s">
        <v>465</v>
      </c>
      <c r="C5" s="14">
        <f>'4_DOC_PROF'!I16</f>
        <v>85000</v>
      </c>
      <c r="D5" s="348">
        <f t="shared" ref="D5:D6" si="0">D4-C5</f>
        <v>20157901.4595728</v>
      </c>
      <c r="E5" s="627" t="s">
        <v>998</v>
      </c>
    </row>
    <row r="6" spans="1:25" ht="16.5" thickBot="1" x14ac:dyDescent="0.3">
      <c r="B6" s="120" t="s">
        <v>466</v>
      </c>
      <c r="C6" s="14">
        <f>'4a_úvazky-na-FM'!K27</f>
        <v>368273.18570893124</v>
      </c>
      <c r="D6" s="348">
        <f t="shared" si="0"/>
        <v>19789628.273863867</v>
      </c>
      <c r="E6" s="627" t="s">
        <v>998</v>
      </c>
    </row>
    <row r="7" spans="1:25" ht="16.5" thickBot="1" x14ac:dyDescent="0.3">
      <c r="B7" s="120" t="s">
        <v>470</v>
      </c>
      <c r="C7" s="22">
        <f>300000</f>
        <v>300000</v>
      </c>
      <c r="D7" s="348">
        <f>D6-C7</f>
        <v>19489628.273863867</v>
      </c>
      <c r="E7" s="627" t="s">
        <v>998</v>
      </c>
    </row>
    <row r="8" spans="1:25" x14ac:dyDescent="0.25">
      <c r="D8" s="27"/>
    </row>
    <row r="9" spans="1:25" s="3" customFormat="1" x14ac:dyDescent="0.25">
      <c r="C9" s="5"/>
      <c r="D9" s="13"/>
      <c r="U9" s="1017" t="s">
        <v>1004</v>
      </c>
      <c r="V9" s="1017"/>
      <c r="W9" s="1017"/>
      <c r="X9" s="1017"/>
    </row>
    <row r="10" spans="1:25" ht="47.25" x14ac:dyDescent="0.25">
      <c r="B10" s="135" t="s">
        <v>242</v>
      </c>
      <c r="C10" s="135" t="s">
        <v>243</v>
      </c>
      <c r="D10" s="46"/>
      <c r="E10" s="46"/>
      <c r="F10" s="283" t="s">
        <v>475</v>
      </c>
      <c r="G10" s="283" t="s">
        <v>476</v>
      </c>
      <c r="H10" s="283" t="s">
        <v>463</v>
      </c>
      <c r="I10" s="135" t="s">
        <v>247</v>
      </c>
      <c r="J10" s="135" t="s">
        <v>248</v>
      </c>
      <c r="K10" s="284" t="s">
        <v>266</v>
      </c>
      <c r="L10" s="284" t="s">
        <v>87</v>
      </c>
      <c r="O10" s="44"/>
      <c r="P10" s="44"/>
      <c r="Q10" s="1">
        <v>2020</v>
      </c>
      <c r="T10" s="44"/>
      <c r="U10" s="797">
        <v>2716686.6712429798</v>
      </c>
    </row>
    <row r="11" spans="1:25" x14ac:dyDescent="0.25">
      <c r="A11" s="84" t="s">
        <v>3</v>
      </c>
      <c r="B11" s="939">
        <v>0</v>
      </c>
      <c r="C11" s="281">
        <f>12*B11</f>
        <v>0</v>
      </c>
      <c r="D11" s="493"/>
      <c r="E11" s="84" t="s">
        <v>3</v>
      </c>
      <c r="F11" s="285">
        <f>$G$25*G26</f>
        <v>4596395.8473708192</v>
      </c>
      <c r="G11" s="285">
        <f>$H$25*H26</f>
        <v>1068811.2145386941</v>
      </c>
      <c r="H11" s="285"/>
      <c r="I11" s="286">
        <f>'4_DOC_PROF'!L7</f>
        <v>25000</v>
      </c>
      <c r="J11" s="298">
        <f>C11</f>
        <v>0</v>
      </c>
      <c r="K11" s="332">
        <f>'4a_úvazky-na-FM'!K24</f>
        <v>74048.878857927994</v>
      </c>
      <c r="L11" s="287">
        <f>SUM(F11:K11)</f>
        <v>5764255.9407674419</v>
      </c>
      <c r="M11" s="114"/>
      <c r="N11" s="125">
        <f>L11/SUM($L$11:$L$14)</f>
        <v>0.27628685478839227</v>
      </c>
      <c r="O11" s="500"/>
      <c r="P11" s="44"/>
      <c r="Q11" s="972">
        <v>7008247.9256145628</v>
      </c>
      <c r="R11" s="973">
        <f>L11/Q11</f>
        <v>0.82249600783950094</v>
      </c>
      <c r="T11" s="975" t="s">
        <v>3</v>
      </c>
      <c r="U11" s="797">
        <f>$U$10*H26</f>
        <v>744915.48525482509</v>
      </c>
      <c r="V11" s="976">
        <f>U11/$U$10</f>
        <v>0.2742</v>
      </c>
      <c r="W11" s="797">
        <f>U11+L11</f>
        <v>6509171.426022267</v>
      </c>
      <c r="X11" s="618">
        <f>W11/Q11</f>
        <v>0.92878726539222267</v>
      </c>
      <c r="Y11" s="618"/>
    </row>
    <row r="12" spans="1:25" x14ac:dyDescent="0.25">
      <c r="A12" s="84" t="s">
        <v>2</v>
      </c>
      <c r="B12" s="939">
        <v>15000</v>
      </c>
      <c r="C12" s="281">
        <f>12*B12</f>
        <v>180000</v>
      </c>
      <c r="D12" s="493"/>
      <c r="E12" s="84" t="s">
        <v>2</v>
      </c>
      <c r="F12" s="285">
        <f>$G$25*G27</f>
        <v>6453943.2129772725</v>
      </c>
      <c r="G12" s="285">
        <f>$H$25*H27</f>
        <v>1339327.2549799248</v>
      </c>
      <c r="H12" s="285"/>
      <c r="I12" s="286">
        <f>'4_DOC_PROF'!L8</f>
        <v>0</v>
      </c>
      <c r="J12" s="298">
        <f t="shared" ref="J12:J14" si="1">C12</f>
        <v>180000</v>
      </c>
      <c r="K12" s="332">
        <f>'4a_úvazky-na-FM'!K25</f>
        <v>176037.49672937975</v>
      </c>
      <c r="L12" s="287">
        <f>SUM(F12:K12)</f>
        <v>8149307.9646865763</v>
      </c>
      <c r="M12" s="114"/>
      <c r="N12" s="125">
        <f t="shared" ref="N12:N14" si="2">L12/SUM($L$11:$L$14)</f>
        <v>0.39060490883850002</v>
      </c>
      <c r="O12" s="153"/>
      <c r="P12" s="44"/>
      <c r="Q12" s="972">
        <v>9819750.4345329162</v>
      </c>
      <c r="R12" s="973">
        <f t="shared" ref="R12:R14" si="3">L12/Q12</f>
        <v>0.82988951898696639</v>
      </c>
      <c r="T12" s="108" t="s">
        <v>2</v>
      </c>
      <c r="U12" s="797">
        <f>$U$10*H27</f>
        <v>933453.54023908789</v>
      </c>
      <c r="V12" s="976">
        <f t="shared" ref="V12:V14" si="4">U12/$U$10</f>
        <v>0.34360000000000002</v>
      </c>
      <c r="W12" s="797">
        <f t="shared" ref="W12:W14" si="5">U12+L12</f>
        <v>9082761.5049256645</v>
      </c>
      <c r="X12" s="618">
        <f t="shared" ref="X12:X13" si="6">W12/Q12</f>
        <v>0.92494830347057522</v>
      </c>
      <c r="Y12" s="618"/>
    </row>
    <row r="13" spans="1:25" x14ac:dyDescent="0.25">
      <c r="A13" s="4" t="s">
        <v>1</v>
      </c>
      <c r="B13" s="940">
        <v>25200</v>
      </c>
      <c r="C13" s="281">
        <f>(2*22200)+(10*25200)</f>
        <v>296400</v>
      </c>
      <c r="D13" s="493"/>
      <c r="E13" s="4" t="s">
        <v>1</v>
      </c>
      <c r="F13" s="285">
        <f>$G$25*G28</f>
        <v>4541363.558743</v>
      </c>
      <c r="G13" s="285">
        <f>$H$25*H28</f>
        <v>1489787.1852541536</v>
      </c>
      <c r="H13" s="350"/>
      <c r="I13" s="290">
        <f>'4_DOC_PROF'!L9</f>
        <v>60000.000000000007</v>
      </c>
      <c r="J13" s="298">
        <f t="shared" si="1"/>
        <v>296400</v>
      </c>
      <c r="K13" s="793">
        <f>'4a_úvazky-na-FM'!K26</f>
        <v>118186.81012162351</v>
      </c>
      <c r="L13" s="373">
        <f>SUM(F13:K13)</f>
        <v>6505737.5541187776</v>
      </c>
      <c r="M13" s="114"/>
      <c r="N13" s="125">
        <f t="shared" si="2"/>
        <v>0.31182684901165164</v>
      </c>
      <c r="O13" s="153"/>
      <c r="P13" s="44"/>
      <c r="Q13" s="972">
        <v>6871421.2873954009</v>
      </c>
      <c r="R13" s="973">
        <f t="shared" si="3"/>
        <v>0.94678193666462929</v>
      </c>
      <c r="T13" s="108" t="s">
        <v>1</v>
      </c>
      <c r="U13" s="797">
        <f>$U$10*H28</f>
        <v>1038317.6457490668</v>
      </c>
      <c r="V13" s="976">
        <f t="shared" si="4"/>
        <v>0.38219999999999998</v>
      </c>
      <c r="W13" s="797">
        <f t="shared" si="5"/>
        <v>7544055.1998678446</v>
      </c>
      <c r="X13" s="618">
        <f t="shared" si="6"/>
        <v>1.0978886149371005</v>
      </c>
      <c r="Y13" s="618"/>
    </row>
    <row r="14" spans="1:25" x14ac:dyDescent="0.25">
      <c r="A14" s="715" t="s">
        <v>9</v>
      </c>
      <c r="B14" s="939">
        <v>12000</v>
      </c>
      <c r="C14" s="281">
        <f>12*B14</f>
        <v>144000</v>
      </c>
      <c r="D14" s="493"/>
      <c r="E14" s="715" t="s">
        <v>9</v>
      </c>
      <c r="F14" s="285"/>
      <c r="G14" s="797"/>
      <c r="H14" s="797">
        <f>C7</f>
        <v>300000</v>
      </c>
      <c r="I14" s="286"/>
      <c r="J14" s="298">
        <f t="shared" si="1"/>
        <v>144000</v>
      </c>
      <c r="K14" s="298"/>
      <c r="L14" s="373">
        <f>SUM(F14:K14)</f>
        <v>444000</v>
      </c>
      <c r="M14" s="114"/>
      <c r="N14" s="125">
        <f t="shared" si="2"/>
        <v>2.1281387361456048E-2</v>
      </c>
      <c r="O14" s="153"/>
      <c r="P14" s="44"/>
      <c r="Q14" s="972">
        <v>300000</v>
      </c>
      <c r="R14" s="973">
        <f t="shared" si="3"/>
        <v>1.48</v>
      </c>
      <c r="T14" s="153"/>
      <c r="U14" s="797">
        <f t="shared" ref="U14" si="7">$U$10*G14/$G$15</f>
        <v>0</v>
      </c>
      <c r="V14" s="976">
        <f t="shared" si="4"/>
        <v>0</v>
      </c>
      <c r="W14" s="797">
        <f t="shared" si="5"/>
        <v>444000</v>
      </c>
      <c r="X14" s="618"/>
      <c r="Y14" s="618"/>
    </row>
    <row r="15" spans="1:25" ht="16.5" thickBot="1" x14ac:dyDescent="0.3">
      <c r="A15" s="12"/>
      <c r="B15" s="798">
        <f>SUM(B11:B14)</f>
        <v>52200</v>
      </c>
      <c r="C15" s="796">
        <f>SUM(C11:C14)</f>
        <v>620400</v>
      </c>
      <c r="D15" s="109"/>
      <c r="F15" s="794">
        <f t="shared" ref="F15:K15" si="8">SUM(F11:F14)</f>
        <v>15591702.619091092</v>
      </c>
      <c r="G15" s="794">
        <f t="shared" si="8"/>
        <v>3897925.6547727725</v>
      </c>
      <c r="H15" s="795">
        <f t="shared" si="8"/>
        <v>300000</v>
      </c>
      <c r="I15" s="795">
        <f t="shared" si="8"/>
        <v>85000</v>
      </c>
      <c r="J15" s="796">
        <f t="shared" si="8"/>
        <v>620400</v>
      </c>
      <c r="K15" s="796">
        <f t="shared" si="8"/>
        <v>368273.18570893124</v>
      </c>
      <c r="L15" s="796">
        <f>SUM(L11:L14)</f>
        <v>20863301.459572796</v>
      </c>
      <c r="O15" s="153"/>
      <c r="P15" s="44"/>
      <c r="T15" s="153"/>
      <c r="U15" s="53" t="s">
        <v>1001</v>
      </c>
      <c r="W15" s="1" t="s">
        <v>1002</v>
      </c>
    </row>
    <row r="16" spans="1:25" x14ac:dyDescent="0.25">
      <c r="A16" s="941" t="s">
        <v>971</v>
      </c>
      <c r="C16" s="418"/>
      <c r="D16" s="791"/>
      <c r="E16" s="792" t="s">
        <v>351</v>
      </c>
      <c r="F16" s="743">
        <f>F15-G25</f>
        <v>0</v>
      </c>
      <c r="G16" s="743">
        <f>G15-H25</f>
        <v>0</v>
      </c>
      <c r="H16" s="743"/>
      <c r="K16" s="792" t="s">
        <v>351</v>
      </c>
      <c r="L16" s="743">
        <f>L15-D3</f>
        <v>0</v>
      </c>
      <c r="M16" s="194"/>
      <c r="O16" s="153"/>
      <c r="P16" s="44"/>
    </row>
    <row r="17" spans="1:16" x14ac:dyDescent="0.25">
      <c r="B17" s="1" t="s">
        <v>997</v>
      </c>
      <c r="D17" s="27"/>
      <c r="H17" s="120"/>
      <c r="L17" s="12"/>
      <c r="N17" s="528"/>
      <c r="O17" s="44"/>
    </row>
    <row r="18" spans="1:16" x14ac:dyDescent="0.25">
      <c r="D18" s="109"/>
      <c r="H18" s="120"/>
      <c r="L18" s="12"/>
      <c r="N18" s="528"/>
      <c r="O18" s="44"/>
    </row>
    <row r="19" spans="1:16" ht="16.5" thickBot="1" x14ac:dyDescent="0.3">
      <c r="H19" s="120"/>
      <c r="K19" s="12"/>
      <c r="N19" s="529"/>
      <c r="O19" s="44"/>
    </row>
    <row r="20" spans="1:16" x14ac:dyDescent="0.25">
      <c r="E20" s="825"/>
      <c r="F20" s="826"/>
      <c r="G20" s="826"/>
      <c r="H20" s="827"/>
      <c r="I20" s="828"/>
      <c r="J20" s="829"/>
      <c r="K20" s="12"/>
    </row>
    <row r="21" spans="1:16" x14ac:dyDescent="0.25">
      <c r="E21" s="830"/>
      <c r="F21" s="55"/>
      <c r="G21" s="55"/>
      <c r="H21" s="55"/>
      <c r="I21" s="55"/>
      <c r="J21" s="165"/>
      <c r="K21" s="109"/>
      <c r="O21" s="12"/>
    </row>
    <row r="22" spans="1:16" ht="16.5" thickBot="1" x14ac:dyDescent="0.3">
      <c r="E22" s="831"/>
      <c r="F22" s="1016" t="s">
        <v>999</v>
      </c>
      <c r="G22" s="1016"/>
      <c r="H22" s="1016"/>
      <c r="I22" s="1016"/>
      <c r="J22" s="832"/>
      <c r="K22" s="44"/>
      <c r="L22" s="44"/>
      <c r="P22" s="12"/>
    </row>
    <row r="23" spans="1:16" ht="26.25" thickBot="1" x14ac:dyDescent="0.3">
      <c r="E23" s="830"/>
      <c r="F23" s="451">
        <v>2020</v>
      </c>
      <c r="G23" s="435" t="s">
        <v>473</v>
      </c>
      <c r="H23" s="814" t="s">
        <v>474</v>
      </c>
      <c r="I23" s="802" t="s">
        <v>317</v>
      </c>
      <c r="J23" s="832"/>
      <c r="K23" s="500"/>
      <c r="L23" s="500"/>
      <c r="P23" s="12"/>
    </row>
    <row r="24" spans="1:16" ht="16.5" thickBot="1" x14ac:dyDescent="0.3">
      <c r="D24" s="943"/>
      <c r="E24" s="830"/>
      <c r="F24" s="815"/>
      <c r="G24" s="817">
        <v>0.8</v>
      </c>
      <c r="H24" s="942">
        <f>1-G24</f>
        <v>0.19999999999999996</v>
      </c>
      <c r="I24" s="818"/>
      <c r="J24" s="832"/>
      <c r="K24" s="153"/>
      <c r="L24" s="153"/>
      <c r="O24" s="44"/>
      <c r="P24" s="44"/>
    </row>
    <row r="25" spans="1:16" ht="16.5" thickBot="1" x14ac:dyDescent="0.3">
      <c r="E25" s="830"/>
      <c r="F25" s="803" t="s">
        <v>119</v>
      </c>
      <c r="G25" s="348">
        <f>$D$7*G24</f>
        <v>15591702.619091094</v>
      </c>
      <c r="H25" s="348">
        <f>$D$7*H24</f>
        <v>3897925.6547727725</v>
      </c>
      <c r="I25" s="816">
        <f>H25+G25-D7</f>
        <v>0</v>
      </c>
      <c r="J25" s="832"/>
      <c r="K25" s="153"/>
      <c r="L25" s="153"/>
      <c r="M25" s="44"/>
      <c r="N25" s="44"/>
      <c r="O25" s="44"/>
      <c r="P25" s="44"/>
    </row>
    <row r="26" spans="1:16" x14ac:dyDescent="0.25">
      <c r="E26" s="833"/>
      <c r="F26" s="730" t="s">
        <v>3</v>
      </c>
      <c r="G26" s="731">
        <v>0.29479755737149654</v>
      </c>
      <c r="H26" s="819">
        <v>0.2742</v>
      </c>
      <c r="I26" s="55"/>
      <c r="J26" s="834"/>
      <c r="K26" s="153"/>
      <c r="L26" s="153"/>
      <c r="M26" s="44"/>
      <c r="N26" s="44"/>
      <c r="O26" s="50"/>
      <c r="P26" s="50"/>
    </row>
    <row r="27" spans="1:16" x14ac:dyDescent="0.25">
      <c r="E27" s="833"/>
      <c r="F27" s="732" t="s">
        <v>2</v>
      </c>
      <c r="G27" s="733">
        <v>0.41393447339579265</v>
      </c>
      <c r="H27" s="820">
        <v>0.34360000000000002</v>
      </c>
      <c r="I27" s="55"/>
      <c r="J27" s="834"/>
      <c r="K27" s="821"/>
      <c r="L27" s="821"/>
      <c r="M27" s="822"/>
      <c r="N27" s="224"/>
      <c r="O27" s="520"/>
      <c r="P27" s="521"/>
    </row>
    <row r="28" spans="1:16" ht="16.5" thickBot="1" x14ac:dyDescent="0.3">
      <c r="E28" s="833"/>
      <c r="F28" s="734" t="s">
        <v>1</v>
      </c>
      <c r="G28" s="872">
        <v>0.29126796923271076</v>
      </c>
      <c r="H28" s="873">
        <v>0.38219999999999998</v>
      </c>
      <c r="I28" s="55"/>
      <c r="J28" s="835"/>
      <c r="K28" s="528"/>
      <c r="L28" s="44"/>
      <c r="M28" s="519"/>
      <c r="N28" s="520"/>
      <c r="O28" s="521"/>
    </row>
    <row r="29" spans="1:16" x14ac:dyDescent="0.25">
      <c r="A29" s="526"/>
      <c r="B29" s="2"/>
      <c r="E29" s="833"/>
      <c r="F29" s="44"/>
      <c r="G29" s="874">
        <f>SUM(G26:G28)</f>
        <v>1</v>
      </c>
      <c r="H29" s="874">
        <f>SUM(H26:H28)</f>
        <v>1</v>
      </c>
      <c r="I29" s="55"/>
      <c r="J29" s="832"/>
      <c r="K29" s="521"/>
    </row>
    <row r="30" spans="1:16" ht="16.5" thickBot="1" x14ac:dyDescent="0.3">
      <c r="A30" s="527"/>
      <c r="E30" s="836"/>
      <c r="F30" s="837"/>
      <c r="G30" s="871" t="s">
        <v>502</v>
      </c>
      <c r="H30" s="870" t="s">
        <v>973</v>
      </c>
      <c r="I30" s="838"/>
      <c r="J30" s="839"/>
      <c r="K30" s="521"/>
    </row>
    <row r="31" spans="1:16" x14ac:dyDescent="0.25">
      <c r="C31" s="53"/>
      <c r="D31" s="44"/>
      <c r="F31" s="529"/>
      <c r="G31" s="529"/>
      <c r="H31" s="44"/>
      <c r="I31" s="44"/>
      <c r="J31" s="520"/>
      <c r="K31" s="521"/>
    </row>
    <row r="32" spans="1:16" x14ac:dyDescent="0.25">
      <c r="C32" s="53"/>
      <c r="D32" s="53"/>
      <c r="F32" s="307"/>
      <c r="G32" s="307"/>
      <c r="H32" s="569"/>
      <c r="I32" s="44"/>
      <c r="J32" s="520"/>
      <c r="K32" s="50"/>
    </row>
    <row r="33" spans="3:11" x14ac:dyDescent="0.25">
      <c r="C33" s="44"/>
      <c r="D33" s="44"/>
      <c r="E33" s="517"/>
      <c r="F33" s="44"/>
      <c r="G33" s="44"/>
      <c r="H33" s="44"/>
      <c r="I33" s="44"/>
      <c r="J33" s="522"/>
      <c r="K33" s="50"/>
    </row>
    <row r="34" spans="3:11" x14ac:dyDescent="0.25">
      <c r="C34" s="53"/>
      <c r="D34" s="53"/>
      <c r="E34" s="518"/>
      <c r="F34" s="494"/>
      <c r="G34" s="494"/>
      <c r="H34" s="948"/>
      <c r="I34" s="948"/>
      <c r="J34" s="949"/>
      <c r="K34" s="44"/>
    </row>
    <row r="35" spans="3:11" x14ac:dyDescent="0.25">
      <c r="C35" s="53"/>
      <c r="D35" s="44"/>
      <c r="E35" s="44"/>
      <c r="F35" s="44"/>
      <c r="G35" s="44"/>
      <c r="H35" s="44"/>
      <c r="I35" s="44"/>
      <c r="J35" s="50"/>
      <c r="K35" s="44"/>
    </row>
    <row r="36" spans="3:11" x14ac:dyDescent="0.25">
      <c r="C36" s="53"/>
      <c r="D36" s="44"/>
      <c r="E36" s="44"/>
      <c r="F36" s="44"/>
      <c r="G36" s="44"/>
      <c r="H36" s="44"/>
      <c r="I36" s="44"/>
      <c r="J36" s="521"/>
      <c r="K36" s="44"/>
    </row>
    <row r="37" spans="3:11" x14ac:dyDescent="0.25">
      <c r="C37" s="53"/>
      <c r="D37" s="44"/>
      <c r="E37" s="517"/>
      <c r="F37" s="523"/>
      <c r="G37" s="523"/>
      <c r="H37" s="44"/>
      <c r="I37" s="520"/>
      <c r="J37" s="521"/>
      <c r="K37" s="44"/>
    </row>
    <row r="38" spans="3:11" x14ac:dyDescent="0.25">
      <c r="C38" s="53"/>
      <c r="D38" s="44"/>
      <c r="E38" s="516"/>
      <c r="F38" s="523"/>
      <c r="G38" s="523"/>
      <c r="H38" s="44"/>
      <c r="I38" s="520"/>
      <c r="J38" s="521"/>
      <c r="K38" s="44"/>
    </row>
    <row r="39" spans="3:11" x14ac:dyDescent="0.25">
      <c r="C39" s="53"/>
      <c r="D39" s="53"/>
      <c r="E39" s="517"/>
      <c r="F39" s="523"/>
      <c r="G39" s="523"/>
      <c r="H39" s="44"/>
      <c r="I39" s="520"/>
      <c r="J39" s="521"/>
      <c r="K39" s="44"/>
    </row>
    <row r="40" spans="3:11" x14ac:dyDescent="0.25">
      <c r="C40" s="53"/>
      <c r="D40" s="44"/>
      <c r="E40" s="517"/>
      <c r="F40" s="523"/>
      <c r="G40" s="523"/>
      <c r="H40" s="44"/>
      <c r="I40" s="520"/>
      <c r="J40" s="521"/>
      <c r="K40" s="44"/>
    </row>
    <row r="41" spans="3:11" x14ac:dyDescent="0.25">
      <c r="C41" s="53"/>
      <c r="D41" s="53"/>
      <c r="E41" s="518"/>
      <c r="F41" s="524"/>
      <c r="G41" s="524"/>
      <c r="H41" s="44"/>
      <c r="I41" s="520"/>
      <c r="J41" s="50"/>
      <c r="K41" s="44"/>
    </row>
    <row r="42" spans="3:11" x14ac:dyDescent="0.25">
      <c r="C42" s="53"/>
      <c r="D42" s="44"/>
      <c r="E42" s="44"/>
      <c r="F42" s="524"/>
      <c r="G42" s="524"/>
      <c r="H42" s="44"/>
      <c r="I42" s="520"/>
      <c r="J42" s="50"/>
      <c r="K42" s="44"/>
    </row>
    <row r="43" spans="3:11" x14ac:dyDescent="0.25">
      <c r="C43" s="46"/>
      <c r="D43" s="44"/>
      <c r="E43" s="44"/>
      <c r="F43" s="524"/>
      <c r="G43" s="524"/>
      <c r="H43" s="44"/>
      <c r="I43" s="520"/>
      <c r="J43" s="521"/>
      <c r="K43" s="44"/>
    </row>
    <row r="44" spans="3:11" x14ac:dyDescent="0.25">
      <c r="C44" s="107"/>
      <c r="D44" s="44"/>
      <c r="E44" s="515"/>
      <c r="F44" s="523"/>
      <c r="G44" s="523"/>
      <c r="H44" s="44"/>
      <c r="I44" s="520"/>
      <c r="J44" s="521"/>
      <c r="K44" s="44"/>
    </row>
    <row r="45" spans="3:11" x14ac:dyDescent="0.25">
      <c r="C45" s="107"/>
      <c r="D45" s="44"/>
      <c r="E45" s="516"/>
      <c r="F45" s="523"/>
      <c r="G45" s="523"/>
      <c r="H45" s="44"/>
      <c r="I45" s="520"/>
      <c r="J45" s="521"/>
      <c r="K45" s="44"/>
    </row>
    <row r="46" spans="3:11" x14ac:dyDescent="0.25">
      <c r="C46" s="107"/>
      <c r="D46" s="53"/>
      <c r="E46" s="517"/>
      <c r="F46" s="523"/>
      <c r="G46" s="523"/>
      <c r="H46" s="44"/>
      <c r="I46" s="520"/>
      <c r="J46" s="521"/>
      <c r="K46" s="44"/>
    </row>
    <row r="47" spans="3:11" x14ac:dyDescent="0.25">
      <c r="C47" s="94"/>
      <c r="D47" s="44"/>
      <c r="E47" s="517"/>
      <c r="F47" s="523"/>
      <c r="G47" s="523"/>
      <c r="H47" s="44"/>
      <c r="I47" s="520"/>
      <c r="J47" s="521"/>
      <c r="K47" s="44"/>
    </row>
    <row r="48" spans="3:11" x14ac:dyDescent="0.25">
      <c r="C48" s="511"/>
      <c r="D48" s="53"/>
      <c r="E48" s="518"/>
      <c r="F48" s="524"/>
      <c r="G48" s="524"/>
      <c r="H48" s="44"/>
      <c r="I48" s="520"/>
      <c r="J48" s="50"/>
      <c r="K48" s="44"/>
    </row>
    <row r="49" spans="3:11" x14ac:dyDescent="0.25">
      <c r="C49" s="44"/>
      <c r="D49" s="44"/>
      <c r="E49" s="44"/>
      <c r="F49" s="524"/>
      <c r="G49" s="524"/>
      <c r="H49" s="44"/>
      <c r="I49" s="520"/>
      <c r="J49" s="50"/>
      <c r="K49" s="44"/>
    </row>
    <row r="50" spans="3:11" x14ac:dyDescent="0.25">
      <c r="C50" s="44"/>
      <c r="D50" s="44"/>
      <c r="E50" s="44"/>
      <c r="F50" s="524"/>
      <c r="G50" s="524"/>
      <c r="H50" s="44"/>
      <c r="I50" s="520"/>
      <c r="J50" s="521"/>
      <c r="K50" s="44"/>
    </row>
    <row r="51" spans="3:11" x14ac:dyDescent="0.25">
      <c r="C51" s="44"/>
      <c r="D51" s="44"/>
      <c r="E51" s="517"/>
      <c r="F51" s="523"/>
      <c r="G51" s="523"/>
      <c r="H51" s="44"/>
      <c r="I51" s="520"/>
      <c r="J51" s="521"/>
      <c r="K51" s="44"/>
    </row>
    <row r="52" spans="3:11" x14ac:dyDescent="0.25">
      <c r="C52" s="44"/>
      <c r="D52" s="44"/>
      <c r="E52" s="516"/>
      <c r="F52" s="523"/>
      <c r="G52" s="523"/>
      <c r="H52" s="44"/>
      <c r="I52" s="520"/>
      <c r="J52" s="521"/>
      <c r="K52" s="44"/>
    </row>
    <row r="53" spans="3:11" x14ac:dyDescent="0.25">
      <c r="C53" s="44"/>
      <c r="D53" s="53"/>
      <c r="E53" s="517"/>
      <c r="F53" s="523"/>
      <c r="G53" s="523"/>
      <c r="H53" s="44"/>
      <c r="I53" s="520"/>
      <c r="J53" s="521"/>
      <c r="K53" s="44"/>
    </row>
    <row r="54" spans="3:11" hidden="1" x14ac:dyDescent="0.25">
      <c r="C54" s="44"/>
      <c r="D54" s="44"/>
      <c r="E54" s="517"/>
      <c r="F54" s="523"/>
      <c r="G54" s="523"/>
      <c r="H54" s="44"/>
      <c r="I54" s="520"/>
      <c r="J54" s="521"/>
      <c r="K54" s="44"/>
    </row>
    <row r="55" spans="3:11" x14ac:dyDescent="0.25">
      <c r="C55" s="44"/>
      <c r="D55" s="44"/>
      <c r="E55" s="518"/>
      <c r="F55" s="44"/>
      <c r="G55" s="44"/>
      <c r="H55" s="44"/>
      <c r="I55" s="520"/>
      <c r="J55" s="44"/>
      <c r="K55" s="44"/>
    </row>
    <row r="56" spans="3:11" x14ac:dyDescent="0.25">
      <c r="C56" s="44"/>
      <c r="D56" s="44"/>
      <c r="E56" s="44"/>
      <c r="F56" s="525"/>
      <c r="G56" s="525"/>
      <c r="H56" s="44"/>
      <c r="I56" s="44"/>
      <c r="J56" s="44"/>
      <c r="K56" s="44"/>
    </row>
    <row r="57" spans="3:11" x14ac:dyDescent="0.25">
      <c r="C57" s="44"/>
      <c r="D57" s="44"/>
      <c r="E57" s="44"/>
      <c r="F57" s="44"/>
      <c r="G57" s="44"/>
      <c r="H57" s="44"/>
      <c r="I57" s="44"/>
      <c r="J57" s="44"/>
    </row>
    <row r="58" spans="3:11" x14ac:dyDescent="0.25">
      <c r="E58" s="44"/>
      <c r="F58" s="44"/>
      <c r="G58" s="44"/>
      <c r="H58" s="44"/>
      <c r="I58" s="44"/>
      <c r="J58" s="44"/>
    </row>
    <row r="59" spans="3:11" x14ac:dyDescent="0.25">
      <c r="E59" s="44"/>
      <c r="F59" s="44"/>
      <c r="G59" s="44"/>
      <c r="H59" s="44"/>
      <c r="I59" s="44"/>
    </row>
  </sheetData>
  <mergeCells count="2">
    <mergeCell ref="F22:I22"/>
    <mergeCell ref="U9:X9"/>
  </mergeCells>
  <conditionalFormatting sqref="F37:G5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{89B468E4-1435-40B8-BDCF-E6D69F28003F}</x14:id>
        </ext>
      </extLst>
    </cfRule>
  </conditionalFormatting>
  <conditionalFormatting sqref="J36:J5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{E8493E7E-D5D4-4A92-9641-EC08BE64C41E}</x14:id>
        </ext>
      </extLst>
    </cfRule>
  </conditionalFormatting>
  <printOptions horizontalCentered="1"/>
  <pageMargins left="0" right="0" top="1.3779527559055118" bottom="0" header="0.70866141732283472" footer="0.31496062992125984"/>
  <pageSetup paperSize="9" scale="47" orientation="landscape" r:id="rId1"/>
  <headerFooter>
    <oddHeader>&amp;R&amp;Z&amp;F
List: &amp;A</oddHead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B468E4-1435-40B8-BDCF-E6D69F28003F}">
            <x14:dataBar minLength="0" maxLength="100" negativeBarColorSameAsPositive="1" axisPosition="none">
              <x14:cfvo type="min"/>
              <x14:cfvo type="max"/>
            </x14:dataBar>
          </x14:cfRule>
          <xm:sqref>F37:G56</xm:sqref>
        </x14:conditionalFormatting>
        <x14:conditionalFormatting xmlns:xm="http://schemas.microsoft.com/office/excel/2006/main">
          <x14:cfRule type="dataBar" id="{E8493E7E-D5D4-4A92-9641-EC08BE64C41E}">
            <x14:dataBar minLength="0" maxLength="100" negativeBarColorSameAsPositive="1" axisPosition="none">
              <x14:cfvo type="min"/>
              <x14:cfvo type="max"/>
            </x14:dataBar>
          </x14:cfRule>
          <xm:sqref>J36:J54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I42"/>
  <sheetViews>
    <sheetView workbookViewId="0">
      <selection activeCell="K8" sqref="K8"/>
    </sheetView>
  </sheetViews>
  <sheetFormatPr defaultColWidth="9.140625" defaultRowHeight="12.75" x14ac:dyDescent="0.2"/>
  <cols>
    <col min="1" max="1" width="38.140625" style="42" customWidth="1"/>
    <col min="2" max="2" width="19.5703125" style="42" customWidth="1"/>
    <col min="3" max="3" width="19" style="42" customWidth="1"/>
    <col min="4" max="4" width="19.7109375" style="42" customWidth="1"/>
    <col min="5" max="5" width="19" style="42" customWidth="1"/>
    <col min="6" max="6" width="18" style="42" customWidth="1"/>
    <col min="7" max="7" width="5.42578125" style="42" customWidth="1"/>
    <col min="8" max="8" width="18.5703125" style="42" customWidth="1"/>
    <col min="9" max="9" width="10.7109375" style="42" customWidth="1"/>
    <col min="10" max="11" width="13.140625" style="42" bestFit="1" customWidth="1"/>
    <col min="12" max="12" width="12.85546875" style="42" customWidth="1"/>
    <col min="13" max="13" width="13" style="42" customWidth="1"/>
    <col min="14" max="14" width="14.28515625" style="42" customWidth="1"/>
    <col min="15" max="16384" width="9.140625" style="42"/>
  </cols>
  <sheetData>
    <row r="1" spans="1:7" ht="18.75" x14ac:dyDescent="0.3">
      <c r="A1" s="8" t="s">
        <v>582</v>
      </c>
      <c r="B1" s="51"/>
    </row>
    <row r="2" spans="1:7" ht="9" customHeight="1" x14ac:dyDescent="0.25">
      <c r="B2" s="51"/>
    </row>
    <row r="3" spans="1:7" ht="41.25" customHeight="1" thickBot="1" x14ac:dyDescent="0.3">
      <c r="B3" s="15" t="s">
        <v>583</v>
      </c>
      <c r="C3" s="314" t="s">
        <v>293</v>
      </c>
      <c r="D3" s="314" t="s">
        <v>258</v>
      </c>
    </row>
    <row r="4" spans="1:7" ht="19.5" thickBot="1" x14ac:dyDescent="0.35">
      <c r="A4" s="12" t="s">
        <v>119</v>
      </c>
      <c r="B4" s="309">
        <f>'0_PRIDEL'!N21</f>
        <v>19356549.993350361</v>
      </c>
      <c r="C4" s="315">
        <f>'0_PRIDEL'!N19</f>
        <v>19050830.259985399</v>
      </c>
      <c r="D4" s="328">
        <f>'0_PRIDEL'!N20</f>
        <v>305719.73336496</v>
      </c>
    </row>
    <row r="5" spans="1:7" ht="16.5" x14ac:dyDescent="0.25">
      <c r="B5" s="51"/>
    </row>
    <row r="6" spans="1:7" ht="16.5" thickBot="1" x14ac:dyDescent="0.3">
      <c r="B6" s="41" t="s">
        <v>117</v>
      </c>
      <c r="C6" s="41" t="s">
        <v>3</v>
      </c>
      <c r="D6" s="41" t="s">
        <v>2</v>
      </c>
      <c r="E6" s="41" t="s">
        <v>1</v>
      </c>
      <c r="F6" s="1"/>
    </row>
    <row r="7" spans="1:7" ht="17.25" thickBot="1" x14ac:dyDescent="0.3">
      <c r="A7" s="356" t="s">
        <v>283</v>
      </c>
      <c r="B7" s="64">
        <v>5632705.5</v>
      </c>
      <c r="C7" s="64">
        <v>2399865.37</v>
      </c>
      <c r="D7" s="64">
        <v>6679707.5899999999</v>
      </c>
      <c r="E7" s="312">
        <v>4338551.79</v>
      </c>
      <c r="F7" s="315">
        <f>SUM(B7:E7)</f>
        <v>19050830.25</v>
      </c>
    </row>
    <row r="8" spans="1:7" ht="15.75" x14ac:dyDescent="0.25">
      <c r="A8" s="323" t="s">
        <v>260</v>
      </c>
      <c r="B8" s="571">
        <v>475159.91</v>
      </c>
      <c r="C8" s="199"/>
      <c r="D8" s="199"/>
      <c r="E8" s="199"/>
      <c r="F8" s="313">
        <f>SUM(B8:E8)</f>
        <v>475159.91</v>
      </c>
      <c r="G8" s="573"/>
    </row>
    <row r="9" spans="1:7" ht="15.75" x14ac:dyDescent="0.25">
      <c r="A9" s="324" t="s">
        <v>318</v>
      </c>
      <c r="B9" s="457">
        <v>5080.5200000000004</v>
      </c>
      <c r="F9" s="64">
        <f>SUM(B9:E9)</f>
        <v>5080.5200000000004</v>
      </c>
      <c r="G9" s="573"/>
    </row>
    <row r="10" spans="1:7" ht="15.75" x14ac:dyDescent="0.25">
      <c r="A10" s="357" t="s">
        <v>261</v>
      </c>
      <c r="B10" s="572">
        <v>3933728.44</v>
      </c>
      <c r="C10" s="358"/>
      <c r="D10" s="358"/>
      <c r="E10" s="359"/>
      <c r="F10" s="64">
        <f t="shared" ref="F10:F20" si="0">SUM(B10:E10)</f>
        <v>3933728.44</v>
      </c>
      <c r="G10" s="573"/>
    </row>
    <row r="11" spans="1:7" ht="15.75" x14ac:dyDescent="0.25">
      <c r="A11" s="325" t="s">
        <v>256</v>
      </c>
      <c r="B11" s="310">
        <f>SUM(B8:B10)</f>
        <v>4413968.87</v>
      </c>
      <c r="C11" s="310"/>
      <c r="D11" s="310"/>
      <c r="E11" s="311"/>
      <c r="F11" s="64">
        <f t="shared" si="0"/>
        <v>4413968.87</v>
      </c>
      <c r="G11" s="573"/>
    </row>
    <row r="12" spans="1:7" ht="15.75" x14ac:dyDescent="0.25">
      <c r="A12" s="324" t="s">
        <v>255</v>
      </c>
      <c r="B12" s="199"/>
      <c r="C12" s="412">
        <v>711</v>
      </c>
      <c r="D12" s="412">
        <v>2146</v>
      </c>
      <c r="E12" s="412">
        <v>1243</v>
      </c>
      <c r="F12" s="64">
        <f>SUM(B12:E12)</f>
        <v>4100</v>
      </c>
      <c r="G12" s="573"/>
    </row>
    <row r="13" spans="1:7" ht="15.75" x14ac:dyDescent="0.25">
      <c r="A13" s="325" t="s">
        <v>257</v>
      </c>
      <c r="B13" s="310">
        <f>B12/$F$12*$B$11</f>
        <v>0</v>
      </c>
      <c r="C13" s="310">
        <f>C12/$F$12*$B$11</f>
        <v>765446.79672439024</v>
      </c>
      <c r="D13" s="310">
        <f>D12/$F$12*$B$11</f>
        <v>2310335.9012243906</v>
      </c>
      <c r="E13" s="311">
        <f>E12/$F$12*$B$11</f>
        <v>1338186.1720512195</v>
      </c>
      <c r="F13" s="64">
        <f t="shared" si="0"/>
        <v>4413968.87</v>
      </c>
    </row>
    <row r="14" spans="1:7" ht="15.75" x14ac:dyDescent="0.25">
      <c r="A14" s="57"/>
      <c r="B14" s="199"/>
      <c r="C14" s="199"/>
      <c r="D14" s="199"/>
      <c r="E14" s="199"/>
      <c r="F14" s="100"/>
    </row>
    <row r="15" spans="1:7" ht="15.75" x14ac:dyDescent="0.25">
      <c r="A15" s="326" t="s">
        <v>259</v>
      </c>
      <c r="B15" s="413">
        <v>1218736.6299999999</v>
      </c>
      <c r="C15" s="320"/>
      <c r="D15" s="320"/>
      <c r="E15" s="321"/>
      <c r="F15" s="64">
        <f t="shared" si="0"/>
        <v>1218736.6299999999</v>
      </c>
      <c r="G15" s="575"/>
    </row>
    <row r="16" spans="1:7" ht="15.75" x14ac:dyDescent="0.25">
      <c r="A16" s="325" t="s">
        <v>262</v>
      </c>
      <c r="B16" s="310">
        <f>B15</f>
        <v>1218736.6299999999</v>
      </c>
      <c r="C16" s="316"/>
      <c r="D16" s="316"/>
      <c r="E16" s="322"/>
      <c r="F16" s="64">
        <f t="shared" si="0"/>
        <v>1218736.6299999999</v>
      </c>
    </row>
    <row r="17" spans="1:7" ht="15.75" x14ac:dyDescent="0.25">
      <c r="A17" s="327" t="s">
        <v>319</v>
      </c>
      <c r="B17" s="574">
        <f>2.76+3.16</f>
        <v>5.92</v>
      </c>
      <c r="C17" s="414">
        <v>17.7</v>
      </c>
      <c r="D17" s="574">
        <v>50.09</v>
      </c>
      <c r="E17" s="414">
        <v>34.64</v>
      </c>
      <c r="F17" s="374">
        <f t="shared" si="0"/>
        <v>108.35000000000001</v>
      </c>
      <c r="G17" s="576"/>
    </row>
    <row r="18" spans="1:7" ht="16.5" thickBot="1" x14ac:dyDescent="0.3">
      <c r="A18" s="325" t="s">
        <v>263</v>
      </c>
      <c r="B18" s="303">
        <f>$B$16*B17/$F$17</f>
        <v>66589.024915551447</v>
      </c>
      <c r="C18" s="303">
        <f>$B$16*C17/$F$17</f>
        <v>199092.18598061832</v>
      </c>
      <c r="D18" s="303">
        <f>$B$16*D17/$F$17</f>
        <v>563419.63817904936</v>
      </c>
      <c r="E18" s="303">
        <f>$B$16*E17/$F$17</f>
        <v>389635.7809247807</v>
      </c>
      <c r="F18" s="317">
        <f t="shared" si="0"/>
        <v>1218736.6299999999</v>
      </c>
    </row>
    <row r="19" spans="1:7" ht="17.25" thickBot="1" x14ac:dyDescent="0.3">
      <c r="B19" s="318">
        <f>B7-B11-B16+B18</f>
        <v>66589.024915551447</v>
      </c>
      <c r="C19" s="319">
        <f>C7+C13+C18</f>
        <v>3364404.3527050088</v>
      </c>
      <c r="D19" s="319">
        <f>D7+D13+D18</f>
        <v>9553463.1294034384</v>
      </c>
      <c r="E19" s="319">
        <f>E7+E13+E18</f>
        <v>6066373.7429759996</v>
      </c>
      <c r="F19" s="315">
        <f>SUM(B19:E19)</f>
        <v>19050830.249999996</v>
      </c>
    </row>
    <row r="20" spans="1:7" ht="17.25" thickBot="1" x14ac:dyDescent="0.3">
      <c r="A20" s="372" t="s">
        <v>292</v>
      </c>
      <c r="B20" s="380">
        <f>B19/$F$19</f>
        <v>3.4953345361707507E-3</v>
      </c>
      <c r="C20" s="380">
        <f>C19/$F$19</f>
        <v>0.17660145560873966</v>
      </c>
      <c r="D20" s="380">
        <f>D19/$F$19</f>
        <v>0.50147227202360067</v>
      </c>
      <c r="E20" s="380">
        <f>E19/$F$19</f>
        <v>0.31843093783148901</v>
      </c>
      <c r="F20" s="382">
        <f t="shared" si="0"/>
        <v>1</v>
      </c>
    </row>
    <row r="21" spans="1:7" ht="17.25" thickBot="1" x14ac:dyDescent="0.3">
      <c r="A21" s="377" t="s">
        <v>258</v>
      </c>
      <c r="B21" s="379">
        <f>B20*$F$21</f>
        <v>1068.5927424194581</v>
      </c>
      <c r="C21" s="379">
        <f>C20*$F$21</f>
        <v>53990.549920567712</v>
      </c>
      <c r="D21" s="379">
        <f>D20*$F$21</f>
        <v>153309.9692929759</v>
      </c>
      <c r="E21" s="379">
        <f>E20*$F$21</f>
        <v>97350.621408996973</v>
      </c>
      <c r="F21" s="378">
        <f>D4</f>
        <v>305719.73336496</v>
      </c>
    </row>
    <row r="22" spans="1:7" ht="19.5" thickBot="1" x14ac:dyDescent="0.35">
      <c r="A22" s="248" t="s">
        <v>387</v>
      </c>
      <c r="B22" s="329">
        <f>B19+B21</f>
        <v>67657.617657970899</v>
      </c>
      <c r="C22" s="329">
        <f>C19+C21</f>
        <v>3418394.9026255766</v>
      </c>
      <c r="D22" s="329">
        <f>D19+D21</f>
        <v>9706773.0986964144</v>
      </c>
      <c r="E22" s="329">
        <f>E19+E21</f>
        <v>6163724.3643849967</v>
      </c>
      <c r="F22" s="799">
        <f>SUM(B22:E22)</f>
        <v>19356549.983364958</v>
      </c>
    </row>
    <row r="23" spans="1:7" ht="16.5" x14ac:dyDescent="0.25">
      <c r="B23" s="51"/>
    </row>
    <row r="24" spans="1:7" ht="57.75" x14ac:dyDescent="0.25">
      <c r="C24" s="1"/>
      <c r="D24" s="364"/>
      <c r="E24" s="364"/>
      <c r="F24" s="381" t="s">
        <v>282</v>
      </c>
    </row>
    <row r="25" spans="1:7" ht="15.75" x14ac:dyDescent="0.25">
      <c r="D25" s="363"/>
      <c r="E25" s="39" t="s">
        <v>9</v>
      </c>
      <c r="F25" s="304">
        <v>67658</v>
      </c>
    </row>
    <row r="26" spans="1:7" ht="16.5" x14ac:dyDescent="0.25">
      <c r="A26" s="12"/>
      <c r="D26" s="364"/>
      <c r="E26" s="4" t="s">
        <v>3</v>
      </c>
      <c r="F26" s="304">
        <v>3418395</v>
      </c>
    </row>
    <row r="27" spans="1:7" ht="15.75" x14ac:dyDescent="0.25">
      <c r="A27" s="12"/>
      <c r="D27" s="363"/>
      <c r="E27" s="39" t="s">
        <v>2</v>
      </c>
      <c r="F27" s="304">
        <v>9706773</v>
      </c>
    </row>
    <row r="28" spans="1:7" ht="17.25" thickBot="1" x14ac:dyDescent="0.3">
      <c r="D28" s="364"/>
      <c r="E28" s="4" t="s">
        <v>1</v>
      </c>
      <c r="F28" s="304">
        <v>6163724</v>
      </c>
    </row>
    <row r="29" spans="1:7" ht="19.5" thickBot="1" x14ac:dyDescent="0.35">
      <c r="C29" s="33"/>
      <c r="D29" s="363"/>
      <c r="E29" s="363"/>
      <c r="F29" s="309">
        <f>SUM(F25:F28)</f>
        <v>19356550</v>
      </c>
    </row>
    <row r="30" spans="1:7" ht="16.5" x14ac:dyDescent="0.25">
      <c r="B30" s="51"/>
      <c r="D30" s="364"/>
      <c r="E30" s="364"/>
      <c r="F30" s="741">
        <v>19356549.98</v>
      </c>
    </row>
    <row r="31" spans="1:7" ht="15.75" x14ac:dyDescent="0.25">
      <c r="A31" s="360"/>
      <c r="B31" s="50"/>
      <c r="C31" s="50"/>
      <c r="D31" s="28"/>
      <c r="E31" s="28"/>
      <c r="F31" s="411">
        <f>F30-F29</f>
        <v>-1.9999999552965164E-2</v>
      </c>
      <c r="G31" s="360"/>
    </row>
    <row r="32" spans="1:7" s="1" customFormat="1" ht="15.75" x14ac:dyDescent="0.25">
      <c r="A32" s="356"/>
      <c r="B32" s="28"/>
      <c r="C32" s="28"/>
      <c r="D32" s="28"/>
      <c r="E32" s="28"/>
      <c r="F32" s="362"/>
      <c r="G32" s="361"/>
    </row>
    <row r="33" spans="1:9" s="1" customFormat="1" ht="15.75" x14ac:dyDescent="0.25">
      <c r="A33" s="361"/>
      <c r="B33" s="28"/>
      <c r="C33" s="28"/>
      <c r="D33" s="28"/>
      <c r="E33" s="28"/>
      <c r="F33" s="363"/>
      <c r="G33" s="361"/>
      <c r="I33" s="3"/>
    </row>
    <row r="34" spans="1:9" s="1" customFormat="1" ht="16.5" x14ac:dyDescent="0.25">
      <c r="A34" s="361"/>
      <c r="B34" s="28"/>
      <c r="C34" s="28"/>
      <c r="D34" s="28"/>
      <c r="E34" s="28"/>
      <c r="F34" s="364"/>
      <c r="G34" s="361"/>
    </row>
    <row r="35" spans="1:9" s="1" customFormat="1" ht="15.75" x14ac:dyDescent="0.25">
      <c r="A35" s="951"/>
      <c r="B35" s="28"/>
      <c r="C35" s="28"/>
      <c r="D35" s="28"/>
      <c r="E35" s="28"/>
      <c r="F35" s="361"/>
      <c r="G35" s="365"/>
      <c r="H35" s="3"/>
    </row>
    <row r="36" spans="1:9" s="1" customFormat="1" ht="18.75" x14ac:dyDescent="0.3">
      <c r="A36" s="361"/>
      <c r="B36" s="28"/>
      <c r="C36" s="28"/>
      <c r="D36" s="28"/>
      <c r="E36" s="28"/>
      <c r="F36" s="366"/>
      <c r="G36" s="361"/>
    </row>
    <row r="37" spans="1:9" s="1" customFormat="1" ht="15.75" x14ac:dyDescent="0.25">
      <c r="A37" s="55"/>
      <c r="B37" s="28"/>
      <c r="C37" s="28"/>
      <c r="D37" s="28"/>
      <c r="E37" s="28"/>
      <c r="F37" s="361"/>
      <c r="G37" s="361"/>
    </row>
    <row r="38" spans="1:9" ht="15.75" x14ac:dyDescent="0.25">
      <c r="A38" s="951"/>
      <c r="B38" s="28"/>
      <c r="C38" s="28"/>
      <c r="D38" s="28"/>
      <c r="E38" s="28"/>
    </row>
    <row r="39" spans="1:9" ht="15.75" x14ac:dyDescent="0.25">
      <c r="A39" s="85"/>
      <c r="B39" s="28"/>
      <c r="C39" s="28"/>
      <c r="D39" s="28"/>
      <c r="E39" s="28"/>
    </row>
    <row r="40" spans="1:9" ht="15.75" x14ac:dyDescent="0.25">
      <c r="A40" s="85"/>
      <c r="B40" s="28"/>
      <c r="C40" s="28"/>
      <c r="D40" s="28"/>
      <c r="E40" s="28"/>
    </row>
    <row r="41" spans="1:9" ht="15.75" x14ac:dyDescent="0.25">
      <c r="A41" s="951"/>
      <c r="B41" s="28"/>
      <c r="C41" s="28"/>
      <c r="D41" s="28"/>
      <c r="E41" s="28"/>
    </row>
    <row r="42" spans="1:9" ht="15.75" x14ac:dyDescent="0.25">
      <c r="B42" s="28"/>
      <c r="C42" s="28"/>
      <c r="D42" s="28"/>
      <c r="E42" s="28"/>
    </row>
  </sheetData>
  <printOptions horizontalCentered="1" gridLines="1"/>
  <pageMargins left="0" right="0" top="0.78740157480314965" bottom="0" header="0.39370078740157483" footer="0.31496062992125984"/>
  <pageSetup paperSize="9" orientation="landscape" r:id="rId1"/>
  <headerFooter>
    <oddHeader>&amp;R&amp;Z&amp;F
List: 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Q31"/>
  <sheetViews>
    <sheetView zoomScaleNormal="100" workbookViewId="0">
      <selection activeCell="J12" sqref="J12"/>
    </sheetView>
  </sheetViews>
  <sheetFormatPr defaultColWidth="9.140625" defaultRowHeight="15.75" x14ac:dyDescent="0.25"/>
  <cols>
    <col min="1" max="1" width="13.85546875" style="1" customWidth="1"/>
    <col min="2" max="2" width="14.140625" style="1" bestFit="1" customWidth="1"/>
    <col min="3" max="4" width="12.85546875" style="1" customWidth="1"/>
    <col min="5" max="5" width="12.28515625" style="1" customWidth="1"/>
    <col min="6" max="6" width="12.42578125" style="1" customWidth="1"/>
    <col min="7" max="7" width="11" style="1" customWidth="1"/>
    <col min="8" max="8" width="14.7109375" style="1" customWidth="1"/>
    <col min="9" max="9" width="5.5703125" style="1" customWidth="1"/>
    <col min="10" max="10" width="17.42578125" style="1" bestFit="1" customWidth="1"/>
    <col min="11" max="11" width="18.7109375" style="1" customWidth="1"/>
    <col min="12" max="12" width="13.28515625" style="1" customWidth="1"/>
    <col min="13" max="13" width="16.28515625" style="1" customWidth="1"/>
    <col min="14" max="14" width="7.42578125" style="1" customWidth="1"/>
    <col min="15" max="15" width="14.7109375" style="1" customWidth="1"/>
    <col min="16" max="21" width="11.28515625" style="1" customWidth="1"/>
    <col min="22" max="22" width="19" style="1" customWidth="1"/>
    <col min="23" max="16384" width="9.140625" style="1"/>
  </cols>
  <sheetData>
    <row r="1" spans="1:17" ht="18.75" x14ac:dyDescent="0.3">
      <c r="A1" s="8" t="s">
        <v>584</v>
      </c>
    </row>
    <row r="2" spans="1:17" ht="18.75" x14ac:dyDescent="0.3">
      <c r="A2" s="8" t="s">
        <v>335</v>
      </c>
      <c r="I2" s="225"/>
      <c r="P2" s="391"/>
      <c r="Q2" s="27"/>
    </row>
    <row r="3" spans="1:17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7" s="17" customFormat="1" ht="57.75" x14ac:dyDescent="0.25">
      <c r="A4" s="472"/>
      <c r="B4" s="464">
        <v>106</v>
      </c>
      <c r="C4" s="464">
        <v>117</v>
      </c>
      <c r="D4" s="464" t="s">
        <v>122</v>
      </c>
      <c r="E4" s="464" t="s">
        <v>165</v>
      </c>
      <c r="F4" s="464" t="s">
        <v>178</v>
      </c>
      <c r="G4" s="473" t="s">
        <v>174</v>
      </c>
      <c r="H4" s="474" t="s">
        <v>477</v>
      </c>
      <c r="J4" s="464" t="s">
        <v>275</v>
      </c>
      <c r="K4" s="99" t="s">
        <v>460</v>
      </c>
      <c r="L4" s="394"/>
      <c r="M4" s="464" t="s">
        <v>295</v>
      </c>
    </row>
    <row r="5" spans="1:17" x14ac:dyDescent="0.25">
      <c r="A5" s="52" t="s">
        <v>98</v>
      </c>
      <c r="B5" s="295">
        <f>'10_Celkem_106'!N10</f>
        <v>6472525.3595637567</v>
      </c>
      <c r="C5" s="295">
        <f>'12_Celkem_117'!L11</f>
        <v>5764255.9407674419</v>
      </c>
      <c r="D5" s="295">
        <f>'11_Celkem_115'!M9</f>
        <v>466803</v>
      </c>
      <c r="E5" s="395">
        <f>B5+C5</f>
        <v>12236781.300331198</v>
      </c>
      <c r="F5" s="295">
        <f>-'13_CeloškolskáRežie'!C22</f>
        <v>-3418394.9026255766</v>
      </c>
      <c r="G5" s="295">
        <f>'8_Výpočet_20%_FRIM'!D6*-1</f>
        <v>-73303</v>
      </c>
      <c r="H5" s="397">
        <f>SUM(E5:G5)</f>
        <v>8745083.397705622</v>
      </c>
      <c r="I5" s="125">
        <f>H5/SUM($H$5:$H$7)</f>
        <v>0.18381259860345117</v>
      </c>
      <c r="J5" s="397">
        <f>F5+G5</f>
        <v>-3491697.9026255766</v>
      </c>
      <c r="K5" s="800">
        <f>'9_DFM'!B9</f>
        <v>7109141.5999999996</v>
      </c>
      <c r="L5" s="52" t="s">
        <v>98</v>
      </c>
      <c r="M5" s="286">
        <f>$K$5*I5</f>
        <v>1306749.7913358966</v>
      </c>
      <c r="N5" s="330"/>
    </row>
    <row r="6" spans="1:17" x14ac:dyDescent="0.25">
      <c r="A6" s="52" t="s">
        <v>99</v>
      </c>
      <c r="B6" s="295">
        <f>'10_Celkem_106'!N11</f>
        <v>21672610.393390965</v>
      </c>
      <c r="C6" s="295">
        <f>'12_Celkem_117'!L12</f>
        <v>8149307.9646865763</v>
      </c>
      <c r="D6" s="295">
        <f>'11_Celkem_115'!M10</f>
        <v>1429234</v>
      </c>
      <c r="E6" s="395">
        <f>B6+C6</f>
        <v>29821918.358077541</v>
      </c>
      <c r="F6" s="295">
        <f>-'13_CeloškolskáRežie'!D22</f>
        <v>-9706773.0986964144</v>
      </c>
      <c r="G6" s="295">
        <f>'8_Výpočet_20%_FRIM'!D7*-1</f>
        <v>-223555</v>
      </c>
      <c r="H6" s="397">
        <f>SUM(E6:G6)</f>
        <v>19891590.259381127</v>
      </c>
      <c r="I6" s="125">
        <f t="shared" ref="I6:I7" si="0">H6/SUM($H$5:$H$7)</f>
        <v>0.41810063205243109</v>
      </c>
      <c r="J6" s="397">
        <f>F6+G6</f>
        <v>-9930328.0986964144</v>
      </c>
      <c r="K6" s="295"/>
      <c r="L6" s="52" t="s">
        <v>99</v>
      </c>
      <c r="M6" s="286">
        <f t="shared" ref="M6:M7" si="1">$K$5*I6</f>
        <v>2972336.5963102309</v>
      </c>
      <c r="N6" s="330"/>
    </row>
    <row r="7" spans="1:17" ht="16.5" thickBot="1" x14ac:dyDescent="0.3">
      <c r="A7" s="52" t="s">
        <v>100</v>
      </c>
      <c r="B7" s="295">
        <f>'10_Celkem_106'!N12</f>
        <v>18704956.881718993</v>
      </c>
      <c r="C7" s="295">
        <f>'12_Celkem_117'!L13</f>
        <v>6505737.5541187776</v>
      </c>
      <c r="D7" s="295">
        <f>'11_Celkem_115'!M11</f>
        <v>2275755</v>
      </c>
      <c r="E7" s="395">
        <f>B7+C7</f>
        <v>25210694.435837772</v>
      </c>
      <c r="F7" s="295">
        <f>-'13_CeloškolskáRežie'!E22</f>
        <v>-6163724.3643849967</v>
      </c>
      <c r="G7" s="295">
        <f>'8_Výpočet_20%_FRIM'!D8*-1</f>
        <v>-107561</v>
      </c>
      <c r="H7" s="398">
        <f>SUM(E7:G7)</f>
        <v>18939409.071452774</v>
      </c>
      <c r="I7" s="125">
        <f t="shared" si="0"/>
        <v>0.39808676934411763</v>
      </c>
      <c r="J7" s="397">
        <f>F7+G7</f>
        <v>-6271285.3643849967</v>
      </c>
      <c r="K7" s="295"/>
      <c r="L7" s="52" t="s">
        <v>100</v>
      </c>
      <c r="M7" s="286">
        <f t="shared" si="1"/>
        <v>2830055.2123538712</v>
      </c>
      <c r="N7" s="330"/>
    </row>
    <row r="8" spans="1:17" ht="16.5" thickBot="1" x14ac:dyDescent="0.3">
      <c r="A8" s="111" t="s">
        <v>449</v>
      </c>
      <c r="B8" s="296">
        <f>SUM(B5:B7)</f>
        <v>46850092.634673715</v>
      </c>
      <c r="C8" s="296">
        <f t="shared" ref="C8:G8" si="2">SUM(C5:C7)</f>
        <v>20419301.459572796</v>
      </c>
      <c r="D8" s="296">
        <f>SUM(D5:D7)</f>
        <v>4171792</v>
      </c>
      <c r="E8" s="296">
        <f>SUM(E5:E7)</f>
        <v>67269394.094246507</v>
      </c>
      <c r="F8" s="296">
        <f t="shared" si="2"/>
        <v>-19288892.365706988</v>
      </c>
      <c r="G8" s="297">
        <f t="shared" si="2"/>
        <v>-404419</v>
      </c>
      <c r="H8" s="396">
        <f>SUM(H5:H7)</f>
        <v>47576082.728539526</v>
      </c>
      <c r="J8" s="735">
        <f>SUM(J5:J7)</f>
        <v>-19693311.365706988</v>
      </c>
      <c r="K8" s="390"/>
      <c r="L8" s="44"/>
      <c r="M8" s="27"/>
    </row>
    <row r="9" spans="1:17" ht="19.5" thickBot="1" x14ac:dyDescent="0.35">
      <c r="A9" s="467" t="s">
        <v>80</v>
      </c>
      <c r="B9" s="485">
        <f>'10_Celkem_106'!N13</f>
        <v>485344</v>
      </c>
      <c r="C9" s="485">
        <f>'12_Celkem_117'!L14</f>
        <v>444000</v>
      </c>
      <c r="D9" s="485">
        <f>'11_Celkem_115'!M13+'11_Celkem_115'!M14</f>
        <v>451208</v>
      </c>
      <c r="E9" s="486">
        <f>SUM(B9:C9)</f>
        <v>929344</v>
      </c>
      <c r="F9" s="456">
        <f>-'13_CeloškolskáRežie'!B22</f>
        <v>-67657.617657970899</v>
      </c>
      <c r="G9" s="485">
        <f>'8_Výpočet_20%_FRIM'!D5*-1</f>
        <v>-22297</v>
      </c>
      <c r="H9" s="487">
        <f>SUM(E9:G9)</f>
        <v>839389.38234202913</v>
      </c>
      <c r="J9" s="485">
        <f>F9+G9</f>
        <v>-89954.617657970899</v>
      </c>
      <c r="K9" s="295"/>
      <c r="L9" s="54" t="s">
        <v>461</v>
      </c>
      <c r="M9" s="392">
        <f>SUM(M5:M7)</f>
        <v>7109141.5999999987</v>
      </c>
    </row>
    <row r="10" spans="1:17" ht="16.5" thickBot="1" x14ac:dyDescent="0.3">
      <c r="B10" s="296">
        <f t="shared" ref="B10:G10" si="3">B8+B9</f>
        <v>47335436.634673715</v>
      </c>
      <c r="C10" s="296">
        <f t="shared" si="3"/>
        <v>20863301.459572796</v>
      </c>
      <c r="D10" s="296">
        <f>D8+D9</f>
        <v>4623000</v>
      </c>
      <c r="E10" s="296">
        <f t="shared" si="3"/>
        <v>68198738.094246507</v>
      </c>
      <c r="F10" s="296">
        <f t="shared" si="3"/>
        <v>-19356549.983364958</v>
      </c>
      <c r="G10" s="297">
        <f t="shared" si="3"/>
        <v>-426716</v>
      </c>
      <c r="H10" s="396">
        <f>H8+H9</f>
        <v>48415472.110881552</v>
      </c>
      <c r="J10" s="396">
        <f>J8+J9</f>
        <v>-19783265.983364958</v>
      </c>
      <c r="K10" s="390"/>
      <c r="L10" s="792" t="s">
        <v>351</v>
      </c>
      <c r="M10" s="743">
        <f>M9-K5</f>
        <v>0</v>
      </c>
    </row>
    <row r="11" spans="1:17" x14ac:dyDescent="0.25">
      <c r="B11" s="739"/>
      <c r="C11" s="740"/>
      <c r="D11" s="740"/>
    </row>
    <row r="12" spans="1:17" x14ac:dyDescent="0.25">
      <c r="B12" s="282">
        <f>'0_PRIDEL'!B12</f>
        <v>47335436.63467373</v>
      </c>
      <c r="C12" s="282">
        <f>'0_PRIDEL'!B20</f>
        <v>20863301.4595728</v>
      </c>
      <c r="D12" s="282">
        <f>'0_PRIDEL'!B21</f>
        <v>4623000.4894172195</v>
      </c>
      <c r="E12" s="282">
        <f>'0_PRIDEL'!B12+'0_PRIDEL'!B20</f>
        <v>68198738.094246536</v>
      </c>
      <c r="F12" s="282">
        <f>'0_PRIDEL'!B23</f>
        <v>-19356549.993350361</v>
      </c>
      <c r="G12" s="282">
        <f>'0_PRIDEL'!B24</f>
        <v>-426715.94882107503</v>
      </c>
      <c r="H12" s="282">
        <f>'0_PRIDEL'!B27</f>
        <v>48415472.152075104</v>
      </c>
      <c r="M12" s="282"/>
    </row>
    <row r="13" spans="1:17" x14ac:dyDescent="0.25">
      <c r="B13" s="307">
        <f t="shared" ref="B13:G13" si="4">B12-B10</f>
        <v>0</v>
      </c>
      <c r="C13" s="307">
        <f t="shared" si="4"/>
        <v>0</v>
      </c>
      <c r="D13" s="307">
        <f t="shared" si="4"/>
        <v>0.48941721953451633</v>
      </c>
      <c r="E13" s="307">
        <f t="shared" si="4"/>
        <v>0</v>
      </c>
      <c r="F13" s="307">
        <f t="shared" si="4"/>
        <v>-9.9854022264480591E-3</v>
      </c>
      <c r="G13" s="307">
        <f t="shared" si="4"/>
        <v>5.1178924972191453E-2</v>
      </c>
      <c r="H13" s="307">
        <f>H12-H10</f>
        <v>4.1193552315235138E-2</v>
      </c>
      <c r="M13" s="307"/>
    </row>
    <row r="14" spans="1:17" x14ac:dyDescent="0.25">
      <c r="B14" s="307"/>
      <c r="C14" s="307"/>
      <c r="D14" s="307"/>
      <c r="H14" s="307"/>
    </row>
    <row r="15" spans="1:17" ht="18.75" x14ac:dyDescent="0.3">
      <c r="A15" s="8" t="s">
        <v>585</v>
      </c>
      <c r="B15" s="307"/>
      <c r="C15" s="307"/>
      <c r="D15" s="307"/>
      <c r="H15" s="307"/>
    </row>
    <row r="16" spans="1:17" s="17" customFormat="1" ht="57.75" x14ac:dyDescent="0.25">
      <c r="A16" s="394" t="s">
        <v>294</v>
      </c>
      <c r="B16" s="465">
        <v>106</v>
      </c>
      <c r="C16" s="465">
        <v>117</v>
      </c>
      <c r="D16" s="465" t="str">
        <f>D4</f>
        <v>115 (SGS)</v>
      </c>
      <c r="E16" s="465" t="s">
        <v>165</v>
      </c>
      <c r="F16" s="465" t="s">
        <v>178</v>
      </c>
      <c r="G16" s="466" t="s">
        <v>174</v>
      </c>
      <c r="H16" s="465" t="s">
        <v>478</v>
      </c>
      <c r="J16" s="956" t="s">
        <v>479</v>
      </c>
    </row>
    <row r="17" spans="1:13" x14ac:dyDescent="0.25">
      <c r="A17" s="52" t="s">
        <v>98</v>
      </c>
      <c r="B17" s="738">
        <f>B5-M5</f>
        <v>5165775.5682278601</v>
      </c>
      <c r="C17" s="397">
        <f>C5</f>
        <v>5764255.9407674419</v>
      </c>
      <c r="D17" s="397">
        <f>D5</f>
        <v>466803</v>
      </c>
      <c r="E17" s="397">
        <f>C17+B17</f>
        <v>10930031.508995302</v>
      </c>
      <c r="F17" s="397">
        <f t="shared" ref="F17:G19" si="5">F5</f>
        <v>-3418394.9026255766</v>
      </c>
      <c r="G17" s="397">
        <f t="shared" si="5"/>
        <v>-73303</v>
      </c>
      <c r="H17" s="397">
        <f>SUM(E17:G17)</f>
        <v>7438333.6063697254</v>
      </c>
      <c r="J17" s="957">
        <f>H17+D17</f>
        <v>7905136.6063697254</v>
      </c>
      <c r="K17" s="369"/>
      <c r="L17" s="369"/>
      <c r="M17" s="369"/>
    </row>
    <row r="18" spans="1:13" x14ac:dyDescent="0.25">
      <c r="A18" s="52" t="s">
        <v>99</v>
      </c>
      <c r="B18" s="738">
        <f>B6-M6</f>
        <v>18700273.797080733</v>
      </c>
      <c r="C18" s="397">
        <f>C6</f>
        <v>8149307.9646865763</v>
      </c>
      <c r="D18" s="397">
        <f>D6</f>
        <v>1429234</v>
      </c>
      <c r="E18" s="397">
        <f>C18+B18</f>
        <v>26849581.761767309</v>
      </c>
      <c r="F18" s="397">
        <f t="shared" si="5"/>
        <v>-9706773.0986964144</v>
      </c>
      <c r="G18" s="397">
        <f t="shared" si="5"/>
        <v>-223555</v>
      </c>
      <c r="H18" s="397">
        <f>SUM(E18:G18)</f>
        <v>16919253.663070895</v>
      </c>
      <c r="J18" s="957">
        <f t="shared" ref="J18:J22" si="6">H18+D18</f>
        <v>18348487.663070895</v>
      </c>
      <c r="K18" s="369"/>
      <c r="L18" s="369"/>
      <c r="M18" s="369"/>
    </row>
    <row r="19" spans="1:13" ht="16.5" thickBot="1" x14ac:dyDescent="0.3">
      <c r="A19" s="52" t="s">
        <v>100</v>
      </c>
      <c r="B19" s="738">
        <f>B7-M7</f>
        <v>15874901.669365123</v>
      </c>
      <c r="C19" s="397">
        <f>C7</f>
        <v>6505737.5541187776</v>
      </c>
      <c r="D19" s="397">
        <f>D7</f>
        <v>2275755</v>
      </c>
      <c r="E19" s="397">
        <f>C19+B19</f>
        <v>22380639.223483901</v>
      </c>
      <c r="F19" s="397">
        <f t="shared" si="5"/>
        <v>-6163724.3643849967</v>
      </c>
      <c r="G19" s="397">
        <f t="shared" si="5"/>
        <v>-107561</v>
      </c>
      <c r="H19" s="398">
        <f>SUM(E19:G19)</f>
        <v>16109353.859098904</v>
      </c>
      <c r="J19" s="957">
        <f t="shared" si="6"/>
        <v>18385108.859098904</v>
      </c>
      <c r="K19" s="369"/>
      <c r="L19" s="369"/>
      <c r="M19" s="369"/>
    </row>
    <row r="20" spans="1:13" ht="16.5" thickBot="1" x14ac:dyDescent="0.3">
      <c r="A20" s="111" t="s">
        <v>449</v>
      </c>
      <c r="B20" s="736">
        <f>SUM(B17:B19)</f>
        <v>39740951.034673721</v>
      </c>
      <c r="C20" s="737">
        <f>SUM(C17:C19)</f>
        <v>20419301.459572796</v>
      </c>
      <c r="D20" s="737">
        <f>SUM(D17:D19)</f>
        <v>4171792</v>
      </c>
      <c r="E20" s="737">
        <f>SUM(E17:E19)</f>
        <v>60160252.494246513</v>
      </c>
      <c r="F20" s="737">
        <f t="shared" ref="F20:G20" si="7">SUM(F17:F19)</f>
        <v>-19288892.365706988</v>
      </c>
      <c r="G20" s="737">
        <f t="shared" si="7"/>
        <v>-404419</v>
      </c>
      <c r="H20" s="471">
        <f>SUM(H17:H19)</f>
        <v>40466941.128539525</v>
      </c>
      <c r="J20" s="957">
        <f t="shared" si="6"/>
        <v>44638733.128539525</v>
      </c>
    </row>
    <row r="21" spans="1:13" ht="16.5" thickBot="1" x14ac:dyDescent="0.3">
      <c r="A21" s="467" t="s">
        <v>80</v>
      </c>
      <c r="B21" s="393">
        <f>M9+B9</f>
        <v>7594485.5999999987</v>
      </c>
      <c r="C21" s="295">
        <f>C9</f>
        <v>444000</v>
      </c>
      <c r="D21" s="295">
        <f>D9</f>
        <v>451208</v>
      </c>
      <c r="E21" s="295">
        <f>B21+C21</f>
        <v>8038485.5999999987</v>
      </c>
      <c r="F21" s="295">
        <f>F9</f>
        <v>-67657.617657970899</v>
      </c>
      <c r="G21" s="295">
        <f>G9</f>
        <v>-22297</v>
      </c>
      <c r="H21" s="399">
        <f>SUM(E21:G21)</f>
        <v>7948530.9823420281</v>
      </c>
      <c r="J21" s="957">
        <f t="shared" si="6"/>
        <v>8399738.9823420271</v>
      </c>
    </row>
    <row r="22" spans="1:13" ht="16.5" thickBot="1" x14ac:dyDescent="0.3">
      <c r="B22" s="468">
        <f>B20+B21</f>
        <v>47335436.634673722</v>
      </c>
      <c r="C22" s="468">
        <f>C20+C21</f>
        <v>20863301.459572796</v>
      </c>
      <c r="D22" s="468">
        <f>D20+D21</f>
        <v>4623000</v>
      </c>
      <c r="E22" s="468">
        <f>E20+E21</f>
        <v>68198738.094246507</v>
      </c>
      <c r="F22" s="468">
        <f>F20+F21</f>
        <v>-19356549.983364958</v>
      </c>
      <c r="G22" s="469">
        <f t="shared" ref="G22" si="8">G20+G21</f>
        <v>-426716</v>
      </c>
      <c r="H22" s="470">
        <f>H20+H21</f>
        <v>48415472.110881552</v>
      </c>
      <c r="J22" s="957">
        <f t="shared" si="6"/>
        <v>53038472.110881552</v>
      </c>
    </row>
    <row r="24" spans="1:13" x14ac:dyDescent="0.25">
      <c r="B24" s="307">
        <f t="shared" ref="B24:H24" si="9">B22-B10</f>
        <v>0</v>
      </c>
      <c r="C24" s="307">
        <f t="shared" si="9"/>
        <v>0</v>
      </c>
      <c r="D24" s="307">
        <f t="shared" si="9"/>
        <v>0</v>
      </c>
      <c r="E24" s="307">
        <f t="shared" si="9"/>
        <v>0</v>
      </c>
      <c r="F24" s="307">
        <f t="shared" si="9"/>
        <v>0</v>
      </c>
      <c r="G24" s="307">
        <f t="shared" si="9"/>
        <v>0</v>
      </c>
      <c r="H24" s="307">
        <f t="shared" si="9"/>
        <v>0</v>
      </c>
    </row>
    <row r="25" spans="1:13" x14ac:dyDescent="0.25">
      <c r="B25" s="307"/>
      <c r="C25" s="307"/>
      <c r="D25" s="307"/>
      <c r="H25" s="307"/>
    </row>
    <row r="26" spans="1:13" x14ac:dyDescent="0.25">
      <c r="B26" s="14"/>
      <c r="C26" s="14"/>
      <c r="D26" s="295"/>
      <c r="E26" s="14"/>
      <c r="F26" s="295"/>
      <c r="G26" s="295"/>
      <c r="H26" s="295"/>
    </row>
    <row r="27" spans="1:13" x14ac:dyDescent="0.25">
      <c r="B27" s="295"/>
      <c r="C27" s="295"/>
      <c r="D27" s="295"/>
      <c r="E27" s="295"/>
      <c r="F27" s="295"/>
      <c r="G27" s="295"/>
      <c r="H27" s="295"/>
      <c r="L27" s="369"/>
    </row>
    <row r="28" spans="1:13" x14ac:dyDescent="0.25">
      <c r="B28" s="295"/>
      <c r="C28" s="295"/>
      <c r="D28" s="295"/>
      <c r="E28" s="295"/>
      <c r="F28" s="295"/>
      <c r="G28" s="295"/>
      <c r="H28" s="295"/>
    </row>
    <row r="29" spans="1:13" x14ac:dyDescent="0.25">
      <c r="B29" s="295"/>
      <c r="C29" s="295"/>
      <c r="D29" s="295"/>
      <c r="E29" s="295"/>
      <c r="F29" s="295"/>
      <c r="G29" s="295"/>
      <c r="H29" s="295"/>
    </row>
    <row r="30" spans="1:13" x14ac:dyDescent="0.25">
      <c r="B30" s="295"/>
      <c r="C30" s="295"/>
      <c r="D30" s="295"/>
      <c r="E30" s="295"/>
      <c r="F30" s="295"/>
      <c r="G30" s="295"/>
      <c r="H30" s="295"/>
    </row>
    <row r="31" spans="1:13" x14ac:dyDescent="0.25">
      <c r="B31" s="295"/>
      <c r="C31" s="295"/>
      <c r="D31" s="295"/>
      <c r="E31" s="295"/>
      <c r="F31" s="295"/>
      <c r="G31" s="295"/>
      <c r="H31" s="295"/>
    </row>
  </sheetData>
  <printOptions horizontalCentered="1" gridLines="1"/>
  <pageMargins left="0" right="0" top="0.78740157480314965" bottom="0.78740157480314965" header="0.31496062992125984" footer="0.31496062992125984"/>
  <pageSetup paperSize="9" scale="93" orientation="landscape" r:id="rId1"/>
  <headerFooter>
    <oddHeader>&amp;RSoubor: &amp;F, List: &amp;A</oddHead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U42"/>
  <sheetViews>
    <sheetView workbookViewId="0">
      <selection activeCell="B31" sqref="B31"/>
    </sheetView>
  </sheetViews>
  <sheetFormatPr defaultRowHeight="12.75" x14ac:dyDescent="0.2"/>
  <cols>
    <col min="1" max="1" width="2.7109375" customWidth="1"/>
    <col min="2" max="2" width="12" bestFit="1" customWidth="1"/>
    <col min="3" max="4" width="11.7109375" customWidth="1"/>
    <col min="5" max="5" width="12.140625" bestFit="1" customWidth="1"/>
    <col min="6" max="6" width="11.7109375" customWidth="1"/>
    <col min="7" max="7" width="22.28515625" customWidth="1"/>
    <col min="8" max="8" width="3.42578125" customWidth="1"/>
    <col min="9" max="9" width="3.5703125" customWidth="1"/>
    <col min="10" max="10" width="2.140625" customWidth="1"/>
    <col min="12" max="12" width="21.140625" customWidth="1"/>
    <col min="13" max="13" width="11.85546875" bestFit="1" customWidth="1"/>
    <col min="14" max="14" width="16.85546875" bestFit="1" customWidth="1"/>
    <col min="15" max="15" width="6.7109375" customWidth="1"/>
    <col min="16" max="16" width="16.85546875" bestFit="1" customWidth="1"/>
    <col min="17" max="17" width="5.7109375" bestFit="1" customWidth="1"/>
    <col min="18" max="19" width="16.85546875" bestFit="1" customWidth="1"/>
    <col min="20" max="20" width="17.42578125" bestFit="1" customWidth="1"/>
    <col min="21" max="21" width="6.5703125" customWidth="1"/>
  </cols>
  <sheetData>
    <row r="1" spans="1:21" ht="45" customHeight="1" x14ac:dyDescent="0.3">
      <c r="A1" s="1018" t="s">
        <v>284</v>
      </c>
      <c r="B1" s="1019"/>
      <c r="C1" s="1019"/>
      <c r="D1" s="1019"/>
      <c r="E1" s="1019"/>
      <c r="F1" s="1019"/>
      <c r="G1" s="1019"/>
      <c r="H1" s="1019"/>
      <c r="I1" s="1019"/>
      <c r="J1" s="1020"/>
    </row>
    <row r="2" spans="1:21" ht="20.25" customHeight="1" x14ac:dyDescent="0.3">
      <c r="A2" s="1018" t="s">
        <v>586</v>
      </c>
      <c r="B2" s="1019"/>
      <c r="C2" s="1019"/>
      <c r="D2" s="1019"/>
      <c r="E2" s="1019"/>
      <c r="F2" s="1019"/>
      <c r="G2" s="1019"/>
      <c r="H2" s="1019"/>
      <c r="I2" s="1019"/>
      <c r="J2" s="1020"/>
    </row>
    <row r="3" spans="1:21" ht="13.5" customHeight="1" x14ac:dyDescent="0.25">
      <c r="A3" s="1021" t="s">
        <v>587</v>
      </c>
      <c r="B3" s="1022"/>
      <c r="C3" s="1022"/>
      <c r="D3" s="1022"/>
      <c r="E3" s="1022"/>
      <c r="F3" s="1022"/>
      <c r="G3" s="1022"/>
      <c r="H3" s="1022"/>
      <c r="I3" s="1022"/>
      <c r="J3" s="1022"/>
    </row>
    <row r="4" spans="1:21" x14ac:dyDescent="0.2">
      <c r="D4" s="367"/>
      <c r="L4" s="742"/>
      <c r="M4" s="742"/>
    </row>
    <row r="5" spans="1:21" x14ac:dyDescent="0.2">
      <c r="L5" s="804"/>
      <c r="M5" s="804"/>
      <c r="N5" s="804"/>
      <c r="O5" s="804"/>
      <c r="P5" s="804"/>
      <c r="Q5" s="804"/>
      <c r="R5" s="804"/>
      <c r="S5" s="804"/>
      <c r="T5" s="804"/>
      <c r="U5" s="804"/>
    </row>
    <row r="6" spans="1:21" ht="15.75" x14ac:dyDescent="0.25">
      <c r="B6" s="475"/>
      <c r="C6" s="476">
        <v>106</v>
      </c>
      <c r="D6" s="476">
        <v>117</v>
      </c>
      <c r="E6" s="476" t="s">
        <v>178</v>
      </c>
      <c r="F6" s="477" t="s">
        <v>174</v>
      </c>
      <c r="G6" s="478" t="s">
        <v>176</v>
      </c>
      <c r="M6" s="742"/>
      <c r="N6" s="930">
        <v>106</v>
      </c>
      <c r="P6" s="930">
        <v>117</v>
      </c>
      <c r="R6" s="930" t="s">
        <v>178</v>
      </c>
      <c r="S6" s="930" t="s">
        <v>174</v>
      </c>
      <c r="T6" s="930" t="s">
        <v>176</v>
      </c>
    </row>
    <row r="7" spans="1:21" ht="15.75" x14ac:dyDescent="0.25">
      <c r="B7" s="483" t="s">
        <v>98</v>
      </c>
      <c r="C7" s="397">
        <f>'14_Přehled a rozpočítání DFM'!B17</f>
        <v>5165775.5682278601</v>
      </c>
      <c r="D7" s="397">
        <f>'12_Celkem_117'!L11</f>
        <v>5764255.9407674419</v>
      </c>
      <c r="E7" s="397">
        <f>-'13_CeloškolskáRežie'!F26</f>
        <v>-3418395</v>
      </c>
      <c r="F7" s="397">
        <f>-'8_Výpočet_20%_FRIM'!D6</f>
        <v>-73303</v>
      </c>
      <c r="G7" s="479">
        <f>SUM(C7:F7)</f>
        <v>7438333.508995302</v>
      </c>
      <c r="L7" s="742"/>
      <c r="M7" s="960" t="s">
        <v>98</v>
      </c>
      <c r="N7" s="742">
        <v>3784073.5366569348</v>
      </c>
      <c r="O7" s="959">
        <f>C7/N7</f>
        <v>1.3651361471139907</v>
      </c>
      <c r="P7" s="742">
        <v>7008247.9256145628</v>
      </c>
      <c r="Q7" s="959">
        <f>D7/P7</f>
        <v>0.82249600783950094</v>
      </c>
      <c r="R7" s="742">
        <v>-3272599</v>
      </c>
      <c r="S7" s="742">
        <v>-69962</v>
      </c>
      <c r="T7" s="742">
        <v>7449760.4622714967</v>
      </c>
      <c r="U7" s="959">
        <f>G7/T7</f>
        <v>0.99846613145025731</v>
      </c>
    </row>
    <row r="8" spans="1:21" ht="15.75" x14ac:dyDescent="0.25">
      <c r="B8" s="483" t="s">
        <v>99</v>
      </c>
      <c r="C8" s="397">
        <f>'14_Přehled a rozpočítání DFM'!B18</f>
        <v>18700273.797080733</v>
      </c>
      <c r="D8" s="397">
        <f>'12_Celkem_117'!L12</f>
        <v>8149307.9646865763</v>
      </c>
      <c r="E8" s="397">
        <f>-'13_CeloškolskáRežie'!F27</f>
        <v>-9706773</v>
      </c>
      <c r="F8" s="397">
        <f>-'8_Výpočet_20%_FRIM'!D7</f>
        <v>-223555</v>
      </c>
      <c r="G8" s="479">
        <f>SUM(C8:F8)</f>
        <v>16919253.761767309</v>
      </c>
      <c r="L8" s="742"/>
      <c r="M8" s="960" t="s">
        <v>99</v>
      </c>
      <c r="N8" s="742">
        <v>16697652.33249167</v>
      </c>
      <c r="O8" s="959">
        <f t="shared" ref="O8:O12" si="0">C8/N8</f>
        <v>1.1199343132023534</v>
      </c>
      <c r="P8" s="742">
        <v>9819750.4345329162</v>
      </c>
      <c r="Q8" s="959">
        <f t="shared" ref="Q8:Q12" si="1">D8/P8</f>
        <v>0.82988951898696639</v>
      </c>
      <c r="R8" s="742">
        <v>-9589051</v>
      </c>
      <c r="S8" s="742">
        <v>-233656</v>
      </c>
      <c r="T8" s="742">
        <v>16694695.767024584</v>
      </c>
      <c r="U8" s="959">
        <f t="shared" ref="U8:U12" si="2">G8/T8</f>
        <v>1.0134508587563646</v>
      </c>
    </row>
    <row r="9" spans="1:21" ht="16.5" thickBot="1" x14ac:dyDescent="0.3">
      <c r="B9" s="483" t="s">
        <v>100</v>
      </c>
      <c r="C9" s="397">
        <f>'14_Přehled a rozpočítání DFM'!B19</f>
        <v>15874901.669365123</v>
      </c>
      <c r="D9" s="397">
        <f>'12_Celkem_117'!L13</f>
        <v>6505737.5541187776</v>
      </c>
      <c r="E9" s="397">
        <f>-'13_CeloškolskáRežie'!F28</f>
        <v>-6163724</v>
      </c>
      <c r="F9" s="397">
        <f>-'8_Výpočet_20%_FRIM'!D8</f>
        <v>-107561</v>
      </c>
      <c r="G9" s="480">
        <f>SUM(C9:F9)</f>
        <v>16109354.223483901</v>
      </c>
      <c r="L9" s="742"/>
      <c r="M9" s="960" t="s">
        <v>100</v>
      </c>
      <c r="N9" s="742">
        <v>13217899.607639512</v>
      </c>
      <c r="O9" s="959">
        <f t="shared" si="0"/>
        <v>1.2010154518188314</v>
      </c>
      <c r="P9" s="742">
        <v>6871421.2873954009</v>
      </c>
      <c r="Q9" s="959">
        <f t="shared" si="1"/>
        <v>0.94678193666462929</v>
      </c>
      <c r="R9" s="742">
        <v>-5470830</v>
      </c>
      <c r="S9" s="742">
        <v>-95970</v>
      </c>
      <c r="T9" s="742">
        <v>14522520.895034913</v>
      </c>
      <c r="U9" s="959">
        <f t="shared" si="2"/>
        <v>1.1092670714621942</v>
      </c>
    </row>
    <row r="10" spans="1:21" ht="19.5" thickBot="1" x14ac:dyDescent="0.35">
      <c r="B10" s="44"/>
      <c r="C10" s="296">
        <f>SUM(C7:C9)</f>
        <v>39740951.034673721</v>
      </c>
      <c r="D10" s="296">
        <f>SUM(D7:D9)</f>
        <v>20419301.459572796</v>
      </c>
      <c r="E10" s="296">
        <f>SUM(E7:E9)</f>
        <v>-19288892</v>
      </c>
      <c r="F10" s="297">
        <f>SUM(F7:F9)</f>
        <v>-404419</v>
      </c>
      <c r="G10" s="481">
        <f>SUM(G7:G9)</f>
        <v>40466941.494246513</v>
      </c>
      <c r="L10" s="742"/>
      <c r="M10" s="960"/>
      <c r="N10" s="742">
        <v>33699625.476788118</v>
      </c>
      <c r="O10" s="959">
        <f t="shared" si="0"/>
        <v>1.1792698130145924</v>
      </c>
      <c r="P10" s="742">
        <v>23699419.647542879</v>
      </c>
      <c r="Q10" s="959">
        <f t="shared" si="1"/>
        <v>0.86159499950834617</v>
      </c>
      <c r="R10" s="742">
        <v>-18332480</v>
      </c>
      <c r="S10" s="742">
        <v>-399588</v>
      </c>
      <c r="T10" s="742">
        <v>38666977.124330997</v>
      </c>
      <c r="U10" s="959">
        <f t="shared" si="2"/>
        <v>1.0465504289132261</v>
      </c>
    </row>
    <row r="11" spans="1:21" ht="16.5" thickBot="1" x14ac:dyDescent="0.3">
      <c r="B11" s="483" t="s">
        <v>80</v>
      </c>
      <c r="C11" s="295">
        <f>'14_Přehled a rozpočítání DFM'!B21</f>
        <v>7594485.5999999987</v>
      </c>
      <c r="D11" s="295">
        <f>'0_PRIDEL'!D20</f>
        <v>444000</v>
      </c>
      <c r="E11" s="14">
        <f>-'13_CeloškolskáRežie'!F25</f>
        <v>-67658</v>
      </c>
      <c r="F11" s="295">
        <f>-'8_Výpočet_20%_FRIM'!D5</f>
        <v>-22297</v>
      </c>
      <c r="G11" s="482">
        <f>SUM(C11:F11)</f>
        <v>7948530.5999999987</v>
      </c>
      <c r="L11" s="742"/>
      <c r="M11" s="960" t="s">
        <v>80</v>
      </c>
      <c r="N11" s="742">
        <v>6543167.5999999996</v>
      </c>
      <c r="O11" s="959">
        <f t="shared" si="0"/>
        <v>1.1606741664388971</v>
      </c>
      <c r="P11" s="742">
        <v>300000</v>
      </c>
      <c r="Q11" s="959">
        <f t="shared" si="1"/>
        <v>1.48</v>
      </c>
      <c r="R11" s="742">
        <v>-61101</v>
      </c>
      <c r="S11" s="742">
        <v>-21280</v>
      </c>
      <c r="T11" s="742">
        <v>6760786.5999999996</v>
      </c>
      <c r="U11" s="959">
        <f t="shared" si="2"/>
        <v>1.1756813327017301</v>
      </c>
    </row>
    <row r="12" spans="1:21" ht="19.5" thickBot="1" x14ac:dyDescent="0.35">
      <c r="B12" s="1"/>
      <c r="C12" s="296">
        <f>C10+C11</f>
        <v>47335436.634673722</v>
      </c>
      <c r="D12" s="296">
        <f>D10+D11</f>
        <v>20863301.459572796</v>
      </c>
      <c r="E12" s="296">
        <f>E10+E11</f>
        <v>-19356550</v>
      </c>
      <c r="F12" s="297">
        <f>F10+F11</f>
        <v>-426716</v>
      </c>
      <c r="G12" s="75">
        <f>G10+G11</f>
        <v>48415472.094246514</v>
      </c>
      <c r="L12" s="742"/>
      <c r="M12" s="960"/>
      <c r="N12" s="958">
        <v>40242793.07678812</v>
      </c>
      <c r="O12" s="959">
        <f t="shared" si="0"/>
        <v>1.1762463043842901</v>
      </c>
      <c r="P12" s="958">
        <v>23999419.647542879</v>
      </c>
      <c r="Q12" s="959">
        <f t="shared" si="1"/>
        <v>0.86932524894237739</v>
      </c>
      <c r="R12" s="958">
        <v>-18393581</v>
      </c>
      <c r="S12" s="958">
        <v>-420868</v>
      </c>
      <c r="T12" s="958">
        <v>45427763.724330999</v>
      </c>
      <c r="U12" s="959">
        <f t="shared" si="2"/>
        <v>1.0657683347136744</v>
      </c>
    </row>
    <row r="13" spans="1:21" x14ac:dyDescent="0.2">
      <c r="C13" s="371"/>
      <c r="D13" s="371"/>
      <c r="E13" s="371"/>
      <c r="L13" s="742"/>
      <c r="M13" s="960"/>
    </row>
    <row r="14" spans="1:21" x14ac:dyDescent="0.2">
      <c r="G14" s="383"/>
      <c r="L14" s="742"/>
      <c r="M14" s="960"/>
    </row>
    <row r="15" spans="1:21" x14ac:dyDescent="0.2">
      <c r="B15" t="s">
        <v>446</v>
      </c>
      <c r="G15" s="383"/>
      <c r="M15" s="930"/>
    </row>
    <row r="16" spans="1:21" ht="15.75" x14ac:dyDescent="0.25">
      <c r="C16" s="476" t="s">
        <v>122</v>
      </c>
      <c r="G16" s="383"/>
      <c r="M16" s="930"/>
    </row>
    <row r="17" spans="2:18" ht="15.75" x14ac:dyDescent="0.25">
      <c r="B17" s="483" t="s">
        <v>98</v>
      </c>
      <c r="C17" s="295">
        <f>'11_Celkem_115'!M9</f>
        <v>466803</v>
      </c>
      <c r="G17" s="383"/>
      <c r="M17" s="930"/>
      <c r="N17" s="958"/>
    </row>
    <row r="18" spans="2:18" ht="15.75" x14ac:dyDescent="0.25">
      <c r="B18" s="483" t="s">
        <v>99</v>
      </c>
      <c r="C18" s="295">
        <f>'11_Celkem_115'!M10</f>
        <v>1429234</v>
      </c>
      <c r="G18" s="383"/>
      <c r="M18" s="930"/>
      <c r="N18" s="958"/>
    </row>
    <row r="19" spans="2:18" ht="15.75" x14ac:dyDescent="0.25">
      <c r="B19" s="483" t="s">
        <v>100</v>
      </c>
      <c r="C19" s="295">
        <f>'11_Celkem_115'!M11</f>
        <v>2275755</v>
      </c>
      <c r="G19" s="383"/>
      <c r="M19" s="930"/>
      <c r="N19" s="958"/>
    </row>
    <row r="20" spans="2:18" ht="15.75" x14ac:dyDescent="0.25">
      <c r="B20" s="44"/>
      <c r="C20" s="296">
        <f>SUM(C17:C19)</f>
        <v>4171792</v>
      </c>
      <c r="G20" s="383"/>
      <c r="M20" s="930"/>
      <c r="N20" s="958"/>
    </row>
    <row r="21" spans="2:18" ht="15.75" x14ac:dyDescent="0.25">
      <c r="B21" s="483" t="s">
        <v>80</v>
      </c>
      <c r="C21" s="295">
        <f>'11_Celkem_115'!M13+'11_Celkem_115'!M14</f>
        <v>451208</v>
      </c>
      <c r="G21" s="383"/>
      <c r="M21" s="930"/>
      <c r="N21" s="958"/>
    </row>
    <row r="22" spans="2:18" ht="15.75" x14ac:dyDescent="0.25">
      <c r="C22" s="296">
        <f>C20+C21</f>
        <v>4623000</v>
      </c>
      <c r="G22" s="383"/>
      <c r="M22" s="930"/>
      <c r="N22" s="958"/>
    </row>
    <row r="23" spans="2:18" x14ac:dyDescent="0.2">
      <c r="G23" s="383"/>
      <c r="M23" s="930"/>
    </row>
    <row r="24" spans="2:18" x14ac:dyDescent="0.2">
      <c r="G24" s="383"/>
      <c r="M24" s="930"/>
    </row>
    <row r="25" spans="2:18" x14ac:dyDescent="0.2">
      <c r="G25" s="383"/>
      <c r="M25" s="930"/>
    </row>
    <row r="26" spans="2:18" ht="15" customHeight="1" x14ac:dyDescent="0.2">
      <c r="M26" s="930"/>
    </row>
    <row r="27" spans="2:18" x14ac:dyDescent="0.2">
      <c r="M27" s="961"/>
      <c r="N27" s="961"/>
      <c r="O27" s="961"/>
      <c r="P27" s="963"/>
      <c r="Q27" s="963"/>
      <c r="R27" s="963"/>
    </row>
    <row r="28" spans="2:18" ht="15.75" x14ac:dyDescent="0.25">
      <c r="B28" s="247"/>
      <c r="C28" s="249"/>
      <c r="D28" s="249"/>
      <c r="E28" s="249"/>
      <c r="F28" s="249"/>
      <c r="G28" s="340" t="s">
        <v>285</v>
      </c>
      <c r="H28" s="249"/>
      <c r="I28" s="249"/>
      <c r="M28" s="962"/>
      <c r="N28" s="959"/>
      <c r="O28" s="959"/>
      <c r="P28" s="959"/>
      <c r="Q28" s="959"/>
      <c r="R28" s="959"/>
    </row>
    <row r="29" spans="2:18" ht="15.75" x14ac:dyDescent="0.25">
      <c r="B29" s="247"/>
      <c r="C29" s="55"/>
      <c r="D29" s="55"/>
      <c r="E29" s="55"/>
      <c r="F29" s="55"/>
      <c r="G29" s="247" t="s">
        <v>286</v>
      </c>
      <c r="H29" s="55"/>
      <c r="I29" s="55"/>
      <c r="M29" s="962"/>
      <c r="N29" s="959"/>
      <c r="O29" s="959"/>
      <c r="P29" s="959"/>
      <c r="Q29" s="959"/>
      <c r="R29" s="959"/>
    </row>
    <row r="30" spans="2:18" ht="15.75" x14ac:dyDescent="0.25">
      <c r="B30" s="247"/>
      <c r="C30" s="55"/>
      <c r="D30" s="55"/>
      <c r="E30" s="55"/>
      <c r="F30" s="55"/>
      <c r="G30" s="55"/>
      <c r="H30" s="55"/>
      <c r="I30" s="55"/>
      <c r="M30" s="962"/>
      <c r="N30" s="959"/>
      <c r="O30" s="959"/>
      <c r="P30" s="959"/>
      <c r="Q30" s="959"/>
      <c r="R30" s="959"/>
    </row>
    <row r="31" spans="2:18" ht="15.75" x14ac:dyDescent="0.25">
      <c r="B31" s="368" t="s">
        <v>1018</v>
      </c>
      <c r="C31" s="55"/>
      <c r="D31" s="55"/>
      <c r="E31" s="55"/>
      <c r="F31" s="55"/>
      <c r="G31" s="55"/>
      <c r="H31" s="55"/>
      <c r="I31" s="55"/>
      <c r="M31" s="962"/>
      <c r="N31" s="959"/>
      <c r="O31" s="959"/>
      <c r="P31" s="959"/>
      <c r="Q31" s="959"/>
      <c r="R31" s="959"/>
    </row>
    <row r="32" spans="2:18" x14ac:dyDescent="0.2">
      <c r="M32" s="962"/>
      <c r="N32" s="959"/>
      <c r="O32" s="959"/>
      <c r="P32" s="959"/>
      <c r="Q32" s="959"/>
      <c r="R32" s="959"/>
    </row>
    <row r="33" spans="13:18" x14ac:dyDescent="0.2">
      <c r="M33" s="962"/>
      <c r="N33" s="959"/>
      <c r="O33" s="959"/>
      <c r="P33" s="959"/>
      <c r="Q33" s="959"/>
      <c r="R33" s="959"/>
    </row>
    <row r="34" spans="13:18" x14ac:dyDescent="0.2">
      <c r="M34" s="962"/>
    </row>
    <row r="35" spans="13:18" x14ac:dyDescent="0.2">
      <c r="M35" s="962"/>
    </row>
    <row r="36" spans="13:18" x14ac:dyDescent="0.2">
      <c r="M36" s="962"/>
    </row>
    <row r="37" spans="13:18" x14ac:dyDescent="0.2">
      <c r="M37" s="962"/>
    </row>
    <row r="38" spans="13:18" x14ac:dyDescent="0.2">
      <c r="M38" s="962"/>
    </row>
    <row r="39" spans="13:18" x14ac:dyDescent="0.2">
      <c r="M39" s="962"/>
    </row>
    <row r="40" spans="13:18" x14ac:dyDescent="0.2">
      <c r="M40" s="962"/>
    </row>
    <row r="41" spans="13:18" x14ac:dyDescent="0.2">
      <c r="M41" s="962"/>
    </row>
    <row r="42" spans="13:18" x14ac:dyDescent="0.2">
      <c r="M42" s="962"/>
    </row>
  </sheetData>
  <mergeCells count="3">
    <mergeCell ref="A1:J1"/>
    <mergeCell ref="A2:J2"/>
    <mergeCell ref="A3:J3"/>
  </mergeCells>
  <conditionalFormatting sqref="N28:R3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{16101A39-B470-417E-973B-9CB051FEA67B}</x14:id>
        </ext>
      </extLst>
    </cfRule>
  </conditionalFormatting>
  <printOptions horizontalCentered="1" gridLines="1"/>
  <pageMargins left="0" right="0" top="0.78740157480314965" bottom="0.78740157480314965" header="0.31496062992125984" footer="0.31496062992125984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101A39-B470-417E-973B-9CB051FEA67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N28:R33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81C8-5564-46A0-A374-131455FC3DA2}">
  <dimension ref="A1:I28"/>
  <sheetViews>
    <sheetView tabSelected="1" workbookViewId="0">
      <selection activeCell="B29" sqref="B29"/>
    </sheetView>
  </sheetViews>
  <sheetFormatPr defaultRowHeight="12.75" x14ac:dyDescent="0.2"/>
  <cols>
    <col min="2" max="2" width="26.42578125" customWidth="1"/>
    <col min="3" max="3" width="7.140625" customWidth="1"/>
    <col min="4" max="4" width="32.7109375" customWidth="1"/>
    <col min="5" max="9" width="0.85546875" customWidth="1"/>
  </cols>
  <sheetData>
    <row r="1" spans="1:9" ht="20.25" x14ac:dyDescent="0.3">
      <c r="A1" s="1018" t="s">
        <v>284</v>
      </c>
      <c r="B1" s="1019"/>
      <c r="C1" s="1019"/>
      <c r="D1" s="1019"/>
      <c r="E1" s="1019"/>
      <c r="F1" s="1019"/>
      <c r="G1" s="1019"/>
      <c r="H1" s="1019"/>
      <c r="I1" s="1020"/>
    </row>
    <row r="2" spans="1:9" ht="20.25" x14ac:dyDescent="0.3">
      <c r="A2" s="1018" t="s">
        <v>586</v>
      </c>
      <c r="B2" s="1019"/>
      <c r="C2" s="1019"/>
      <c r="D2" s="1019"/>
      <c r="E2" s="1019"/>
      <c r="F2" s="1019"/>
      <c r="G2" s="1019"/>
      <c r="H2" s="1019"/>
      <c r="I2" s="1020"/>
    </row>
    <row r="3" spans="1:9" ht="13.5" x14ac:dyDescent="0.25">
      <c r="A3" s="1021" t="s">
        <v>1005</v>
      </c>
      <c r="B3" s="1022"/>
      <c r="C3" s="1022"/>
      <c r="D3" s="1022"/>
      <c r="E3" s="1022"/>
      <c r="F3" s="1022"/>
      <c r="G3" s="1022"/>
      <c r="H3" s="1022"/>
      <c r="I3" s="1022"/>
    </row>
    <row r="4" spans="1:9" x14ac:dyDescent="0.2">
      <c r="C4" s="367"/>
    </row>
    <row r="5" spans="1:9" ht="78" customHeight="1" x14ac:dyDescent="0.2">
      <c r="B5" s="1023" t="str">
        <f>"První dodatek rozpočtu FM pro rok 2021: Prostředky DKRVO (117) část motivační ve výši " &amp; TEXT(D6,"# ### ###") &amp; ",- Kč budou rozděleny na ústavy FM ve stejném poměru, jako 117-MOT již schváleného rozpočtu FM."</f>
        <v>První dodatek rozpočtu FM pro rok 2021: Prostředky DKRVO (117) část motivační ve výši 2 716 687,- Kč budou rozděleny na ústavy FM ve stejném poměru, jako 117-MOT již schváleného rozpočtu FM.</v>
      </c>
      <c r="C5" s="1023"/>
      <c r="D5" s="1023"/>
      <c r="E5" s="990"/>
      <c r="F5" s="990"/>
      <c r="G5" s="990"/>
      <c r="H5" s="990"/>
    </row>
    <row r="6" spans="1:9" ht="17.25" customHeight="1" x14ac:dyDescent="0.25">
      <c r="B6" s="989" t="s">
        <v>1010</v>
      </c>
      <c r="C6" s="986"/>
      <c r="D6" s="397">
        <v>2716686.6712429798</v>
      </c>
      <c r="E6" s="986"/>
      <c r="F6" s="986"/>
      <c r="G6" s="986"/>
      <c r="H6" s="986"/>
    </row>
    <row r="7" spans="1:9" ht="16.5" customHeight="1" x14ac:dyDescent="0.25">
      <c r="B7" s="989" t="s">
        <v>1012</v>
      </c>
      <c r="C7" s="986"/>
      <c r="D7" s="397">
        <v>0</v>
      </c>
      <c r="E7" s="986"/>
      <c r="F7" s="986"/>
      <c r="G7" s="986"/>
      <c r="H7" s="986"/>
    </row>
    <row r="8" spans="1:9" ht="16.5" customHeight="1" x14ac:dyDescent="0.25">
      <c r="B8" s="987" t="s">
        <v>1011</v>
      </c>
      <c r="C8" s="986"/>
      <c r="D8" s="397">
        <f>D6+D7</f>
        <v>2716686.6712429798</v>
      </c>
      <c r="E8" s="986"/>
      <c r="F8" s="986"/>
      <c r="G8" s="986"/>
      <c r="H8" s="986"/>
    </row>
    <row r="9" spans="1:9" ht="12.75" customHeight="1" x14ac:dyDescent="0.2">
      <c r="B9" s="986"/>
      <c r="C9" s="986"/>
      <c r="D9" s="986"/>
      <c r="E9" s="986"/>
      <c r="F9" s="986"/>
      <c r="G9" s="986"/>
      <c r="H9" s="986"/>
    </row>
    <row r="10" spans="1:9" ht="32.25" customHeight="1" x14ac:dyDescent="0.25">
      <c r="B10" s="475" t="s">
        <v>4</v>
      </c>
      <c r="C10" s="475" t="s">
        <v>1009</v>
      </c>
      <c r="D10" s="476" t="s">
        <v>1006</v>
      </c>
      <c r="E10" s="979"/>
      <c r="F10" s="979"/>
    </row>
    <row r="11" spans="1:9" ht="15.75" x14ac:dyDescent="0.25">
      <c r="B11" s="483" t="s">
        <v>98</v>
      </c>
      <c r="C11" s="988">
        <f>'12_Celkem_117'!H26</f>
        <v>0.2742</v>
      </c>
      <c r="D11" s="397">
        <f>$D$8*'12_Celkem_117'!H26</f>
        <v>744915.48525482509</v>
      </c>
      <c r="E11" s="980"/>
      <c r="F11" s="981"/>
    </row>
    <row r="12" spans="1:9" ht="15.75" x14ac:dyDescent="0.25">
      <c r="B12" s="483" t="s">
        <v>99</v>
      </c>
      <c r="C12" s="988">
        <f>'12_Celkem_117'!H27</f>
        <v>0.34360000000000002</v>
      </c>
      <c r="D12" s="397">
        <f>$D$8*'12_Celkem_117'!H27</f>
        <v>933453.54023908789</v>
      </c>
      <c r="E12" s="980"/>
      <c r="F12" s="981"/>
    </row>
    <row r="13" spans="1:9" ht="15.75" x14ac:dyDescent="0.25">
      <c r="B13" s="483" t="s">
        <v>100</v>
      </c>
      <c r="C13" s="988">
        <f>'12_Celkem_117'!H28</f>
        <v>0.38219999999999998</v>
      </c>
      <c r="D13" s="397">
        <f>$D$8*'12_Celkem_117'!H28</f>
        <v>1038317.6457490668</v>
      </c>
      <c r="E13" s="980"/>
      <c r="F13" s="981"/>
    </row>
    <row r="14" spans="1:9" ht="18.75" x14ac:dyDescent="0.3">
      <c r="B14" s="987" t="s">
        <v>1008</v>
      </c>
      <c r="D14" s="296">
        <f>SUM(D11:D13)</f>
        <v>2716686.6712429798</v>
      </c>
      <c r="E14" s="982"/>
      <c r="F14" s="983"/>
    </row>
    <row r="15" spans="1:9" ht="15.75" x14ac:dyDescent="0.25">
      <c r="B15" s="483" t="s">
        <v>80</v>
      </c>
      <c r="C15" s="988">
        <v>0</v>
      </c>
      <c r="D15" s="296">
        <v>0</v>
      </c>
      <c r="E15" s="980"/>
      <c r="F15" s="981"/>
    </row>
    <row r="16" spans="1:9" ht="18.75" x14ac:dyDescent="0.3">
      <c r="B16" s="12" t="s">
        <v>1007</v>
      </c>
      <c r="D16" s="296">
        <f>SUM(D14:D15)</f>
        <v>2716686.6712429798</v>
      </c>
      <c r="E16" s="982"/>
      <c r="F16" s="984"/>
    </row>
    <row r="17" spans="2:8" x14ac:dyDescent="0.2">
      <c r="C17" s="371"/>
      <c r="D17" s="985"/>
      <c r="E17" s="978"/>
      <c r="F17" s="978"/>
    </row>
    <row r="18" spans="2:8" x14ac:dyDescent="0.2">
      <c r="F18" s="383"/>
    </row>
    <row r="19" spans="2:8" x14ac:dyDescent="0.2">
      <c r="F19" s="383"/>
    </row>
    <row r="20" spans="2:8" x14ac:dyDescent="0.2">
      <c r="F20" s="383"/>
    </row>
    <row r="21" spans="2:8" x14ac:dyDescent="0.2">
      <c r="F21" s="383"/>
    </row>
    <row r="24" spans="2:8" ht="15.75" x14ac:dyDescent="0.25">
      <c r="B24" s="977"/>
      <c r="D24" s="340" t="s">
        <v>285</v>
      </c>
      <c r="E24" s="249"/>
      <c r="G24" s="249"/>
      <c r="H24" s="249"/>
    </row>
    <row r="25" spans="2:8" ht="15.75" x14ac:dyDescent="0.25">
      <c r="B25" s="977"/>
      <c r="D25" s="977" t="s">
        <v>286</v>
      </c>
      <c r="E25" s="55"/>
      <c r="G25" s="55"/>
      <c r="H25" s="55"/>
    </row>
    <row r="26" spans="2:8" ht="15.75" x14ac:dyDescent="0.25">
      <c r="B26" s="977"/>
      <c r="C26" s="55"/>
      <c r="D26" s="55"/>
      <c r="E26" s="55"/>
      <c r="F26" s="55"/>
      <c r="G26" s="55"/>
      <c r="H26" s="55"/>
    </row>
    <row r="27" spans="2:8" ht="15.75" x14ac:dyDescent="0.25">
      <c r="C27" s="55"/>
      <c r="D27" s="55"/>
      <c r="E27" s="55"/>
      <c r="F27" s="55"/>
      <c r="G27" s="55"/>
      <c r="H27" s="55"/>
    </row>
    <row r="28" spans="2:8" ht="15.75" x14ac:dyDescent="0.25">
      <c r="B28" s="368" t="s">
        <v>1019</v>
      </c>
    </row>
  </sheetData>
  <mergeCells count="4">
    <mergeCell ref="A1:I1"/>
    <mergeCell ref="A2:I2"/>
    <mergeCell ref="A3:I3"/>
    <mergeCell ref="B5:D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A39-DCC8-4AE6-B05C-EDEED9EE9320}">
  <sheetPr>
    <pageSetUpPr fitToPage="1"/>
  </sheetPr>
  <dimension ref="A1:V42"/>
  <sheetViews>
    <sheetView workbookViewId="0">
      <selection activeCell="E6" sqref="E6"/>
    </sheetView>
  </sheetViews>
  <sheetFormatPr defaultRowHeight="12.75" x14ac:dyDescent="0.2"/>
  <cols>
    <col min="1" max="1" width="2.7109375" customWidth="1"/>
    <col min="2" max="2" width="12" bestFit="1" customWidth="1"/>
    <col min="3" max="5" width="11.7109375" customWidth="1"/>
    <col min="6" max="6" width="12.140625" bestFit="1" customWidth="1"/>
    <col min="7" max="7" width="11.7109375" customWidth="1"/>
    <col min="8" max="8" width="22.28515625" customWidth="1"/>
    <col min="9" max="9" width="3.42578125" customWidth="1"/>
    <col min="10" max="10" width="3.5703125" customWidth="1"/>
    <col min="11" max="11" width="2.140625" customWidth="1"/>
    <col min="13" max="13" width="21.140625" customWidth="1"/>
    <col min="14" max="14" width="11.85546875" bestFit="1" customWidth="1"/>
    <col min="15" max="15" width="16.85546875" bestFit="1" customWidth="1"/>
    <col min="16" max="16" width="6.7109375" customWidth="1"/>
    <col min="17" max="17" width="16.85546875" bestFit="1" customWidth="1"/>
    <col min="18" max="18" width="5.7109375" bestFit="1" customWidth="1"/>
    <col min="19" max="20" width="16.85546875" bestFit="1" customWidth="1"/>
    <col min="21" max="21" width="17.42578125" bestFit="1" customWidth="1"/>
    <col min="22" max="22" width="6.5703125" customWidth="1"/>
  </cols>
  <sheetData>
    <row r="1" spans="1:22" ht="45" customHeight="1" x14ac:dyDescent="0.3">
      <c r="A1" s="1018" t="s">
        <v>284</v>
      </c>
      <c r="B1" s="1019"/>
      <c r="C1" s="1019"/>
      <c r="D1" s="1019"/>
      <c r="E1" s="1019"/>
      <c r="F1" s="1019"/>
      <c r="G1" s="1019"/>
      <c r="H1" s="1019"/>
      <c r="I1" s="1019"/>
      <c r="J1" s="1019"/>
      <c r="K1" s="1020"/>
    </row>
    <row r="2" spans="1:22" ht="20.25" customHeight="1" x14ac:dyDescent="0.3">
      <c r="A2" s="1018" t="s">
        <v>586</v>
      </c>
      <c r="B2" s="1019"/>
      <c r="C2" s="1019"/>
      <c r="D2" s="1019"/>
      <c r="E2" s="1019"/>
      <c r="F2" s="1019"/>
      <c r="G2" s="1019"/>
      <c r="H2" s="1019"/>
      <c r="I2" s="1019"/>
      <c r="J2" s="1019"/>
      <c r="K2" s="1020"/>
    </row>
    <row r="3" spans="1:22" ht="13.5" customHeight="1" x14ac:dyDescent="0.25">
      <c r="A3" s="1021" t="s">
        <v>587</v>
      </c>
      <c r="B3" s="1022"/>
      <c r="C3" s="1022"/>
      <c r="D3" s="1022"/>
      <c r="E3" s="1022"/>
      <c r="F3" s="1022"/>
      <c r="G3" s="1022"/>
      <c r="H3" s="1022"/>
      <c r="I3" s="1022"/>
      <c r="J3" s="1022"/>
      <c r="K3" s="1022"/>
    </row>
    <row r="4" spans="1:22" x14ac:dyDescent="0.2">
      <c r="D4" s="367"/>
      <c r="E4" s="367"/>
      <c r="M4" s="742"/>
      <c r="N4" s="742"/>
    </row>
    <row r="5" spans="1:22" x14ac:dyDescent="0.2">
      <c r="M5" s="804"/>
      <c r="N5" s="804"/>
      <c r="O5" s="804"/>
      <c r="P5" s="804"/>
      <c r="Q5" s="804"/>
      <c r="R5" s="804"/>
      <c r="S5" s="804"/>
      <c r="T5" s="804"/>
      <c r="U5" s="804"/>
      <c r="V5" s="804"/>
    </row>
    <row r="6" spans="1:22" ht="15.75" x14ac:dyDescent="0.25">
      <c r="B6" s="475"/>
      <c r="C6" s="476">
        <v>106</v>
      </c>
      <c r="D6" s="476">
        <v>117</v>
      </c>
      <c r="E6" s="476" t="s">
        <v>1013</v>
      </c>
      <c r="F6" s="476" t="s">
        <v>178</v>
      </c>
      <c r="G6" s="477" t="s">
        <v>174</v>
      </c>
      <c r="H6" s="478" t="s">
        <v>176</v>
      </c>
      <c r="N6" s="742"/>
      <c r="O6" s="930">
        <v>106</v>
      </c>
      <c r="Q6" s="930">
        <v>117</v>
      </c>
      <c r="S6" s="930" t="s">
        <v>178</v>
      </c>
      <c r="T6" s="930" t="s">
        <v>174</v>
      </c>
      <c r="U6" s="930" t="s">
        <v>176</v>
      </c>
    </row>
    <row r="7" spans="1:22" ht="15.75" x14ac:dyDescent="0.25">
      <c r="B7" s="483" t="s">
        <v>98</v>
      </c>
      <c r="C7" s="397">
        <f>'14_Přehled a rozpočítání DFM'!B17</f>
        <v>5165775.5682278601</v>
      </c>
      <c r="D7" s="397">
        <f>'12_Celkem_117'!L11</f>
        <v>5764255.9407674419</v>
      </c>
      <c r="E7" s="397">
        <f>'dod-1'!D11</f>
        <v>744915.48525482509</v>
      </c>
      <c r="F7" s="397">
        <f>-'13_CeloškolskáRežie'!F26</f>
        <v>-3418395</v>
      </c>
      <c r="G7" s="397">
        <f>-'8_Výpočet_20%_FRIM'!D6</f>
        <v>-73303</v>
      </c>
      <c r="H7" s="479">
        <f>SUM(C7:G7)</f>
        <v>8183248.9942501262</v>
      </c>
      <c r="M7" s="742"/>
      <c r="N7" s="960" t="s">
        <v>98</v>
      </c>
      <c r="O7" s="742">
        <v>3784073.5366569348</v>
      </c>
      <c r="P7" s="959">
        <f>C7/O7</f>
        <v>1.3651361471139907</v>
      </c>
      <c r="Q7" s="742">
        <v>7008247.9256145628</v>
      </c>
      <c r="R7" s="959">
        <f>D7/Q7</f>
        <v>0.82249600783950094</v>
      </c>
      <c r="S7" s="742">
        <v>-3272599</v>
      </c>
      <c r="T7" s="742">
        <v>-69962</v>
      </c>
      <c r="U7" s="742">
        <v>7449760.4622714967</v>
      </c>
      <c r="V7" s="959">
        <f>H7/U7</f>
        <v>1.098458002199306</v>
      </c>
    </row>
    <row r="8" spans="1:22" ht="15.75" x14ac:dyDescent="0.25">
      <c r="B8" s="483" t="s">
        <v>99</v>
      </c>
      <c r="C8" s="397">
        <f>'14_Přehled a rozpočítání DFM'!B18</f>
        <v>18700273.797080733</v>
      </c>
      <c r="D8" s="397">
        <f>'12_Celkem_117'!L12</f>
        <v>8149307.9646865763</v>
      </c>
      <c r="E8" s="397">
        <f>'dod-1'!D12</f>
        <v>933453.54023908789</v>
      </c>
      <c r="F8" s="397">
        <f>-'13_CeloškolskáRežie'!F27</f>
        <v>-9706773</v>
      </c>
      <c r="G8" s="397">
        <f>-'8_Výpočet_20%_FRIM'!D7</f>
        <v>-223555</v>
      </c>
      <c r="H8" s="479">
        <f>SUM(C8:G8)</f>
        <v>17852707.302006397</v>
      </c>
      <c r="M8" s="742"/>
      <c r="N8" s="960" t="s">
        <v>99</v>
      </c>
      <c r="O8" s="742">
        <v>16697652.33249167</v>
      </c>
      <c r="P8" s="959">
        <f t="shared" ref="P8:P12" si="0">C8/O8</f>
        <v>1.1199343132023534</v>
      </c>
      <c r="Q8" s="742">
        <v>9819750.4345329162</v>
      </c>
      <c r="R8" s="959">
        <f t="shared" ref="R8:R12" si="1">D8/Q8</f>
        <v>0.82988951898696639</v>
      </c>
      <c r="S8" s="742">
        <v>-9589051</v>
      </c>
      <c r="T8" s="742">
        <v>-233656</v>
      </c>
      <c r="U8" s="742">
        <v>16694695.767024584</v>
      </c>
      <c r="V8" s="959">
        <f t="shared" ref="V8:V12" si="2">H8/U8</f>
        <v>1.0693640394016117</v>
      </c>
    </row>
    <row r="9" spans="1:22" ht="16.5" thickBot="1" x14ac:dyDescent="0.3">
      <c r="B9" s="483" t="s">
        <v>100</v>
      </c>
      <c r="C9" s="397">
        <f>'14_Přehled a rozpočítání DFM'!B19</f>
        <v>15874901.669365123</v>
      </c>
      <c r="D9" s="397">
        <f>'12_Celkem_117'!L13</f>
        <v>6505737.5541187776</v>
      </c>
      <c r="E9" s="397">
        <f>'dod-1'!D13</f>
        <v>1038317.6457490668</v>
      </c>
      <c r="F9" s="397">
        <f>-'13_CeloškolskáRežie'!F28</f>
        <v>-6163724</v>
      </c>
      <c r="G9" s="397">
        <f>-'8_Výpočet_20%_FRIM'!D8</f>
        <v>-107561</v>
      </c>
      <c r="H9" s="480">
        <f>SUM(C9:G9)</f>
        <v>17147671.869232967</v>
      </c>
      <c r="M9" s="742"/>
      <c r="N9" s="960" t="s">
        <v>100</v>
      </c>
      <c r="O9" s="742">
        <v>13217899.607639512</v>
      </c>
      <c r="P9" s="959">
        <f t="shared" si="0"/>
        <v>1.2010154518188314</v>
      </c>
      <c r="Q9" s="742">
        <v>6871421.2873954009</v>
      </c>
      <c r="R9" s="959">
        <f t="shared" si="1"/>
        <v>0.94678193666462929</v>
      </c>
      <c r="S9" s="742">
        <v>-5470830</v>
      </c>
      <c r="T9" s="742">
        <v>-95970</v>
      </c>
      <c r="U9" s="742">
        <v>14522520.895034913</v>
      </c>
      <c r="V9" s="959">
        <f t="shared" si="2"/>
        <v>1.1807641382079583</v>
      </c>
    </row>
    <row r="10" spans="1:22" ht="19.5" thickBot="1" x14ac:dyDescent="0.35">
      <c r="B10" s="44"/>
      <c r="C10" s="296">
        <f>SUM(C7:C9)</f>
        <v>39740951.034673721</v>
      </c>
      <c r="D10" s="296">
        <f>SUM(D7:D9)</f>
        <v>20419301.459572796</v>
      </c>
      <c r="E10" s="397">
        <f>'dod-1'!D14</f>
        <v>2716686.6712429798</v>
      </c>
      <c r="F10" s="296">
        <f>SUM(F7:F9)</f>
        <v>-19288892</v>
      </c>
      <c r="G10" s="297">
        <f>SUM(G7:G9)</f>
        <v>-404419</v>
      </c>
      <c r="H10" s="481">
        <f>SUM(H7:H9)</f>
        <v>43183628.165489495</v>
      </c>
      <c r="M10" s="742"/>
      <c r="N10" s="960"/>
      <c r="O10" s="742">
        <v>33699625.476788118</v>
      </c>
      <c r="P10" s="959">
        <f t="shared" si="0"/>
        <v>1.1792698130145924</v>
      </c>
      <c r="Q10" s="742">
        <v>23699419.647542879</v>
      </c>
      <c r="R10" s="959">
        <f t="shared" si="1"/>
        <v>0.86159499950834617</v>
      </c>
      <c r="S10" s="742">
        <v>-18332480</v>
      </c>
      <c r="T10" s="742">
        <v>-399588</v>
      </c>
      <c r="U10" s="742">
        <v>38666977.124330997</v>
      </c>
      <c r="V10" s="959">
        <f t="shared" si="2"/>
        <v>1.1168090028510766</v>
      </c>
    </row>
    <row r="11" spans="1:22" ht="16.5" thickBot="1" x14ac:dyDescent="0.3">
      <c r="B11" s="483" t="s">
        <v>80</v>
      </c>
      <c r="C11" s="295">
        <f>'14_Přehled a rozpočítání DFM'!B21</f>
        <v>7594485.5999999987</v>
      </c>
      <c r="D11" s="295">
        <f>'0_PRIDEL'!D20</f>
        <v>444000</v>
      </c>
      <c r="E11" s="397">
        <f>'dod-1'!D15</f>
        <v>0</v>
      </c>
      <c r="F11" s="14">
        <f>-'13_CeloškolskáRežie'!F25</f>
        <v>-67658</v>
      </c>
      <c r="G11" s="295">
        <f>-'8_Výpočet_20%_FRIM'!D5</f>
        <v>-22297</v>
      </c>
      <c r="H11" s="482">
        <f>SUM(C11:G11)</f>
        <v>7948530.5999999987</v>
      </c>
      <c r="M11" s="742"/>
      <c r="N11" s="960" t="s">
        <v>80</v>
      </c>
      <c r="O11" s="742">
        <v>6543167.5999999996</v>
      </c>
      <c r="P11" s="959">
        <f t="shared" si="0"/>
        <v>1.1606741664388971</v>
      </c>
      <c r="Q11" s="742">
        <v>300000</v>
      </c>
      <c r="R11" s="959">
        <f t="shared" si="1"/>
        <v>1.48</v>
      </c>
      <c r="S11" s="742">
        <v>-61101</v>
      </c>
      <c r="T11" s="742">
        <v>-21280</v>
      </c>
      <c r="U11" s="742">
        <v>6760786.5999999996</v>
      </c>
      <c r="V11" s="959">
        <f t="shared" si="2"/>
        <v>1.1756813327017301</v>
      </c>
    </row>
    <row r="12" spans="1:22" ht="19.5" thickBot="1" x14ac:dyDescent="0.35">
      <c r="B12" s="1"/>
      <c r="C12" s="296">
        <f>C10+C11</f>
        <v>47335436.634673722</v>
      </c>
      <c r="D12" s="296">
        <f>D10+D11</f>
        <v>20863301.459572796</v>
      </c>
      <c r="E12" s="397">
        <f>'dod-1'!D16</f>
        <v>2716686.6712429798</v>
      </c>
      <c r="F12" s="296">
        <f>F10+F11</f>
        <v>-19356550</v>
      </c>
      <c r="G12" s="297">
        <f>G10+G11</f>
        <v>-426716</v>
      </c>
      <c r="H12" s="75">
        <f>H10+H11</f>
        <v>51132158.765489496</v>
      </c>
      <c r="M12" s="742"/>
      <c r="N12" s="960"/>
      <c r="O12" s="958">
        <v>40242793.07678812</v>
      </c>
      <c r="P12" s="959">
        <f t="shared" si="0"/>
        <v>1.1762463043842901</v>
      </c>
      <c r="Q12" s="958">
        <v>23999419.647542879</v>
      </c>
      <c r="R12" s="959">
        <f t="shared" si="1"/>
        <v>0.86932524894237739</v>
      </c>
      <c r="S12" s="958">
        <v>-18393581</v>
      </c>
      <c r="T12" s="958">
        <v>-420868</v>
      </c>
      <c r="U12" s="958">
        <v>45427763.724330999</v>
      </c>
      <c r="V12" s="959">
        <f t="shared" si="2"/>
        <v>1.1255706769053049</v>
      </c>
    </row>
    <row r="13" spans="1:22" x14ac:dyDescent="0.2">
      <c r="C13" s="371"/>
      <c r="D13" s="371"/>
      <c r="E13" s="371"/>
      <c r="F13" s="371"/>
      <c r="M13" s="742"/>
      <c r="N13" s="960"/>
    </row>
    <row r="14" spans="1:22" x14ac:dyDescent="0.2">
      <c r="H14" s="383"/>
      <c r="M14" s="742"/>
      <c r="N14" s="960"/>
    </row>
    <row r="15" spans="1:22" x14ac:dyDescent="0.2">
      <c r="B15" t="s">
        <v>446</v>
      </c>
      <c r="H15" s="383"/>
      <c r="N15" s="930"/>
    </row>
    <row r="16" spans="1:22" ht="15.75" x14ac:dyDescent="0.25">
      <c r="C16" s="476" t="s">
        <v>122</v>
      </c>
      <c r="H16" s="383"/>
      <c r="N16" s="930"/>
    </row>
    <row r="17" spans="2:19" ht="15.75" x14ac:dyDescent="0.25">
      <c r="B17" s="483" t="s">
        <v>98</v>
      </c>
      <c r="C17" s="295">
        <f>'11_Celkem_115'!M9</f>
        <v>466803</v>
      </c>
      <c r="H17" s="383"/>
      <c r="N17" s="930"/>
      <c r="O17" s="958"/>
    </row>
    <row r="18" spans="2:19" ht="15.75" x14ac:dyDescent="0.25">
      <c r="B18" s="483" t="s">
        <v>99</v>
      </c>
      <c r="C18" s="295">
        <f>'11_Celkem_115'!M10</f>
        <v>1429234</v>
      </c>
      <c r="H18" s="383"/>
      <c r="N18" s="930"/>
      <c r="O18" s="958"/>
    </row>
    <row r="19" spans="2:19" ht="15.75" x14ac:dyDescent="0.25">
      <c r="B19" s="483" t="s">
        <v>100</v>
      </c>
      <c r="C19" s="295">
        <f>'11_Celkem_115'!M11</f>
        <v>2275755</v>
      </c>
      <c r="H19" s="383"/>
      <c r="N19" s="930"/>
      <c r="O19" s="958"/>
    </row>
    <row r="20" spans="2:19" ht="15.75" x14ac:dyDescent="0.25">
      <c r="B20" s="44"/>
      <c r="C20" s="296">
        <f>SUM(C17:C19)</f>
        <v>4171792</v>
      </c>
      <c r="H20" s="383"/>
      <c r="N20" s="930"/>
      <c r="O20" s="958"/>
    </row>
    <row r="21" spans="2:19" ht="15.75" x14ac:dyDescent="0.25">
      <c r="B21" s="483" t="s">
        <v>80</v>
      </c>
      <c r="C21" s="295">
        <f>'11_Celkem_115'!M13+'11_Celkem_115'!M14</f>
        <v>451208</v>
      </c>
      <c r="H21" s="383"/>
      <c r="N21" s="930"/>
      <c r="O21" s="958"/>
    </row>
    <row r="22" spans="2:19" ht="15.75" x14ac:dyDescent="0.25">
      <c r="C22" s="296">
        <f>C20+C21</f>
        <v>4623000</v>
      </c>
      <c r="H22" s="383"/>
      <c r="N22" s="930"/>
      <c r="O22" s="958"/>
    </row>
    <row r="23" spans="2:19" x14ac:dyDescent="0.2">
      <c r="H23" s="383"/>
      <c r="N23" s="930"/>
    </row>
    <row r="24" spans="2:19" x14ac:dyDescent="0.2">
      <c r="H24" s="383"/>
      <c r="N24" s="930"/>
    </row>
    <row r="25" spans="2:19" x14ac:dyDescent="0.2">
      <c r="H25" s="383"/>
      <c r="N25" s="930"/>
    </row>
    <row r="26" spans="2:19" ht="15" customHeight="1" x14ac:dyDescent="0.2">
      <c r="N26" s="930"/>
    </row>
    <row r="27" spans="2:19" x14ac:dyDescent="0.2">
      <c r="N27" s="961"/>
      <c r="O27" s="961"/>
      <c r="P27" s="961"/>
      <c r="Q27" s="963"/>
      <c r="R27" s="963"/>
      <c r="S27" s="963"/>
    </row>
    <row r="28" spans="2:19" ht="15.75" x14ac:dyDescent="0.25">
      <c r="B28" s="991"/>
      <c r="C28" s="249"/>
      <c r="D28" s="249"/>
      <c r="E28" s="249"/>
      <c r="F28" s="249"/>
      <c r="G28" s="249"/>
      <c r="H28" s="340" t="s">
        <v>285</v>
      </c>
      <c r="I28" s="249"/>
      <c r="J28" s="249"/>
      <c r="N28" s="962"/>
      <c r="O28" s="959"/>
      <c r="P28" s="959"/>
      <c r="Q28" s="959"/>
      <c r="R28" s="959"/>
      <c r="S28" s="959"/>
    </row>
    <row r="29" spans="2:19" ht="15.75" x14ac:dyDescent="0.25">
      <c r="B29" s="991"/>
      <c r="C29" s="55"/>
      <c r="D29" s="55"/>
      <c r="E29" s="55"/>
      <c r="F29" s="55"/>
      <c r="G29" s="55"/>
      <c r="H29" s="991" t="s">
        <v>286</v>
      </c>
      <c r="I29" s="55"/>
      <c r="J29" s="55"/>
      <c r="N29" s="962"/>
      <c r="O29" s="959"/>
      <c r="P29" s="959"/>
      <c r="Q29" s="959"/>
      <c r="R29" s="959"/>
      <c r="S29" s="959"/>
    </row>
    <row r="30" spans="2:19" ht="15.75" x14ac:dyDescent="0.25">
      <c r="B30" s="991"/>
      <c r="C30" s="55"/>
      <c r="D30" s="55"/>
      <c r="E30" s="55"/>
      <c r="F30" s="55"/>
      <c r="G30" s="55"/>
      <c r="H30" s="55"/>
      <c r="I30" s="55"/>
      <c r="J30" s="55"/>
      <c r="N30" s="962"/>
      <c r="O30" s="959"/>
      <c r="P30" s="959"/>
      <c r="Q30" s="959"/>
      <c r="R30" s="959"/>
      <c r="S30" s="959"/>
    </row>
    <row r="31" spans="2:19" ht="15.75" x14ac:dyDescent="0.25">
      <c r="B31" s="368" t="s">
        <v>979</v>
      </c>
      <c r="C31" s="55"/>
      <c r="D31" s="55"/>
      <c r="E31" s="55"/>
      <c r="F31" s="55"/>
      <c r="G31" s="55"/>
      <c r="H31" s="55"/>
      <c r="I31" s="55"/>
      <c r="J31" s="55"/>
      <c r="N31" s="962"/>
      <c r="O31" s="959"/>
      <c r="P31" s="959"/>
      <c r="Q31" s="959"/>
      <c r="R31" s="959"/>
      <c r="S31" s="959"/>
    </row>
    <row r="32" spans="2:19" x14ac:dyDescent="0.2">
      <c r="N32" s="962"/>
      <c r="O32" s="959"/>
      <c r="P32" s="959"/>
      <c r="Q32" s="959"/>
      <c r="R32" s="959"/>
      <c r="S32" s="959"/>
    </row>
    <row r="33" spans="14:19" x14ac:dyDescent="0.2">
      <c r="N33" s="962"/>
      <c r="O33" s="959"/>
      <c r="P33" s="959"/>
      <c r="Q33" s="959"/>
      <c r="R33" s="959"/>
      <c r="S33" s="959"/>
    </row>
    <row r="34" spans="14:19" x14ac:dyDescent="0.2">
      <c r="N34" s="962"/>
    </row>
    <row r="35" spans="14:19" x14ac:dyDescent="0.2">
      <c r="N35" s="962"/>
    </row>
    <row r="36" spans="14:19" x14ac:dyDescent="0.2">
      <c r="N36" s="962"/>
    </row>
    <row r="37" spans="14:19" x14ac:dyDescent="0.2">
      <c r="N37" s="962"/>
    </row>
    <row r="38" spans="14:19" x14ac:dyDescent="0.2">
      <c r="N38" s="962"/>
    </row>
    <row r="39" spans="14:19" x14ac:dyDescent="0.2">
      <c r="N39" s="962"/>
    </row>
    <row r="40" spans="14:19" x14ac:dyDescent="0.2">
      <c r="N40" s="962"/>
    </row>
    <row r="41" spans="14:19" x14ac:dyDescent="0.2">
      <c r="N41" s="962"/>
    </row>
    <row r="42" spans="14:19" x14ac:dyDescent="0.2">
      <c r="N42" s="962"/>
    </row>
  </sheetData>
  <mergeCells count="3">
    <mergeCell ref="A1:K1"/>
    <mergeCell ref="A2:K2"/>
    <mergeCell ref="A3:K3"/>
  </mergeCells>
  <conditionalFormatting sqref="O28:S3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{FD8F376C-5FDB-4ADE-8777-CF59E7811AF8}</x14:id>
        </ext>
      </extLst>
    </cfRule>
  </conditionalFormatting>
  <printOptions horizontalCentered="1" gridLines="1"/>
  <pageMargins left="0" right="0" top="0.78740157480314965" bottom="0.78740157480314965" header="0.31496062992125984" footer="0.31496062992125984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8F376C-5FDB-4ADE-8777-CF59E7811AF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O28:S33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20</vt:i4>
      </vt:variant>
      <vt:variant>
        <vt:lpstr>Pojmenované oblasti</vt:lpstr>
      </vt:variant>
      <vt:variant>
        <vt:i4>12</vt:i4>
      </vt:variant>
    </vt:vector>
  </HeadingPairs>
  <TitlesOfParts>
    <vt:vector size="32" baseType="lpstr">
      <vt:lpstr>INFO_úpravy</vt:lpstr>
      <vt:lpstr>0_PRIDEL</vt:lpstr>
      <vt:lpstr>1_Bc_Mag_DSP</vt:lpstr>
      <vt:lpstr>2_Projekty_BP_DP</vt:lpstr>
      <vt:lpstr>3_DSP</vt:lpstr>
      <vt:lpstr>4_DOC_PROF</vt:lpstr>
      <vt:lpstr>4a_úvazky-na-FM</vt:lpstr>
      <vt:lpstr>5_Výuka</vt:lpstr>
      <vt:lpstr>6_Garanti</vt:lpstr>
      <vt:lpstr>7_Plochy pracovišť</vt:lpstr>
      <vt:lpstr>8_Výpočet_20%_FRIM</vt:lpstr>
      <vt:lpstr>9_DFM</vt:lpstr>
      <vt:lpstr>10_Celkem_106</vt:lpstr>
      <vt:lpstr>11_Celkem_115</vt:lpstr>
      <vt:lpstr>12_Celkem_117</vt:lpstr>
      <vt:lpstr>13_CeloškolskáRežie</vt:lpstr>
      <vt:lpstr>14_Přehled a rozpočítání DFM</vt:lpstr>
      <vt:lpstr>ROZPOČET</vt:lpstr>
      <vt:lpstr>dod-1</vt:lpstr>
      <vt:lpstr>ROZPOČET (vč.dod)</vt:lpstr>
      <vt:lpstr>'0_PRIDEL'!Oblast_tisku</vt:lpstr>
      <vt:lpstr>'1_Bc_Mag_DSP'!Oblast_tisku</vt:lpstr>
      <vt:lpstr>'10_Celkem_106'!Oblast_tisku</vt:lpstr>
      <vt:lpstr>'12_Celkem_117'!Oblast_tisku</vt:lpstr>
      <vt:lpstr>'13_CeloškolskáRežie'!Oblast_tisku</vt:lpstr>
      <vt:lpstr>'2_Projekty_BP_DP'!Oblast_tisku</vt:lpstr>
      <vt:lpstr>'3_DSP'!Oblast_tisku</vt:lpstr>
      <vt:lpstr>'4a_úvazky-na-FM'!Oblast_tisku</vt:lpstr>
      <vt:lpstr>'5_Výuka'!Oblast_tisku</vt:lpstr>
      <vt:lpstr>'7_Plochy pracovišť'!Oblast_tisku</vt:lpstr>
      <vt:lpstr>'8_Výpočet_20%_FRIM'!Oblast_tisku</vt:lpstr>
      <vt:lpstr>'9_DFM'!Oblast_tisku</vt:lpstr>
    </vt:vector>
  </TitlesOfParts>
  <Company>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Zdeněk Plíva</cp:lastModifiedBy>
  <cp:lastPrinted>2021-06-25T08:29:49Z</cp:lastPrinted>
  <dcterms:created xsi:type="dcterms:W3CDTF">1999-02-11T13:15:26Z</dcterms:created>
  <dcterms:modified xsi:type="dcterms:W3CDTF">2021-07-14T10:56:45Z</dcterms:modified>
</cp:coreProperties>
</file>