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T:\Krausova\ROZPOCTY\Rozp_2022\"/>
    </mc:Choice>
  </mc:AlternateContent>
  <xr:revisionPtr revIDLastSave="0" documentId="13_ncr:1_{FA1BE162-99FD-42F0-B111-6F91BEFE907E}" xr6:coauthVersionLast="47" xr6:coauthVersionMax="47" xr10:uidLastSave="{00000000-0000-0000-0000-000000000000}"/>
  <bookViews>
    <workbookView xWindow="-28908" yWindow="-108" windowWidth="29016" windowHeight="15816" tabRatio="720" firstSheet="7" activeTab="12" xr2:uid="{00000000-000D-0000-FFFF-FFFF00000000}"/>
  </bookViews>
  <sheets>
    <sheet name="log" sheetId="74" r:id="rId1"/>
    <sheet name="0_PRIDEL" sheetId="65" r:id="rId2"/>
    <sheet name="1_Bc_Mag_DSP" sheetId="21" r:id="rId3"/>
    <sheet name="2_Projekty_BP_DP" sheetId="19" r:id="rId4"/>
    <sheet name="3_DSP" sheetId="18" r:id="rId5"/>
    <sheet name="4_DOC_PROF" sheetId="67" r:id="rId6"/>
    <sheet name="4a_úvazky-na-FM" sheetId="72" r:id="rId7"/>
    <sheet name="5_Výuka" sheetId="56" r:id="rId8"/>
    <sheet name="6_Garanti" sheetId="71" r:id="rId9"/>
    <sheet name="7_Plochy pracovišť" sheetId="54" r:id="rId10"/>
    <sheet name="8_Výpočet_20%_FRIM" sheetId="63" r:id="rId11"/>
    <sheet name="9_DFM" sheetId="64" r:id="rId12"/>
    <sheet name="10_Celkem_106" sheetId="20" r:id="rId13"/>
    <sheet name="11_Celkem_115" sheetId="70" r:id="rId14"/>
    <sheet name="12_Celkem_117" sheetId="66" r:id="rId15"/>
    <sheet name="13_CeloškolskáRežie" sheetId="68" r:id="rId16"/>
    <sheet name="14_rozpočítání DF" sheetId="76" r:id="rId17"/>
    <sheet name="ROZPOČET" sheetId="73" r:id="rId18"/>
    <sheet name="App1" sheetId="77" r:id="rId19"/>
  </sheets>
  <definedNames>
    <definedName name="_xlnm._FilterDatabase" localSheetId="9" hidden="1">'7_Plochy pracovišť'!$A$1:$IF$145</definedName>
    <definedName name="_xlnm.Print_Area" localSheetId="1">'0_PRIDEL'!$A$1:$C$28</definedName>
    <definedName name="_xlnm.Print_Area" localSheetId="2">'1_Bc_Mag_DSP'!$A$1:$I$27</definedName>
    <definedName name="_xlnm.Print_Area" localSheetId="12">'10_Celkem_106'!$A$1:$N$16</definedName>
    <definedName name="_xlnm.Print_Area" localSheetId="14">'12_Celkem_117'!$A$1:$J$25</definedName>
    <definedName name="_xlnm.Print_Area" localSheetId="15">'13_CeloškolskáRežie'!$A$1:$F$35</definedName>
    <definedName name="_xlnm.Print_Area" localSheetId="3">'2_Projekty_BP_DP'!$A$1:$J$15</definedName>
    <definedName name="_xlnm.Print_Area" localSheetId="4">'3_DSP'!$A$1:$K$15</definedName>
    <definedName name="_xlnm.Print_Area" localSheetId="6">'4a_úvazky-na-FM'!$A$1:$L$27</definedName>
    <definedName name="_xlnm.Print_Area" localSheetId="7">'5_Výuka'!$A$364:$J$386</definedName>
    <definedName name="_xlnm.Print_Area" localSheetId="9">'7_Plochy pracovišť'!$A$145:$I$146</definedName>
    <definedName name="_xlnm.Print_Area" localSheetId="10">'8_Výpočet_20%_FRIM'!$A$1:$I$12</definedName>
    <definedName name="_xlnm.Print_Area" localSheetId="11">'9_DFM'!$A$1:$E$26</definedName>
    <definedName name="_xlnm.Print_Area" localSheetId="17">ROZPOČET!$A$1:$J$32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64" l="1"/>
  <c r="D18" i="63" l="1"/>
  <c r="C17" i="66" l="1"/>
  <c r="C16" i="66"/>
  <c r="C15" i="66"/>
  <c r="C14" i="66"/>
  <c r="C13" i="66"/>
  <c r="C12" i="66"/>
  <c r="C11" i="66"/>
  <c r="B12" i="66"/>
  <c r="B13" i="66"/>
  <c r="B14" i="66"/>
  <c r="B15" i="66"/>
  <c r="B16" i="66"/>
  <c r="B17" i="66"/>
  <c r="B11" i="66"/>
  <c r="F45" i="66" l="1"/>
  <c r="C39" i="73" s="1"/>
  <c r="F39" i="73" s="1"/>
  <c r="F43" i="66"/>
  <c r="E39" i="73" s="1"/>
  <c r="D45" i="66"/>
  <c r="D44" i="66"/>
  <c r="F44" i="66" s="1"/>
  <c r="D39" i="73" s="1"/>
  <c r="F31" i="77" l="1"/>
  <c r="F32" i="77"/>
  <c r="G32" i="77"/>
  <c r="F33" i="77"/>
  <c r="G33" i="77"/>
  <c r="F34" i="77"/>
  <c r="G34" i="77"/>
  <c r="G31" i="77"/>
  <c r="G18" i="64" l="1"/>
  <c r="J18" i="64" s="1"/>
  <c r="F36" i="68" l="1"/>
  <c r="Q18" i="64"/>
  <c r="Q17" i="64"/>
  <c r="Q19" i="64"/>
  <c r="Q20" i="64"/>
  <c r="Q21" i="64"/>
  <c r="Q22" i="64"/>
  <c r="Q23" i="64"/>
  <c r="Q24" i="64"/>
  <c r="Q25" i="64"/>
  <c r="Q16" i="64"/>
  <c r="C14" i="64" s="1"/>
  <c r="P12" i="18"/>
  <c r="P13" i="18"/>
  <c r="P11" i="18"/>
  <c r="O58" i="74"/>
  <c r="O59" i="74"/>
  <c r="O57" i="74"/>
  <c r="O40" i="74"/>
  <c r="N58" i="74"/>
  <c r="N59" i="74"/>
  <c r="N57" i="74"/>
  <c r="M41" i="74"/>
  <c r="M42" i="74"/>
  <c r="M43" i="74"/>
  <c r="M44" i="74"/>
  <c r="M45" i="74"/>
  <c r="M46" i="74"/>
  <c r="M47" i="74"/>
  <c r="M48" i="74"/>
  <c r="M49" i="74"/>
  <c r="M50" i="74"/>
  <c r="M51" i="74"/>
  <c r="M52" i="74"/>
  <c r="M53" i="74"/>
  <c r="M54" i="74"/>
  <c r="M55" i="74"/>
  <c r="M56" i="74"/>
  <c r="M57" i="74"/>
  <c r="M58" i="74"/>
  <c r="M59" i="74"/>
  <c r="M60" i="74"/>
  <c r="M61" i="74"/>
  <c r="M62" i="74"/>
  <c r="M63" i="74"/>
  <c r="M40" i="74"/>
  <c r="C15" i="64" l="1"/>
  <c r="F35" i="68"/>
  <c r="F37" i="68" s="1"/>
  <c r="H22" i="65"/>
  <c r="H34" i="68" s="1"/>
  <c r="I34" i="68" l="1"/>
  <c r="F9" i="76" s="1"/>
  <c r="H35" i="68"/>
  <c r="E11" i="73" l="1"/>
  <c r="F28" i="65"/>
  <c r="E17" i="65"/>
  <c r="F21" i="65"/>
  <c r="M25" i="64"/>
  <c r="M24" i="64"/>
  <c r="G7" i="67"/>
  <c r="F7" i="67"/>
  <c r="I7" i="67" l="1"/>
  <c r="C6" i="20"/>
  <c r="H7" i="65" l="1"/>
  <c r="B7" i="65" s="1"/>
  <c r="Q41" i="74" l="1"/>
  <c r="Q42" i="74"/>
  <c r="Q40" i="74"/>
  <c r="O41" i="74"/>
  <c r="O42" i="74"/>
  <c r="O39" i="74"/>
  <c r="P42" i="74" l="1"/>
  <c r="P40" i="74"/>
  <c r="P41" i="74"/>
  <c r="Q17" i="74"/>
  <c r="Q18" i="74"/>
  <c r="Q16" i="74"/>
  <c r="I10" i="74"/>
  <c r="I11" i="74"/>
  <c r="I12" i="74"/>
  <c r="I13" i="74"/>
  <c r="I14" i="74"/>
  <c r="I15" i="74"/>
  <c r="I16" i="74"/>
  <c r="I17" i="74"/>
  <c r="I18" i="74"/>
  <c r="I19" i="74"/>
  <c r="I20" i="74"/>
  <c r="I21" i="74"/>
  <c r="I22" i="74"/>
  <c r="I23" i="74"/>
  <c r="I24" i="74"/>
  <c r="I25" i="74"/>
  <c r="I26" i="74"/>
  <c r="I27" i="74"/>
  <c r="I28" i="74"/>
  <c r="I29" i="74"/>
  <c r="I30" i="74"/>
  <c r="I31" i="74"/>
  <c r="I32" i="74"/>
  <c r="I33" i="74"/>
  <c r="I34" i="74"/>
  <c r="I35" i="74"/>
  <c r="I36" i="74"/>
  <c r="I9" i="74"/>
  <c r="O17" i="74" l="1"/>
  <c r="O16" i="74"/>
  <c r="O18" i="74"/>
  <c r="P18" i="74" s="1"/>
  <c r="C23" i="76"/>
  <c r="E31" i="70"/>
  <c r="A23" i="76"/>
  <c r="J10" i="76"/>
  <c r="D17" i="76"/>
  <c r="G9" i="76"/>
  <c r="G22" i="76" s="1"/>
  <c r="G7" i="76"/>
  <c r="G20" i="76" s="1"/>
  <c r="G6" i="76"/>
  <c r="G5" i="76"/>
  <c r="G18" i="76" s="1"/>
  <c r="H14" i="20"/>
  <c r="I14" i="20" s="1"/>
  <c r="A41" i="66"/>
  <c r="A42" i="66"/>
  <c r="A43" i="66"/>
  <c r="A44" i="66"/>
  <c r="A45" i="66"/>
  <c r="A46" i="66"/>
  <c r="A40" i="66"/>
  <c r="N10" i="18"/>
  <c r="L16" i="71"/>
  <c r="E14" i="18"/>
  <c r="B14" i="18"/>
  <c r="P16" i="74" l="1"/>
  <c r="P17" i="74"/>
  <c r="G8" i="76"/>
  <c r="G11" i="76" s="1"/>
  <c r="G19" i="76"/>
  <c r="G21" i="76" s="1"/>
  <c r="G24" i="76" s="1"/>
  <c r="B17" i="68"/>
  <c r="G26" i="76" l="1"/>
  <c r="H13" i="18"/>
  <c r="G13" i="18"/>
  <c r="F13" i="18"/>
  <c r="H12" i="18"/>
  <c r="F12" i="18"/>
  <c r="H11" i="18"/>
  <c r="G11" i="18"/>
  <c r="F11" i="18"/>
  <c r="I13" i="18" l="1"/>
  <c r="I11" i="18"/>
  <c r="H18" i="66"/>
  <c r="J12" i="66"/>
  <c r="J14" i="66"/>
  <c r="L14" i="66" s="1"/>
  <c r="V14" i="66" s="1"/>
  <c r="J16" i="66"/>
  <c r="L16" i="66" s="1"/>
  <c r="J17" i="66"/>
  <c r="L17" i="66" s="1"/>
  <c r="E17" i="66"/>
  <c r="J15" i="66" l="1"/>
  <c r="L15" i="66" s="1"/>
  <c r="G39" i="73"/>
  <c r="C9" i="76"/>
  <c r="D11" i="73" s="1"/>
  <c r="J13" i="66"/>
  <c r="B18" i="66"/>
  <c r="E12" i="66"/>
  <c r="E13" i="66"/>
  <c r="E14" i="66"/>
  <c r="E15" i="66"/>
  <c r="E16" i="66"/>
  <c r="E11" i="66"/>
  <c r="C22" i="76" l="1"/>
  <c r="E34" i="21"/>
  <c r="F34" i="21"/>
  <c r="G34" i="21"/>
  <c r="B5" i="19" l="1"/>
  <c r="E145" i="54" l="1"/>
  <c r="D151" i="54"/>
  <c r="D152" i="54"/>
  <c r="D153" i="54"/>
  <c r="D154" i="54"/>
  <c r="D155" i="54"/>
  <c r="D156" i="54"/>
  <c r="D157" i="54"/>
  <c r="D158" i="54"/>
  <c r="E159" i="54"/>
  <c r="F159" i="54"/>
  <c r="G159" i="54"/>
  <c r="D159" i="54" l="1"/>
  <c r="D160" i="54" s="1"/>
  <c r="G21" i="64" l="1"/>
  <c r="M21" i="64" s="1"/>
  <c r="G20" i="64"/>
  <c r="M20" i="64" s="1"/>
  <c r="G19" i="64"/>
  <c r="M19" i="64" s="1"/>
  <c r="M18" i="64"/>
  <c r="G16" i="64"/>
  <c r="M16" i="64" s="1"/>
  <c r="I31" i="68" l="1"/>
  <c r="F5" i="76" s="1"/>
  <c r="I32" i="68"/>
  <c r="F6" i="76" s="1"/>
  <c r="I33" i="68"/>
  <c r="F7" i="76" s="1"/>
  <c r="I35" i="68" l="1"/>
  <c r="C7" i="66"/>
  <c r="B33" i="21" l="1"/>
  <c r="B32" i="21"/>
  <c r="B31" i="21"/>
  <c r="P18" i="71" l="1"/>
  <c r="P19" i="71"/>
  <c r="N2" i="71"/>
  <c r="P2" i="71" s="1"/>
  <c r="L35" i="71"/>
  <c r="N35" i="71"/>
  <c r="N17" i="71"/>
  <c r="N16" i="71"/>
  <c r="L17" i="71"/>
  <c r="L2" i="71"/>
  <c r="H27" i="66" l="1"/>
  <c r="H6" i="65" l="1"/>
  <c r="B6" i="65" s="1"/>
  <c r="H19" i="65" l="1"/>
  <c r="C4" i="68" s="1"/>
  <c r="H8" i="65"/>
  <c r="B8" i="65" s="1"/>
  <c r="H14" i="65" l="1"/>
  <c r="C14" i="18" l="1"/>
  <c r="G12" i="18" l="1"/>
  <c r="I12" i="18" s="1"/>
  <c r="D14" i="18"/>
  <c r="G17" i="64" l="1"/>
  <c r="G22" i="64"/>
  <c r="M22" i="64" s="1"/>
  <c r="G23" i="64"/>
  <c r="M23" i="64" s="1"/>
  <c r="M17" i="64" l="1"/>
  <c r="C17" i="64" s="1"/>
  <c r="F10" i="18"/>
  <c r="G10" i="18"/>
  <c r="H10" i="18"/>
  <c r="B6" i="64" l="1"/>
  <c r="I10" i="18"/>
  <c r="H11" i="65"/>
  <c r="H12" i="65"/>
  <c r="H13" i="65"/>
  <c r="H9" i="65" l="1"/>
  <c r="B9" i="65" s="1"/>
  <c r="H5" i="65"/>
  <c r="B5" i="65" l="1"/>
  <c r="O43" i="71"/>
  <c r="O44" i="71"/>
  <c r="O45" i="71"/>
  <c r="O42" i="71"/>
  <c r="N3" i="71" l="1"/>
  <c r="N4" i="71"/>
  <c r="N5" i="71"/>
  <c r="N6" i="71"/>
  <c r="N7" i="71"/>
  <c r="N8" i="71"/>
  <c r="N9" i="71"/>
  <c r="N10" i="71"/>
  <c r="N11" i="71"/>
  <c r="N12" i="71"/>
  <c r="N13" i="71"/>
  <c r="N14" i="71"/>
  <c r="N15" i="71"/>
  <c r="N20" i="71"/>
  <c r="N21" i="71"/>
  <c r="N22" i="71"/>
  <c r="N23" i="71"/>
  <c r="N24" i="71"/>
  <c r="N25" i="71"/>
  <c r="N26" i="71"/>
  <c r="N27" i="71"/>
  <c r="N28" i="71"/>
  <c r="N29" i="71"/>
  <c r="N30" i="71"/>
  <c r="N31" i="71"/>
  <c r="N32" i="71"/>
  <c r="N33" i="71"/>
  <c r="N34" i="71"/>
  <c r="L3" i="71"/>
  <c r="L4" i="71"/>
  <c r="L5" i="71"/>
  <c r="L6" i="71"/>
  <c r="L7" i="71"/>
  <c r="L8" i="71"/>
  <c r="L9" i="71"/>
  <c r="L10" i="71"/>
  <c r="L11" i="71"/>
  <c r="L12" i="71"/>
  <c r="L13" i="71"/>
  <c r="L14" i="71"/>
  <c r="L15" i="71"/>
  <c r="L20" i="71"/>
  <c r="L21" i="71"/>
  <c r="L22" i="71"/>
  <c r="L23" i="71"/>
  <c r="L24" i="71"/>
  <c r="L25" i="71"/>
  <c r="L26" i="71"/>
  <c r="L27" i="71"/>
  <c r="L28" i="71"/>
  <c r="L29" i="71"/>
  <c r="L30" i="71"/>
  <c r="L31" i="71"/>
  <c r="L32" i="71"/>
  <c r="L33" i="71"/>
  <c r="L34" i="71"/>
  <c r="P29" i="71" l="1"/>
  <c r="O29" i="71"/>
  <c r="O20" i="71"/>
  <c r="P20" i="71"/>
  <c r="N43" i="71"/>
  <c r="P4" i="71"/>
  <c r="P34" i="71"/>
  <c r="O34" i="71"/>
  <c r="O30" i="71"/>
  <c r="P30" i="71"/>
  <c r="P35" i="71"/>
  <c r="O35" i="71"/>
  <c r="P15" i="71"/>
  <c r="O15" i="71"/>
  <c r="P14" i="71"/>
  <c r="P33" i="71"/>
  <c r="O33" i="71"/>
  <c r="O14" i="71"/>
  <c r="O24" i="71"/>
  <c r="P31" i="71"/>
  <c r="O31" i="71"/>
  <c r="P6" i="71"/>
  <c r="P24" i="71"/>
  <c r="P12" i="71"/>
  <c r="P13" i="71"/>
  <c r="P21" i="71"/>
  <c r="O21" i="71"/>
  <c r="P25" i="71"/>
  <c r="P10" i="71"/>
  <c r="O26" i="71"/>
  <c r="P26" i="71"/>
  <c r="O28" i="71"/>
  <c r="P9" i="71"/>
  <c r="O25" i="71"/>
  <c r="P28" i="71"/>
  <c r="P11" i="71"/>
  <c r="O23" i="71"/>
  <c r="P23" i="71"/>
  <c r="P5" i="71"/>
  <c r="N45" i="71"/>
  <c r="P7" i="71"/>
  <c r="O27" i="71"/>
  <c r="P27" i="71"/>
  <c r="P8" i="71"/>
  <c r="P3" i="71"/>
  <c r="N42" i="71"/>
  <c r="O22" i="71"/>
  <c r="P22" i="71"/>
  <c r="P16" i="71"/>
  <c r="P32" i="71"/>
  <c r="P17" i="71"/>
  <c r="O32" i="71"/>
  <c r="O16" i="71"/>
  <c r="O37" i="71"/>
  <c r="N44" i="71"/>
  <c r="O17" i="71"/>
  <c r="O10" i="71"/>
  <c r="O9" i="71"/>
  <c r="O11" i="71"/>
  <c r="O5" i="71"/>
  <c r="O6" i="71"/>
  <c r="O12" i="71"/>
  <c r="O13" i="71"/>
  <c r="M13" i="20"/>
  <c r="O2" i="71"/>
  <c r="O36" i="71"/>
  <c r="M12" i="20"/>
  <c r="O4" i="71"/>
  <c r="O8" i="71"/>
  <c r="O7" i="71"/>
  <c r="O3" i="71"/>
  <c r="E7" i="19"/>
  <c r="I7" i="19" s="1"/>
  <c r="C7" i="19"/>
  <c r="G7" i="19" s="1"/>
  <c r="D7" i="19"/>
  <c r="H7" i="19" s="1"/>
  <c r="B7" i="19"/>
  <c r="F7" i="19" s="1"/>
  <c r="E6" i="19"/>
  <c r="I6" i="19" s="1"/>
  <c r="C6" i="19"/>
  <c r="G6" i="19" s="1"/>
  <c r="D6" i="19"/>
  <c r="H6" i="19" s="1"/>
  <c r="B6" i="19"/>
  <c r="F6" i="19" s="1"/>
  <c r="E5" i="19"/>
  <c r="I5" i="19" s="1"/>
  <c r="C5" i="19"/>
  <c r="D5" i="19"/>
  <c r="N46" i="71" l="1"/>
  <c r="O46" i="71" s="1"/>
  <c r="B8" i="64" s="1"/>
  <c r="B9" i="64" s="1"/>
  <c r="M11" i="20"/>
  <c r="H5" i="19"/>
  <c r="D8" i="19"/>
  <c r="E8" i="19"/>
  <c r="C8" i="19"/>
  <c r="G5" i="19"/>
  <c r="F5" i="19"/>
  <c r="B8" i="19"/>
  <c r="C7" i="20" l="1"/>
  <c r="M14" i="20"/>
  <c r="C18" i="66"/>
  <c r="C4" i="66" s="1"/>
  <c r="M16" i="20" l="1"/>
  <c r="N14" i="20"/>
  <c r="J11" i="66"/>
  <c r="J18" i="66" s="1"/>
  <c r="F11" i="73"/>
  <c r="F9" i="73"/>
  <c r="F8" i="73"/>
  <c r="F7" i="73"/>
  <c r="H32" i="66" l="1"/>
  <c r="K14" i="70" l="1"/>
  <c r="M14" i="70" s="1"/>
  <c r="K13" i="70"/>
  <c r="M13" i="70" s="1"/>
  <c r="K11" i="70"/>
  <c r="M11" i="70" s="1"/>
  <c r="D7" i="76" s="1"/>
  <c r="D20" i="76" s="1"/>
  <c r="K10" i="70"/>
  <c r="M10" i="70" s="1"/>
  <c r="D6" i="76" s="1"/>
  <c r="D19" i="76" s="1"/>
  <c r="K9" i="70"/>
  <c r="M9" i="70" s="1"/>
  <c r="D5" i="76" s="1"/>
  <c r="E11" i="70"/>
  <c r="D9" i="76" l="1"/>
  <c r="D22" i="76" s="1"/>
  <c r="D18" i="76"/>
  <c r="D21" i="76" s="1"/>
  <c r="D8" i="76"/>
  <c r="D11" i="76" s="1"/>
  <c r="K16" i="70"/>
  <c r="B4" i="70"/>
  <c r="E35" i="70"/>
  <c r="M15" i="70"/>
  <c r="D24" i="76" l="1"/>
  <c r="D26" i="76" s="1"/>
  <c r="D6" i="72"/>
  <c r="G32" i="66" l="1"/>
  <c r="B6" i="72"/>
  <c r="B13" i="72" s="1"/>
  <c r="V8" i="72"/>
  <c r="V7" i="72"/>
  <c r="V6" i="72"/>
  <c r="H9" i="18"/>
  <c r="H8" i="18"/>
  <c r="G7" i="18"/>
  <c r="F9" i="18"/>
  <c r="F8" i="18"/>
  <c r="F7" i="18"/>
  <c r="F14" i="18" l="1"/>
  <c r="B34" i="21"/>
  <c r="B9" i="76"/>
  <c r="E9" i="76" s="1"/>
  <c r="D39" i="21"/>
  <c r="E38" i="21"/>
  <c r="F37" i="21"/>
  <c r="L16" i="70"/>
  <c r="K20" i="70" l="1"/>
  <c r="M16" i="70"/>
  <c r="R15" i="72"/>
  <c r="S15" i="72"/>
  <c r="T15" i="72"/>
  <c r="U15" i="72"/>
  <c r="R9" i="72"/>
  <c r="S9" i="72"/>
  <c r="T9" i="72"/>
  <c r="U9" i="72"/>
  <c r="D17" i="64"/>
  <c r="D15" i="64"/>
  <c r="D16" i="64"/>
  <c r="D14" i="64"/>
  <c r="K13" i="20"/>
  <c r="K12" i="20"/>
  <c r="K11" i="20"/>
  <c r="D37" i="21"/>
  <c r="B8" i="21"/>
  <c r="D8" i="21" s="1"/>
  <c r="B7" i="21"/>
  <c r="D7" i="21" s="1"/>
  <c r="B6" i="21"/>
  <c r="D6" i="21" s="1"/>
  <c r="E37" i="21"/>
  <c r="F38" i="21"/>
  <c r="E39" i="21"/>
  <c r="F39" i="21"/>
  <c r="D38" i="21"/>
  <c r="G9" i="18"/>
  <c r="I9" i="18" s="1"/>
  <c r="E13" i="70"/>
  <c r="F9" i="67"/>
  <c r="F8" i="67"/>
  <c r="C6" i="64"/>
  <c r="J15" i="65"/>
  <c r="B7" i="72"/>
  <c r="B14" i="72" s="1"/>
  <c r="C7" i="72"/>
  <c r="C14" i="72" s="1"/>
  <c r="D7" i="72"/>
  <c r="D14" i="72" s="1"/>
  <c r="B8" i="72"/>
  <c r="B15" i="72" s="1"/>
  <c r="C8" i="72"/>
  <c r="C15" i="72" s="1"/>
  <c r="D8" i="72"/>
  <c r="D15" i="72" s="1"/>
  <c r="C6" i="72"/>
  <c r="C13" i="72" s="1"/>
  <c r="D13" i="72"/>
  <c r="F12" i="68"/>
  <c r="D34" i="21"/>
  <c r="E7" i="73"/>
  <c r="E8" i="73"/>
  <c r="E9" i="73"/>
  <c r="F7" i="68"/>
  <c r="F8" i="68"/>
  <c r="F9" i="68"/>
  <c r="F10" i="68"/>
  <c r="B11" i="68"/>
  <c r="F11" i="68" s="1"/>
  <c r="F15" i="68"/>
  <c r="B16" i="68"/>
  <c r="F16" i="68" s="1"/>
  <c r="D9" i="63"/>
  <c r="O9" i="72"/>
  <c r="P9" i="72"/>
  <c r="Q9" i="72"/>
  <c r="V12" i="72"/>
  <c r="V13" i="72"/>
  <c r="V14" i="72"/>
  <c r="O15" i="72"/>
  <c r="P15" i="72"/>
  <c r="Q15" i="72"/>
  <c r="G8" i="67"/>
  <c r="G9" i="67"/>
  <c r="B10" i="67"/>
  <c r="C10" i="67"/>
  <c r="D10" i="67"/>
  <c r="E10" i="67"/>
  <c r="H7" i="18"/>
  <c r="H14" i="18" s="1"/>
  <c r="G8" i="18"/>
  <c r="F12" i="21"/>
  <c r="F14" i="21" s="1"/>
  <c r="F16" i="21" s="1"/>
  <c r="F19" i="21"/>
  <c r="F20" i="21" s="1"/>
  <c r="H10" i="65"/>
  <c r="B11" i="65"/>
  <c r="B20" i="65"/>
  <c r="B21" i="65"/>
  <c r="F15" i="65"/>
  <c r="H15" i="65" s="1"/>
  <c r="H20" i="65"/>
  <c r="D4" i="68" s="1"/>
  <c r="F21" i="68" s="1"/>
  <c r="H21" i="65"/>
  <c r="B23" i="65" s="1"/>
  <c r="H25" i="65"/>
  <c r="D17" i="63" s="1"/>
  <c r="H26" i="65"/>
  <c r="F17" i="68"/>
  <c r="F13" i="76" l="1"/>
  <c r="B4" i="68"/>
  <c r="B10" i="65"/>
  <c r="B12" i="65" s="1"/>
  <c r="B13" i="76" s="1"/>
  <c r="H28" i="65"/>
  <c r="D13" i="76"/>
  <c r="D14" i="76" s="1"/>
  <c r="C13" i="76"/>
  <c r="G14" i="18"/>
  <c r="B18" i="72"/>
  <c r="B24" i="65"/>
  <c r="C17" i="63"/>
  <c r="D164" i="54"/>
  <c r="D21" i="63" s="1"/>
  <c r="E21" i="63" s="1"/>
  <c r="B18" i="68"/>
  <c r="B19" i="68" s="1"/>
  <c r="E40" i="21"/>
  <c r="I7" i="18"/>
  <c r="I8" i="18"/>
  <c r="E13" i="68"/>
  <c r="D165" i="54"/>
  <c r="E18" i="63" s="1"/>
  <c r="C5" i="63" s="1"/>
  <c r="G161" i="54"/>
  <c r="D163" i="54"/>
  <c r="D20" i="63" s="1"/>
  <c r="E20" i="63" s="1"/>
  <c r="C7" i="63" s="1"/>
  <c r="D18" i="72"/>
  <c r="I9" i="67"/>
  <c r="D40" i="21"/>
  <c r="J16" i="65"/>
  <c r="D3" i="66"/>
  <c r="D4" i="66" s="1"/>
  <c r="C19" i="72"/>
  <c r="C20" i="72"/>
  <c r="D20" i="72"/>
  <c r="B20" i="72"/>
  <c r="I8" i="67"/>
  <c r="D162" i="54"/>
  <c r="F40" i="21"/>
  <c r="D19" i="72"/>
  <c r="C18" i="72"/>
  <c r="E18" i="68"/>
  <c r="F10" i="67"/>
  <c r="C18" i="68"/>
  <c r="D18" i="68"/>
  <c r="B19" i="72"/>
  <c r="G10" i="67"/>
  <c r="B3" i="70"/>
  <c r="E36" i="70" s="1"/>
  <c r="H8" i="19"/>
  <c r="J7" i="19"/>
  <c r="H372" i="56" s="1"/>
  <c r="J6" i="19"/>
  <c r="H371" i="56" s="1"/>
  <c r="F8" i="19"/>
  <c r="J5" i="19"/>
  <c r="F11" i="20" s="1"/>
  <c r="I8" i="19"/>
  <c r="G8" i="19"/>
  <c r="E10" i="73"/>
  <c r="E13" i="73" s="1"/>
  <c r="D13" i="68"/>
  <c r="B13" i="68"/>
  <c r="C13" i="68"/>
  <c r="K16" i="20"/>
  <c r="C20" i="73"/>
  <c r="C19" i="73"/>
  <c r="C22" i="73"/>
  <c r="D9" i="21"/>
  <c r="E7" i="21" s="1"/>
  <c r="B9" i="21"/>
  <c r="F10" i="73"/>
  <c r="G13" i="76" l="1"/>
  <c r="G14" i="76" s="1"/>
  <c r="E13" i="76"/>
  <c r="I14" i="18"/>
  <c r="J7" i="18" s="1"/>
  <c r="B10" i="64"/>
  <c r="B17" i="65"/>
  <c r="C18" i="63"/>
  <c r="C21" i="63"/>
  <c r="F18" i="68"/>
  <c r="C8" i="63"/>
  <c r="I10" i="67"/>
  <c r="I15" i="67" s="1"/>
  <c r="F13" i="20"/>
  <c r="E6" i="21"/>
  <c r="C20" i="63"/>
  <c r="G9" i="19"/>
  <c r="B380" i="56" s="1"/>
  <c r="E8" i="21"/>
  <c r="K19" i="70"/>
  <c r="B5" i="70"/>
  <c r="E32" i="70" s="1"/>
  <c r="D19" i="63"/>
  <c r="D166" i="54"/>
  <c r="I364" i="56"/>
  <c r="C19" i="68"/>
  <c r="E19" i="68"/>
  <c r="H10" i="67"/>
  <c r="F12" i="20"/>
  <c r="G10" i="19"/>
  <c r="B383" i="56" s="1"/>
  <c r="H370" i="56"/>
  <c r="J8" i="19"/>
  <c r="J14" i="19" s="1"/>
  <c r="D19" i="68"/>
  <c r="F13" i="68"/>
  <c r="F13" i="73"/>
  <c r="C18" i="73"/>
  <c r="C21" i="73" s="1"/>
  <c r="C23" i="73" s="1"/>
  <c r="K17" i="70"/>
  <c r="I365" i="56"/>
  <c r="K5" i="76" l="1"/>
  <c r="F16" i="20"/>
  <c r="J13" i="18"/>
  <c r="J11" i="18"/>
  <c r="J12" i="18"/>
  <c r="J10" i="18"/>
  <c r="J9" i="18"/>
  <c r="J8" i="18"/>
  <c r="E9" i="21"/>
  <c r="C383" i="56"/>
  <c r="E371" i="56"/>
  <c r="F19" i="68"/>
  <c r="D20" i="68" s="1"/>
  <c r="E370" i="56"/>
  <c r="I16" i="67"/>
  <c r="I17" i="67" s="1"/>
  <c r="E372" i="56"/>
  <c r="B371" i="56"/>
  <c r="G11" i="19"/>
  <c r="B19" i="65"/>
  <c r="E19" i="63"/>
  <c r="D22" i="63"/>
  <c r="I366" i="56"/>
  <c r="H7" i="67"/>
  <c r="H9" i="67"/>
  <c r="H8" i="67"/>
  <c r="C4" i="20"/>
  <c r="H373" i="56"/>
  <c r="B372" i="56"/>
  <c r="D3" i="20" l="1"/>
  <c r="D4" i="20" s="1"/>
  <c r="B22" i="65"/>
  <c r="J14" i="18"/>
  <c r="D21" i="68"/>
  <c r="D22" i="68" s="1"/>
  <c r="D24" i="68"/>
  <c r="D23" i="68" s="1"/>
  <c r="C5" i="66"/>
  <c r="C20" i="68"/>
  <c r="E20" i="68"/>
  <c r="C10" i="63"/>
  <c r="D24" i="63"/>
  <c r="E373" i="56"/>
  <c r="F370" i="56" s="1"/>
  <c r="B20" i="68"/>
  <c r="H365" i="56"/>
  <c r="K365" i="56" s="1"/>
  <c r="H364" i="56"/>
  <c r="K5" i="72"/>
  <c r="C26" i="72" s="1"/>
  <c r="K7" i="67"/>
  <c r="J11" i="20" s="1"/>
  <c r="L7" i="67"/>
  <c r="I11" i="66" s="1"/>
  <c r="B370" i="56"/>
  <c r="B373" i="56" s="1"/>
  <c r="C371" i="56" s="1"/>
  <c r="K9" i="67"/>
  <c r="J13" i="20" s="1"/>
  <c r="L9" i="67"/>
  <c r="I13" i="66" s="1"/>
  <c r="E22" i="63"/>
  <c r="C6" i="63"/>
  <c r="C9" i="63" s="1"/>
  <c r="C19" i="63"/>
  <c r="C22" i="63" s="1"/>
  <c r="K8" i="67"/>
  <c r="J12" i="20" s="1"/>
  <c r="L8" i="67"/>
  <c r="I12" i="66" s="1"/>
  <c r="H374" i="56"/>
  <c r="B25" i="65" l="1"/>
  <c r="H13" i="76" s="1"/>
  <c r="D25" i="68"/>
  <c r="B21" i="68"/>
  <c r="B24" i="68"/>
  <c r="E21" i="68"/>
  <c r="E24" i="68"/>
  <c r="E23" i="68" s="1"/>
  <c r="C21" i="68"/>
  <c r="C24" i="68"/>
  <c r="C23" i="68" s="1"/>
  <c r="I18" i="66"/>
  <c r="F372" i="56"/>
  <c r="F371" i="56"/>
  <c r="F20" i="68"/>
  <c r="H366" i="56"/>
  <c r="C372" i="56"/>
  <c r="E374" i="56"/>
  <c r="C370" i="56"/>
  <c r="D5" i="66"/>
  <c r="C24" i="72"/>
  <c r="D26" i="72"/>
  <c r="D24" i="72"/>
  <c r="B25" i="72"/>
  <c r="B26" i="72"/>
  <c r="C25" i="72"/>
  <c r="B24" i="72"/>
  <c r="D25" i="72"/>
  <c r="J16" i="20"/>
  <c r="E25" i="68" l="1"/>
  <c r="C25" i="68"/>
  <c r="E22" i="68"/>
  <c r="C22" i="68"/>
  <c r="B22" i="68"/>
  <c r="F24" i="68"/>
  <c r="B23" i="68"/>
  <c r="F19" i="76"/>
  <c r="J6" i="76"/>
  <c r="F373" i="56"/>
  <c r="C373" i="56"/>
  <c r="I26" i="72"/>
  <c r="K26" i="72" s="1"/>
  <c r="K13" i="66" s="1"/>
  <c r="I24" i="72"/>
  <c r="J24" i="72" s="1"/>
  <c r="L11" i="20" s="1"/>
  <c r="I25" i="72"/>
  <c r="J25" i="72" s="1"/>
  <c r="L12" i="20" s="1"/>
  <c r="F8" i="76" l="1"/>
  <c r="B25" i="68"/>
  <c r="F22" i="68"/>
  <c r="J26" i="72"/>
  <c r="L13" i="20" s="1"/>
  <c r="L16" i="20" s="1"/>
  <c r="I27" i="72"/>
  <c r="K24" i="72"/>
  <c r="K11" i="66" s="1"/>
  <c r="K25" i="72"/>
  <c r="K12" i="66" s="1"/>
  <c r="K8" i="72"/>
  <c r="K7" i="72"/>
  <c r="F25" i="68" l="1"/>
  <c r="J7" i="76"/>
  <c r="F20" i="76"/>
  <c r="H9" i="76"/>
  <c r="J9" i="76"/>
  <c r="F22" i="76"/>
  <c r="J5" i="76"/>
  <c r="F11" i="76"/>
  <c r="F14" i="76" s="1"/>
  <c r="F18" i="76"/>
  <c r="K18" i="66"/>
  <c r="J27" i="72"/>
  <c r="K27" i="72"/>
  <c r="F21" i="76" l="1"/>
  <c r="F24" i="76" s="1"/>
  <c r="F26" i="76" s="1"/>
  <c r="C6" i="66"/>
  <c r="D6" i="66" s="1"/>
  <c r="D7" i="66" s="1"/>
  <c r="G28" i="66" s="1"/>
  <c r="F11" i="66" s="1"/>
  <c r="J8" i="76"/>
  <c r="J11" i="76" s="1"/>
  <c r="J28" i="72"/>
  <c r="C5" i="20"/>
  <c r="D5" i="20" s="1"/>
  <c r="D6" i="20" s="1"/>
  <c r="D7" i="20" s="1"/>
  <c r="K28" i="72"/>
  <c r="H28" i="66" l="1"/>
  <c r="G11" i="66" s="1"/>
  <c r="L11" i="66" s="1"/>
  <c r="V11" i="66" s="1"/>
  <c r="C3" i="21"/>
  <c r="F13" i="66"/>
  <c r="I28" i="66"/>
  <c r="F12" i="66"/>
  <c r="G13" i="66" l="1"/>
  <c r="G12" i="66"/>
  <c r="L12" i="66" s="1"/>
  <c r="V12" i="66" s="1"/>
  <c r="C5" i="76"/>
  <c r="C18" i="76" s="1"/>
  <c r="L13" i="66"/>
  <c r="V13" i="66" s="1"/>
  <c r="F6" i="21"/>
  <c r="R16" i="74" s="1"/>
  <c r="F8" i="21"/>
  <c r="R18" i="74" s="1"/>
  <c r="R42" i="74" s="1"/>
  <c r="F7" i="21"/>
  <c r="R17" i="74" s="1"/>
  <c r="R41" i="74" s="1"/>
  <c r="F18" i="66"/>
  <c r="F19" i="66" s="1"/>
  <c r="D7" i="73"/>
  <c r="G18" i="66" l="1"/>
  <c r="G19" i="66" s="1"/>
  <c r="N12" i="66"/>
  <c r="S16" i="74"/>
  <c r="R40" i="74"/>
  <c r="S40" i="74" s="1"/>
  <c r="S17" i="74"/>
  <c r="S18" i="74"/>
  <c r="N11" i="66"/>
  <c r="L18" i="66"/>
  <c r="L19" i="66" s="1"/>
  <c r="C7" i="76"/>
  <c r="C20" i="76" s="1"/>
  <c r="N13" i="66"/>
  <c r="N14" i="66"/>
  <c r="C6" i="76"/>
  <c r="F9" i="21"/>
  <c r="F10" i="21" s="1"/>
  <c r="C385" i="56"/>
  <c r="D9" i="73"/>
  <c r="D8" i="73"/>
  <c r="B379" i="56"/>
  <c r="B381" i="56" s="1"/>
  <c r="D370" i="56" s="1"/>
  <c r="S42" i="74" l="1"/>
  <c r="S41" i="74"/>
  <c r="C19" i="76"/>
  <c r="C21" i="76" s="1"/>
  <c r="C24" i="76" s="1"/>
  <c r="C8" i="76"/>
  <c r="H6" i="21"/>
  <c r="D10" i="73"/>
  <c r="B11" i="20"/>
  <c r="D372" i="56"/>
  <c r="D371" i="56"/>
  <c r="C11" i="76" l="1"/>
  <c r="C14" i="76" s="1"/>
  <c r="D13" i="73"/>
  <c r="D373" i="56"/>
  <c r="B12" i="20"/>
  <c r="B13" i="20"/>
  <c r="B16" i="20" l="1"/>
  <c r="C11" i="20" s="1"/>
  <c r="C26" i="76"/>
  <c r="D376" i="56"/>
  <c r="D374" i="56"/>
  <c r="C12" i="20" l="1"/>
  <c r="C13" i="20"/>
  <c r="G7" i="21"/>
  <c r="J13" i="19"/>
  <c r="K14" i="19" s="1"/>
  <c r="B382" i="56"/>
  <c r="B385" i="56" s="1"/>
  <c r="C16" i="20" l="1"/>
  <c r="B384" i="56"/>
  <c r="J15" i="19"/>
  <c r="K15" i="19" s="1"/>
  <c r="G372" i="56" l="1"/>
  <c r="G371" i="56"/>
  <c r="G370" i="56"/>
  <c r="I370" i="56" l="1"/>
  <c r="G373" i="56"/>
  <c r="D11" i="20"/>
  <c r="D12" i="20"/>
  <c r="I371" i="56"/>
  <c r="I372" i="56"/>
  <c r="D13" i="20"/>
  <c r="D16" i="20" l="1"/>
  <c r="E11" i="20" s="1"/>
  <c r="G11" i="20"/>
  <c r="G13" i="20"/>
  <c r="G374" i="56"/>
  <c r="G376" i="56"/>
  <c r="G12" i="20"/>
  <c r="I373" i="56"/>
  <c r="J372" i="56" s="1"/>
  <c r="J370" i="56" l="1"/>
  <c r="E13" i="20"/>
  <c r="I374" i="56"/>
  <c r="J371" i="56"/>
  <c r="E12" i="20"/>
  <c r="G16" i="20"/>
  <c r="H7" i="21"/>
  <c r="K4" i="18"/>
  <c r="K11" i="18" s="1"/>
  <c r="K10" i="18" l="1"/>
  <c r="K9" i="18"/>
  <c r="N9" i="18" s="1"/>
  <c r="K8" i="18"/>
  <c r="N8" i="18" s="1"/>
  <c r="K7" i="18"/>
  <c r="K12" i="18"/>
  <c r="K13" i="18"/>
  <c r="J373" i="56"/>
  <c r="E16" i="20"/>
  <c r="H8" i="21"/>
  <c r="I8" i="21"/>
  <c r="I7" i="21"/>
  <c r="N11" i="18" l="1"/>
  <c r="D36" i="73" s="1"/>
  <c r="N13" i="18"/>
  <c r="N12" i="18"/>
  <c r="C36" i="73" s="1"/>
  <c r="N7" i="18"/>
  <c r="K14" i="18"/>
  <c r="K15" i="18" s="1"/>
  <c r="H12" i="20"/>
  <c r="I12" i="20" s="1"/>
  <c r="N12" i="20" s="1"/>
  <c r="H13" i="20"/>
  <c r="B6" i="76" l="1"/>
  <c r="E6" i="76" s="1"/>
  <c r="H6" i="76" s="1"/>
  <c r="I13" i="20"/>
  <c r="N16" i="18"/>
  <c r="H15" i="20" s="1"/>
  <c r="I15" i="20" s="1"/>
  <c r="N14" i="18"/>
  <c r="N15" i="18" s="1"/>
  <c r="L14" i="18"/>
  <c r="H11" i="20"/>
  <c r="N15" i="20" l="1"/>
  <c r="B10" i="76" s="1"/>
  <c r="C12" i="73" s="1"/>
  <c r="G12" i="73" s="1"/>
  <c r="G36" i="73" s="1"/>
  <c r="N13" i="20"/>
  <c r="B7" i="76" s="1"/>
  <c r="E7" i="76" s="1"/>
  <c r="H7" i="76" s="1"/>
  <c r="I11" i="20"/>
  <c r="H16" i="20"/>
  <c r="I16" i="20" l="1"/>
  <c r="N11" i="20"/>
  <c r="N16" i="20" s="1"/>
  <c r="N17" i="20" s="1"/>
  <c r="E10" i="76"/>
  <c r="H10" i="76" s="1"/>
  <c r="B23" i="76"/>
  <c r="E23" i="76" s="1"/>
  <c r="H23" i="76" s="1"/>
  <c r="J23" i="76" s="1"/>
  <c r="P11" i="20" l="1"/>
  <c r="P13" i="20"/>
  <c r="P12" i="20"/>
  <c r="P14" i="20"/>
  <c r="B5" i="76"/>
  <c r="B8" i="76" l="1"/>
  <c r="B11" i="76" s="1"/>
  <c r="B14" i="76" s="1"/>
  <c r="E5" i="76"/>
  <c r="H5" i="76" l="1"/>
  <c r="E8" i="76"/>
  <c r="E11" i="76" s="1"/>
  <c r="E14" i="76" s="1"/>
  <c r="I5" i="76" l="1"/>
  <c r="M5" i="76" s="1"/>
  <c r="H8" i="76"/>
  <c r="H11" i="76" s="1"/>
  <c r="H14" i="76" s="1"/>
  <c r="I6" i="76"/>
  <c r="M6" i="76" s="1"/>
  <c r="B19" i="76" s="1"/>
  <c r="I7" i="76"/>
  <c r="M7" i="76" s="1"/>
  <c r="B20" i="76" s="1"/>
  <c r="E19" i="76" l="1"/>
  <c r="H19" i="76" s="1"/>
  <c r="J19" i="76" s="1"/>
  <c r="C8" i="73"/>
  <c r="G8" i="73" s="1"/>
  <c r="E20" i="76"/>
  <c r="H20" i="76" s="1"/>
  <c r="J20" i="76" s="1"/>
  <c r="C9" i="73"/>
  <c r="G9" i="73" s="1"/>
  <c r="M9" i="76"/>
  <c r="B18" i="76"/>
  <c r="E18" i="76" l="1"/>
  <c r="H18" i="76" s="1"/>
  <c r="C7" i="73"/>
  <c r="B21" i="76"/>
  <c r="B22" i="76"/>
  <c r="M11" i="76"/>
  <c r="C10" i="73" l="1"/>
  <c r="G7" i="73"/>
  <c r="G10" i="73"/>
  <c r="E22" i="76"/>
  <c r="H22" i="76" s="1"/>
  <c r="J22" i="76" s="1"/>
  <c r="C11" i="73"/>
  <c r="G11" i="73" s="1"/>
  <c r="B24" i="76"/>
  <c r="B26" i="76" s="1"/>
  <c r="E21" i="76"/>
  <c r="C13" i="73" l="1"/>
  <c r="G13" i="73"/>
  <c r="B26" i="65" s="1"/>
  <c r="E24" i="76"/>
  <c r="E26" i="76" s="1"/>
  <c r="H21" i="76"/>
  <c r="J18" i="76"/>
  <c r="H24" i="76" l="1"/>
  <c r="J21" i="76"/>
  <c r="J24" i="76" l="1"/>
  <c r="H26" i="7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</author>
  </authors>
  <commentList>
    <comment ref="B6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38"/>
          </rPr>
          <t>Olga:</t>
        </r>
        <r>
          <rPr>
            <sz val="9"/>
            <color indexed="81"/>
            <rFont val="Tahoma"/>
            <family val="2"/>
            <charset val="238"/>
          </rPr>
          <t xml:space="preserve">
současný stav dle mzdové inventury</t>
        </r>
      </text>
    </comment>
    <comment ref="C6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38"/>
          </rPr>
          <t>Olga:</t>
        </r>
        <r>
          <rPr>
            <sz val="9"/>
            <color indexed="81"/>
            <rFont val="Tahoma"/>
            <family val="2"/>
            <charset val="238"/>
          </rPr>
          <t xml:space="preserve">
současný stav dle mzdové inventury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</author>
  </authors>
  <commentList>
    <comment ref="G18" authorId="0" shapeId="0" xr:uid="{9B58A132-0172-4DFA-B0E2-756B60E0C4E3}">
      <text>
        <r>
          <rPr>
            <b/>
            <sz val="9"/>
            <color indexed="81"/>
            <rFont val="Tahoma"/>
            <family val="2"/>
            <charset val="238"/>
          </rPr>
          <t>Olga:</t>
        </r>
        <r>
          <rPr>
            <sz val="9"/>
            <color indexed="81"/>
            <rFont val="Tahoma"/>
            <family val="2"/>
            <charset val="238"/>
          </rPr>
          <t xml:space="preserve">
odpovídá 28 %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Zdeněk Plíva</author>
    <author>Olga</author>
  </authors>
  <commentList>
    <comment ref="B6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38"/>
          </rPr>
          <t>Zdeněk Plíva:</t>
        </r>
        <r>
          <rPr>
            <sz val="9"/>
            <color indexed="81"/>
            <rFont val="Tahoma"/>
            <family val="2"/>
            <charset val="238"/>
          </rPr>
          <t xml:space="preserve">
nelze rozúčtovat 50 %</t>
        </r>
      </text>
    </comment>
    <comment ref="N14" authorId="1" shapeId="0" xr:uid="{308C618F-2340-4FB0-9E84-B2613E3232DF}">
      <text>
        <r>
          <rPr>
            <b/>
            <sz val="9"/>
            <color indexed="81"/>
            <rFont val="Tahoma"/>
            <family val="2"/>
            <charset val="238"/>
          </rPr>
          <t>Olga:</t>
        </r>
        <r>
          <rPr>
            <sz val="9"/>
            <color indexed="81"/>
            <rFont val="Tahoma"/>
            <family val="2"/>
            <charset val="238"/>
          </rPr>
          <t xml:space="preserve">
v roce 2023 nepřičítat sl. M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Zdeněk Plíva</author>
    <author>Olga</author>
  </authors>
  <commentList>
    <comment ref="B10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38"/>
          </rPr>
          <t>Zdeněk Plíva:</t>
        </r>
        <r>
          <rPr>
            <sz val="9"/>
            <color indexed="81"/>
            <rFont val="Tahoma"/>
            <family val="2"/>
            <charset val="238"/>
          </rPr>
          <t xml:space="preserve">
podle rozpisu stipendií na rok, na základě SD - vyplácí ústavy...</t>
        </r>
      </text>
    </comment>
    <comment ref="C18" authorId="0" shapeId="0" xr:uid="{00000000-0006-0000-0E00-000002000000}">
      <text>
        <r>
          <rPr>
            <b/>
            <sz val="9"/>
            <color indexed="81"/>
            <rFont val="Tahoma"/>
            <family val="2"/>
            <charset val="238"/>
          </rPr>
          <t>Zdeněk Plíva:</t>
        </r>
        <r>
          <rPr>
            <sz val="9"/>
            <color indexed="81"/>
            <rFont val="Tahoma"/>
            <family val="2"/>
            <charset val="238"/>
          </rPr>
          <t xml:space="preserve">
otázka, zda zde uvádět stip. mimo FM</t>
        </r>
      </text>
    </comment>
    <comment ref="G27" authorId="1" shapeId="0" xr:uid="{00000000-0006-0000-0E00-000003000000}">
      <text>
        <r>
          <rPr>
            <b/>
            <sz val="9"/>
            <color indexed="81"/>
            <rFont val="Tahoma"/>
            <family val="2"/>
            <charset val="238"/>
          </rPr>
          <t>Olga:</t>
        </r>
        <r>
          <rPr>
            <sz val="9"/>
            <color indexed="81"/>
            <rFont val="Tahoma"/>
            <family val="2"/>
            <charset val="238"/>
          </rPr>
          <t xml:space="preserve">
Nastavit, kolik ze 117 se bude dělit podle RIV as kolik podle M17+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Zdeněk Plíva</author>
    <author>Olga</author>
  </authors>
  <commentList>
    <comment ref="B9" authorId="0" shapeId="0" xr:uid="{00000000-0006-0000-1000-000001000000}">
      <text>
        <r>
          <rPr>
            <b/>
            <sz val="9"/>
            <color indexed="81"/>
            <rFont val="Tahoma"/>
            <family val="2"/>
            <charset val="238"/>
          </rPr>
          <t>Zdeněk Plíva:</t>
        </r>
        <r>
          <rPr>
            <sz val="9"/>
            <color indexed="81"/>
            <rFont val="Tahoma"/>
            <family val="2"/>
            <charset val="238"/>
          </rPr>
          <t xml:space="preserve">
vyplacení garantům mimo FM + provoz DSP</t>
        </r>
      </text>
    </comment>
    <comment ref="H13" authorId="1" shapeId="0" xr:uid="{00000000-0006-0000-1000-000002000000}">
      <text>
        <r>
          <rPr>
            <b/>
            <sz val="9"/>
            <color indexed="81"/>
            <rFont val="Tahoma"/>
            <family val="2"/>
            <charset val="238"/>
          </rPr>
          <t>Olga:</t>
        </r>
        <r>
          <rPr>
            <sz val="9"/>
            <color indexed="81"/>
            <rFont val="Tahoma"/>
            <family val="2"/>
            <charset val="238"/>
          </rPr>
          <t xml:space="preserve">
106+117-Režie-FRIM
</t>
        </r>
      </text>
    </comment>
    <comment ref="C23" authorId="0" shapeId="0" xr:uid="{00000000-0006-0000-1000-000003000000}">
      <text>
        <r>
          <rPr>
            <b/>
            <sz val="9"/>
            <color indexed="81"/>
            <rFont val="Tahoma"/>
            <family val="2"/>
            <charset val="238"/>
          </rPr>
          <t>Zdeněk Plíva:</t>
        </r>
        <r>
          <rPr>
            <sz val="9"/>
            <color indexed="81"/>
            <rFont val="Tahoma"/>
            <family val="2"/>
            <charset val="238"/>
          </rPr>
          <t xml:space="preserve">
na DSP NANO žádnou 117 nedostáváme… Co s tím? Naúčtovat CXI?</t>
        </r>
      </text>
    </comment>
  </commentList>
</comments>
</file>

<file path=xl/sharedStrings.xml><?xml version="1.0" encoding="utf-8"?>
<sst xmlns="http://schemas.openxmlformats.org/spreadsheetml/2006/main" count="2141" uniqueCount="1044">
  <si>
    <t>Výuka 
NM
Kč</t>
  </si>
  <si>
    <t>NTI</t>
  </si>
  <si>
    <t>MTI</t>
  </si>
  <si>
    <t>ITE</t>
  </si>
  <si>
    <t>Ústav</t>
  </si>
  <si>
    <t>Kč</t>
  </si>
  <si>
    <t>%</t>
  </si>
  <si>
    <t>Celkem</t>
  </si>
  <si>
    <t>Počet studentů * Koeficient</t>
  </si>
  <si>
    <t>DFM</t>
  </si>
  <si>
    <t>Cvič.pro první 2 kroužky</t>
  </si>
  <si>
    <t>Cvič. pro 3. a další kroužky</t>
  </si>
  <si>
    <t>DFM:</t>
  </si>
  <si>
    <t xml:space="preserve">název místnosti        </t>
  </si>
  <si>
    <t>plocha</t>
  </si>
  <si>
    <t>útvar</t>
  </si>
  <si>
    <t>A</t>
  </si>
  <si>
    <t>Šatna</t>
  </si>
  <si>
    <t>I. ročník</t>
  </si>
  <si>
    <t>II. ročník</t>
  </si>
  <si>
    <t>III. ročník</t>
  </si>
  <si>
    <t>IV. ročník</t>
  </si>
  <si>
    <t>V. ročník</t>
  </si>
  <si>
    <t>Před.*Koef.</t>
  </si>
  <si>
    <t>I.-III.</t>
  </si>
  <si>
    <t>IV.- V.</t>
  </si>
  <si>
    <t>DFM 116:</t>
  </si>
  <si>
    <t>DFM 106:</t>
  </si>
  <si>
    <t>budova</t>
  </si>
  <si>
    <t>podlaží</t>
  </si>
  <si>
    <t>B</t>
  </si>
  <si>
    <t>Projekty+BP+DP</t>
  </si>
  <si>
    <t>Vypočt. dotace na I.-III.roč., IV. a V. roč. (vč.navazujících)</t>
  </si>
  <si>
    <t>Počet absolventů za posl. 3 roky</t>
  </si>
  <si>
    <t>Počet bodů</t>
  </si>
  <si>
    <t>Kritérium: vykonaná/nevykonaná státní doktorská zkouška a počet absolventů</t>
  </si>
  <si>
    <t>Ústav
celkem</t>
  </si>
  <si>
    <t>DSP</t>
  </si>
  <si>
    <t xml:space="preserve"> sl. F</t>
  </si>
  <si>
    <t xml:space="preserve"> sl. G</t>
  </si>
  <si>
    <t xml:space="preserve"> sl. J</t>
  </si>
  <si>
    <t>Počet kroužků
ke cvičení
ze STAGu</t>
  </si>
  <si>
    <t>Počet hodin 
přednášek za celý semestr</t>
  </si>
  <si>
    <t>Počet hodin 
cvičení za celý semestr</t>
  </si>
  <si>
    <t xml:space="preserve">FM-zasedací místnost </t>
  </si>
  <si>
    <t>DFM-kancelář děkana FM</t>
  </si>
  <si>
    <t>DFM-kancelář tajemnice+asist.děkana</t>
  </si>
  <si>
    <t>ITE-kancelář sekretářky</t>
  </si>
  <si>
    <t>ITE-pracovna pedagoga</t>
  </si>
  <si>
    <t>MTI-příruční archiv</t>
  </si>
  <si>
    <t>MTI-pracovna pedagoga</t>
  </si>
  <si>
    <t>NTI-pracovna pedagoga</t>
  </si>
  <si>
    <t>NTI-příruční sklad</t>
  </si>
  <si>
    <t>NTI-pracovna pedagogů</t>
  </si>
  <si>
    <t>Celá FM</t>
  </si>
  <si>
    <t>B - bakalářské studijní programy</t>
  </si>
  <si>
    <t>NM - navazující magisterské studijní programy (2leté)</t>
  </si>
  <si>
    <t>DSP - doktorské studijní programy</t>
  </si>
  <si>
    <t>Výuka B 
Kč</t>
  </si>
  <si>
    <t>B:</t>
  </si>
  <si>
    <t>Projekty BP + BP</t>
  </si>
  <si>
    <t>Projekty NM + DP</t>
  </si>
  <si>
    <t>MTI-pracovna ved.ústavu</t>
  </si>
  <si>
    <t>Body celkem</t>
  </si>
  <si>
    <t>Před. *Koef.Př.</t>
  </si>
  <si>
    <t>Cvič.pro první 2 kroužky * Koef.Cv.1</t>
  </si>
  <si>
    <t>Cvič. pro 3. a další kroužky * Koef.Cv.2</t>
  </si>
  <si>
    <t>Čajová kuchyňka</t>
  </si>
  <si>
    <t>DFM-příruční archiv</t>
  </si>
  <si>
    <t>ITE - laboratoř</t>
  </si>
  <si>
    <t>MTI-pracovna doktoranda</t>
  </si>
  <si>
    <t>MTI-zasedací místnost</t>
  </si>
  <si>
    <t>NTI - laboratoř</t>
  </si>
  <si>
    <t>NTI-kancelář sekretářky ústavu</t>
  </si>
  <si>
    <t>NTI-pracovna doktorandů</t>
  </si>
  <si>
    <t>Prům.</t>
  </si>
  <si>
    <t>DFM, 7817</t>
  </si>
  <si>
    <t>MTI - šatna</t>
  </si>
  <si>
    <t>MTI - laboratoř                             EL1</t>
  </si>
  <si>
    <t>MTI - laboratoř                             EL2</t>
  </si>
  <si>
    <t>MTI - laboratoř                             EL3</t>
  </si>
  <si>
    <t>MTI-laboratoř  elektroniky  AP11-20</t>
  </si>
  <si>
    <t>NTI-počítačová učebna                A10</t>
  </si>
  <si>
    <t>Příděl 117
celkem</t>
  </si>
  <si>
    <t>Účelová podpora činnost 115</t>
  </si>
  <si>
    <t xml:space="preserve"> sl. I</t>
  </si>
  <si>
    <t xml:space="preserve"> sl. H</t>
  </si>
  <si>
    <t xml:space="preserve"> sl. B</t>
  </si>
  <si>
    <t xml:space="preserve"> sl. C</t>
  </si>
  <si>
    <t xml:space="preserve"> sl. D</t>
  </si>
  <si>
    <t xml:space="preserve"> sl. E</t>
  </si>
  <si>
    <t>NM</t>
  </si>
  <si>
    <t>NTI  - laboratoř</t>
  </si>
  <si>
    <t>ITE, 7620</t>
  </si>
  <si>
    <t>MTI, 7630</t>
  </si>
  <si>
    <t>NTI, 7640</t>
  </si>
  <si>
    <t xml:space="preserve"> </t>
  </si>
  <si>
    <t>Výuka Bc. a NM</t>
  </si>
  <si>
    <t>DFM+SFM</t>
  </si>
  <si>
    <t>FM</t>
  </si>
  <si>
    <t>Koeficient náročnosti studia</t>
  </si>
  <si>
    <t>B+NM</t>
  </si>
  <si>
    <t>NM:</t>
  </si>
  <si>
    <t>106 výuka vč. projektů, BP, DP</t>
  </si>
  <si>
    <t>SFM-studijní oddělení</t>
  </si>
  <si>
    <t>ITE - laboratoř                          PCB 4</t>
  </si>
  <si>
    <t>ITE - laboratoř                          PCB 2</t>
  </si>
  <si>
    <t>ITE - laboratoř                          PCB 1</t>
  </si>
  <si>
    <t>ITE-laboratoř                          AP9 -16</t>
  </si>
  <si>
    <t>MTI - dílna</t>
  </si>
  <si>
    <t>DFM + SFM</t>
  </si>
  <si>
    <t>K</t>
  </si>
  <si>
    <t>FM celkem</t>
  </si>
  <si>
    <t>Podíl na tvorbě FRIMu (20%)</t>
  </si>
  <si>
    <t>činn. 106:</t>
  </si>
  <si>
    <t>115 (SGS)</t>
  </si>
  <si>
    <t>Výuka - B</t>
  </si>
  <si>
    <t>Výuka - NM</t>
  </si>
  <si>
    <t>ITE - laboratoř                          PVB 3</t>
  </si>
  <si>
    <t>MTI-labor.řízení                   TK4 - 24</t>
  </si>
  <si>
    <t>MTI-počítač.laboratoř          TK7 - 20</t>
  </si>
  <si>
    <t>MTI-laboratoř řízení             TK8 - 10</t>
  </si>
  <si>
    <t>ITE-zasedací místnost</t>
  </si>
  <si>
    <t>ITE-pracovna ved.katedry</t>
  </si>
  <si>
    <t>ITE-provozní místnost</t>
  </si>
  <si>
    <t>ITE-kancelář doktorandů</t>
  </si>
  <si>
    <t>NTI-pracovna ved.ústavu</t>
  </si>
  <si>
    <t>ITE-počítačová učebna                 A8</t>
  </si>
  <si>
    <t>MTI-pracovna doktorandů</t>
  </si>
  <si>
    <t>NTI-kancelář ekonomů</t>
  </si>
  <si>
    <t>MTI-provozní místnost</t>
  </si>
  <si>
    <t>NTI-laserová laboratoř    10</t>
  </si>
  <si>
    <t>NTI-laser. výzk.laboratoř      LM5 - 5</t>
  </si>
  <si>
    <t>NTI-laserová laboratoř</t>
  </si>
  <si>
    <t>Režie celoškolská</t>
  </si>
  <si>
    <t xml:space="preserve"> sl. K</t>
  </si>
  <si>
    <t>KVE v RozFak.xls: OK (nezaokrouhleno na tis.)</t>
  </si>
  <si>
    <t>areál</t>
  </si>
  <si>
    <t>Příspěvek na vzděl.č. 
(B, NM)</t>
  </si>
  <si>
    <t>Příspěvek na vzděl.č. 
(B, NM, DSP)</t>
  </si>
  <si>
    <t>N</t>
  </si>
  <si>
    <t>Počet abs. * Počet bodů</t>
  </si>
  <si>
    <t>Počet dokt. se 
st. dokt. zk.* Počet bodů</t>
  </si>
  <si>
    <t>Počet dokt. bez 
st. dokt. zk. * Počet bodů</t>
  </si>
  <si>
    <t>(Počet dokt. + Absolvetů) * Počet bodů celkem</t>
  </si>
  <si>
    <t>PUČ FM</t>
  </si>
  <si>
    <t>FT - Databáze a tvorba dat. skladů  DAT  (0)</t>
  </si>
  <si>
    <t>Cena 1 bodu pro BS</t>
  </si>
  <si>
    <t>Cena 1 bodu pro NMS</t>
  </si>
  <si>
    <t>BS</t>
  </si>
  <si>
    <t>NMS</t>
  </si>
  <si>
    <t>Výuka BS:</t>
  </si>
  <si>
    <t>Výuka NMS:</t>
  </si>
  <si>
    <t>Požadované INV</t>
  </si>
  <si>
    <t>IP 117</t>
  </si>
  <si>
    <t>SV 115</t>
  </si>
  <si>
    <t>Služby poskytované</t>
  </si>
  <si>
    <t>Služby přijímané</t>
  </si>
  <si>
    <t>106+117</t>
  </si>
  <si>
    <t>PRO</t>
  </si>
  <si>
    <t>Výuka v zimním semestru</t>
  </si>
  <si>
    <t>Výuka v letním semestru</t>
  </si>
  <si>
    <t>Real Time Systems   RTS   (0)</t>
  </si>
  <si>
    <t>MTI-pracovna pedagogů</t>
  </si>
  <si>
    <t>Název předmětu</t>
  </si>
  <si>
    <t>HM děk., proděk.,…</t>
  </si>
  <si>
    <t>20%FRIM</t>
  </si>
  <si>
    <t>106 původní - VK</t>
  </si>
  <si>
    <t>Vše na pracovišti</t>
  </si>
  <si>
    <t>Příděly</t>
  </si>
  <si>
    <t>Režie</t>
  </si>
  <si>
    <t xml:space="preserve">Počet doc. celkem
</t>
  </si>
  <si>
    <t xml:space="preserve">Počet prof. celkem
</t>
  </si>
  <si>
    <t>Počet doc. za posl. 3 roky</t>
  </si>
  <si>
    <t>Počet prof. za 3 roky</t>
  </si>
  <si>
    <t>Fakulta</t>
  </si>
  <si>
    <t>Spos</t>
  </si>
  <si>
    <t>Spři</t>
  </si>
  <si>
    <t>SV</t>
  </si>
  <si>
    <t>uživatel</t>
  </si>
  <si>
    <t>*1000</t>
  </si>
  <si>
    <t>změna počtu studentů</t>
  </si>
  <si>
    <t>% ze 106</t>
  </si>
  <si>
    <t>odebrat ze 106</t>
  </si>
  <si>
    <t>odebrat ze 117</t>
  </si>
  <si>
    <t>Studijní obor</t>
  </si>
  <si>
    <t>B2612 Elektrotechnika a informatika</t>
  </si>
  <si>
    <t>2612R011 Elektronické informační a řídicí systémy</t>
  </si>
  <si>
    <t>P</t>
  </si>
  <si>
    <t>1802R022 Informatika a logistika</t>
  </si>
  <si>
    <t>1802R007 Informační technologie</t>
  </si>
  <si>
    <t>B3942 Nanotechnologie</t>
  </si>
  <si>
    <t>3942R002 Nanomateriály</t>
  </si>
  <si>
    <t>B3901 Aplikované vědy v inženýrství</t>
  </si>
  <si>
    <t>3901R055 Aplikované vědy v inženýrství</t>
  </si>
  <si>
    <t>N2612 Elektrotechnika a informatika</t>
  </si>
  <si>
    <t>3906T001 Mechatronika</t>
  </si>
  <si>
    <t>1802T007 Informační technologie</t>
  </si>
  <si>
    <t>N2612 Electrical Engineering and Informatics</t>
  </si>
  <si>
    <t>3906T001 Mechatronics</t>
  </si>
  <si>
    <t>N3942 Nanotechnologie</t>
  </si>
  <si>
    <t>3942T002 Nanomateriály</t>
  </si>
  <si>
    <t>N3901 Aplikované vědy v inženýrství</t>
  </si>
  <si>
    <t>3901T055 Aplikované vědy v inženýrství</t>
  </si>
  <si>
    <t>P2612 Elektrotechnika a informatika</t>
  </si>
  <si>
    <t>2612V045 Technická kybernetika</t>
  </si>
  <si>
    <t>P, K</t>
  </si>
  <si>
    <t>P3901 Aplikované vědy v inženýrství</t>
  </si>
  <si>
    <t>3901V055 Aplikované vědy v inženýrství</t>
  </si>
  <si>
    <t>P3942 Nanotechnologie</t>
  </si>
  <si>
    <t>3942V001 Nanotechnologie</t>
  </si>
  <si>
    <t>3902T005 Automatické řízení a inženýrská informatika</t>
  </si>
  <si>
    <t>EXTERNISTI se nikomu nezapočítají</t>
  </si>
  <si>
    <t>projekty</t>
  </si>
  <si>
    <t>Hardware software codesign  HSC  (0)</t>
  </si>
  <si>
    <r>
      <t xml:space="preserve">Počet  celkem </t>
    </r>
    <r>
      <rPr>
        <sz val="12"/>
        <rFont val="Times New Roman"/>
        <family val="1"/>
        <charset val="238"/>
      </rPr>
      <t xml:space="preserve">(průměr za poslední 3 roky - </t>
    </r>
    <r>
      <rPr>
        <b/>
        <sz val="12"/>
        <rFont val="Times New Roman"/>
        <family val="1"/>
        <charset val="238"/>
      </rPr>
      <t xml:space="preserve">
</t>
    </r>
    <r>
      <rPr>
        <sz val="12"/>
        <rFont val="Times New Roman"/>
        <family val="1"/>
        <charset val="238"/>
      </rPr>
      <t>vždy dle stavu k 31. 10.)</t>
    </r>
  </si>
  <si>
    <r>
      <t xml:space="preserve">Podíl na úhradě FRIM 20% </t>
    </r>
    <r>
      <rPr>
        <sz val="12"/>
        <rFont val="Times New Roman"/>
        <family val="1"/>
        <charset val="238"/>
      </rPr>
      <t>(dle užívaných ploch)</t>
    </r>
  </si>
  <si>
    <r>
      <t xml:space="preserve">Počet 
</t>
    </r>
    <r>
      <rPr>
        <b/>
        <sz val="12"/>
        <color indexed="10"/>
        <rFont val="Times New Roman"/>
        <family val="1"/>
        <charset val="238"/>
      </rPr>
      <t>Bc.</t>
    </r>
    <r>
      <rPr>
        <b/>
        <sz val="12"/>
        <rFont val="Times New Roman"/>
        <family val="1"/>
        <charset val="238"/>
      </rPr>
      <t xml:space="preserve">-projektů </t>
    </r>
    <r>
      <rPr>
        <sz val="12"/>
        <rFont val="Times New Roman"/>
        <family val="1"/>
        <charset val="238"/>
      </rPr>
      <t>(II.r.Bc.)</t>
    </r>
  </si>
  <si>
    <r>
      <t xml:space="preserve">Počet 
</t>
    </r>
    <r>
      <rPr>
        <b/>
        <sz val="12"/>
        <color indexed="48"/>
        <rFont val="Times New Roman"/>
        <family val="1"/>
        <charset val="238"/>
      </rPr>
      <t>Mgr.-</t>
    </r>
    <r>
      <rPr>
        <b/>
        <sz val="12"/>
        <rFont val="Times New Roman"/>
        <family val="1"/>
        <charset val="238"/>
      </rPr>
      <t xml:space="preserve">projektů </t>
    </r>
    <r>
      <rPr>
        <sz val="12"/>
        <rFont val="Times New Roman"/>
        <family val="1"/>
        <charset val="238"/>
      </rPr>
      <t>(I.r.NMgr.)</t>
    </r>
  </si>
  <si>
    <r>
      <t xml:space="preserve">Počet </t>
    </r>
    <r>
      <rPr>
        <b/>
        <sz val="12"/>
        <color indexed="10"/>
        <rFont val="Times New Roman"/>
        <family val="1"/>
        <charset val="238"/>
      </rPr>
      <t xml:space="preserve">BP </t>
    </r>
    <r>
      <rPr>
        <b/>
        <sz val="12"/>
        <rFont val="Times New Roman"/>
        <family val="1"/>
        <charset val="238"/>
      </rPr>
      <t xml:space="preserve">vedených 
na FM </t>
    </r>
  </si>
  <si>
    <r>
      <t xml:space="preserve">Počet </t>
    </r>
    <r>
      <rPr>
        <b/>
        <sz val="12"/>
        <color indexed="48"/>
        <rFont val="Times New Roman"/>
        <family val="1"/>
        <charset val="238"/>
      </rPr>
      <t>DP</t>
    </r>
    <r>
      <rPr>
        <b/>
        <sz val="12"/>
        <rFont val="Times New Roman"/>
        <family val="1"/>
        <charset val="238"/>
      </rPr>
      <t xml:space="preserve"> vedených 
na FM </t>
    </r>
  </si>
  <si>
    <r>
      <t xml:space="preserve">Počet 
</t>
    </r>
    <r>
      <rPr>
        <b/>
        <sz val="12"/>
        <color indexed="10"/>
        <rFont val="Times New Roman"/>
        <family val="1"/>
        <charset val="238"/>
      </rPr>
      <t>Bc.</t>
    </r>
    <r>
      <rPr>
        <b/>
        <sz val="12"/>
        <rFont val="Times New Roman"/>
        <family val="1"/>
        <charset val="238"/>
      </rPr>
      <t xml:space="preserve">-projektů </t>
    </r>
    <r>
      <rPr>
        <sz val="12"/>
        <rFont val="Times New Roman"/>
        <family val="1"/>
        <charset val="238"/>
      </rPr>
      <t>(II.r.Bc.) * Kč</t>
    </r>
  </si>
  <si>
    <r>
      <t xml:space="preserve">Počet 
</t>
    </r>
    <r>
      <rPr>
        <b/>
        <sz val="12"/>
        <color indexed="48"/>
        <rFont val="Times New Roman"/>
        <family val="1"/>
        <charset val="238"/>
      </rPr>
      <t>Mgr.-</t>
    </r>
    <r>
      <rPr>
        <b/>
        <sz val="12"/>
        <rFont val="Times New Roman"/>
        <family val="1"/>
        <charset val="238"/>
      </rPr>
      <t xml:space="preserve">projektů </t>
    </r>
    <r>
      <rPr>
        <sz val="12"/>
        <rFont val="Times New Roman"/>
        <family val="1"/>
        <charset val="238"/>
      </rPr>
      <t>(I.r.NMgr.) * Kč</t>
    </r>
  </si>
  <si>
    <r>
      <t xml:space="preserve">Počet </t>
    </r>
    <r>
      <rPr>
        <b/>
        <sz val="12"/>
        <color indexed="10"/>
        <rFont val="Times New Roman"/>
        <family val="1"/>
        <charset val="238"/>
      </rPr>
      <t xml:space="preserve">BP </t>
    </r>
    <r>
      <rPr>
        <b/>
        <sz val="12"/>
        <rFont val="Times New Roman"/>
        <family val="1"/>
        <charset val="238"/>
      </rPr>
      <t>vedených 
na FM * Kč</t>
    </r>
  </si>
  <si>
    <r>
      <t xml:space="preserve">Počet </t>
    </r>
    <r>
      <rPr>
        <b/>
        <sz val="12"/>
        <color indexed="48"/>
        <rFont val="Times New Roman"/>
        <family val="1"/>
        <charset val="238"/>
      </rPr>
      <t>DP</t>
    </r>
    <r>
      <rPr>
        <b/>
        <sz val="12"/>
        <rFont val="Times New Roman"/>
        <family val="1"/>
        <charset val="238"/>
      </rPr>
      <t xml:space="preserve"> vedených 
na FM * Kč</t>
    </r>
  </si>
  <si>
    <r>
      <t xml:space="preserve">Výpočet podílů na úhradě 20% FRIM </t>
    </r>
    <r>
      <rPr>
        <sz val="14"/>
        <rFont val="Times New Roman"/>
        <family val="1"/>
        <charset val="238"/>
      </rPr>
      <t>(stanoveno podle poměru užívaných ploch)</t>
    </r>
  </si>
  <si>
    <t>Zde přesné částky od KVE (rozpočet TUL vpravo):</t>
  </si>
  <si>
    <t>PUČ [m2]</t>
  </si>
  <si>
    <t>FRIM [Kč]</t>
  </si>
  <si>
    <t>Činn. 106</t>
  </si>
  <si>
    <t xml:space="preserve"> sl. L</t>
  </si>
  <si>
    <r>
      <t xml:space="preserve">Na DSP za publikace </t>
    </r>
    <r>
      <rPr>
        <sz val="12"/>
        <rFont val="Times New Roman"/>
        <family val="1"/>
        <charset val="238"/>
      </rPr>
      <t>(1 měsíc)</t>
    </r>
  </si>
  <si>
    <r>
      <t xml:space="preserve">Na DSP za publikace </t>
    </r>
    <r>
      <rPr>
        <sz val="12"/>
        <rFont val="Times New Roman"/>
        <family val="1"/>
        <charset val="238"/>
      </rPr>
      <t>(12 měsíců)</t>
    </r>
  </si>
  <si>
    <t>Podpora doc. a prof.</t>
  </si>
  <si>
    <t>106 - VK mínus Požadované INV</t>
  </si>
  <si>
    <t>Roční ocenění</t>
  </si>
  <si>
    <t>Přerozdělení za doc./prof.</t>
  </si>
  <si>
    <r>
      <t xml:space="preserve">Na DSP za publikace 
</t>
    </r>
    <r>
      <rPr>
        <sz val="12"/>
        <rFont val="Times New Roman"/>
        <family val="1"/>
        <charset val="238"/>
      </rPr>
      <t>(12 měsíců)</t>
    </r>
  </si>
  <si>
    <t>Z činn. 106</t>
  </si>
  <si>
    <t>Z činn. 117</t>
  </si>
  <si>
    <t>Počet doc. * roční ocenění</t>
  </si>
  <si>
    <t>Počet prof. * roční ocenění</t>
  </si>
  <si>
    <t>Studenti v předmětech vč. DSP se SDZ</t>
  </si>
  <si>
    <t>Celkem pro přepočet dle studentů</t>
  </si>
  <si>
    <t>Přepočet režie dle studentů na ústavy</t>
  </si>
  <si>
    <t>Přepočet na provedené dislokace</t>
  </si>
  <si>
    <t>Režie pro veškeré činnosti, 7817</t>
  </si>
  <si>
    <t>Studijní režie - služby, 7117</t>
  </si>
  <si>
    <t>Režie pro veškeré činnosti, 7117</t>
  </si>
  <si>
    <t>Celkem pro přepočet dle PPV</t>
  </si>
  <si>
    <t>Přepočet režie dle PPV na pracoviště</t>
  </si>
  <si>
    <r>
      <t xml:space="preserve">Příděl 106
</t>
    </r>
    <r>
      <rPr>
        <sz val="12"/>
        <rFont val="Times New Roman"/>
        <family val="1"/>
        <charset val="238"/>
      </rPr>
      <t>(dle výuky mínus odečet ploch)</t>
    </r>
  </si>
  <si>
    <t>upravený</t>
  </si>
  <si>
    <t>Kvalifikační struktura</t>
  </si>
  <si>
    <t xml:space="preserve"> sl. M</t>
  </si>
  <si>
    <t>Tabulka kvalifikační struktury</t>
  </si>
  <si>
    <t>Přepočet na 10% přídělu</t>
  </si>
  <si>
    <t>Vrátit na ústavy</t>
  </si>
  <si>
    <t>z toho 106</t>
  </si>
  <si>
    <t>z toho 117</t>
  </si>
  <si>
    <t>Příděl části dotace podle kvalifikační struktury</t>
  </si>
  <si>
    <t>Příděl části dotace podle počtu kvalifikační struktury DOC a PROF</t>
  </si>
  <si>
    <t>Režie + 20% FRIM</t>
  </si>
  <si>
    <t>profesor</t>
  </si>
  <si>
    <t>docent</t>
  </si>
  <si>
    <t>odborný asistent s vědeckou hodností</t>
  </si>
  <si>
    <t>odborný asistent bez vědecké hodnosti</t>
  </si>
  <si>
    <t>asistent výzkumu, lektor</t>
  </si>
  <si>
    <t>Akademičtí pracovníci</t>
  </si>
  <si>
    <t>Režie vypočtená Full Costem</t>
  </si>
  <si>
    <t>Návrh rozpočtu FMIMS TU v Liberci</t>
  </si>
  <si>
    <t>prof. Ing. Zdeněk Plíva, Ph.D.</t>
  </si>
  <si>
    <t>děkan FMIMS</t>
  </si>
  <si>
    <t>% ze součtu (106+117)</t>
  </si>
  <si>
    <t>Hlavy FM</t>
  </si>
  <si>
    <t>kolik procent odebrat na kvalif. strukturu</t>
  </si>
  <si>
    <t>Úvazky FM</t>
  </si>
  <si>
    <t xml:space="preserve">Část na tarif proděk. </t>
  </si>
  <si>
    <t>Procento režie vypočtené metodou FC</t>
  </si>
  <si>
    <t>Z toho režie vypočtená Full Costem (FC)</t>
  </si>
  <si>
    <t>Rekapitulace</t>
  </si>
  <si>
    <t>Odečet 106 na DFM</t>
  </si>
  <si>
    <t>profesoři</t>
  </si>
  <si>
    <t>docenti</t>
  </si>
  <si>
    <t>CELKEM za ústavy</t>
  </si>
  <si>
    <t>CELKEM za DFM</t>
  </si>
  <si>
    <t xml:space="preserve">celkem </t>
  </si>
  <si>
    <t>Diagnostika a spolehlivost  DSP  (0)</t>
  </si>
  <si>
    <t>Metody charakterizace nanomat.   MCN  (0)</t>
  </si>
  <si>
    <t>MTI-počítačová učebna             TK3</t>
  </si>
  <si>
    <t>MTI-počítačová učebna             TK1</t>
  </si>
  <si>
    <t>MTI-počítačová učebna           TK6 - 25</t>
  </si>
  <si>
    <t>MTI-počítačová učebna              A2 - 20</t>
  </si>
  <si>
    <t>NTI-počítačová učebna                 A3</t>
  </si>
  <si>
    <t>CELKEM</t>
  </si>
  <si>
    <t>pozn. OSTATNÍ</t>
  </si>
  <si>
    <t>provozní, zasedací mistnost</t>
  </si>
  <si>
    <t>šatna, sklad,dílna</t>
  </si>
  <si>
    <t>Návrh rozpočtu určuje podíl na úhradě 20 % FRIMu stanovený podle poměru užívaných ploch</t>
  </si>
  <si>
    <t>plochy pracovišť</t>
  </si>
  <si>
    <t>% vyjádření užitné plochy</t>
  </si>
  <si>
    <t xml:space="preserve">% vyjádření </t>
  </si>
  <si>
    <t>Studijní režie - učebny, 7817</t>
  </si>
  <si>
    <t>Přepočtený počet PP</t>
  </si>
  <si>
    <t>Tabulka mzdových prostředků platba z DFM / SFM</t>
  </si>
  <si>
    <t>Plíva</t>
  </si>
  <si>
    <t>Tůma</t>
  </si>
  <si>
    <t>Hernych</t>
  </si>
  <si>
    <t>Koldovský</t>
  </si>
  <si>
    <t>Nosek</t>
  </si>
  <si>
    <t>Vlasák</t>
  </si>
  <si>
    <t>TARIF</t>
  </si>
  <si>
    <t>VEDENÍ příplatek</t>
  </si>
  <si>
    <t>Garanti</t>
  </si>
  <si>
    <t xml:space="preserve"> sl. N</t>
  </si>
  <si>
    <t>filtr z K:/mzdy/2018-02Uvazky.xls  (kont.Tab: Filtr=Kmen.prac., Osy=Kategorie, Hodnoty=Součet "uvazek v %")</t>
  </si>
  <si>
    <t>zaokrouhleno</t>
  </si>
  <si>
    <t>ostatní **</t>
  </si>
  <si>
    <t>laboratoře/učebny</t>
  </si>
  <si>
    <t>Rozpočítání DFM</t>
  </si>
  <si>
    <t>Březina 3.10.18 (NTI), Kalinová 28.11.18 (NTI)</t>
  </si>
  <si>
    <t>technický pracovník</t>
  </si>
  <si>
    <t>administrativní pracovník</t>
  </si>
  <si>
    <t xml:space="preserve">MTI-kancelář sekretářky </t>
  </si>
  <si>
    <t>MTI -pracovna pedegoga</t>
  </si>
  <si>
    <t>NTI-pracovna pedagogů a doktorandů</t>
  </si>
  <si>
    <t>C</t>
  </si>
  <si>
    <t>menza  Husova</t>
  </si>
  <si>
    <t>zařazení</t>
  </si>
  <si>
    <t>účel</t>
  </si>
  <si>
    <r>
      <t xml:space="preserve">Výpočet 20% FRIM </t>
    </r>
    <r>
      <rPr>
        <i/>
        <sz val="12"/>
        <rFont val="Times New Roman"/>
        <family val="1"/>
        <charset val="238"/>
      </rPr>
      <t xml:space="preserve">(plochy s kódem </t>
    </r>
    <r>
      <rPr>
        <b/>
        <i/>
        <sz val="12"/>
        <rFont val="Times New Roman"/>
        <family val="1"/>
        <charset val="238"/>
      </rPr>
      <t>účelu</t>
    </r>
    <r>
      <rPr>
        <i/>
        <sz val="12"/>
        <rFont val="Times New Roman"/>
        <family val="1"/>
        <charset val="238"/>
      </rPr>
      <t>=1 a 5)</t>
    </r>
  </si>
  <si>
    <t>ITE 7620</t>
  </si>
  <si>
    <t>MTI 7630</t>
  </si>
  <si>
    <t>NTI 7640</t>
  </si>
  <si>
    <t>Pozn.</t>
  </si>
  <si>
    <t>kontrola</t>
  </si>
  <si>
    <t>Mrázková</t>
  </si>
  <si>
    <t>OSOH příplatek</t>
  </si>
  <si>
    <t>výpočet CELKEM</t>
  </si>
  <si>
    <t>RIV</t>
  </si>
  <si>
    <t>ERASMUS</t>
  </si>
  <si>
    <t>režie</t>
  </si>
  <si>
    <t>2018/2019</t>
  </si>
  <si>
    <t>IT podpora</t>
  </si>
  <si>
    <t xml:space="preserve">Režie SGS projektů pod CxI bude převedena na DFM, na pokrytí mzdových nákladů Mrázkové a </t>
  </si>
  <si>
    <t>Obecná chemie 2   OCH2 (1)</t>
  </si>
  <si>
    <t>DFM 7817</t>
  </si>
  <si>
    <t>DFM (NANO)</t>
  </si>
  <si>
    <t>DFM, 7817 - Organizace SGS+konference</t>
  </si>
  <si>
    <t>rozdělení v rámci FM</t>
  </si>
  <si>
    <t>organizace</t>
  </si>
  <si>
    <t>konference</t>
  </si>
  <si>
    <t>na projekty</t>
  </si>
  <si>
    <t>na DFM</t>
  </si>
  <si>
    <t>útvar (sl.D)</t>
  </si>
  <si>
    <t>sumif (sl.E)</t>
  </si>
  <si>
    <t>úprava</t>
  </si>
  <si>
    <t>CELKEM za útvary</t>
  </si>
  <si>
    <t>příděl na FM</t>
  </si>
  <si>
    <t>rozpočtová úprava</t>
  </si>
  <si>
    <t>celkem na pracoviště</t>
  </si>
  <si>
    <t>Výpočet počtu studentů pro stanovení přídělu na BS/MS/DS</t>
  </si>
  <si>
    <t>počty ze STAGu</t>
  </si>
  <si>
    <t>počet měsíců</t>
  </si>
  <si>
    <t>korekce rozpočtu</t>
  </si>
  <si>
    <t>(např. plánované výdaje navíc)</t>
  </si>
  <si>
    <t>příděl 106 na DFM+SFM :</t>
  </si>
  <si>
    <t>Přehled plánovatelných (mzdových) výdajů DFM</t>
  </si>
  <si>
    <t>kontrola přidělení</t>
  </si>
  <si>
    <t>Vypočtená částka na DSP</t>
  </si>
  <si>
    <t>na pracoviště</t>
  </si>
  <si>
    <t>dalších nákladů spojených se správcováním projektů.</t>
  </si>
  <si>
    <t>T</t>
  </si>
  <si>
    <r>
      <t xml:space="preserve">MTI-pracovna pedagoga                              </t>
    </r>
    <r>
      <rPr>
        <sz val="10"/>
        <color indexed="10"/>
        <rFont val="Times New Roman CE"/>
        <charset val="238"/>
      </rPr>
      <t>3.22</t>
    </r>
  </si>
  <si>
    <r>
      <t xml:space="preserve">MTI-laboratoř                                              </t>
    </r>
    <r>
      <rPr>
        <sz val="10"/>
        <color indexed="10"/>
        <rFont val="Times New Roman CE"/>
        <charset val="238"/>
      </rPr>
      <t>3.23</t>
    </r>
  </si>
  <si>
    <r>
      <t xml:space="preserve">MTI-laboratoř                                              </t>
    </r>
    <r>
      <rPr>
        <sz val="10"/>
        <color indexed="10"/>
        <rFont val="Times New Roman CE"/>
        <charset val="238"/>
      </rPr>
      <t>3.24</t>
    </r>
  </si>
  <si>
    <r>
      <t xml:space="preserve">NTI-laboratoř                                               </t>
    </r>
    <r>
      <rPr>
        <sz val="10"/>
        <color indexed="10"/>
        <rFont val="Times New Roman CE"/>
        <charset val="238"/>
      </rPr>
      <t>3.25</t>
    </r>
  </si>
  <si>
    <r>
      <t xml:space="preserve">NTI-laboratoř                                               </t>
    </r>
    <r>
      <rPr>
        <sz val="10"/>
        <color indexed="10"/>
        <rFont val="Times New Roman CE"/>
        <charset val="238"/>
      </rPr>
      <t>3.30</t>
    </r>
  </si>
  <si>
    <r>
      <t xml:space="preserve">MTI-učebna                                                  </t>
    </r>
    <r>
      <rPr>
        <sz val="10"/>
        <color indexed="10"/>
        <rFont val="Times New Roman CE"/>
        <charset val="238"/>
      </rPr>
      <t>3.29</t>
    </r>
  </si>
  <si>
    <r>
      <t xml:space="preserve">MTI-pracovna pedagoga                              </t>
    </r>
    <r>
      <rPr>
        <sz val="10"/>
        <color indexed="10"/>
        <rFont val="Times New Roman CE"/>
        <charset val="238"/>
      </rPr>
      <t>3.28</t>
    </r>
  </si>
  <si>
    <r>
      <t xml:space="preserve">MTI-laboratoř                                              </t>
    </r>
    <r>
      <rPr>
        <sz val="10"/>
        <color indexed="10"/>
        <rFont val="Times New Roman CE"/>
        <charset val="238"/>
      </rPr>
      <t>3.27</t>
    </r>
  </si>
  <si>
    <r>
      <t xml:space="preserve">MTI-pracovna pedagoga                              </t>
    </r>
    <r>
      <rPr>
        <sz val="10"/>
        <color indexed="10"/>
        <rFont val="Times New Roman CE"/>
        <charset val="238"/>
      </rPr>
      <t>3.26</t>
    </r>
  </si>
  <si>
    <t>kanceláře/pracovny</t>
  </si>
  <si>
    <t>Interní číslo projektu</t>
  </si>
  <si>
    <t>Biologické signály  BSI  (0)</t>
  </si>
  <si>
    <t>PF - Základy programování   PRG*P  (0)</t>
  </si>
  <si>
    <t>Moderní program. techniky  MPT  (0)</t>
  </si>
  <si>
    <t>KS   Bakalářský seminář  BS  (2)</t>
  </si>
  <si>
    <t>PF - Algoritmy a datové str.  ADS-P   (0)</t>
  </si>
  <si>
    <t>PF - Osobní počítače  PCS-P   (0)</t>
  </si>
  <si>
    <t xml:space="preserve">Technologie optické výroby   TOV   (4)  </t>
  </si>
  <si>
    <t>2019/2020</t>
  </si>
  <si>
    <t>Stebel 1.7.19 (NTI), Barilla 12.12.19 (Externí)</t>
  </si>
  <si>
    <t>IP stabilitační</t>
  </si>
  <si>
    <t>Jeníček</t>
  </si>
  <si>
    <t>správa dat</t>
  </si>
  <si>
    <t>Dělení SGS</t>
  </si>
  <si>
    <t>Kritérium: jmenovaný DOC/PROF jako zaměstnanec FM "A")</t>
  </si>
  <si>
    <t>IP motivační</t>
  </si>
  <si>
    <t>mezisoučet</t>
  </si>
  <si>
    <t>na Projekty+BP+DP vyčleněno</t>
  </si>
  <si>
    <t>K dalšímu dělení za výuku zbývá:</t>
  </si>
  <si>
    <t>Příděl dotace na Bc:</t>
  </si>
  <si>
    <t>z toho Projekty BP + BP</t>
  </si>
  <si>
    <t>na Výuku Bc.</t>
  </si>
  <si>
    <t>Příděl dotace na NM:</t>
  </si>
  <si>
    <t>z toho na Projekty NM + DP</t>
  </si>
  <si>
    <t>na Výuku Mg.</t>
  </si>
  <si>
    <t>Příděl 117 celkem</t>
  </si>
  <si>
    <t>Náklad DFM</t>
  </si>
  <si>
    <t>součet</t>
  </si>
  <si>
    <t>Provoz</t>
  </si>
  <si>
    <t>K rozdělení na ústavy po odečtení -publ</t>
  </si>
  <si>
    <t>přerozdělení  Doc/Prof</t>
  </si>
  <si>
    <t>kvalif.struktura</t>
  </si>
  <si>
    <t>Příděl 106 na FM</t>
  </si>
  <si>
    <t>odečet na Doc/Prof</t>
  </si>
  <si>
    <t>Na provoz 117 na DFM</t>
  </si>
  <si>
    <t>K rozdělení:</t>
  </si>
  <si>
    <t>NE</t>
  </si>
  <si>
    <t>STAB</t>
  </si>
  <si>
    <t>MOT</t>
  </si>
  <si>
    <t>Příděl 117 STAB</t>
  </si>
  <si>
    <t>Příděl 117 MOT</t>
  </si>
  <si>
    <r>
      <rPr>
        <b/>
        <sz val="11"/>
        <color rgb="FFFF0000"/>
        <rFont val="Times New Roman"/>
        <family val="1"/>
        <charset val="238"/>
      </rPr>
      <t>106+117+režie</t>
    </r>
    <r>
      <rPr>
        <b/>
        <sz val="11"/>
        <rFont val="Times New Roman"/>
        <family val="1"/>
        <charset val="238"/>
      </rPr>
      <t xml:space="preserve"> (před odečtením DFM)</t>
    </r>
  </si>
  <si>
    <r>
      <rPr>
        <b/>
        <sz val="11"/>
        <color rgb="FFFF0000"/>
        <rFont val="Times New Roman"/>
        <family val="1"/>
        <charset val="238"/>
      </rPr>
      <t>106+117+režie</t>
    </r>
    <r>
      <rPr>
        <b/>
        <sz val="11"/>
        <rFont val="Times New Roman"/>
        <family val="1"/>
        <charset val="238"/>
      </rPr>
      <t xml:space="preserve"> - se započtením DFM</t>
    </r>
  </si>
  <si>
    <t>(vč. 115)</t>
  </si>
  <si>
    <t>Bak. projekty</t>
  </si>
  <si>
    <t>Bak. práce</t>
  </si>
  <si>
    <t>Mag. projekt</t>
  </si>
  <si>
    <t>Diplomky</t>
  </si>
  <si>
    <t>PRJ1</t>
  </si>
  <si>
    <t>PRJ2</t>
  </si>
  <si>
    <t>PRJ</t>
  </si>
  <si>
    <t>PRN</t>
  </si>
  <si>
    <t>BP1</t>
  </si>
  <si>
    <t>BP2</t>
  </si>
  <si>
    <t>BPA1</t>
  </si>
  <si>
    <t>BPA2</t>
  </si>
  <si>
    <t>BPN</t>
  </si>
  <si>
    <t>PD1</t>
  </si>
  <si>
    <t>PD2</t>
  </si>
  <si>
    <t>DP1</t>
  </si>
  <si>
    <t>DP2</t>
  </si>
  <si>
    <t>DPA1</t>
  </si>
  <si>
    <t>DPA2</t>
  </si>
  <si>
    <t>DPN</t>
  </si>
  <si>
    <t>DPR</t>
  </si>
  <si>
    <t>portál STAG - prohlížení - předmět - zkratka předmětu</t>
  </si>
  <si>
    <t>old</t>
  </si>
  <si>
    <t>Typ studijního programu</t>
  </si>
  <si>
    <t>Kód a název studijního programu</t>
  </si>
  <si>
    <t>Garant SO</t>
  </si>
  <si>
    <t>Datum získání akreditace</t>
  </si>
  <si>
    <t>Platnost akreditace do</t>
  </si>
  <si>
    <t>Garant studijního programu</t>
  </si>
  <si>
    <t>Bakalářský</t>
  </si>
  <si>
    <t>B0588A110003 Aplikované vědy v inženýrství</t>
  </si>
  <si>
    <t>3 roky</t>
  </si>
  <si>
    <t>doc. Mgr. Jan Stebel, Ph.D.</t>
  </si>
  <si>
    <t>B0613A140005 Informační technologie</t>
  </si>
  <si>
    <t>doc. Ing. Josef Chaloupka, Ph.D.</t>
  </si>
  <si>
    <t>B0714A270001 Mechatronika</t>
  </si>
  <si>
    <t>doc. Ing. Josef Černohorský, Ph.D.</t>
  </si>
  <si>
    <t>B0719A130001 Nanotechnologie</t>
  </si>
  <si>
    <t>prof. Ing. Josef Šedlbauer, Ph.D.</t>
  </si>
  <si>
    <t>Navazující magisterský</t>
  </si>
  <si>
    <t>N0588A110001 Aplikované vědy v inženýrství</t>
  </si>
  <si>
    <t>2 roky</t>
  </si>
  <si>
    <t>doc. Ing. Petr Šidlof, Ph.D.</t>
  </si>
  <si>
    <t>N0613A140028 Informační technologie</t>
  </si>
  <si>
    <t>doc. RNDr. Pavel Satrapa, Ph.D.</t>
  </si>
  <si>
    <t xml:space="preserve">N0613A140029 Information Technology
 </t>
  </si>
  <si>
    <t>N0714A270010 Mechatronika</t>
  </si>
  <si>
    <t>doc. Dr. Mgr. Ing. Jaroslav Hlava</t>
  </si>
  <si>
    <t>N0714A150003 Mechatronics</t>
  </si>
  <si>
    <t>N0719A270001 Nanotechnologie</t>
  </si>
  <si>
    <t>Doktorský</t>
  </si>
  <si>
    <t>P0788D270007 Aplikované vědy v inženýrství</t>
  </si>
  <si>
    <t>4 roky</t>
  </si>
  <si>
    <t>P0788D270006 Applied Sciences in Engineering</t>
  </si>
  <si>
    <t>P0714D150008 Technická kybernetika</t>
  </si>
  <si>
    <t>prof. Ing. Zbyněk Koldovský, Ph.D.</t>
  </si>
  <si>
    <t>P0714D150007 Technical Cybernetics</t>
  </si>
  <si>
    <t>S</t>
  </si>
  <si>
    <t>doc. Ing. Libor Tůma, CSc.</t>
  </si>
  <si>
    <t>B2646 Informační technologie</t>
  </si>
  <si>
    <t>prof. Ing. Jaroslav Nosek, CSc.</t>
  </si>
  <si>
    <t>2612T071 Engineering of Interactive Systems</t>
  </si>
  <si>
    <t>prof. Dr. Ing. Miroslav Černík, CSc.</t>
  </si>
  <si>
    <t>doc. Ing. Jan Šembera, Ph.D.</t>
  </si>
  <si>
    <t>3901T025 Přírodovědné inženýrství</t>
  </si>
  <si>
    <t>doc. Ing. Milan Hokr, Ph.D. </t>
  </si>
  <si>
    <t>Forma</t>
  </si>
  <si>
    <t>SDS</t>
  </si>
  <si>
    <t>X</t>
  </si>
  <si>
    <t>KCH</t>
  </si>
  <si>
    <t>KAT</t>
  </si>
  <si>
    <t>poč</t>
  </si>
  <si>
    <t>A/N</t>
  </si>
  <si>
    <t>částka</t>
  </si>
  <si>
    <t>Vracet na ústav?  ANO/NE</t>
  </si>
  <si>
    <t>//'6_Garanti'!O38</t>
  </si>
  <si>
    <t>korekce na FM</t>
  </si>
  <si>
    <t>režie za studenty CXI a FP</t>
  </si>
  <si>
    <t>Jedličková</t>
  </si>
  <si>
    <t>porady</t>
  </si>
  <si>
    <t>2020/2021</t>
  </si>
  <si>
    <t>prof. Koldovský (ITE) 17.6.20</t>
  </si>
  <si>
    <t>Poznámka:</t>
  </si>
  <si>
    <t>NTI -pracovna pedagoga</t>
  </si>
  <si>
    <t>NTI-laboratoř techn. diagn.         C221</t>
  </si>
  <si>
    <t xml:space="preserve">MTI kancelář </t>
  </si>
  <si>
    <t>MTI zasedací místnost</t>
  </si>
  <si>
    <t>MTI učebna</t>
  </si>
  <si>
    <t>děkan</t>
  </si>
  <si>
    <t>proděkan</t>
  </si>
  <si>
    <t>Severýn</t>
  </si>
  <si>
    <t>AS FM</t>
  </si>
  <si>
    <t>CXI</t>
  </si>
  <si>
    <t>Úvod do strojového učení   USU  (8)</t>
  </si>
  <si>
    <t>Počítačové zpracování řeči   PZR   (7)</t>
  </si>
  <si>
    <t>Václavík</t>
  </si>
  <si>
    <t>Mokrý</t>
  </si>
  <si>
    <t>KS  Grafické a datab. aplikace  GDA  (1)</t>
  </si>
  <si>
    <t>KS - Základy robotiky  ZRO   (1)</t>
  </si>
  <si>
    <t>Bílek</t>
  </si>
  <si>
    <t>Identifikace systémů  IDS (1)</t>
  </si>
  <si>
    <t>Řídicí systémy v mechatronice  RSM   (16)</t>
  </si>
  <si>
    <t>Číslicové řízení   CRI  (14+0)</t>
  </si>
  <si>
    <t>Systémy pro řízení v reálném čase  RTC  (0)</t>
  </si>
  <si>
    <t>Tenké vrstvy   TV  (3)</t>
  </si>
  <si>
    <t>Výkonová elektronika  VKE  (4)</t>
  </si>
  <si>
    <t>Inteligentní roboty  IRO  (2)</t>
  </si>
  <si>
    <t>FZS - Biokybernetika   BIK   (8)</t>
  </si>
  <si>
    <t>Lineární algebra a diskrétní mat.  LADM  (5)</t>
  </si>
  <si>
    <t xml:space="preserve"> + MTI</t>
  </si>
  <si>
    <t>PF - Op. syst. UNIX OSU  (0)</t>
  </si>
  <si>
    <t>PFKS - Architektura počítačů  ARP  (12)</t>
  </si>
  <si>
    <t xml:space="preserve"> +MTI</t>
  </si>
  <si>
    <t>PFKS - Operační systémy  OPS   (2)</t>
  </si>
  <si>
    <t xml:space="preserve"> cv MTI</t>
  </si>
  <si>
    <t xml:space="preserve">Mechanika poddajných těles   MPT  (6)  </t>
  </si>
  <si>
    <t>PF - Složitost a vyčíslitelnost SLV   (0)</t>
  </si>
  <si>
    <t>Pokročilé webové aplikace  PWA (9)</t>
  </si>
  <si>
    <t>Bezpečnost a legislativa materiálů  BLM  (1)</t>
  </si>
  <si>
    <t>Prostředky pro symbolické výpočty  PSV  (2)</t>
  </si>
  <si>
    <t>Základy navrhování optických soustav  ZNOS  (3)</t>
  </si>
  <si>
    <t>Odpočet</t>
  </si>
  <si>
    <t>Úpravy</t>
  </si>
  <si>
    <t>ze souboru M17+ hodnoceni 2019 FM.xlsx od ZK</t>
  </si>
  <si>
    <t>Celkem 106, 117, 115 mínus odvody REK</t>
  </si>
  <si>
    <t>opačná kontrola</t>
  </si>
  <si>
    <t>Vyplní SO  b+m</t>
  </si>
  <si>
    <r>
      <t xml:space="preserve">Tarify tříd  </t>
    </r>
    <r>
      <rPr>
        <sz val="13"/>
        <rFont val="Times New Roman"/>
        <family val="1"/>
        <charset val="238"/>
      </rPr>
      <t>(dolní hranice)</t>
    </r>
  </si>
  <si>
    <t>Dotace celkem na B + NM:</t>
  </si>
  <si>
    <t>přiděleno "na FM"</t>
  </si>
  <si>
    <t>OK kontrola</t>
  </si>
  <si>
    <t>hodnoty pro přepočet na ústavy</t>
  </si>
  <si>
    <t>Režie AS - příspěvek</t>
  </si>
  <si>
    <t>REŽIE CELKEM</t>
  </si>
  <si>
    <t>Rozpočet FM na rok 2022</t>
  </si>
  <si>
    <t>ROZPOČET TUL na 2022  (KVE: NavRoz22.xls)</t>
  </si>
  <si>
    <t>Rozdělení dotace (celé) na vzdělávací činnost - 106 - podle počtu bak., magisterských studentů a doktorandů na rok 2021/2022</t>
  </si>
  <si>
    <t>Počty vedených projektů, bakalářských a diplomových prací za akad. rok 2021/2022</t>
  </si>
  <si>
    <r>
      <t xml:space="preserve">Zdroj: </t>
    </r>
    <r>
      <rPr>
        <b/>
        <sz val="12"/>
        <rFont val="Times New Roman"/>
        <family val="1"/>
        <charset val="238"/>
      </rPr>
      <t>Pasporty22.xls</t>
    </r>
  </si>
  <si>
    <t>PUČ na 2022</t>
  </si>
  <si>
    <t>KVE PUČ 2022:</t>
  </si>
  <si>
    <t>Rozpočet FM na rok 2022 - DFM, činnost 106</t>
  </si>
  <si>
    <t>2022 - mzdové náklady zaměstanců, kteří nejsou kmenovými pracovníky FM, ale podílejí se na vedení FM</t>
  </si>
  <si>
    <r>
      <t xml:space="preserve">Plochy FM </t>
    </r>
    <r>
      <rPr>
        <sz val="11"/>
        <rFont val="Times New Roman"/>
        <family val="1"/>
        <charset val="238"/>
      </rPr>
      <t>(Pasporty22 - K:\Rozpocet\Rok2022\Vypocet.xls)</t>
    </r>
  </si>
  <si>
    <t>Rozpočet FM na rok 2022 - činn. 106</t>
  </si>
  <si>
    <r>
      <t xml:space="preserve">Rozpočet FM na rok 2022 - činn. 115 - SGS </t>
    </r>
    <r>
      <rPr>
        <sz val="14"/>
        <rFont val="Times New Roman"/>
        <family val="1"/>
        <charset val="238"/>
      </rPr>
      <t>(Specifický výzkum)</t>
    </r>
  </si>
  <si>
    <r>
      <t xml:space="preserve">Rozpočet FM na rok 2022 - činn. 117 </t>
    </r>
    <r>
      <rPr>
        <sz val="14"/>
        <rFont val="Times New Roman"/>
        <family val="1"/>
        <charset val="238"/>
      </rPr>
      <t>(institucionální podpora z MŠMT)</t>
    </r>
  </si>
  <si>
    <t>Rozpočet FM na rok 2022 - rozdělení celoškolské režie</t>
  </si>
  <si>
    <t>Rozpočet FM na rok 2022, započtení DFM</t>
  </si>
  <si>
    <t>Rozpočet FM na rok 2022 - celkový přehled po započtení DFM</t>
  </si>
  <si>
    <t>pro rok 2022</t>
  </si>
  <si>
    <t>Celkový počet doc. a prof. je brán ze mzdové inventury platné k 28.2.2022</t>
  </si>
  <si>
    <t>Červa 7.12.21 (ITE), Yalcinkaya 7.12.21 (MTI), Pustka1.1.21 (externí)</t>
  </si>
  <si>
    <t>AKTUALIZOVÁNO 13.3.2022</t>
  </si>
  <si>
    <t>k 28. 2. 2022</t>
  </si>
  <si>
    <t>Úvazky FM k 28. 2. 2022</t>
  </si>
  <si>
    <t>AKTUALIZOVÁNO 14.3.2022</t>
  </si>
  <si>
    <t>Pozn. Dle souboru mi_FM: počítat dle skutečných hodnot, NE dle přepočtů</t>
  </si>
  <si>
    <t>2021/2022</t>
  </si>
  <si>
    <t>P0588D130006  Environmentální inženýrství</t>
  </si>
  <si>
    <t>P0588D130007  Environmental Engineering</t>
  </si>
  <si>
    <t>datum</t>
  </si>
  <si>
    <t>list</t>
  </si>
  <si>
    <t>změna</t>
  </si>
  <si>
    <t>číslo DSP EE</t>
  </si>
  <si>
    <t>popis T28 a U28</t>
  </si>
  <si>
    <t>Částky pro výplatu stipendií za publikační činnost</t>
  </si>
  <si>
    <t>KFY</t>
  </si>
  <si>
    <t>PUBLIKAČNÍ_ČINNOST_2022.xlsx od SO (Simona)</t>
  </si>
  <si>
    <t>2021-22</t>
  </si>
  <si>
    <t>Výpočty, simul. a vizual. Matlab MTLB   (82+1)</t>
  </si>
  <si>
    <t>Číslicová technika   CITE  (68)</t>
  </si>
  <si>
    <t>Elektronická dokumentace   EDK   (63)</t>
  </si>
  <si>
    <t>Signály a informace    SGI   (66)</t>
  </si>
  <si>
    <t>FZS - Úvod do syst. a signálů  USS*Z  (25)</t>
  </si>
  <si>
    <t xml:space="preserve">Databáze pro big data  DPB  (22) </t>
  </si>
  <si>
    <t xml:space="preserve">Základy elektroniky  ZELB  (2) </t>
  </si>
  <si>
    <t xml:space="preserve">Základy konstruování  ZKO  (26) </t>
  </si>
  <si>
    <t>FSB - Elektrot. a elektronika  ELE (103)  1/2 MTI</t>
  </si>
  <si>
    <t>FSBKS - Elektrot. a elektr.  ELE (11)  1/2 MTI</t>
  </si>
  <si>
    <t>Aplikace neuronových sítí  ANS  (6)</t>
  </si>
  <si>
    <t>Bakalářský seminář   BS  (37)</t>
  </si>
  <si>
    <t>Číslicová technika  CIT+CIE  (1+2)</t>
  </si>
  <si>
    <t>Elektronická zařízení   EZA  (39)</t>
  </si>
  <si>
    <t>Modelování signálů a dat  MSD  (7)</t>
  </si>
  <si>
    <t>Multimediální technologie  MT  (21)</t>
  </si>
  <si>
    <t>Metody vytěžování dat  MVD  (7)</t>
  </si>
  <si>
    <t>Technologie pro big data  TPB  (23)</t>
  </si>
  <si>
    <t>Úvod do zpracování obrazů  UZO  (39)</t>
  </si>
  <si>
    <t>Bakalářský seminář   BS  (42)</t>
  </si>
  <si>
    <t>Cloudové technologie  CTC  (21)</t>
  </si>
  <si>
    <t>Elektronická zařízení   EZA  (2)</t>
  </si>
  <si>
    <t>Multimediální technologie  MT  (4)</t>
  </si>
  <si>
    <t>Nástroje pro práci s daty - office  OFF+NOF  (2+2)</t>
  </si>
  <si>
    <t>Počítačová grafika 2  PG2  (7)</t>
  </si>
  <si>
    <t>Programovatelné obvody   PO  (38+4)</t>
  </si>
  <si>
    <t>Úvod do zpracování obrazů  UZO  (21)</t>
  </si>
  <si>
    <t xml:space="preserve">FSB - Elektronika a měření EM (1) </t>
  </si>
  <si>
    <t xml:space="preserve">FSBKS - Elektronika a měření EM (1) </t>
  </si>
  <si>
    <t>FZS - Elektronika ELM*Z  (11)</t>
  </si>
  <si>
    <t>FZS - Snímání, digit. a zpr. dat  DZD*Z  (12)</t>
  </si>
  <si>
    <t>Digitální audio inženýrství  DAI  (5)</t>
  </si>
  <si>
    <t>Metody zpracování obrazových dat  MZOD  (5)</t>
  </si>
  <si>
    <t>Pokročilé program. na platf. Java  PPJ  (13)</t>
  </si>
  <si>
    <t>Počítačové zpracování signálů  PZS  (26+2)</t>
  </si>
  <si>
    <t>FZS - Vybrané kap. z teorie signálu  KSA  (11)</t>
  </si>
  <si>
    <t>FZS - Počítačové zpr. signálů  PZS*Z  (12)</t>
  </si>
  <si>
    <t>FZS - Technická dok., řízení proj.  TDO  (11)</t>
  </si>
  <si>
    <t>FZS - Interakce člověk počítač   ICP*Z  (10)</t>
  </si>
  <si>
    <t>Počítačové vidění  PVI  (18)</t>
  </si>
  <si>
    <t>Pokročilé met. rozpoznávání řeči  PMR  (5)</t>
  </si>
  <si>
    <t>Digitální signálové procesory SIP  (2)</t>
  </si>
  <si>
    <t>Interakce člověka s počítačem  ICP  (10)</t>
  </si>
  <si>
    <t>Image Processing  IMA (7)</t>
  </si>
  <si>
    <t>Počítačové zpracování signálů   PZS (5)</t>
  </si>
  <si>
    <t>Interakce člověka s počítačem  ICP (4) MEA</t>
  </si>
  <si>
    <t>Počítačová lingvistika  PLI  (6+1)</t>
  </si>
  <si>
    <t>FZS - Rozpoznávání a zprac. obrazu RZO  (8)</t>
  </si>
  <si>
    <t>Algoritmizace a programov. 1  ALG1  (72)</t>
  </si>
  <si>
    <t>Elektrotechnika  ELT  (67)</t>
  </si>
  <si>
    <t>Informatika  INF  (12)</t>
  </si>
  <si>
    <t>Programování 1   PRG1  (67)</t>
  </si>
  <si>
    <t>Přístrojová technika   PTE    (12)</t>
  </si>
  <si>
    <t xml:space="preserve">Úvod do inženýrství   UDI  (131) </t>
  </si>
  <si>
    <t>Úvod do studia materiálů   NTI/USM   (5)</t>
  </si>
  <si>
    <t>Algoritmizace a progr. 2  ALG2+ALP2+ALP2S(70+1)</t>
  </si>
  <si>
    <t>Měření neelektrických veličin   MNV (67)</t>
  </si>
  <si>
    <t>Programovatelné automaty   PRA (68)</t>
  </si>
  <si>
    <t>Programování 2   PRG2  (69)</t>
  </si>
  <si>
    <t>FZS  Informační systémy ve zdravotnictví ISZ*Z  (32)</t>
  </si>
  <si>
    <t>FA - Základy logického řízení   ZLR*A   (33)</t>
  </si>
  <si>
    <t>FZS - Informační technologie   IT*Z  (27)</t>
  </si>
  <si>
    <t>FZS - Mikr. technika v biom.  MIT-Z  (14)</t>
  </si>
  <si>
    <t>Číslicové počítace   CIP  (28)</t>
  </si>
  <si>
    <t>Databázové systémy   DBS  (35)</t>
  </si>
  <si>
    <t>Elektronika   ELE  (34)</t>
  </si>
  <si>
    <t>Elektrotechnická praktika  EPR   (10)</t>
  </si>
  <si>
    <t>Oborový seminář 2     NTI/OS2   (3)</t>
  </si>
  <si>
    <t>Programování v jazyce C/C++  PRJC + PJC (31+1)</t>
  </si>
  <si>
    <t>Řízení kvality a integrace syst. v p.  RKI (0)</t>
  </si>
  <si>
    <t>Spolehlivost a údržba  SAU (0)</t>
  </si>
  <si>
    <t>Teoretická elektrotechnika  TLT (24)</t>
  </si>
  <si>
    <t>Údržba a skladové hospodářství    USH (0)</t>
  </si>
  <si>
    <t>Základy automatického řízení  ZAR (36+1)</t>
  </si>
  <si>
    <t>Bezdrátové systémy a EMC  BSE  (10)</t>
  </si>
  <si>
    <t>Elektrické pohony a aktuátory  EPA  (35)</t>
  </si>
  <si>
    <t>Elektroprojektování   EPRO  (38)</t>
  </si>
  <si>
    <t>Grafické a databázové aplikace  GDA  (1)</t>
  </si>
  <si>
    <t>Měření elektrických veličin  MEV  (33)</t>
  </si>
  <si>
    <t>Prostředky automat. řízení   PAR   (1)</t>
  </si>
  <si>
    <t>Softwarové inženýrství   STI+STIN   (11+40)</t>
  </si>
  <si>
    <t>Teorie systémů pro techniky    TES   (0)</t>
  </si>
  <si>
    <t>Technické a program. prostředky řízení   TPR   (23)</t>
  </si>
  <si>
    <t>Vývoj aplikací pro Windows  VAPW  (21)</t>
  </si>
  <si>
    <t>KS  Prostředky automat. řízení   PAR   (1)</t>
  </si>
  <si>
    <t>FSB - Elektrot. a elektronika  ELE (103)  1/2 ITE</t>
  </si>
  <si>
    <r>
      <t xml:space="preserve">FPKS - Vývoj progr. vybavení   VPV-P   (0) </t>
    </r>
    <r>
      <rPr>
        <sz val="12"/>
        <color indexed="10"/>
        <rFont val="Times New Roman"/>
        <family val="1"/>
        <charset val="238"/>
      </rPr>
      <t xml:space="preserve"> </t>
    </r>
  </si>
  <si>
    <t>FZS  Měření fyzik. veličin   MFV-Z  (1)</t>
  </si>
  <si>
    <t>FZS - Databázové systémy  DAS*Z  (0)</t>
  </si>
  <si>
    <t>FZS - Informatika a kybernet.  IAK*Z  (24)</t>
  </si>
  <si>
    <t>FZS - Silnopr. elektrot. a elektron.  SEE*Z  (0)</t>
  </si>
  <si>
    <t>FZS  Senzory v lékařství   SVL-Z  (25)</t>
  </si>
  <si>
    <t>FZS - Teoretická elektrotechn. TEE-Z  (14)</t>
  </si>
  <si>
    <t>Kvantová mechanika 1  KM1 (10)</t>
  </si>
  <si>
    <t>Měřicí technika II  MT2  (1)</t>
  </si>
  <si>
    <t>Metodika vědecké práce  MVPB  (18)</t>
  </si>
  <si>
    <t>Počítačový hardware a rozhraní  PHS  (6)</t>
  </si>
  <si>
    <t>Programovatelné automaty  PRAU  (5)</t>
  </si>
  <si>
    <t>Systémy reálného času   SRC   (7)</t>
  </si>
  <si>
    <t>Vestavné systémy   VES   (0)</t>
  </si>
  <si>
    <t>Základy robotiky  ZRO   (38)</t>
  </si>
  <si>
    <t>Bakalářský seminář  BS  (8)</t>
  </si>
  <si>
    <t>Bezdrátové technologie a sítě   BTS  (25)</t>
  </si>
  <si>
    <t>Číslicové měřicí systémy   CMS  (3+1)</t>
  </si>
  <si>
    <t>Elektromobilita a autoelektronika  ELA  (37)</t>
  </si>
  <si>
    <t>Ekonomika rizik v technice   ERT  (2)</t>
  </si>
  <si>
    <t>Funkční bezpečnost v technické praxi  FBS  (16)</t>
  </si>
  <si>
    <t>Modelování a simulace systémů  MSM (35)</t>
  </si>
  <si>
    <t>Počítače a mikropočítače  PMP (0)</t>
  </si>
  <si>
    <t xml:space="preserve">Simulace diskrétních systémů  SDIS  (4) </t>
  </si>
  <si>
    <t>Softwarové inženýrství   SIN   (20)</t>
  </si>
  <si>
    <t>Teorie systémů pro techniky II.  TS2  (2)</t>
  </si>
  <si>
    <t>Vestavné systémy  VST  (57)</t>
  </si>
  <si>
    <t>KS   Elektrické výkonové členy   EVC  (1)</t>
  </si>
  <si>
    <t>KS - Simulace dynam. systémů  SDS  (2)</t>
  </si>
  <si>
    <t>FS - Eletrotechnika    ELE-P   (3)</t>
  </si>
  <si>
    <t>FSKS - Eletrotechnika    ELE-K   (0)</t>
  </si>
  <si>
    <t>PF - Databázové systémy  DBSP  (1)</t>
  </si>
  <si>
    <t>PFKS - Databázové systémy  DBSP  (2)</t>
  </si>
  <si>
    <t>PF - Moderní metody program.  MMP  (0)</t>
  </si>
  <si>
    <t>FZS  Elektr. a magn. pole živ.org. EMPO (13+1)</t>
  </si>
  <si>
    <t>FZS - Bezpečnost el. zařízení   BEZ*Z  (11)</t>
  </si>
  <si>
    <t xml:space="preserve">Akustika a elektroakustika AEA  (6) </t>
  </si>
  <si>
    <t>Automatické řízení   ARI  (1)</t>
  </si>
  <si>
    <t>Architektura počítačů  ARP  (14)</t>
  </si>
  <si>
    <t>Experimentální m. v mechanice  EMM (15)</t>
  </si>
  <si>
    <t>Elektrické pohony a servom.  EPS  (16)</t>
  </si>
  <si>
    <t>Gramatiky a automaty  GRA  (13)</t>
  </si>
  <si>
    <t>Kvantová fyzika pevných látek   KFP  (10)</t>
  </si>
  <si>
    <t>Metamateriály     MTM  (0)</t>
  </si>
  <si>
    <t>Data mining    DM   (8)</t>
  </si>
  <si>
    <t>Projektováni el. systémů  ESY  (17) - výuka s EPRO</t>
  </si>
  <si>
    <t>Komunikační technologie  KOT  (1)</t>
  </si>
  <si>
    <t>Elektrické a elektron. syst. vozidel  ESV  (14)</t>
  </si>
  <si>
    <t>Návrh hardwar. komponent  NHK  (15)</t>
  </si>
  <si>
    <t>Práce s informačními zdroji   PIZ   (5)</t>
  </si>
  <si>
    <t>Robotika    RBT  (14)</t>
  </si>
  <si>
    <t>Řízení databází    RDB   (15)</t>
  </si>
  <si>
    <t>Stavová regulace    STR   (1)</t>
  </si>
  <si>
    <t>MEA  Exper. m. v mech.  EMM+EMMA  (4+2)</t>
  </si>
  <si>
    <t>MEA  Elektrické pohony a servom.  EPS  (6)</t>
  </si>
  <si>
    <t>MEA  Virtual Instrumentation  VI  (5)</t>
  </si>
  <si>
    <t>MEA  Data anal. and knowl. mining  DAKM  (4)</t>
  </si>
  <si>
    <t>MEA  Electrotechnology  ETG  (4)</t>
  </si>
  <si>
    <t>MEA  Inteligentní roboty  IRO  (6)</t>
  </si>
  <si>
    <t>MEA  Renewable Electricity Sources  RES  (4)</t>
  </si>
  <si>
    <t>MEA  Real Time Control Systems RTC (6)</t>
  </si>
  <si>
    <t>MEA  Smart Sens. and Actuators  SSA  (6)</t>
  </si>
  <si>
    <t>FP - Úvod do hodnocení spolehlivosti a rizik SPR (0)</t>
  </si>
  <si>
    <t>FP - Metody a nástroje optimalizace údržby  OPU  (0)</t>
  </si>
  <si>
    <t>FP - Softwarové nástroje ve spolehlivosti   SNS  (0)</t>
  </si>
  <si>
    <t>FZS - Progr. techniky a datamining PDI  (11)</t>
  </si>
  <si>
    <t>FZS - Vybrané kapitoly z elektrot.  VRI   (7)</t>
  </si>
  <si>
    <t>FZS - Architektury elektron. syst.  AES (10)</t>
  </si>
  <si>
    <t>FZS - Elektrot. měření, prov. bezp. EMZ  (11)</t>
  </si>
  <si>
    <t>FZS - Měření elektr. a neel. veličin  MBI (10)</t>
  </si>
  <si>
    <t>FZS - Rizikový management, spol.  RMA  (11)</t>
  </si>
  <si>
    <t>FZS - Zákl. principy elektrot. a kyb.  ZEK  (11)</t>
  </si>
  <si>
    <t>Projektování automat. systémů   PAS  (0)</t>
  </si>
  <si>
    <t>Převodníky fyz. veličin PFV   (2)</t>
  </si>
  <si>
    <t>Řídicí počítačové systémy   RPS  (30)</t>
  </si>
  <si>
    <t>Teorie algoritmů a složitosti   TAS  (17)</t>
  </si>
  <si>
    <t>Algebr. syntéza reg. obv.  ASR  (0)</t>
  </si>
  <si>
    <t>Charakterizace tenkých vrstev  CTV  (4)</t>
  </si>
  <si>
    <t>Elektromagnetická kompatibilita  EMC  (17)</t>
  </si>
  <si>
    <t>Feromagnetické materiály  FM  (1)</t>
  </si>
  <si>
    <t>Metody řízení v aplikacích  MRA  (14)</t>
  </si>
  <si>
    <t>Polovodičové materiály a prvky   PVMP  (1)</t>
  </si>
  <si>
    <t>Řízení vícerozměrových systémů   RVS  (0)</t>
  </si>
  <si>
    <t>MEA Číslicové řízení   CRI  (6)</t>
  </si>
  <si>
    <t>MEA Communication Technology   CT  (5)</t>
  </si>
  <si>
    <t>MEA Výkonová elektronika   VKE  (7)</t>
  </si>
  <si>
    <t>FS - E-mobilita  EMO   (7)</t>
  </si>
  <si>
    <t>FS - Mechatronika  MEC   (1)</t>
  </si>
  <si>
    <t>FZS - Lékařské systémy  LSY   (8)</t>
  </si>
  <si>
    <t>FZS - Robotika 1  RO1   (0)</t>
  </si>
  <si>
    <t>Seminář z matematiky 1   SEM1    (67)</t>
  </si>
  <si>
    <t>Úvod do Shellu   SH   (74)</t>
  </si>
  <si>
    <t>Snímání a zpracování obrazu   SZO   (4)</t>
  </si>
  <si>
    <t>Úvod do studia materiálů   USM   (5)</t>
  </si>
  <si>
    <t>Počítačové sítě  PST  (93)</t>
  </si>
  <si>
    <t>Seminář z matematiky  SEM2   (72)</t>
  </si>
  <si>
    <t>Úvod do studia nanomateriálů   USTN  (12)</t>
  </si>
  <si>
    <t>KS  Počítačové sítě  PST  (4)  +  PST-P (1)</t>
  </si>
  <si>
    <t>PF - Architektura počítačů  ARP  (19)</t>
  </si>
  <si>
    <t>PF - Úvod do programování   UDP   (19)</t>
  </si>
  <si>
    <t>PF - Tvorba statického webu  TSW  (15)</t>
  </si>
  <si>
    <t>FZS - Úvod do počítačových sítí  US*Z  (15)</t>
  </si>
  <si>
    <t>FZS - Zákl. algoritm. a progr.  ZAP*Z  (14)</t>
  </si>
  <si>
    <t>PFKS - Úvod do programování   UDP   (13)</t>
  </si>
  <si>
    <t>PFKS - Tvorba statického webu  TSW  (7)</t>
  </si>
  <si>
    <t>Algoritmy a datové struktury  ALD   (31)</t>
  </si>
  <si>
    <t>Mechanika  MEC  (0)</t>
  </si>
  <si>
    <t>Obecná chemie 1   OCH1 (2)</t>
  </si>
  <si>
    <t>Operační systémy OPS  (35)</t>
  </si>
  <si>
    <t>Oborový seminář 2     OS2   (3)</t>
  </si>
  <si>
    <t>Technická mechanika  TME  (25)</t>
  </si>
  <si>
    <t>PF - Programování PRG + PJP  (4+7)</t>
  </si>
  <si>
    <t>Matematika 4   MA4   (2)</t>
  </si>
  <si>
    <t>Konstrukční a projektová praktika  KPP  (10)</t>
  </si>
  <si>
    <t>Programovací jazyk Python   PJPA   (35)</t>
  </si>
  <si>
    <t>Teorie her  TGHE + THE + TGH   (16+5+1)</t>
  </si>
  <si>
    <t>Tvorba WWW stránek  TWS  (20)</t>
  </si>
  <si>
    <t>Úvod do statistické analýzy  USA  (32)</t>
  </si>
  <si>
    <t>Webové aplikace  WEAP  (2)</t>
  </si>
  <si>
    <t>PF - Aut. a form. jaz. AFJ-P (5)</t>
  </si>
  <si>
    <t>EF - Operační systémy OS   (21)</t>
  </si>
  <si>
    <r>
      <t xml:space="preserve">FA - Programování pro WWW*A   (0) </t>
    </r>
    <r>
      <rPr>
        <sz val="12"/>
        <color indexed="10"/>
        <rFont val="Times New Roman"/>
        <family val="1"/>
        <charset val="238"/>
      </rPr>
      <t xml:space="preserve"> </t>
    </r>
  </si>
  <si>
    <t>FZS - Model. fyziolog. dějů  MFD*Z  (24)</t>
  </si>
  <si>
    <t>FZS - Mechanika   MCH*Z  (25)</t>
  </si>
  <si>
    <t>PFKS - Programování PRG  (4)</t>
  </si>
  <si>
    <t>PFKS - Aut. a form. jaz.   AFJ-P  (3)</t>
  </si>
  <si>
    <t>Management bezpečnosti a rizik  MBR  (2)</t>
  </si>
  <si>
    <t>Metody užívané v logistice   MEL   (2)</t>
  </si>
  <si>
    <t>Počítačová bezpečnost   PBE  (25)</t>
  </si>
  <si>
    <t>Počítačová grafika   PG+PG1  (8+14)</t>
  </si>
  <si>
    <t>Počítačové sítě  PST  (1)</t>
  </si>
  <si>
    <t>Počítačová typografie  PTY  (3)</t>
  </si>
  <si>
    <t>Stavba a řešení poč. modelů  SRM  (0)</t>
  </si>
  <si>
    <t>Unix a Internet   UI  (23)</t>
  </si>
  <si>
    <t>Webové aplikace  WEA  (20)</t>
  </si>
  <si>
    <t>Aplikace počítačových modelů  APMO-APM  (1+3)</t>
  </si>
  <si>
    <t>Bakalářský seminář  BS  (1)</t>
  </si>
  <si>
    <t>Konstrukce optických přístrojů  KOP   (0)</t>
  </si>
  <si>
    <t>Operační výzkum    OV    (2)</t>
  </si>
  <si>
    <t>Psaní dokumentace  PDO   (22)</t>
  </si>
  <si>
    <t>Počítačová bezpečnost  POB    (0)</t>
  </si>
  <si>
    <t>Úvod do ekon. a managementu UEMG+UEM (20+1)</t>
  </si>
  <si>
    <t xml:space="preserve">Základy mechaniky tekutin  ZMT   (0) </t>
  </si>
  <si>
    <t xml:space="preserve">Zobrazování obrazových dat  ZOD   (0) </t>
  </si>
  <si>
    <t>PF - Nové trendy v IT  NTI  (3)</t>
  </si>
  <si>
    <t>FZS  Zobrazovací systémy  ZOS*Z  (11)</t>
  </si>
  <si>
    <t>PFKS - Jazyky pro popis dat  JPD (3)</t>
  </si>
  <si>
    <t>PFKS - Nové trendy v IT  NTI  (2)</t>
  </si>
  <si>
    <t>PFKS - Počítačová typografie  PTO-P   (1)</t>
  </si>
  <si>
    <t>PF - Programovací jazyk C  PJCPE (0)</t>
  </si>
  <si>
    <t>PFKS - Programovací jazyk C  PJCPE  (0)</t>
  </si>
  <si>
    <t>FZS  Laserová techn. a vl. opt. LTE*Z  (11)</t>
  </si>
  <si>
    <t>FZS  Tomografické zobr. syst. TZS*Z  (11)</t>
  </si>
  <si>
    <t>Diferenciální rovnice   DR   (20)</t>
  </si>
  <si>
    <t>Elektromagnetismus   ELMG    (16)</t>
  </si>
  <si>
    <t>Fyzikální jevy v geovědách   FJG (0)</t>
  </si>
  <si>
    <t>Jazyky pro popis dat   JPD (16)</t>
  </si>
  <si>
    <t>Kódování a šifrování   KAS  (14)</t>
  </si>
  <si>
    <t xml:space="preserve">Metoda konečných prvků   MKP (11)  </t>
  </si>
  <si>
    <t xml:space="preserve">Mechanika kontinua a termod.  MKT  (0)  </t>
  </si>
  <si>
    <t>Optimalizační úlohy   OPT (16)</t>
  </si>
  <si>
    <t>Programování mobilních aplikací PAA (14)</t>
  </si>
  <si>
    <t xml:space="preserve">Pravděpodobnost a statistika  PAS  (27)  </t>
  </si>
  <si>
    <t xml:space="preserve">Senzorika   SEN   (4)  </t>
  </si>
  <si>
    <t>Seminář ke stáži    SKS  (6)</t>
  </si>
  <si>
    <t>Alternativní metody programování  AMP  (35)</t>
  </si>
  <si>
    <t>Fotonika    FOT    (3)</t>
  </si>
  <si>
    <t>Semestrální stáž  SS  (6)   !!!!</t>
  </si>
  <si>
    <t>Simulační softwary v techn. praxi  STP  (2)</t>
  </si>
  <si>
    <t>MEA  Diferenciální rovnice  DR  (4)</t>
  </si>
  <si>
    <t>MEA  Exper. m. v mechanice  EMM (4)</t>
  </si>
  <si>
    <t>MEA  Optimalizační úlohy   OPT (4)</t>
  </si>
  <si>
    <t>PF -  Operační systém Unix   OUP  (0)</t>
  </si>
  <si>
    <t>PF - Složitost a vyčíslitelnost SVA   (3)</t>
  </si>
  <si>
    <t>PF - Tvorba dynamického webu  TDW  (0)</t>
  </si>
  <si>
    <t>PF - Vytv. intern. služeb VIS+VISPE  (11+1)</t>
  </si>
  <si>
    <t>PFKS - Složitost a vyčíslitelnost SVA   (3)</t>
  </si>
  <si>
    <t>PFKS -  Alternativní metody progr.  AMP  (4)</t>
  </si>
  <si>
    <t>PFKS -  Operační systém Unix   OUP  (0)</t>
  </si>
  <si>
    <t>PFKS - Tvorba dynamického webu  TDW  (0)</t>
  </si>
  <si>
    <t>PFKS - Vytv. intern. služeb VISPE  (0)</t>
  </si>
  <si>
    <t>EF - Počítačová typografie  PT + PTO-P   (11+0)</t>
  </si>
  <si>
    <t>EF - Počítačové sítě  PCT*H  (14) - př. s PST</t>
  </si>
  <si>
    <t>FZS - Aplik. mat. a fyz. výpočty AMI  (12)</t>
  </si>
  <si>
    <t>Aplikace nanotechnologií v medicíně  ANM (8)</t>
  </si>
  <si>
    <t>Bezdotykové metody měření   BMM   (1)</t>
  </si>
  <si>
    <t>Global Imaging Methods  GIM  (7)</t>
  </si>
  <si>
    <t xml:space="preserve">Matematická teorie pružnosti  MTP  (2)  </t>
  </si>
  <si>
    <t xml:space="preserve">Měřicí technika 3   MT3  (6)  </t>
  </si>
  <si>
    <t>Numerické modelování a počítače  NMP (7)</t>
  </si>
  <si>
    <t>Num. m. v proudění a transportu  NMPT+CFD (3+1)</t>
  </si>
  <si>
    <t>Simulace elektrom. syst.  SES  (16)</t>
  </si>
  <si>
    <t>Distribuované programování   DPG  (14)</t>
  </si>
  <si>
    <t>Diplomový seminář   DSA  (8)</t>
  </si>
  <si>
    <t>Diplomový seminář   DSI  (16)</t>
  </si>
  <si>
    <t>Kalibrace modelů   KM   (2)</t>
  </si>
  <si>
    <t>Laserové technologie  LAST  (4)</t>
  </si>
  <si>
    <t>Minipočítače a jejich prakt. aplikace MIP  (15)</t>
  </si>
  <si>
    <t>Python pro aplikované vědy  PAV  (2)</t>
  </si>
  <si>
    <t>Překladače   PRK  (19)</t>
  </si>
  <si>
    <t>MEA  Simulace elektrom. syst.  SES  (5)</t>
  </si>
  <si>
    <t>EF - Unix a Internet UXI (7)</t>
  </si>
  <si>
    <t>EF - Pokročilé webové aplikace  PWAP (23)</t>
  </si>
  <si>
    <t>PFKS - Operační systém Linux  LNXPE (0)</t>
  </si>
  <si>
    <t>PF - Programování pro WEB  PGWE (0)</t>
  </si>
  <si>
    <t>FZS - Metody měření a int. 3D obrazů MID (9)</t>
  </si>
  <si>
    <t>aktualizace výuky</t>
  </si>
  <si>
    <t>doplnění CXI a FP  ř.11-13</t>
  </si>
  <si>
    <t>doplnění CXI a FP  ř.15-17</t>
  </si>
  <si>
    <r>
      <t xml:space="preserve">viz </t>
    </r>
    <r>
      <rPr>
        <sz val="10"/>
        <color rgb="FFFF0000"/>
        <rFont val="Arial CE"/>
        <charset val="238"/>
      </rPr>
      <t>červené buňky</t>
    </r>
    <r>
      <rPr>
        <sz val="10"/>
        <rFont val="Arial CE"/>
        <charset val="238"/>
      </rPr>
      <t xml:space="preserve"> - má cenu to vůbec dávat do rozpočtu, pokud to stejně budeme chtít po FP vrátit?</t>
    </r>
  </si>
  <si>
    <t>aktualizace režie (19 461 747,61 Kč)</t>
  </si>
  <si>
    <r>
      <t xml:space="preserve">dislokace, PUČ, FRIM ještě není k dispozici. Co s režií na </t>
    </r>
    <r>
      <rPr>
        <sz val="10"/>
        <color rgb="FFFF0000"/>
        <rFont val="Arial CE"/>
        <charset val="238"/>
      </rPr>
      <t>AS ve výši 25.000 Kč ???</t>
    </r>
  </si>
  <si>
    <t>upravena tabulka počtu doktorandů</t>
  </si>
  <si>
    <t>na DFM necháme více peněz - 250 kKč?</t>
  </si>
  <si>
    <t>koeficient DSP změnit z 1,7 na 1,5?</t>
  </si>
  <si>
    <t>oranžové záložky = "kvalita VV" - Zbyněk…</t>
  </si>
  <si>
    <t>doplněna IP stabilizační</t>
  </si>
  <si>
    <t>nn</t>
  </si>
  <si>
    <t>korekce pro FM na vrub CXI a FP</t>
  </si>
  <si>
    <t>po korekci</t>
  </si>
  <si>
    <t>Celkem MIMO FM</t>
  </si>
  <si>
    <t>mimo FM</t>
  </si>
  <si>
    <t>platnosti EE</t>
  </si>
  <si>
    <t>doplněn řádek 14 - mimo FM</t>
  </si>
  <si>
    <t>doplněn součet mimo FM (N16), úprava výpočtu korekce</t>
  </si>
  <si>
    <t>doplnění publikací mimo FM</t>
  </si>
  <si>
    <t>14-NEW</t>
  </si>
  <si>
    <t>doplnění ř.10 a ř.23 (mimo FM)</t>
  </si>
  <si>
    <t>oprava částek v B11-B17</t>
  </si>
  <si>
    <t>B0719A130001</t>
  </si>
  <si>
    <t>B0914P360007</t>
  </si>
  <si>
    <t>B3942</t>
  </si>
  <si>
    <t>N0719A270001</t>
  </si>
  <si>
    <t>P0588D130006</t>
  </si>
  <si>
    <t>P0588D130007</t>
  </si>
  <si>
    <t>P0714D150008</t>
  </si>
  <si>
    <t>P0788D270006</t>
  </si>
  <si>
    <t>P0788D270007</t>
  </si>
  <si>
    <t>P2612</t>
  </si>
  <si>
    <t>P3901</t>
  </si>
  <si>
    <t>P3942</t>
  </si>
  <si>
    <t>BSP</t>
  </si>
  <si>
    <t>B0588A110003</t>
  </si>
  <si>
    <t>B0613A140005</t>
  </si>
  <si>
    <t>B0714A270001</t>
  </si>
  <si>
    <t>B2612</t>
  </si>
  <si>
    <t>B2646</t>
  </si>
  <si>
    <t>B3901</t>
  </si>
  <si>
    <t>N0588A110001</t>
  </si>
  <si>
    <t>N0613A140028</t>
  </si>
  <si>
    <t>N0714A150003</t>
  </si>
  <si>
    <t>N0714A270010</t>
  </si>
  <si>
    <t>N2612</t>
  </si>
  <si>
    <t>N3901</t>
  </si>
  <si>
    <t>N3942</t>
  </si>
  <si>
    <t>MSP</t>
  </si>
  <si>
    <t>příděl z cleari22</t>
  </si>
  <si>
    <t>přerozdělení dle listu 1</t>
  </si>
  <si>
    <t>z cleari22 (O.K.)</t>
  </si>
  <si>
    <t>Aplikované vědy v inženýrství</t>
  </si>
  <si>
    <t>Informační technologie</t>
  </si>
  <si>
    <t>Mechatronika</t>
  </si>
  <si>
    <t>Nanotechnologie</t>
  </si>
  <si>
    <t>Elektrotechnika a informatika</t>
  </si>
  <si>
    <t>Mechatronics</t>
  </si>
  <si>
    <t>Environmentální inženýrství</t>
  </si>
  <si>
    <t>Environmental Engineering</t>
  </si>
  <si>
    <t>Technická kybernetika</t>
  </si>
  <si>
    <t>Applied Sciences in Engineering</t>
  </si>
  <si>
    <t>z PrispTUL22 (K:/rozpocet/2022)</t>
  </si>
  <si>
    <t>log</t>
  </si>
  <si>
    <t>data z PrispTUL22</t>
  </si>
  <si>
    <t>proč se liší data CLEARI a PrispTUL? Cleari je po odebrání peněz na sdílenou výuky?</t>
  </si>
  <si>
    <t>Úpravy za učebny</t>
  </si>
  <si>
    <t>Přepočet na provedené dislokace 2021 - rozdíl</t>
  </si>
  <si>
    <t>aktualizace vstupních hodnot dle NavRoz22 ze dne 11.5.2022</t>
  </si>
  <si>
    <t>Stanovení režií, RozRez22.xls bez eletriky</t>
  </si>
  <si>
    <t>výpočet základní výše režie pro následný dopočet</t>
  </si>
  <si>
    <t xml:space="preserve">rozdělení základní režie včetně dislokace </t>
  </si>
  <si>
    <t>přepočet dle procenta vypočteného metodou FC</t>
  </si>
  <si>
    <t>POŽADOVANÁ REŽIE CELKEM</t>
  </si>
  <si>
    <t>ZÁKLAD</t>
  </si>
  <si>
    <t>DISLOKACE</t>
  </si>
  <si>
    <t>aktualizace výpočtu režie - FINAL</t>
  </si>
  <si>
    <t>MTI kancelář</t>
  </si>
  <si>
    <t>MTI kancelář s kuchyňkou</t>
  </si>
  <si>
    <r>
      <t xml:space="preserve">MTI kancelář                                          </t>
    </r>
    <r>
      <rPr>
        <sz val="10"/>
        <color indexed="10"/>
        <rFont val="Times New Roman CE"/>
        <charset val="238"/>
      </rPr>
      <t>3.17</t>
    </r>
  </si>
  <si>
    <r>
      <t xml:space="preserve">MTI kancelář                                         </t>
    </r>
    <r>
      <rPr>
        <sz val="10"/>
        <color indexed="10"/>
        <rFont val="Times New Roman CE"/>
        <charset val="238"/>
      </rPr>
      <t>3.16</t>
    </r>
  </si>
  <si>
    <r>
      <t xml:space="preserve">MTI kancelář                                         </t>
    </r>
    <r>
      <rPr>
        <sz val="10"/>
        <color indexed="10"/>
        <rFont val="Times New Roman CE"/>
        <charset val="238"/>
      </rPr>
      <t>3.12</t>
    </r>
  </si>
  <si>
    <r>
      <t xml:space="preserve">MTI kancelář                                        </t>
    </r>
    <r>
      <rPr>
        <sz val="10"/>
        <color indexed="10"/>
        <rFont val="Times New Roman CE"/>
        <charset val="238"/>
      </rPr>
      <t>3.13</t>
    </r>
  </si>
  <si>
    <r>
      <t xml:space="preserve">MTI kancelář                                          </t>
    </r>
    <r>
      <rPr>
        <sz val="10"/>
        <color indexed="10"/>
        <rFont val="Times New Roman CE"/>
        <charset val="238"/>
      </rPr>
      <t>3.14</t>
    </r>
  </si>
  <si>
    <r>
      <t xml:space="preserve">MTI kancelář                                          </t>
    </r>
    <r>
      <rPr>
        <sz val="10"/>
        <color indexed="10"/>
        <rFont val="Times New Roman CE"/>
        <charset val="238"/>
      </rPr>
      <t>3.15</t>
    </r>
  </si>
  <si>
    <t>I</t>
  </si>
  <si>
    <t>Laboratoř LAN</t>
  </si>
  <si>
    <t>MTI-laboratoř</t>
  </si>
  <si>
    <t>SK</t>
  </si>
  <si>
    <t>Sklad</t>
  </si>
  <si>
    <t xml:space="preserve">Sklad       </t>
  </si>
  <si>
    <t xml:space="preserve">Sklad        </t>
  </si>
  <si>
    <t>aktualizace ploch na 3973 FINAL</t>
  </si>
  <si>
    <t>výpočet FRIM FINAL</t>
  </si>
  <si>
    <t>Režie FINAL</t>
  </si>
  <si>
    <t>počet měs.</t>
  </si>
  <si>
    <t>bez odvodů celkem</t>
  </si>
  <si>
    <t>Doplatek do 50 %</t>
  </si>
  <si>
    <r>
      <t xml:space="preserve">DFM aktualizace mzdových nákladů - </t>
    </r>
    <r>
      <rPr>
        <sz val="10"/>
        <color rgb="FFFF0000"/>
        <rFont val="Arial CE"/>
        <charset val="238"/>
      </rPr>
      <t>VÝŠE FIXNÍ ČÁSTKY PONÍŽIT???</t>
    </r>
  </si>
  <si>
    <t>DFM FINAL úprava mzdy Hernych</t>
  </si>
  <si>
    <t>12.5.</t>
  </si>
  <si>
    <t>buňky B6-C10 se nikde nepoužívají? Lze smazat…</t>
  </si>
  <si>
    <t>OK</t>
  </si>
  <si>
    <t>ZP</t>
  </si>
  <si>
    <t>nebude započítáno do rozpočtu, refundace z FP/CXI</t>
  </si>
  <si>
    <t>nevyplatitelní proděkani</t>
  </si>
  <si>
    <t>řádek 6</t>
  </si>
  <si>
    <t>elektrika kvestor nový výpočet</t>
  </si>
  <si>
    <t>na listu 0 je jiná částka režie než na 13 (chybí ELE…)</t>
  </si>
  <si>
    <t>na listu 14 bunka F14 je rozdíl ve výši ELE</t>
  </si>
  <si>
    <r>
      <t xml:space="preserve">Režie upravené o dislokace </t>
    </r>
    <r>
      <rPr>
        <i/>
        <sz val="12"/>
        <rFont val="Times New Roman"/>
        <family val="1"/>
        <charset val="238"/>
      </rPr>
      <t>(bez Režie AS)</t>
    </r>
  </si>
  <si>
    <t>Režie základ+dislokace+eletrika ZAOKROUHLENO</t>
  </si>
  <si>
    <t>Režie AS</t>
  </si>
  <si>
    <t>Celkem 106, 117</t>
  </si>
  <si>
    <t>příspěvek po limitaci 1. ročníku a odpočtu za neúspěšnost 1. ročníku</t>
  </si>
  <si>
    <t>částky OK i pro rok 2022</t>
  </si>
  <si>
    <t>I pro rok 2022 beze změny</t>
  </si>
  <si>
    <t>pokud NE, vyplácí přímo DFM</t>
  </si>
  <si>
    <t>13.5.</t>
  </si>
  <si>
    <t>úprava rozpočítání příplatku - sl.P-R</t>
  </si>
  <si>
    <t>fix</t>
  </si>
  <si>
    <t>buňky F5-F8 přesměrovány…</t>
  </si>
  <si>
    <t>Rozpočtová úprava na FP a CXI</t>
  </si>
  <si>
    <t>Doplatek do 50 % mimo DFM</t>
  </si>
  <si>
    <t>NOVÉ eletrika</t>
  </si>
  <si>
    <t>17.5.</t>
  </si>
  <si>
    <t>přepočet mzdových nákladů Hernych z 30 % ponížení na 28 % z DFM</t>
  </si>
  <si>
    <t>18.5.</t>
  </si>
  <si>
    <t>oprava vložených dat</t>
  </si>
  <si>
    <t>20.5.</t>
  </si>
  <si>
    <t>app</t>
  </si>
  <si>
    <t>porovnání rozpočtů</t>
  </si>
  <si>
    <t xml:space="preserve">Počet dokt. do (SDS+1) celkem
</t>
  </si>
  <si>
    <t>Počet dokt. do SDS+1  se 
st. dokt. zk</t>
  </si>
  <si>
    <t>Počet dokt. do SDS+1  bez st. dokt. zk</t>
  </si>
  <si>
    <t>Příděl části dotace na vzdělávací činnost (činnost 106) podle počtu doktorandů (studujících standardní dobu studia + 1 rok = SDS+1) na rok 2022</t>
  </si>
  <si>
    <t>I pro rok 2022 zůstává beze změny</t>
  </si>
  <si>
    <t>zkopírováno z tabulky od SO-DSP (DOKTORANDI_FM_REK_ROZPOČET_2022_SK.xlsx)</t>
  </si>
  <si>
    <t>23.5.</t>
  </si>
  <si>
    <t>oprava poštů doktorandů</t>
  </si>
  <si>
    <t>úprava procent MOT</t>
  </si>
  <si>
    <t>koeficienty platné i pro rok 2022</t>
  </si>
  <si>
    <t>měsíčně</t>
  </si>
  <si>
    <t>ročně</t>
  </si>
  <si>
    <t>31.5.</t>
  </si>
  <si>
    <t>rozpočítání publ.stip na CXI/NTI/FP</t>
  </si>
  <si>
    <t>Schváleno Akademickým senátem FMIMS dne 30. 5. 2022</t>
  </si>
  <si>
    <t>přeúčtování 117</t>
  </si>
  <si>
    <t>převody 106</t>
  </si>
  <si>
    <t>FP</t>
  </si>
  <si>
    <t>ze dne 24. 05. 2022</t>
  </si>
  <si>
    <t>DFM (Rozpočtová úprava na FP a CXI)</t>
  </si>
  <si>
    <t>ř. 32</t>
  </si>
  <si>
    <t>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</si>
</sst>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#,##0.00\ &quot;Kč&quot;;\-#,##0.00\ &quot;Kč&quot;"/>
    <numFmt numFmtId="44" formatCode="_-* #,##0.00\ &quot;Kč&quot;_-;\-* #,##0.00\ &quot;Kč&quot;_-;_-* &quot;-&quot;??\ &quot;Kč&quot;_-;_-@_-"/>
    <numFmt numFmtId="164" formatCode="_-* #,##0.00\ _K_č_-;\-* #,##0.00\ _K_č_-;_-* &quot;-&quot;??\ _K_č_-;_-@_-"/>
    <numFmt numFmtId="165" formatCode="#,##0.0000"/>
    <numFmt numFmtId="166" formatCode="0.000"/>
    <numFmt numFmtId="167" formatCode="0.0%"/>
    <numFmt numFmtId="168" formatCode="0.000%"/>
    <numFmt numFmtId="169" formatCode="#,##0.00_ ;\-#,##0.00\ "/>
    <numFmt numFmtId="170" formatCode="_-* #,##0.000\ &quot;Kč&quot;_-;\-* #,##0.000\ &quot;Kč&quot;_-;_-* &quot;-&quot;??\ &quot;Kč&quot;_-;_-@_-"/>
    <numFmt numFmtId="171" formatCode="_-* #,##0.000\ &quot;Kč&quot;_-;\-* #,##0.000\ &quot;Kč&quot;_-;_-* &quot;-&quot;???\ &quot;Kč&quot;_-;_-@_-"/>
    <numFmt numFmtId="172" formatCode="_-* #,##0\ &quot;Kč&quot;_-;\-* #,##0\ &quot;Kč&quot;_-;_-* &quot;-&quot;???\ &quot;Kč&quot;_-;_-@_-"/>
    <numFmt numFmtId="173" formatCode="_-* #,##0\ &quot;Kč&quot;_-;\-* #,##0\ &quot;Kč&quot;_-;_-* &quot;-&quot;??\ &quot;Kč&quot;_-;_-@_-"/>
  </numFmts>
  <fonts count="118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i/>
      <sz val="10"/>
      <name val="Arial CE"/>
      <charset val="238"/>
    </font>
    <font>
      <sz val="10"/>
      <name val="Arial CE"/>
      <charset val="238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4"/>
      <name val="Times New Roman"/>
      <family val="1"/>
      <charset val="238"/>
    </font>
    <font>
      <b/>
      <sz val="12"/>
      <color indexed="10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  <font>
      <sz val="11"/>
      <color indexed="12"/>
      <name val="Times New Roman"/>
      <family val="1"/>
      <charset val="238"/>
    </font>
    <font>
      <sz val="12"/>
      <color indexed="10"/>
      <name val="Times New Roman"/>
      <family val="1"/>
      <charset val="238"/>
    </font>
    <font>
      <sz val="12"/>
      <color indexed="12"/>
      <name val="Times New Roman"/>
      <family val="1"/>
      <charset val="238"/>
    </font>
    <font>
      <b/>
      <sz val="12"/>
      <color indexed="12"/>
      <name val="Times New Roman"/>
      <family val="1"/>
      <charset val="238"/>
    </font>
    <font>
      <b/>
      <i/>
      <sz val="12"/>
      <name val="Times New Roman"/>
      <family val="1"/>
      <charset val="238"/>
    </font>
    <font>
      <b/>
      <sz val="12"/>
      <color indexed="9"/>
      <name val="Times New Roman"/>
      <family val="1"/>
      <charset val="238"/>
    </font>
    <font>
      <sz val="10"/>
      <name val="Times New Roman"/>
      <family val="1"/>
      <charset val="238"/>
    </font>
    <font>
      <b/>
      <sz val="13"/>
      <name val="Times New Roman"/>
      <family val="1"/>
      <charset val="238"/>
    </font>
    <font>
      <sz val="7"/>
      <name val="Times New Roman"/>
      <family val="1"/>
      <charset val="238"/>
    </font>
    <font>
      <sz val="13"/>
      <name val="Times New Roman"/>
      <family val="1"/>
      <charset val="238"/>
    </font>
    <font>
      <i/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0.5"/>
      <name val="Times New Roman"/>
      <family val="1"/>
      <charset val="238"/>
    </font>
    <font>
      <b/>
      <sz val="12"/>
      <color indexed="17"/>
      <name val="Times New Roman"/>
      <family val="1"/>
      <charset val="238"/>
    </font>
    <font>
      <b/>
      <sz val="12"/>
      <color indexed="61"/>
      <name val="Times New Roman"/>
      <family val="1"/>
      <charset val="238"/>
    </font>
    <font>
      <b/>
      <sz val="12"/>
      <color indexed="14"/>
      <name val="Times New Roman"/>
      <family val="1"/>
      <charset val="238"/>
    </font>
    <font>
      <b/>
      <sz val="12"/>
      <color indexed="50"/>
      <name val="Times New Roman"/>
      <family val="1"/>
      <charset val="238"/>
    </font>
    <font>
      <b/>
      <sz val="14"/>
      <color indexed="10"/>
      <name val="Times New Roman"/>
      <family val="1"/>
      <charset val="238"/>
    </font>
    <font>
      <b/>
      <sz val="12"/>
      <color indexed="48"/>
      <name val="Times New Roman"/>
      <family val="1"/>
      <charset val="238"/>
    </font>
    <font>
      <b/>
      <sz val="14"/>
      <color indexed="50"/>
      <name val="Times New Roman"/>
      <family val="1"/>
      <charset val="238"/>
    </font>
    <font>
      <i/>
      <sz val="7"/>
      <name val="Times New Roman"/>
      <family val="1"/>
      <charset val="238"/>
    </font>
    <font>
      <sz val="14"/>
      <color indexed="50"/>
      <name val="Times New Roman"/>
      <family val="1"/>
      <charset val="238"/>
    </font>
    <font>
      <sz val="11"/>
      <color indexed="48"/>
      <name val="Times New Roman"/>
      <family val="1"/>
      <charset val="238"/>
    </font>
    <font>
      <b/>
      <sz val="16"/>
      <name val="Times New Roman"/>
      <family val="1"/>
      <charset val="238"/>
    </font>
    <font>
      <b/>
      <sz val="14"/>
      <color indexed="14"/>
      <name val="Times New Roman"/>
      <family val="1"/>
      <charset val="238"/>
    </font>
    <font>
      <b/>
      <sz val="14"/>
      <color indexed="61"/>
      <name val="Times New Roman"/>
      <family val="1"/>
      <charset val="238"/>
    </font>
    <font>
      <i/>
      <sz val="10"/>
      <name val="Times New Roman"/>
      <family val="1"/>
      <charset val="238"/>
    </font>
    <font>
      <b/>
      <i/>
      <sz val="10"/>
      <name val="Times New Roman"/>
      <family val="1"/>
      <charset val="238"/>
    </font>
    <font>
      <b/>
      <i/>
      <sz val="14"/>
      <name val="Times New Roman"/>
      <family val="1"/>
      <charset val="238"/>
    </font>
    <font>
      <b/>
      <sz val="9"/>
      <name val="Times New Roman"/>
      <family val="1"/>
      <charset val="238"/>
    </font>
    <font>
      <sz val="9"/>
      <name val="Times New Roman"/>
      <family val="1"/>
      <charset val="238"/>
    </font>
    <font>
      <b/>
      <sz val="20"/>
      <name val="Times New Roman"/>
      <family val="1"/>
      <charset val="238"/>
    </font>
    <font>
      <sz val="10"/>
      <color indexed="61"/>
      <name val="Times New Roman"/>
      <family val="1"/>
      <charset val="238"/>
    </font>
    <font>
      <sz val="10"/>
      <name val="Times New Roman CE"/>
      <family val="1"/>
      <charset val="238"/>
    </font>
    <font>
      <b/>
      <sz val="11"/>
      <color indexed="9"/>
      <name val="Times New Roman CE"/>
      <family val="1"/>
      <charset val="238"/>
    </font>
    <font>
      <i/>
      <u/>
      <sz val="12"/>
      <name val="Times New Roman"/>
      <family val="1"/>
      <charset val="238"/>
    </font>
    <font>
      <i/>
      <sz val="10.5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Times New Roman"/>
      <family val="1"/>
      <charset val="238"/>
    </font>
    <font>
      <sz val="10"/>
      <color indexed="10"/>
      <name val="Times New Roman CE"/>
      <charset val="238"/>
    </font>
    <font>
      <sz val="11"/>
      <color theme="1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sz val="12"/>
      <color theme="9" tint="-0.249977111117893"/>
      <name val="Times New Roman"/>
      <family val="1"/>
      <charset val="238"/>
    </font>
    <font>
      <b/>
      <sz val="12"/>
      <color theme="0" tint="-0.34998626667073579"/>
      <name val="Times New Roman"/>
      <family val="1"/>
      <charset val="238"/>
    </font>
    <font>
      <sz val="12"/>
      <color theme="3" tint="0.39997558519241921"/>
      <name val="Times New Roman"/>
      <family val="1"/>
      <charset val="238"/>
    </font>
    <font>
      <sz val="14"/>
      <color theme="0" tint="-0.34998626667073579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00FF"/>
      <name val="Times New Roman"/>
      <family val="1"/>
      <charset val="238"/>
    </font>
    <font>
      <b/>
      <sz val="12"/>
      <color theme="3" tint="0.39997558519241921"/>
      <name val="Times New Roman"/>
      <family val="1"/>
      <charset val="238"/>
    </font>
    <font>
      <b/>
      <sz val="12"/>
      <color theme="9" tint="-0.249977111117893"/>
      <name val="Times New Roman"/>
      <family val="1"/>
      <charset val="238"/>
    </font>
    <font>
      <b/>
      <sz val="14"/>
      <color theme="0"/>
      <name val="Times New Roman"/>
      <family val="1"/>
      <charset val="238"/>
    </font>
    <font>
      <sz val="12"/>
      <color theme="5" tint="-0.249977111117893"/>
      <name val="Times New Roman"/>
      <family val="1"/>
      <charset val="238"/>
    </font>
    <font>
      <b/>
      <sz val="14"/>
      <color theme="6" tint="-0.249977111117893"/>
      <name val="Times New Roman"/>
      <family val="1"/>
      <charset val="238"/>
    </font>
    <font>
      <b/>
      <sz val="14"/>
      <color theme="3" tint="0.39997558519241921"/>
      <name val="Times New Roman"/>
      <family val="1"/>
      <charset val="238"/>
    </font>
    <font>
      <b/>
      <sz val="12"/>
      <color theme="0"/>
      <name val="Times New Roman"/>
      <family val="1"/>
      <charset val="238"/>
    </font>
    <font>
      <sz val="12"/>
      <color theme="0"/>
      <name val="Times New Roman"/>
      <family val="1"/>
      <charset val="238"/>
    </font>
    <font>
      <sz val="12"/>
      <color theme="1"/>
      <name val="Times New Roman"/>
      <family val="1"/>
      <charset val="238"/>
    </font>
    <font>
      <i/>
      <sz val="10"/>
      <color theme="0" tint="-0.34998626667073579"/>
      <name val="Times New Roman"/>
      <family val="1"/>
      <charset val="238"/>
    </font>
    <font>
      <sz val="10"/>
      <color theme="0"/>
      <name val="Times New Roman"/>
      <family val="1"/>
      <charset val="238"/>
    </font>
    <font>
      <b/>
      <sz val="13"/>
      <color theme="0"/>
      <name val="Times New Roman"/>
      <family val="1"/>
      <charset val="238"/>
    </font>
    <font>
      <sz val="10"/>
      <color theme="3" tint="0.39997558519241921"/>
      <name val="Arial CE"/>
      <charset val="238"/>
    </font>
    <font>
      <b/>
      <sz val="12"/>
      <color theme="0" tint="-0.499984740745262"/>
      <name val="Times New Roman"/>
      <family val="1"/>
      <charset val="238"/>
    </font>
    <font>
      <sz val="12"/>
      <color theme="0" tint="-0.499984740745262"/>
      <name val="Times New Roman"/>
      <family val="1"/>
      <charset val="238"/>
    </font>
    <font>
      <sz val="10"/>
      <color theme="3" tint="0.39997558519241921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b/>
      <sz val="12"/>
      <color rgb="FF0000FF"/>
      <name val="Times New Roman"/>
      <family val="1"/>
      <charset val="238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0" tint="-0.499984740745262"/>
      <name val="Times New Roman"/>
      <family val="1"/>
      <charset val="238"/>
    </font>
    <font>
      <sz val="10"/>
      <color theme="5" tint="0.39997558519241921"/>
      <name val="Times New Roman"/>
      <family val="1"/>
      <charset val="238"/>
    </font>
    <font>
      <b/>
      <sz val="12"/>
      <color theme="4" tint="-0.249977111117893"/>
      <name val="Times New Roman"/>
      <family val="1"/>
      <charset val="238"/>
    </font>
    <font>
      <b/>
      <sz val="12"/>
      <color rgb="FF00B050"/>
      <name val="Times New Roman"/>
      <family val="1"/>
      <charset val="238"/>
    </font>
    <font>
      <sz val="12"/>
      <color theme="4" tint="0.3999755851924192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sz val="10"/>
      <color rgb="FF0000FF"/>
      <name val="Times New Roman"/>
      <family val="1"/>
      <charset val="238"/>
    </font>
    <font>
      <b/>
      <sz val="10"/>
      <color theme="0" tint="-0.499984740745262"/>
      <name val="Times New Roman"/>
      <family val="1"/>
      <charset val="238"/>
    </font>
    <font>
      <sz val="11"/>
      <color theme="0" tint="-0.499984740745262"/>
      <name val="Times New Roman"/>
      <family val="1"/>
      <charset val="238"/>
    </font>
    <font>
      <sz val="11"/>
      <color theme="0" tint="-0.14999847407452621"/>
      <name val="Times New Roman"/>
      <family val="1"/>
      <charset val="238"/>
    </font>
    <font>
      <b/>
      <sz val="14"/>
      <color theme="0" tint="-0.499984740745262"/>
      <name val="Times New Roman"/>
      <family val="1"/>
      <charset val="238"/>
    </font>
    <font>
      <sz val="14"/>
      <color theme="0" tint="-0.499984740745262"/>
      <name val="Times New Roman"/>
      <family val="1"/>
      <charset val="238"/>
    </font>
    <font>
      <sz val="12"/>
      <color theme="5" tint="0.39997558519241921"/>
      <name val="Times New Roman"/>
      <family val="1"/>
      <charset val="238"/>
    </font>
    <font>
      <sz val="9"/>
      <color theme="9" tint="-0.249977111117893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8" tint="0.39997558519241921"/>
      <name val="Times New Roman"/>
      <family val="1"/>
      <charset val="238"/>
    </font>
    <font>
      <b/>
      <sz val="12"/>
      <color theme="8" tint="0.39997558519241921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i/>
      <sz val="12"/>
      <color theme="0" tint="-0.499984740745262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2"/>
      <color theme="0" tint="-4.9989318521683403E-2"/>
      <name val="Times New Roman"/>
      <family val="1"/>
      <charset val="238"/>
    </font>
    <font>
      <u/>
      <sz val="10"/>
      <name val="Times New Roman"/>
      <family val="1"/>
      <charset val="238"/>
    </font>
    <font>
      <b/>
      <sz val="10"/>
      <name val="Arial CE"/>
      <charset val="238"/>
    </font>
    <font>
      <sz val="12"/>
      <color theme="9"/>
      <name val="Times New Roman"/>
      <family val="1"/>
      <charset val="238"/>
    </font>
    <font>
      <sz val="11"/>
      <color theme="0" tint="-0.249977111117893"/>
      <name val="Times New Roman"/>
      <family val="1"/>
      <charset val="238"/>
    </font>
    <font>
      <sz val="12"/>
      <color theme="0" tint="-0.249977111117893"/>
      <name val="Times New Roman"/>
      <family val="1"/>
      <charset val="238"/>
    </font>
    <font>
      <b/>
      <sz val="10"/>
      <name val="Arial"/>
      <family val="2"/>
      <charset val="238"/>
    </font>
    <font>
      <sz val="10"/>
      <color rgb="FFFF0000"/>
      <name val="Arial CE"/>
      <charset val="238"/>
    </font>
    <font>
      <sz val="12"/>
      <color rgb="FFFF00FF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1"/>
      <color theme="3" tint="0.39997558519241921"/>
      <name val="Times New Roman"/>
      <family val="1"/>
      <charset val="238"/>
    </font>
    <font>
      <sz val="9"/>
      <color rgb="FFFF0000"/>
      <name val="Times New Roman"/>
      <family val="1"/>
      <charset val="238"/>
    </font>
    <font>
      <b/>
      <sz val="8"/>
      <name val="Times New Roman CE"/>
      <family val="1"/>
      <charset val="238"/>
    </font>
    <font>
      <sz val="10"/>
      <color rgb="FF0070C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sz val="10"/>
      <color theme="4" tint="0.39997558519241921"/>
      <name val="Arial CE"/>
      <charset val="238"/>
    </font>
  </fonts>
  <fills count="4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0CED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6A3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2" fillId="0" borderId="0"/>
    <xf numFmtId="0" fontId="52" fillId="0" borderId="0"/>
    <xf numFmtId="0" fontId="3" fillId="7" borderId="46" applyNumberFormat="0" applyFont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3" fillId="8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16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/>
    <xf numFmtId="0" fontId="5" fillId="0" borderId="0" xfId="0" applyFont="1" applyAlignment="1">
      <alignment horizontal="right"/>
    </xf>
    <xf numFmtId="0" fontId="10" fillId="0" borderId="0" xfId="0" applyFont="1" applyFill="1"/>
    <xf numFmtId="0" fontId="10" fillId="0" borderId="0" xfId="0" applyFont="1"/>
    <xf numFmtId="0" fontId="12" fillId="0" borderId="0" xfId="0" applyFont="1" applyAlignment="1">
      <alignment horizontal="center"/>
    </xf>
    <xf numFmtId="0" fontId="5" fillId="0" borderId="0" xfId="0" applyFont="1" applyFill="1"/>
    <xf numFmtId="3" fontId="13" fillId="0" borderId="0" xfId="0" applyNumberFormat="1" applyFont="1" applyFill="1" applyBorder="1" applyAlignment="1">
      <alignment horizontal="center"/>
    </xf>
    <xf numFmtId="3" fontId="13" fillId="0" borderId="0" xfId="0" applyNumberFormat="1" applyFont="1" applyFill="1" applyBorder="1"/>
    <xf numFmtId="3" fontId="4" fillId="0" borderId="0" xfId="0" applyNumberFormat="1" applyFont="1" applyFill="1"/>
    <xf numFmtId="3" fontId="14" fillId="0" borderId="0" xfId="0" applyNumberFormat="1" applyFont="1" applyFill="1" applyBorder="1"/>
    <xf numFmtId="3" fontId="13" fillId="0" borderId="0" xfId="0" applyNumberFormat="1" applyFont="1" applyBorder="1"/>
    <xf numFmtId="0" fontId="12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5" fillId="0" borderId="0" xfId="0" applyNumberFormat="1" applyFont="1" applyFill="1" applyBorder="1" applyAlignment="1">
      <alignment horizontal="right"/>
    </xf>
    <xf numFmtId="0" fontId="15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4" fontId="4" fillId="0" borderId="0" xfId="0" applyNumberFormat="1" applyFont="1"/>
    <xf numFmtId="4" fontId="5" fillId="0" borderId="0" xfId="0" applyNumberFormat="1" applyFont="1"/>
    <xf numFmtId="4" fontId="5" fillId="0" borderId="2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/>
    <xf numFmtId="0" fontId="5" fillId="0" borderId="1" xfId="0" applyFont="1" applyBorder="1" applyAlignment="1">
      <alignment horizontal="right"/>
    </xf>
    <xf numFmtId="0" fontId="5" fillId="0" borderId="0" xfId="0" applyFont="1" applyFill="1" applyBorder="1"/>
    <xf numFmtId="0" fontId="5" fillId="0" borderId="3" xfId="0" applyFont="1" applyBorder="1" applyAlignment="1">
      <alignment horizontal="right"/>
    </xf>
    <xf numFmtId="0" fontId="4" fillId="0" borderId="0" xfId="0" applyFont="1" applyBorder="1"/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54" fillId="0" borderId="0" xfId="0" applyFont="1"/>
    <xf numFmtId="0" fontId="7" fillId="0" borderId="0" xfId="0" applyFont="1" applyFill="1" applyBorder="1"/>
    <xf numFmtId="3" fontId="6" fillId="0" borderId="2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0" fontId="20" fillId="0" borderId="0" xfId="0" applyFont="1"/>
    <xf numFmtId="4" fontId="5" fillId="0" borderId="1" xfId="0" applyNumberFormat="1" applyFont="1" applyBorder="1" applyAlignment="1">
      <alignment horizontal="right"/>
    </xf>
    <xf numFmtId="49" fontId="4" fillId="0" borderId="0" xfId="0" applyNumberFormat="1" applyFont="1" applyFill="1" applyBorder="1"/>
    <xf numFmtId="0" fontId="16" fillId="0" borderId="0" xfId="0" applyFont="1" applyFill="1"/>
    <xf numFmtId="2" fontId="4" fillId="0" borderId="0" xfId="0" applyNumberFormat="1" applyFont="1"/>
    <xf numFmtId="1" fontId="4" fillId="0" borderId="0" xfId="0" applyNumberFormat="1" applyFont="1" applyFill="1" applyBorder="1" applyAlignment="1">
      <alignment horizontal="center"/>
    </xf>
    <xf numFmtId="4" fontId="56" fillId="0" borderId="0" xfId="0" applyNumberFormat="1" applyFont="1"/>
    <xf numFmtId="4" fontId="57" fillId="0" borderId="0" xfId="0" applyNumberFormat="1" applyFont="1"/>
    <xf numFmtId="4" fontId="55" fillId="0" borderId="0" xfId="0" applyNumberFormat="1" applyFont="1" applyFill="1" applyAlignment="1">
      <alignment horizontal="center"/>
    </xf>
    <xf numFmtId="4" fontId="4" fillId="0" borderId="0" xfId="0" applyNumberFormat="1" applyFont="1" applyFill="1" applyBorder="1"/>
    <xf numFmtId="3" fontId="6" fillId="9" borderId="2" xfId="0" applyNumberFormat="1" applyFont="1" applyFill="1" applyBorder="1"/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7" fillId="0" borderId="0" xfId="0" applyNumberFormat="1" applyFont="1" applyFill="1" applyAlignment="1">
      <alignment horizontal="right"/>
    </xf>
    <xf numFmtId="0" fontId="7" fillId="0" borderId="0" xfId="0" applyFont="1" applyFill="1"/>
    <xf numFmtId="3" fontId="5" fillId="0" borderId="0" xfId="0" applyNumberFormat="1" applyFont="1" applyBorder="1" applyAlignment="1">
      <alignment horizontal="center"/>
    </xf>
    <xf numFmtId="0" fontId="17" fillId="0" borderId="0" xfId="0" applyFont="1" applyBorder="1"/>
    <xf numFmtId="3" fontId="6" fillId="0" borderId="0" xfId="0" applyNumberFormat="1" applyFont="1" applyFill="1" applyBorder="1" applyAlignment="1"/>
    <xf numFmtId="3" fontId="6" fillId="0" borderId="0" xfId="0" applyNumberFormat="1" applyFont="1" applyBorder="1" applyAlignment="1"/>
    <xf numFmtId="0" fontId="6" fillId="0" borderId="0" xfId="0" applyFont="1" applyFill="1"/>
    <xf numFmtId="0" fontId="5" fillId="0" borderId="0" xfId="0" applyFont="1" applyFill="1" applyAlignment="1">
      <alignment horizontal="center"/>
    </xf>
    <xf numFmtId="4" fontId="5" fillId="0" borderId="0" xfId="0" applyNumberFormat="1" applyFont="1" applyFill="1" applyAlignment="1">
      <alignment horizontal="center" wrapText="1"/>
    </xf>
    <xf numFmtId="0" fontId="23" fillId="0" borderId="0" xfId="0" applyFont="1" applyAlignment="1">
      <alignment horizontal="right"/>
    </xf>
    <xf numFmtId="4" fontId="7" fillId="0" borderId="0" xfId="0" applyNumberFormat="1" applyFont="1" applyBorder="1" applyAlignment="1">
      <alignment horizontal="right"/>
    </xf>
    <xf numFmtId="3" fontId="4" fillId="0" borderId="0" xfId="0" applyNumberFormat="1" applyFont="1" applyFill="1" applyBorder="1" applyAlignment="1" applyProtection="1"/>
    <xf numFmtId="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16" fillId="0" borderId="0" xfId="0" applyFont="1" applyFill="1" applyBorder="1"/>
    <xf numFmtId="4" fontId="57" fillId="0" borderId="0" xfId="0" applyNumberFormat="1" applyFont="1" applyFill="1" applyBorder="1"/>
    <xf numFmtId="3" fontId="9" fillId="0" borderId="0" xfId="0" applyNumberFormat="1" applyFont="1" applyBorder="1" applyAlignment="1">
      <alignment horizontal="center" wrapText="1"/>
    </xf>
    <xf numFmtId="4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3" fontId="7" fillId="0" borderId="0" xfId="0" applyNumberFormat="1" applyFont="1"/>
    <xf numFmtId="3" fontId="58" fillId="0" borderId="0" xfId="0" applyNumberFormat="1" applyFont="1" applyFill="1" applyAlignment="1">
      <alignment horizontal="right"/>
    </xf>
    <xf numFmtId="0" fontId="58" fillId="0" borderId="0" xfId="0" applyFont="1" applyFill="1"/>
    <xf numFmtId="3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9" fontId="5" fillId="0" borderId="0" xfId="0" applyNumberFormat="1" applyFont="1" applyFill="1" applyBorder="1" applyAlignment="1">
      <alignment horizontal="center" wrapText="1"/>
    </xf>
    <xf numFmtId="4" fontId="7" fillId="0" borderId="0" xfId="6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9" fontId="6" fillId="0" borderId="0" xfId="6" applyFont="1" applyFill="1"/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/>
    <xf numFmtId="0" fontId="21" fillId="0" borderId="0" xfId="0" applyFont="1" applyFill="1"/>
    <xf numFmtId="4" fontId="59" fillId="0" borderId="0" xfId="0" applyNumberFormat="1" applyFont="1" applyFill="1" applyAlignment="1">
      <alignment horizontal="left"/>
    </xf>
    <xf numFmtId="2" fontId="4" fillId="0" borderId="0" xfId="0" applyNumberFormat="1" applyFont="1" applyFill="1" applyBorder="1" applyAlignment="1">
      <alignment horizontal="center"/>
    </xf>
    <xf numFmtId="9" fontId="4" fillId="0" borderId="0" xfId="6" applyFont="1"/>
    <xf numFmtId="4" fontId="4" fillId="0" borderId="0" xfId="0" applyNumberFormat="1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4" fontId="5" fillId="0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13" fillId="0" borderId="0" xfId="0" applyFont="1" applyFill="1"/>
    <xf numFmtId="4" fontId="5" fillId="3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right"/>
    </xf>
    <xf numFmtId="0" fontId="24" fillId="0" borderId="1" xfId="0" applyFont="1" applyFill="1" applyBorder="1"/>
    <xf numFmtId="0" fontId="5" fillId="0" borderId="1" xfId="0" applyFont="1" applyFill="1" applyBorder="1" applyAlignment="1">
      <alignment horizontal="center" wrapText="1"/>
    </xf>
    <xf numFmtId="3" fontId="5" fillId="0" borderId="1" xfId="0" applyNumberFormat="1" applyFont="1" applyFill="1" applyBorder="1" applyAlignment="1">
      <alignment horizontal="center" wrapText="1"/>
    </xf>
    <xf numFmtId="49" fontId="25" fillId="0" borderId="1" xfId="0" applyNumberFormat="1" applyFont="1" applyFill="1" applyBorder="1" applyAlignment="1">
      <alignment horizontal="center" wrapText="1"/>
    </xf>
    <xf numFmtId="4" fontId="5" fillId="0" borderId="1" xfId="0" applyNumberFormat="1" applyFont="1" applyFill="1" applyBorder="1" applyAlignment="1">
      <alignment horizontal="center" wrapText="1"/>
    </xf>
    <xf numFmtId="3" fontId="5" fillId="0" borderId="0" xfId="0" applyNumberFormat="1" applyFont="1" applyFill="1" applyAlignment="1">
      <alignment horizontal="center" wrapText="1"/>
    </xf>
    <xf numFmtId="4" fontId="4" fillId="2" borderId="0" xfId="0" applyNumberFormat="1" applyFont="1" applyFill="1" applyAlignment="1">
      <alignment horizontal="center"/>
    </xf>
    <xf numFmtId="4" fontId="5" fillId="0" borderId="2" xfId="0" applyNumberFormat="1" applyFont="1" applyFill="1" applyBorder="1" applyAlignment="1">
      <alignment horizontal="center"/>
    </xf>
    <xf numFmtId="0" fontId="14" fillId="0" borderId="0" xfId="0" applyFont="1" applyFill="1"/>
    <xf numFmtId="1" fontId="4" fillId="0" borderId="0" xfId="0" applyNumberFormat="1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4" fontId="4" fillId="0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/>
    </xf>
    <xf numFmtId="0" fontId="60" fillId="0" borderId="0" xfId="0" applyFont="1" applyFill="1"/>
    <xf numFmtId="2" fontId="4" fillId="0" borderId="0" xfId="0" applyNumberFormat="1" applyFont="1" applyFill="1" applyAlignment="1">
      <alignment horizontal="center"/>
    </xf>
    <xf numFmtId="0" fontId="4" fillId="0" borderId="0" xfId="8" applyFont="1" applyFill="1" applyAlignment="1">
      <alignment horizontal="center"/>
    </xf>
    <xf numFmtId="3" fontId="4" fillId="0" borderId="0" xfId="8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3" fontId="4" fillId="0" borderId="0" xfId="0" applyNumberFormat="1" applyFont="1" applyFill="1" applyBorder="1"/>
    <xf numFmtId="4" fontId="5" fillId="0" borderId="0" xfId="0" applyNumberFormat="1" applyFont="1" applyFill="1" applyBorder="1"/>
    <xf numFmtId="3" fontId="21" fillId="0" borderId="0" xfId="0" applyNumberFormat="1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4" fontId="4" fillId="0" borderId="4" xfId="0" applyNumberFormat="1" applyFont="1" applyFill="1" applyBorder="1" applyAlignment="1">
      <alignment horizontal="center"/>
    </xf>
    <xf numFmtId="4" fontId="4" fillId="0" borderId="6" xfId="0" applyNumberFormat="1" applyFont="1" applyFill="1" applyBorder="1" applyAlignment="1">
      <alignment horizontal="center"/>
    </xf>
    <xf numFmtId="4" fontId="4" fillId="0" borderId="4" xfId="0" applyNumberFormat="1" applyFont="1" applyFill="1" applyBorder="1" applyAlignment="1">
      <alignment horizontal="right"/>
    </xf>
    <xf numFmtId="4" fontId="5" fillId="0" borderId="5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horizontal="right"/>
    </xf>
    <xf numFmtId="2" fontId="4" fillId="0" borderId="7" xfId="0" applyNumberFormat="1" applyFont="1" applyBorder="1"/>
    <xf numFmtId="4" fontId="4" fillId="0" borderId="8" xfId="0" applyNumberFormat="1" applyFont="1" applyFill="1" applyBorder="1" applyAlignment="1">
      <alignment horizontal="right"/>
    </xf>
    <xf numFmtId="3" fontId="5" fillId="0" borderId="9" xfId="0" applyNumberFormat="1" applyFont="1" applyFill="1" applyBorder="1" applyAlignment="1">
      <alignment horizontal="right"/>
    </xf>
    <xf numFmtId="2" fontId="4" fillId="0" borderId="10" xfId="0" applyNumberFormat="1" applyFont="1" applyBorder="1"/>
    <xf numFmtId="4" fontId="5" fillId="0" borderId="2" xfId="0" applyNumberFormat="1" applyFont="1" applyFill="1" applyBorder="1" applyAlignment="1">
      <alignment horizontal="right"/>
    </xf>
    <xf numFmtId="3" fontId="26" fillId="0" borderId="2" xfId="0" applyNumberFormat="1" applyFont="1" applyFill="1" applyBorder="1" applyAlignment="1">
      <alignment horizontal="right"/>
    </xf>
    <xf numFmtId="3" fontId="61" fillId="0" borderId="2" xfId="0" applyNumberFormat="1" applyFont="1" applyFill="1" applyBorder="1" applyAlignment="1">
      <alignment horizontal="right"/>
    </xf>
    <xf numFmtId="3" fontId="27" fillId="0" borderId="11" xfId="0" applyNumberFormat="1" applyFont="1" applyFill="1" applyBorder="1" applyAlignment="1">
      <alignment horizontal="right"/>
    </xf>
    <xf numFmtId="3" fontId="8" fillId="0" borderId="2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27" fillId="0" borderId="0" xfId="0" applyNumberFormat="1" applyFont="1" applyFill="1" applyAlignment="1">
      <alignment horizontal="right"/>
    </xf>
    <xf numFmtId="3" fontId="26" fillId="0" borderId="0" xfId="0" applyNumberFormat="1" applyFont="1" applyFill="1" applyAlignment="1">
      <alignment horizontal="right"/>
    </xf>
    <xf numFmtId="0" fontId="59" fillId="0" borderId="0" xfId="0" applyFont="1" applyAlignment="1">
      <alignment horizontal="center"/>
    </xf>
    <xf numFmtId="0" fontId="10" fillId="0" borderId="0" xfId="0" applyFont="1" applyFill="1" applyAlignment="1">
      <alignment horizontal="left"/>
    </xf>
    <xf numFmtId="3" fontId="11" fillId="0" borderId="0" xfId="0" applyNumberFormat="1" applyFont="1" applyFill="1" applyBorder="1"/>
    <xf numFmtId="0" fontId="62" fillId="0" borderId="0" xfId="0" applyFont="1"/>
    <xf numFmtId="1" fontId="4" fillId="0" borderId="0" xfId="0" applyNumberFormat="1" applyFont="1" applyAlignment="1">
      <alignment horizontal="center"/>
    </xf>
    <xf numFmtId="3" fontId="5" fillId="11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" fontId="5" fillId="3" borderId="0" xfId="0" applyNumberFormat="1" applyFont="1" applyFill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4" fillId="3" borderId="12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4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right"/>
    </xf>
    <xf numFmtId="9" fontId="4" fillId="0" borderId="0" xfId="6" applyFont="1" applyAlignment="1">
      <alignment horizontal="center"/>
    </xf>
    <xf numFmtId="0" fontId="4" fillId="12" borderId="0" xfId="0" applyFont="1" applyFill="1" applyAlignment="1">
      <alignment horizontal="center"/>
    </xf>
    <xf numFmtId="2" fontId="5" fillId="0" borderId="1" xfId="0" applyNumberFormat="1" applyFont="1" applyBorder="1" applyAlignment="1">
      <alignment horizontal="center"/>
    </xf>
    <xf numFmtId="46" fontId="5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0" fontId="4" fillId="13" borderId="0" xfId="0" applyFont="1" applyFill="1"/>
    <xf numFmtId="0" fontId="4" fillId="13" borderId="0" xfId="0" applyFont="1" applyFill="1" applyAlignment="1">
      <alignment horizontal="right"/>
    </xf>
    <xf numFmtId="44" fontId="4" fillId="0" borderId="0" xfId="0" applyNumberFormat="1" applyFont="1"/>
    <xf numFmtId="4" fontId="4" fillId="0" borderId="0" xfId="0" applyNumberFormat="1" applyFont="1" applyAlignment="1">
      <alignment horizontal="right"/>
    </xf>
    <xf numFmtId="44" fontId="17" fillId="0" borderId="0" xfId="0" applyNumberFormat="1" applyFont="1"/>
    <xf numFmtId="3" fontId="5" fillId="0" borderId="0" xfId="0" applyNumberFormat="1" applyFont="1" applyAlignment="1">
      <alignment horizontal="right"/>
    </xf>
    <xf numFmtId="3" fontId="5" fillId="14" borderId="2" xfId="0" applyNumberFormat="1" applyFont="1" applyFill="1" applyBorder="1" applyAlignment="1">
      <alignment horizontal="right"/>
    </xf>
    <xf numFmtId="3" fontId="5" fillId="15" borderId="2" xfId="0" applyNumberFormat="1" applyFont="1" applyFill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30" fillId="0" borderId="1" xfId="0" applyNumberFormat="1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3" fontId="32" fillId="0" borderId="15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4" fillId="0" borderId="16" xfId="0" applyFont="1" applyBorder="1" applyAlignment="1">
      <alignment horizontal="right"/>
    </xf>
    <xf numFmtId="3" fontId="32" fillId="0" borderId="17" xfId="0" applyNumberFormat="1" applyFont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17" fillId="0" borderId="18" xfId="0" applyFont="1" applyBorder="1" applyAlignment="1">
      <alignment horizontal="center"/>
    </xf>
    <xf numFmtId="3" fontId="30" fillId="0" borderId="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3" fontId="6" fillId="0" borderId="2" xfId="0" applyNumberFormat="1" applyFont="1" applyBorder="1" applyAlignment="1">
      <alignment horizontal="right"/>
    </xf>
    <xf numFmtId="10" fontId="4" fillId="0" borderId="0" xfId="0" applyNumberFormat="1" applyFont="1"/>
    <xf numFmtId="3" fontId="30" fillId="0" borderId="2" xfId="0" applyNumberFormat="1" applyFont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59" fillId="0" borderId="0" xfId="0" applyFont="1"/>
    <xf numFmtId="0" fontId="7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right"/>
    </xf>
    <xf numFmtId="3" fontId="6" fillId="11" borderId="2" xfId="0" applyNumberFormat="1" applyFont="1" applyFill="1" applyBorder="1" applyAlignment="1">
      <alignment horizontal="right"/>
    </xf>
    <xf numFmtId="44" fontId="4" fillId="2" borderId="0" xfId="2" applyFont="1" applyFill="1" applyBorder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/>
    </xf>
    <xf numFmtId="3" fontId="6" fillId="0" borderId="3" xfId="0" applyNumberFormat="1" applyFont="1" applyBorder="1" applyAlignment="1">
      <alignment horizontal="center"/>
    </xf>
    <xf numFmtId="0" fontId="63" fillId="0" borderId="0" xfId="0" applyFont="1" applyFill="1"/>
    <xf numFmtId="0" fontId="5" fillId="0" borderId="0" xfId="0" applyFont="1" applyAlignment="1">
      <alignment horizontal="center" vertical="center" wrapText="1"/>
    </xf>
    <xf numFmtId="4" fontId="55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center" wrapText="1"/>
    </xf>
    <xf numFmtId="0" fontId="5" fillId="0" borderId="1" xfId="0" applyFont="1" applyFill="1" applyBorder="1"/>
    <xf numFmtId="4" fontId="4" fillId="13" borderId="1" xfId="0" applyNumberFormat="1" applyFont="1" applyFill="1" applyBorder="1"/>
    <xf numFmtId="0" fontId="4" fillId="0" borderId="1" xfId="0" applyFont="1" applyFill="1" applyBorder="1"/>
    <xf numFmtId="4" fontId="5" fillId="13" borderId="1" xfId="0" applyNumberFormat="1" applyFont="1" applyFill="1" applyBorder="1"/>
    <xf numFmtId="0" fontId="64" fillId="0" borderId="0" xfId="0" applyFont="1"/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3" fontId="4" fillId="0" borderId="0" xfId="0" applyNumberFormat="1" applyFont="1" applyBorder="1"/>
    <xf numFmtId="3" fontId="65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5" fillId="12" borderId="1" xfId="0" applyNumberFormat="1" applyFont="1" applyFill="1" applyBorder="1"/>
    <xf numFmtId="4" fontId="56" fillId="0" borderId="0" xfId="0" applyNumberFormat="1" applyFont="1" applyFill="1" applyBorder="1" applyAlignment="1">
      <alignment horizontal="right"/>
    </xf>
    <xf numFmtId="169" fontId="4" fillId="0" borderId="0" xfId="0" applyNumberFormat="1" applyFont="1"/>
    <xf numFmtId="44" fontId="5" fillId="13" borderId="0" xfId="2" applyFont="1" applyFill="1" applyAlignment="1">
      <alignment horizontal="right"/>
    </xf>
    <xf numFmtId="44" fontId="5" fillId="0" borderId="0" xfId="0" applyNumberFormat="1" applyFont="1"/>
    <xf numFmtId="3" fontId="4" fillId="0" borderId="0" xfId="0" applyNumberFormat="1" applyFont="1" applyFill="1" applyAlignment="1"/>
    <xf numFmtId="0" fontId="4" fillId="18" borderId="0" xfId="0" applyFont="1" applyFill="1" applyAlignment="1">
      <alignment horizontal="right"/>
    </xf>
    <xf numFmtId="3" fontId="5" fillId="0" borderId="1" xfId="0" applyNumberFormat="1" applyFont="1" applyBorder="1"/>
    <xf numFmtId="0" fontId="34" fillId="0" borderId="0" xfId="0" applyFont="1"/>
    <xf numFmtId="0" fontId="6" fillId="0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center" wrapText="1"/>
    </xf>
    <xf numFmtId="4" fontId="7" fillId="0" borderId="1" xfId="0" applyNumberFormat="1" applyFont="1" applyFill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35" fillId="0" borderId="2" xfId="0" applyNumberFormat="1" applyFont="1" applyFill="1" applyBorder="1" applyAlignment="1">
      <alignment horizontal="right"/>
    </xf>
    <xf numFmtId="4" fontId="7" fillId="0" borderId="2" xfId="0" applyNumberFormat="1" applyFont="1" applyFill="1" applyBorder="1" applyAlignment="1">
      <alignment horizontal="right"/>
    </xf>
    <xf numFmtId="3" fontId="66" fillId="0" borderId="2" xfId="0" applyNumberFormat="1" applyFont="1" applyFill="1" applyBorder="1" applyAlignment="1">
      <alignment horizontal="right"/>
    </xf>
    <xf numFmtId="3" fontId="30" fillId="0" borderId="11" xfId="0" applyNumberFormat="1" applyFont="1" applyFill="1" applyBorder="1" applyAlignment="1">
      <alignment horizontal="right"/>
    </xf>
    <xf numFmtId="3" fontId="28" fillId="0" borderId="2" xfId="0" applyNumberFormat="1" applyFont="1" applyFill="1" applyBorder="1" applyAlignment="1">
      <alignment horizontal="right"/>
    </xf>
    <xf numFmtId="3" fontId="6" fillId="19" borderId="2" xfId="0" applyNumberFormat="1" applyFont="1" applyFill="1" applyBorder="1" applyAlignment="1">
      <alignment horizontal="right"/>
    </xf>
    <xf numFmtId="3" fontId="6" fillId="20" borderId="2" xfId="0" applyNumberFormat="1" applyFont="1" applyFill="1" applyBorder="1" applyAlignment="1">
      <alignment horizontal="right"/>
    </xf>
    <xf numFmtId="3" fontId="6" fillId="14" borderId="2" xfId="0" applyNumberFormat="1" applyFont="1" applyFill="1" applyBorder="1" applyAlignment="1">
      <alignment horizontal="right"/>
    </xf>
    <xf numFmtId="3" fontId="62" fillId="0" borderId="0" xfId="0" applyNumberFormat="1" applyFont="1" applyBorder="1" applyAlignment="1">
      <alignment horizontal="right"/>
    </xf>
    <xf numFmtId="3" fontId="4" fillId="0" borderId="13" xfId="0" applyNumberFormat="1" applyFont="1" applyFill="1" applyBorder="1" applyAlignment="1"/>
    <xf numFmtId="3" fontId="56" fillId="0" borderId="0" xfId="0" applyNumberFormat="1" applyFont="1"/>
    <xf numFmtId="0" fontId="5" fillId="0" borderId="3" xfId="0" applyFont="1" applyFill="1" applyBorder="1" applyAlignment="1">
      <alignment horizontal="center" wrapText="1"/>
    </xf>
    <xf numFmtId="0" fontId="5" fillId="0" borderId="19" xfId="0" applyFont="1" applyFill="1" applyBorder="1" applyAlignment="1">
      <alignment horizontal="center" wrapText="1"/>
    </xf>
    <xf numFmtId="3" fontId="4" fillId="0" borderId="3" xfId="0" applyNumberFormat="1" applyFont="1" applyBorder="1" applyAlignment="1">
      <alignment horizontal="right"/>
    </xf>
    <xf numFmtId="3" fontId="4" fillId="0" borderId="1" xfId="0" applyNumberFormat="1" applyFont="1" applyFill="1" applyBorder="1"/>
    <xf numFmtId="3" fontId="5" fillId="0" borderId="19" xfId="0" applyNumberFormat="1" applyFont="1" applyBorder="1" applyAlignment="1">
      <alignment horizontal="right"/>
    </xf>
    <xf numFmtId="0" fontId="68" fillId="0" borderId="0" xfId="0" applyFont="1" applyFill="1"/>
    <xf numFmtId="3" fontId="4" fillId="0" borderId="13" xfId="0" applyNumberFormat="1" applyFont="1" applyFill="1" applyBorder="1"/>
    <xf numFmtId="3" fontId="5" fillId="21" borderId="2" xfId="0" applyNumberFormat="1" applyFont="1" applyFill="1" applyBorder="1" applyAlignment="1">
      <alignment horizontal="right"/>
    </xf>
    <xf numFmtId="3" fontId="4" fillId="16" borderId="0" xfId="0" applyNumberFormat="1" applyFont="1" applyFill="1" applyAlignment="1">
      <alignment horizontal="right"/>
    </xf>
    <xf numFmtId="3" fontId="5" fillId="16" borderId="2" xfId="0" applyNumberFormat="1" applyFont="1" applyFill="1" applyBorder="1" applyAlignment="1">
      <alignment horizontal="right"/>
    </xf>
    <xf numFmtId="3" fontId="4" fillId="0" borderId="0" xfId="2" applyNumberFormat="1" applyFont="1"/>
    <xf numFmtId="3" fontId="5" fillId="0" borderId="1" xfId="2" applyNumberFormat="1" applyFont="1" applyBorder="1"/>
    <xf numFmtId="3" fontId="5" fillId="0" borderId="3" xfId="2" applyNumberFormat="1" applyFont="1" applyBorder="1"/>
    <xf numFmtId="3" fontId="4" fillId="0" borderId="1" xfId="0" applyNumberFormat="1" applyFont="1" applyBorder="1"/>
    <xf numFmtId="0" fontId="17" fillId="0" borderId="0" xfId="0" applyFont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 wrapText="1"/>
    </xf>
    <xf numFmtId="44" fontId="4" fillId="0" borderId="0" xfId="2" applyFont="1" applyFill="1"/>
    <xf numFmtId="3" fontId="6" fillId="22" borderId="2" xfId="0" applyNumberFormat="1" applyFont="1" applyFill="1" applyBorder="1" applyAlignment="1">
      <alignment horizontal="right"/>
    </xf>
    <xf numFmtId="4" fontId="5" fillId="0" borderId="0" xfId="0" applyNumberFormat="1" applyFont="1" applyAlignment="1">
      <alignment horizontal="right"/>
    </xf>
    <xf numFmtId="4" fontId="5" fillId="12" borderId="0" xfId="0" applyNumberFormat="1" applyFont="1" applyFill="1" applyAlignment="1">
      <alignment horizontal="right"/>
    </xf>
    <xf numFmtId="3" fontId="57" fillId="0" borderId="0" xfId="0" applyNumberFormat="1" applyFont="1"/>
    <xf numFmtId="3" fontId="34" fillId="9" borderId="0" xfId="0" applyNumberFormat="1" applyFont="1" applyFill="1" applyAlignment="1">
      <alignment horizontal="center"/>
    </xf>
    <xf numFmtId="4" fontId="6" fillId="16" borderId="2" xfId="0" applyNumberFormat="1" applyFont="1" applyFill="1" applyBorder="1"/>
    <xf numFmtId="4" fontId="5" fillId="0" borderId="12" xfId="0" applyNumberFormat="1" applyFont="1" applyBorder="1" applyAlignment="1">
      <alignment horizontal="right"/>
    </xf>
    <xf numFmtId="4" fontId="5" fillId="0" borderId="21" xfId="0" applyNumberFormat="1" applyFont="1" applyBorder="1" applyAlignment="1">
      <alignment horizontal="right"/>
    </xf>
    <xf numFmtId="4" fontId="5" fillId="0" borderId="3" xfId="0" applyNumberFormat="1" applyFont="1" applyBorder="1" applyAlignment="1">
      <alignment horizontal="right"/>
    </xf>
    <xf numFmtId="4" fontId="5" fillId="0" borderId="20" xfId="0" applyNumberFormat="1" applyFont="1" applyBorder="1" applyAlignment="1">
      <alignment horizontal="right"/>
    </xf>
    <xf numFmtId="0" fontId="22" fillId="0" borderId="0" xfId="0" applyFont="1" applyAlignment="1">
      <alignment horizontal="center" wrapText="1"/>
    </xf>
    <xf numFmtId="4" fontId="18" fillId="23" borderId="2" xfId="0" applyNumberFormat="1" applyFont="1" applyFill="1" applyBorder="1" applyAlignment="1">
      <alignment horizontal="right"/>
    </xf>
    <xf numFmtId="4" fontId="4" fillId="0" borderId="12" xfId="0" applyNumberFormat="1" applyFont="1" applyBorder="1" applyAlignment="1">
      <alignment horizontal="right"/>
    </xf>
    <xf numFmtId="4" fontId="5" fillId="0" borderId="13" xfId="0" applyNumberFormat="1" applyFont="1" applyBorder="1" applyAlignment="1">
      <alignment horizontal="right"/>
    </xf>
    <xf numFmtId="4" fontId="18" fillId="0" borderId="22" xfId="0" applyNumberFormat="1" applyFont="1" applyBorder="1" applyAlignment="1">
      <alignment horizontal="right"/>
    </xf>
    <xf numFmtId="4" fontId="18" fillId="0" borderId="23" xfId="0" applyNumberFormat="1" applyFont="1" applyBorder="1" applyAlignment="1">
      <alignment horizontal="right"/>
    </xf>
    <xf numFmtId="4" fontId="4" fillId="0" borderId="24" xfId="0" applyNumberFormat="1" applyFont="1" applyBorder="1" applyAlignment="1">
      <alignment horizontal="right"/>
    </xf>
    <xf numFmtId="4" fontId="4" fillId="0" borderId="15" xfId="0" applyNumberFormat="1" applyFont="1" applyBorder="1" applyAlignment="1">
      <alignment horizontal="right"/>
    </xf>
    <xf numFmtId="4" fontId="4" fillId="0" borderId="21" xfId="0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25" xfId="0" applyFont="1" applyBorder="1" applyAlignment="1">
      <alignment horizontal="right"/>
    </xf>
    <xf numFmtId="0" fontId="5" fillId="0" borderId="20" xfId="0" applyFont="1" applyBorder="1" applyAlignment="1">
      <alignment horizontal="right"/>
    </xf>
    <xf numFmtId="0" fontId="69" fillId="0" borderId="13" xfId="0" applyFont="1" applyBorder="1" applyAlignment="1">
      <alignment horizontal="right"/>
    </xf>
    <xf numFmtId="0" fontId="69" fillId="0" borderId="25" xfId="0" applyFont="1" applyBorder="1" applyAlignment="1">
      <alignment horizontal="right"/>
    </xf>
    <xf numFmtId="4" fontId="18" fillId="24" borderId="2" xfId="0" applyNumberFormat="1" applyFont="1" applyFill="1" applyBorder="1" applyAlignment="1">
      <alignment horizontal="right"/>
    </xf>
    <xf numFmtId="4" fontId="6" fillId="0" borderId="2" xfId="0" applyNumberFormat="1" applyFont="1" applyFill="1" applyBorder="1" applyAlignment="1">
      <alignment horizontal="right"/>
    </xf>
    <xf numFmtId="44" fontId="70" fillId="0" borderId="0" xfId="0" applyNumberFormat="1" applyFont="1"/>
    <xf numFmtId="0" fontId="59" fillId="0" borderId="0" xfId="0" applyFont="1" applyAlignment="1">
      <alignment horizontal="left"/>
    </xf>
    <xf numFmtId="3" fontId="4" fillId="0" borderId="19" xfId="0" applyNumberFormat="1" applyFont="1" applyBorder="1"/>
    <xf numFmtId="44" fontId="4" fillId="2" borderId="0" xfId="2" applyFont="1" applyFill="1" applyBorder="1" applyAlignment="1"/>
    <xf numFmtId="166" fontId="4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3" fontId="18" fillId="0" borderId="2" xfId="0" applyNumberFormat="1" applyFont="1" applyBorder="1"/>
    <xf numFmtId="3" fontId="4" fillId="0" borderId="14" xfId="0" applyNumberFormat="1" applyFont="1" applyBorder="1" applyAlignment="1">
      <alignment horizontal="center"/>
    </xf>
    <xf numFmtId="3" fontId="4" fillId="0" borderId="24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0" borderId="18" xfId="0" applyNumberFormat="1" applyFont="1" applyBorder="1" applyAlignment="1">
      <alignment horizontal="center"/>
    </xf>
    <xf numFmtId="10" fontId="4" fillId="0" borderId="14" xfId="6" applyNumberFormat="1" applyFont="1" applyBorder="1" applyAlignment="1">
      <alignment horizontal="center"/>
    </xf>
    <xf numFmtId="10" fontId="4" fillId="0" borderId="24" xfId="6" applyNumberFormat="1" applyFont="1" applyBorder="1" applyAlignment="1">
      <alignment horizontal="center"/>
    </xf>
    <xf numFmtId="10" fontId="4" fillId="0" borderId="16" xfId="6" applyNumberFormat="1" applyFont="1" applyBorder="1" applyAlignment="1">
      <alignment horizontal="center"/>
    </xf>
    <xf numFmtId="10" fontId="4" fillId="0" borderId="0" xfId="6" applyNumberFormat="1" applyFont="1" applyBorder="1" applyAlignment="1">
      <alignment horizontal="center"/>
    </xf>
    <xf numFmtId="10" fontId="4" fillId="0" borderId="18" xfId="6" applyNumberFormat="1" applyFont="1" applyBorder="1" applyAlignment="1">
      <alignment horizontal="center"/>
    </xf>
    <xf numFmtId="10" fontId="4" fillId="0" borderId="12" xfId="6" applyNumberFormat="1" applyFont="1" applyBorder="1" applyAlignment="1">
      <alignment horizontal="center"/>
    </xf>
    <xf numFmtId="3" fontId="5" fillId="20" borderId="2" xfId="0" applyNumberFormat="1" applyFont="1" applyFill="1" applyBorder="1" applyAlignment="1">
      <alignment horizontal="right"/>
    </xf>
    <xf numFmtId="0" fontId="18" fillId="0" borderId="12" xfId="0" applyFont="1" applyBorder="1" applyAlignment="1"/>
    <xf numFmtId="3" fontId="4" fillId="0" borderId="14" xfId="0" applyNumberFormat="1" applyFont="1" applyBorder="1" applyAlignment="1">
      <alignment horizontal="right"/>
    </xf>
    <xf numFmtId="3" fontId="4" fillId="0" borderId="24" xfId="0" applyNumberFormat="1" applyFont="1" applyBorder="1" applyAlignment="1">
      <alignment horizontal="right"/>
    </xf>
    <xf numFmtId="3" fontId="4" fillId="0" borderId="16" xfId="0" applyNumberFormat="1" applyFont="1" applyBorder="1" applyAlignment="1">
      <alignment horizontal="right"/>
    </xf>
    <xf numFmtId="3" fontId="4" fillId="0" borderId="18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18" fillId="0" borderId="2" xfId="0" applyNumberFormat="1" applyFont="1" applyBorder="1" applyAlignment="1">
      <alignment horizontal="right"/>
    </xf>
    <xf numFmtId="0" fontId="5" fillId="0" borderId="0" xfId="0" applyFont="1" applyAlignment="1">
      <alignment horizontal="right" wrapText="1"/>
    </xf>
    <xf numFmtId="0" fontId="4" fillId="0" borderId="20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71" fillId="0" borderId="0" xfId="0" applyFont="1" applyFill="1" applyBorder="1"/>
    <xf numFmtId="0" fontId="68" fillId="0" borderId="0" xfId="0" applyFont="1" applyFill="1" applyBorder="1"/>
    <xf numFmtId="0" fontId="67" fillId="0" borderId="0" xfId="0" applyFont="1" applyFill="1" applyBorder="1"/>
    <xf numFmtId="4" fontId="67" fillId="0" borderId="0" xfId="0" applyNumberFormat="1" applyFont="1" applyFill="1" applyBorder="1" applyAlignment="1">
      <alignment horizontal="right"/>
    </xf>
    <xf numFmtId="4" fontId="72" fillId="0" borderId="0" xfId="0" applyNumberFormat="1" applyFont="1" applyFill="1" applyBorder="1" applyAlignment="1">
      <alignment horizontal="right"/>
    </xf>
    <xf numFmtId="0" fontId="68" fillId="0" borderId="0" xfId="0" applyFont="1" applyFill="1" applyBorder="1" applyAlignment="1">
      <alignment horizontal="center"/>
    </xf>
    <xf numFmtId="4" fontId="63" fillId="0" borderId="0" xfId="0" applyNumberFormat="1" applyFont="1" applyFill="1" applyBorder="1"/>
    <xf numFmtId="0" fontId="0" fillId="0" borderId="0" xfId="0" applyAlignment="1">
      <alignment horizontal="center"/>
    </xf>
    <xf numFmtId="168" fontId="4" fillId="0" borderId="0" xfId="6" applyNumberFormat="1" applyFont="1"/>
    <xf numFmtId="9" fontId="17" fillId="0" borderId="0" xfId="6" applyFont="1"/>
    <xf numFmtId="3" fontId="0" fillId="0" borderId="0" xfId="0" applyNumberFormat="1"/>
    <xf numFmtId="0" fontId="17" fillId="0" borderId="0" xfId="0" applyFont="1" applyAlignment="1">
      <alignment horizontal="right"/>
    </xf>
    <xf numFmtId="165" fontId="5" fillId="0" borderId="2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/>
    <xf numFmtId="0" fontId="5" fillId="0" borderId="18" xfId="0" applyFont="1" applyBorder="1" applyAlignment="1">
      <alignment horizontal="right"/>
    </xf>
    <xf numFmtId="4" fontId="18" fillId="24" borderId="11" xfId="0" applyNumberFormat="1" applyFont="1" applyFill="1" applyBorder="1" applyAlignment="1">
      <alignment horizontal="right"/>
    </xf>
    <xf numFmtId="4" fontId="18" fillId="0" borderId="13" xfId="0" applyNumberFormat="1" applyFont="1" applyFill="1" applyBorder="1" applyAlignment="1">
      <alignment horizontal="right"/>
    </xf>
    <xf numFmtId="10" fontId="20" fillId="0" borderId="20" xfId="6" applyNumberFormat="1" applyFont="1" applyBorder="1" applyAlignment="1">
      <alignment horizontal="right"/>
    </xf>
    <xf numFmtId="9" fontId="5" fillId="0" borderId="1" xfId="6" applyFont="1" applyBorder="1" applyAlignment="1">
      <alignment horizontal="right"/>
    </xf>
    <xf numFmtId="3" fontId="73" fillId="0" borderId="0" xfId="0" applyNumberFormat="1" applyFont="1"/>
    <xf numFmtId="4" fontId="4" fillId="12" borderId="0" xfId="0" applyNumberFormat="1" applyFont="1" applyFill="1" applyBorder="1"/>
    <xf numFmtId="3" fontId="68" fillId="0" borderId="0" xfId="0" applyNumberFormat="1" applyFont="1" applyFill="1" applyAlignment="1">
      <alignment horizontal="center"/>
    </xf>
    <xf numFmtId="0" fontId="75" fillId="0" borderId="0" xfId="0" applyFont="1"/>
    <xf numFmtId="9" fontId="4" fillId="0" borderId="0" xfId="6" applyFont="1" applyFill="1" applyBorder="1"/>
    <xf numFmtId="172" fontId="4" fillId="0" borderId="0" xfId="0" applyNumberFormat="1" applyFont="1" applyFill="1" applyBorder="1"/>
    <xf numFmtId="172" fontId="5" fillId="0" borderId="0" xfId="0" applyNumberFormat="1" applyFont="1" applyFill="1" applyBorder="1"/>
    <xf numFmtId="3" fontId="5" fillId="0" borderId="0" xfId="2" applyNumberFormat="1" applyFont="1" applyBorder="1"/>
    <xf numFmtId="0" fontId="59" fillId="0" borderId="0" xfId="0" applyFont="1" applyFill="1"/>
    <xf numFmtId="3" fontId="36" fillId="0" borderId="2" xfId="0" applyNumberFormat="1" applyFont="1" applyFill="1" applyBorder="1" applyAlignment="1">
      <alignment horizontal="right"/>
    </xf>
    <xf numFmtId="3" fontId="4" fillId="0" borderId="0" xfId="2" applyNumberFormat="1" applyFont="1" applyFill="1"/>
    <xf numFmtId="0" fontId="9" fillId="0" borderId="1" xfId="0" applyFont="1" applyFill="1" applyBorder="1" applyAlignment="1">
      <alignment horizontal="center"/>
    </xf>
    <xf numFmtId="3" fontId="5" fillId="0" borderId="0" xfId="2" applyNumberFormat="1" applyFont="1"/>
    <xf numFmtId="3" fontId="4" fillId="0" borderId="1" xfId="2" applyNumberFormat="1" applyFont="1" applyBorder="1"/>
    <xf numFmtId="3" fontId="4" fillId="0" borderId="13" xfId="2" applyNumberFormat="1" applyFont="1" applyBorder="1"/>
    <xf numFmtId="3" fontId="4" fillId="0" borderId="25" xfId="2" applyNumberFormat="1" applyFont="1" applyBorder="1"/>
    <xf numFmtId="0" fontId="5" fillId="16" borderId="0" xfId="0" applyFont="1" applyFill="1" applyBorder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37" fillId="0" borderId="0" xfId="0" applyFont="1"/>
    <xf numFmtId="0" fontId="38" fillId="0" borderId="0" xfId="0" applyFont="1"/>
    <xf numFmtId="0" fontId="21" fillId="0" borderId="0" xfId="0" applyFont="1" applyFill="1" applyBorder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18" borderId="0" xfId="0" applyFont="1" applyFill="1"/>
    <xf numFmtId="0" fontId="21" fillId="18" borderId="0" xfId="0" applyFont="1" applyFill="1" applyAlignment="1">
      <alignment horizontal="right"/>
    </xf>
    <xf numFmtId="3" fontId="21" fillId="18" borderId="0" xfId="0" applyNumberFormat="1" applyFont="1" applyFill="1"/>
    <xf numFmtId="3" fontId="39" fillId="22" borderId="2" xfId="0" applyNumberFormat="1" applyFont="1" applyFill="1" applyBorder="1" applyAlignment="1">
      <alignment horizontal="right"/>
    </xf>
    <xf numFmtId="4" fontId="76" fillId="0" borderId="0" xfId="0" applyNumberFormat="1" applyFont="1"/>
    <xf numFmtId="3" fontId="5" fillId="12" borderId="0" xfId="0" applyNumberFormat="1" applyFont="1" applyFill="1" applyAlignment="1">
      <alignment horizontal="right"/>
    </xf>
    <xf numFmtId="4" fontId="4" fillId="12" borderId="24" xfId="0" applyNumberFormat="1" applyFont="1" applyFill="1" applyBorder="1" applyAlignment="1">
      <alignment horizontal="right"/>
    </xf>
    <xf numFmtId="0" fontId="4" fillId="12" borderId="0" xfId="0" applyFont="1" applyFill="1"/>
    <xf numFmtId="3" fontId="21" fillId="12" borderId="25" xfId="0" applyNumberFormat="1" applyFont="1" applyFill="1" applyBorder="1" applyAlignment="1"/>
    <xf numFmtId="3" fontId="21" fillId="12" borderId="13" xfId="0" applyNumberFormat="1" applyFont="1" applyFill="1" applyBorder="1" applyAlignment="1"/>
    <xf numFmtId="3" fontId="21" fillId="12" borderId="1" xfId="0" applyNumberFormat="1" applyFont="1" applyFill="1" applyBorder="1" applyAlignment="1"/>
    <xf numFmtId="0" fontId="55" fillId="0" borderId="0" xfId="0" applyFont="1"/>
    <xf numFmtId="0" fontId="21" fillId="16" borderId="0" xfId="0" applyFont="1" applyFill="1"/>
    <xf numFmtId="0" fontId="37" fillId="16" borderId="0" xfId="0" applyFont="1" applyFill="1"/>
    <xf numFmtId="0" fontId="17" fillId="16" borderId="0" xfId="0" applyFont="1" applyFill="1"/>
    <xf numFmtId="3" fontId="5" fillId="0" borderId="0" xfId="0" applyNumberFormat="1" applyFont="1" applyFill="1" applyBorder="1" applyAlignment="1"/>
    <xf numFmtId="3" fontId="21" fillId="0" borderId="0" xfId="0" applyNumberFormat="1" applyFont="1" applyFill="1" applyBorder="1" applyAlignment="1"/>
    <xf numFmtId="3" fontId="5" fillId="25" borderId="2" xfId="0" applyNumberFormat="1" applyFont="1" applyFill="1" applyBorder="1"/>
    <xf numFmtId="3" fontId="5" fillId="26" borderId="2" xfId="0" applyNumberFormat="1" applyFont="1" applyFill="1" applyBorder="1"/>
    <xf numFmtId="3" fontId="21" fillId="0" borderId="0" xfId="0" applyNumberFormat="1" applyFont="1" applyAlignment="1">
      <alignment horizontal="right"/>
    </xf>
    <xf numFmtId="4" fontId="69" fillId="0" borderId="0" xfId="0" applyNumberFormat="1" applyFont="1" applyFill="1" applyBorder="1"/>
    <xf numFmtId="4" fontId="69" fillId="16" borderId="1" xfId="0" applyNumberFormat="1" applyFont="1" applyFill="1" applyBorder="1"/>
    <xf numFmtId="0" fontId="40" fillId="0" borderId="0" xfId="0" applyFont="1" applyAlignment="1">
      <alignment horizontal="center"/>
    </xf>
    <xf numFmtId="0" fontId="41" fillId="0" borderId="0" xfId="0" applyFont="1"/>
    <xf numFmtId="4" fontId="77" fillId="0" borderId="0" xfId="0" applyNumberFormat="1" applyFont="1"/>
    <xf numFmtId="4" fontId="78" fillId="0" borderId="0" xfId="0" applyNumberFormat="1" applyFont="1"/>
    <xf numFmtId="2" fontId="4" fillId="0" borderId="27" xfId="0" applyNumberFormat="1" applyFont="1" applyBorder="1"/>
    <xf numFmtId="0" fontId="5" fillId="9" borderId="23" xfId="0" applyFont="1" applyFill="1" applyBorder="1" applyAlignment="1">
      <alignment horizontal="center" wrapText="1"/>
    </xf>
    <xf numFmtId="0" fontId="5" fillId="16" borderId="23" xfId="0" applyFont="1" applyFill="1" applyBorder="1" applyAlignment="1">
      <alignment horizontal="center" vertical="center"/>
    </xf>
    <xf numFmtId="0" fontId="5" fillId="16" borderId="28" xfId="0" applyFont="1" applyFill="1" applyBorder="1" applyAlignment="1">
      <alignment horizontal="center" vertical="center" wrapText="1"/>
    </xf>
    <xf numFmtId="4" fontId="4" fillId="0" borderId="1" xfId="0" applyNumberFormat="1" applyFont="1" applyBorder="1"/>
    <xf numFmtId="10" fontId="78" fillId="0" borderId="0" xfId="0" applyNumberFormat="1" applyFont="1"/>
    <xf numFmtId="0" fontId="5" fillId="12" borderId="25" xfId="0" applyFont="1" applyFill="1" applyBorder="1"/>
    <xf numFmtId="0" fontId="5" fillId="0" borderId="29" xfId="0" applyFont="1" applyFill="1" applyBorder="1"/>
    <xf numFmtId="4" fontId="4" fillId="0" borderId="30" xfId="0" applyNumberFormat="1" applyFont="1" applyBorder="1"/>
    <xf numFmtId="10" fontId="4" fillId="0" borderId="31" xfId="0" applyNumberFormat="1" applyFont="1" applyBorder="1"/>
    <xf numFmtId="0" fontId="5" fillId="0" borderId="32" xfId="0" applyFont="1" applyFill="1" applyBorder="1"/>
    <xf numFmtId="10" fontId="4" fillId="0" borderId="33" xfId="0" applyNumberFormat="1" applyFont="1" applyBorder="1"/>
    <xf numFmtId="0" fontId="5" fillId="0" borderId="34" xfId="0" applyFont="1" applyFill="1" applyBorder="1"/>
    <xf numFmtId="4" fontId="4" fillId="0" borderId="35" xfId="0" applyNumberFormat="1" applyFont="1" applyBorder="1"/>
    <xf numFmtId="10" fontId="4" fillId="0" borderId="36" xfId="0" applyNumberFormat="1" applyFont="1" applyBorder="1"/>
    <xf numFmtId="4" fontId="15" fillId="12" borderId="25" xfId="0" applyNumberFormat="1" applyFont="1" applyFill="1" applyBorder="1" applyAlignment="1">
      <alignment horizontal="center"/>
    </xf>
    <xf numFmtId="10" fontId="15" fillId="12" borderId="25" xfId="0" applyNumberFormat="1" applyFont="1" applyFill="1" applyBorder="1" applyAlignment="1">
      <alignment horizontal="center"/>
    </xf>
    <xf numFmtId="0" fontId="42" fillId="0" borderId="22" xfId="0" applyFont="1" applyFill="1" applyBorder="1" applyAlignment="1">
      <alignment horizontal="center" vertical="center"/>
    </xf>
    <xf numFmtId="4" fontId="4" fillId="27" borderId="30" xfId="0" applyNumberFormat="1" applyFont="1" applyFill="1" applyBorder="1"/>
    <xf numFmtId="4" fontId="4" fillId="27" borderId="1" xfId="0" applyNumberFormat="1" applyFont="1" applyFill="1" applyBorder="1"/>
    <xf numFmtId="4" fontId="4" fillId="27" borderId="35" xfId="0" applyNumberFormat="1" applyFont="1" applyFill="1" applyBorder="1"/>
    <xf numFmtId="1" fontId="5" fillId="16" borderId="1" xfId="0" applyNumberFormat="1" applyFont="1" applyFill="1" applyBorder="1" applyAlignment="1">
      <alignment horizontal="center" vertical="center" wrapText="1"/>
    </xf>
    <xf numFmtId="4" fontId="4" fillId="12" borderId="16" xfId="0" applyNumberFormat="1" applyFont="1" applyFill="1" applyBorder="1"/>
    <xf numFmtId="3" fontId="4" fillId="0" borderId="1" xfId="0" applyNumberFormat="1" applyFont="1" applyBorder="1" applyAlignment="1">
      <alignment horizontal="center"/>
    </xf>
    <xf numFmtId="0" fontId="21" fillId="16" borderId="0" xfId="0" applyFont="1" applyFill="1" applyAlignment="1">
      <alignment horizontal="right"/>
    </xf>
    <xf numFmtId="0" fontId="15" fillId="16" borderId="0" xfId="0" applyFont="1" applyFill="1" applyAlignment="1">
      <alignment horizontal="right"/>
    </xf>
    <xf numFmtId="0" fontId="5" fillId="16" borderId="0" xfId="0" applyFont="1" applyFill="1"/>
    <xf numFmtId="3" fontId="4" fillId="12" borderId="32" xfId="0" applyNumberFormat="1" applyFont="1" applyFill="1" applyBorder="1" applyAlignment="1">
      <alignment horizontal="center"/>
    </xf>
    <xf numFmtId="3" fontId="9" fillId="17" borderId="1" xfId="0" applyNumberFormat="1" applyFont="1" applyFill="1" applyBorder="1" applyAlignment="1">
      <alignment horizontal="center" wrapText="1"/>
    </xf>
    <xf numFmtId="3" fontId="9" fillId="27" borderId="1" xfId="0" applyNumberFormat="1" applyFont="1" applyFill="1" applyBorder="1" applyAlignment="1">
      <alignment horizontal="center" wrapText="1"/>
    </xf>
    <xf numFmtId="3" fontId="9" fillId="27" borderId="3" xfId="0" applyNumberFormat="1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right"/>
    </xf>
    <xf numFmtId="3" fontId="5" fillId="12" borderId="1" xfId="2" applyNumberFormat="1" applyFont="1" applyFill="1" applyBorder="1"/>
    <xf numFmtId="3" fontId="5" fillId="12" borderId="3" xfId="2" applyNumberFormat="1" applyFont="1" applyFill="1" applyBorder="1"/>
    <xf numFmtId="3" fontId="5" fillId="12" borderId="2" xfId="2" applyNumberFormat="1" applyFont="1" applyFill="1" applyBorder="1"/>
    <xf numFmtId="3" fontId="5" fillId="16" borderId="2" xfId="2" applyNumberFormat="1" applyFont="1" applyFill="1" applyBorder="1"/>
    <xf numFmtId="0" fontId="9" fillId="17" borderId="1" xfId="0" applyFont="1" applyFill="1" applyBorder="1" applyAlignment="1">
      <alignment horizontal="center"/>
    </xf>
    <xf numFmtId="3" fontId="9" fillId="17" borderId="3" xfId="0" applyNumberFormat="1" applyFont="1" applyFill="1" applyBorder="1" applyAlignment="1">
      <alignment horizontal="center" wrapText="1"/>
    </xf>
    <xf numFmtId="3" fontId="9" fillId="17" borderId="13" xfId="0" applyNumberFormat="1" applyFont="1" applyFill="1" applyBorder="1" applyAlignment="1">
      <alignment horizontal="center" wrapText="1"/>
    </xf>
    <xf numFmtId="0" fontId="5" fillId="16" borderId="1" xfId="0" applyFont="1" applyFill="1" applyBorder="1" applyAlignment="1">
      <alignment horizontal="center"/>
    </xf>
    <xf numFmtId="3" fontId="5" fillId="16" borderId="1" xfId="0" applyNumberFormat="1" applyFont="1" applyFill="1" applyBorder="1" applyAlignment="1">
      <alignment horizontal="center" wrapText="1"/>
    </xf>
    <xf numFmtId="3" fontId="5" fillId="16" borderId="3" xfId="0" applyNumberFormat="1" applyFont="1" applyFill="1" applyBorder="1" applyAlignment="1">
      <alignment horizontal="center" wrapText="1"/>
    </xf>
    <xf numFmtId="3" fontId="5" fillId="9" borderId="13" xfId="0" applyNumberFormat="1" applyFont="1" applyFill="1" applyBorder="1" applyAlignment="1">
      <alignment horizontal="center" wrapText="1"/>
    </xf>
    <xf numFmtId="3" fontId="5" fillId="16" borderId="1" xfId="2" applyNumberFormat="1" applyFont="1" applyFill="1" applyBorder="1"/>
    <xf numFmtId="3" fontId="5" fillId="16" borderId="13" xfId="2" applyNumberFormat="1" applyFont="1" applyFill="1" applyBorder="1"/>
    <xf numFmtId="3" fontId="6" fillId="16" borderId="2" xfId="2" applyNumberFormat="1" applyFont="1" applyFill="1" applyBorder="1"/>
    <xf numFmtId="3" fontId="5" fillId="16" borderId="25" xfId="2" applyNumberFormat="1" applyFont="1" applyFill="1" applyBorder="1"/>
    <xf numFmtId="0" fontId="5" fillId="17" borderId="1" xfId="0" applyFont="1" applyFill="1" applyBorder="1" applyAlignment="1">
      <alignment horizontal="right"/>
    </xf>
    <xf numFmtId="3" fontId="77" fillId="0" borderId="0" xfId="0" applyNumberFormat="1" applyFont="1"/>
    <xf numFmtId="0" fontId="79" fillId="0" borderId="0" xfId="0" applyFont="1"/>
    <xf numFmtId="0" fontId="80" fillId="0" borderId="0" xfId="0" applyFont="1"/>
    <xf numFmtId="3" fontId="43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/>
    <xf numFmtId="3" fontId="5" fillId="0" borderId="0" xfId="0" applyNumberFormat="1" applyFont="1" applyFill="1" applyBorder="1"/>
    <xf numFmtId="0" fontId="21" fillId="16" borderId="17" xfId="0" applyFont="1" applyFill="1" applyBorder="1"/>
    <xf numFmtId="0" fontId="17" fillId="16" borderId="17" xfId="0" applyFont="1" applyFill="1" applyBorder="1"/>
    <xf numFmtId="0" fontId="37" fillId="0" borderId="0" xfId="0" applyFont="1" applyAlignment="1">
      <alignment horizontal="right"/>
    </xf>
    <xf numFmtId="10" fontId="4" fillId="0" borderId="0" xfId="6" applyNumberFormat="1" applyFont="1" applyBorder="1"/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right"/>
    </xf>
    <xf numFmtId="0" fontId="69" fillId="0" borderId="0" xfId="0" applyFont="1" applyFill="1" applyBorder="1"/>
    <xf numFmtId="2" fontId="4" fillId="0" borderId="0" xfId="0" applyNumberFormat="1" applyFont="1" applyFill="1" applyBorder="1"/>
    <xf numFmtId="4" fontId="78" fillId="0" borderId="0" xfId="0" applyNumberFormat="1" applyFont="1" applyFill="1" applyBorder="1"/>
    <xf numFmtId="4" fontId="56" fillId="0" borderId="0" xfId="0" applyNumberFormat="1" applyFont="1" applyFill="1" applyBorder="1"/>
    <xf numFmtId="0" fontId="40" fillId="0" borderId="0" xfId="0" applyFont="1" applyFill="1" applyBorder="1" applyAlignment="1">
      <alignment horizontal="center"/>
    </xf>
    <xf numFmtId="4" fontId="77" fillId="0" borderId="0" xfId="0" applyNumberFormat="1" applyFont="1" applyFill="1" applyBorder="1"/>
    <xf numFmtId="0" fontId="41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5" fillId="16" borderId="1" xfId="0" applyNumberFormat="1" applyFont="1" applyFill="1" applyBorder="1" applyAlignment="1">
      <alignment horizontal="center" vertical="center"/>
    </xf>
    <xf numFmtId="4" fontId="6" fillId="0" borderId="0" xfId="0" applyNumberFormat="1" applyFont="1" applyFill="1" applyBorder="1"/>
    <xf numFmtId="0" fontId="5" fillId="0" borderId="0" xfId="0" applyFont="1" applyFill="1" applyBorder="1" applyAlignment="1"/>
    <xf numFmtId="165" fontId="59" fillId="0" borderId="0" xfId="0" applyNumberFormat="1" applyFont="1" applyFill="1" applyBorder="1" applyAlignment="1">
      <alignment horizontal="right"/>
    </xf>
    <xf numFmtId="165" fontId="55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right"/>
    </xf>
    <xf numFmtId="2" fontId="17" fillId="0" borderId="0" xfId="0" applyNumberFormat="1" applyFont="1" applyFill="1" applyBorder="1"/>
    <xf numFmtId="9" fontId="17" fillId="0" borderId="0" xfId="6" applyFont="1" applyFill="1" applyBorder="1"/>
    <xf numFmtId="2" fontId="76" fillId="0" borderId="0" xfId="0" applyNumberFormat="1" applyFont="1" applyFill="1" applyBorder="1"/>
    <xf numFmtId="167" fontId="10" fillId="0" borderId="0" xfId="6" applyNumberFormat="1" applyFont="1" applyFill="1" applyBorder="1"/>
    <xf numFmtId="0" fontId="10" fillId="0" borderId="0" xfId="0" applyFont="1" applyFill="1" applyBorder="1"/>
    <xf numFmtId="9" fontId="68" fillId="0" borderId="0" xfId="6" applyFont="1" applyFill="1" applyBorder="1"/>
    <xf numFmtId="0" fontId="4" fillId="0" borderId="0" xfId="0" applyFont="1" applyBorder="1" applyAlignment="1"/>
    <xf numFmtId="0" fontId="4" fillId="0" borderId="0" xfId="0" applyFont="1" applyAlignment="1"/>
    <xf numFmtId="3" fontId="78" fillId="0" borderId="0" xfId="0" applyNumberFormat="1" applyFont="1" applyFill="1" applyBorder="1"/>
    <xf numFmtId="3" fontId="77" fillId="0" borderId="0" xfId="0" applyNumberFormat="1" applyFont="1" applyFill="1" applyBorder="1"/>
    <xf numFmtId="166" fontId="75" fillId="0" borderId="0" xfId="0" applyNumberFormat="1" applyFont="1" applyFill="1" applyBorder="1" applyAlignment="1">
      <alignment horizontal="center"/>
    </xf>
    <xf numFmtId="0" fontId="77" fillId="0" borderId="0" xfId="0" applyFont="1" applyFill="1" applyBorder="1"/>
    <xf numFmtId="0" fontId="82" fillId="0" borderId="0" xfId="0" applyFont="1" applyFill="1" applyBorder="1"/>
    <xf numFmtId="0" fontId="74" fillId="0" borderId="0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/>
    </xf>
    <xf numFmtId="166" fontId="74" fillId="0" borderId="0" xfId="0" applyNumberFormat="1" applyFont="1" applyFill="1" applyBorder="1" applyAlignment="1">
      <alignment horizontal="center"/>
    </xf>
    <xf numFmtId="0" fontId="74" fillId="0" borderId="0" xfId="0" applyFont="1" applyFill="1" applyBorder="1"/>
    <xf numFmtId="166" fontId="75" fillId="0" borderId="0" xfId="0" applyNumberFormat="1" applyFont="1" applyFill="1" applyBorder="1"/>
    <xf numFmtId="0" fontId="5" fillId="29" borderId="0" xfId="0" applyFont="1" applyFill="1"/>
    <xf numFmtId="9" fontId="7" fillId="0" borderId="0" xfId="6" applyFont="1"/>
    <xf numFmtId="0" fontId="80" fillId="7" borderId="46" xfId="5" applyFont="1" applyAlignment="1">
      <alignment horizontal="center"/>
    </xf>
    <xf numFmtId="0" fontId="22" fillId="16" borderId="0" xfId="0" applyFont="1" applyFill="1"/>
    <xf numFmtId="0" fontId="15" fillId="16" borderId="0" xfId="0" applyFont="1" applyFill="1"/>
    <xf numFmtId="1" fontId="44" fillId="5" borderId="1" xfId="0" applyNumberFormat="1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/>
    <xf numFmtId="4" fontId="0" fillId="5" borderId="1" xfId="0" applyNumberForma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1" fontId="0" fillId="0" borderId="20" xfId="0" applyNumberFormat="1" applyFont="1" applyFill="1" applyBorder="1" applyAlignment="1">
      <alignment horizontal="center"/>
    </xf>
    <xf numFmtId="0" fontId="44" fillId="0" borderId="1" xfId="0" applyFont="1" applyBorder="1" applyAlignment="1">
      <alignment horizontal="left"/>
    </xf>
    <xf numFmtId="2" fontId="44" fillId="5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1" fontId="44" fillId="30" borderId="1" xfId="0" applyNumberFormat="1" applyFont="1" applyFill="1" applyBorder="1" applyAlignment="1">
      <alignment horizontal="center"/>
    </xf>
    <xf numFmtId="2" fontId="0" fillId="30" borderId="1" xfId="0" applyNumberFormat="1" applyFill="1" applyBorder="1" applyAlignment="1">
      <alignment horizontal="center"/>
    </xf>
    <xf numFmtId="1" fontId="45" fillId="6" borderId="35" xfId="0" applyNumberFormat="1" applyFont="1" applyFill="1" applyBorder="1" applyAlignment="1">
      <alignment horizontal="center" vertical="center"/>
    </xf>
    <xf numFmtId="0" fontId="45" fillId="6" borderId="35" xfId="0" applyFont="1" applyFill="1" applyBorder="1" applyAlignment="1">
      <alignment horizontal="center" vertical="center"/>
    </xf>
    <xf numFmtId="49" fontId="45" fillId="6" borderId="35" xfId="0" applyNumberFormat="1" applyFont="1" applyFill="1" applyBorder="1" applyAlignment="1">
      <alignment horizontal="center" vertical="center" wrapText="1"/>
    </xf>
    <xf numFmtId="2" fontId="45" fillId="6" borderId="35" xfId="0" applyNumberFormat="1" applyFont="1" applyFill="1" applyBorder="1" applyAlignment="1">
      <alignment horizontal="center" vertical="center" wrapText="1"/>
    </xf>
    <xf numFmtId="0" fontId="45" fillId="6" borderId="35" xfId="0" applyNumberFormat="1" applyFont="1" applyFill="1" applyBorder="1" applyAlignment="1">
      <alignment horizontal="center" vertical="center" wrapText="1"/>
    </xf>
    <xf numFmtId="2" fontId="45" fillId="6" borderId="37" xfId="0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/>
    </xf>
    <xf numFmtId="0" fontId="44" fillId="5" borderId="1" xfId="0" applyNumberFormat="1" applyFont="1" applyFill="1" applyBorder="1" applyAlignment="1">
      <alignment horizontal="center"/>
    </xf>
    <xf numFmtId="0" fontId="0" fillId="30" borderId="1" xfId="0" applyNumberFormat="1" applyFill="1" applyBorder="1" applyAlignment="1">
      <alignment horizontal="center"/>
    </xf>
    <xf numFmtId="3" fontId="59" fillId="0" borderId="0" xfId="0" applyNumberFormat="1" applyFont="1"/>
    <xf numFmtId="0" fontId="46" fillId="0" borderId="0" xfId="0" applyFont="1"/>
    <xf numFmtId="0" fontId="76" fillId="0" borderId="0" xfId="0" applyFont="1" applyFill="1" applyBorder="1"/>
    <xf numFmtId="3" fontId="78" fillId="0" borderId="0" xfId="0" applyNumberFormat="1" applyFont="1" applyFill="1" applyBorder="1" applyAlignment="1">
      <alignment horizontal="center"/>
    </xf>
    <xf numFmtId="4" fontId="4" fillId="12" borderId="14" xfId="0" applyNumberFormat="1" applyFont="1" applyFill="1" applyBorder="1"/>
    <xf numFmtId="4" fontId="4" fillId="12" borderId="18" xfId="0" applyNumberFormat="1" applyFont="1" applyFill="1" applyBorder="1"/>
    <xf numFmtId="0" fontId="17" fillId="9" borderId="0" xfId="0" applyFont="1" applyFill="1"/>
    <xf numFmtId="2" fontId="4" fillId="12" borderId="0" xfId="0" applyNumberFormat="1" applyFont="1" applyFill="1"/>
    <xf numFmtId="0" fontId="17" fillId="31" borderId="0" xfId="0" applyFont="1" applyFill="1"/>
    <xf numFmtId="0" fontId="54" fillId="31" borderId="0" xfId="0" applyFont="1" applyFill="1"/>
    <xf numFmtId="0" fontId="13" fillId="32" borderId="0" xfId="0" applyFont="1" applyFill="1"/>
    <xf numFmtId="0" fontId="4" fillId="0" borderId="46" xfId="5" applyFont="1" applyFill="1" applyAlignment="1">
      <alignment horizontal="center"/>
    </xf>
    <xf numFmtId="0" fontId="47" fillId="0" borderId="0" xfId="0" applyFont="1"/>
    <xf numFmtId="0" fontId="4" fillId="33" borderId="0" xfId="0" applyFont="1" applyFill="1" applyAlignment="1">
      <alignment horizontal="center"/>
    </xf>
    <xf numFmtId="4" fontId="4" fillId="33" borderId="0" xfId="0" applyNumberFormat="1" applyFont="1" applyFill="1" applyAlignment="1">
      <alignment horizontal="center"/>
    </xf>
    <xf numFmtId="0" fontId="37" fillId="16" borderId="17" xfId="0" applyFont="1" applyFill="1" applyBorder="1"/>
    <xf numFmtId="0" fontId="18" fillId="16" borderId="0" xfId="0" applyFont="1" applyFill="1"/>
    <xf numFmtId="3" fontId="83" fillId="0" borderId="0" xfId="0" applyNumberFormat="1" applyFont="1"/>
    <xf numFmtId="0" fontId="83" fillId="0" borderId="0" xfId="0" applyFont="1" applyAlignment="1">
      <alignment horizontal="right"/>
    </xf>
    <xf numFmtId="3" fontId="84" fillId="0" borderId="0" xfId="0" applyNumberFormat="1" applyFont="1" applyAlignment="1">
      <alignment horizontal="left"/>
    </xf>
    <xf numFmtId="3" fontId="84" fillId="0" borderId="0" xfId="0" applyNumberFormat="1" applyFont="1"/>
    <xf numFmtId="0" fontId="4" fillId="16" borderId="0" xfId="0" applyFont="1" applyFill="1"/>
    <xf numFmtId="3" fontId="5" fillId="16" borderId="0" xfId="0" applyNumberFormat="1" applyFont="1" applyFill="1" applyBorder="1" applyAlignment="1"/>
    <xf numFmtId="3" fontId="5" fillId="16" borderId="0" xfId="0" applyNumberFormat="1" applyFont="1" applyFill="1" applyAlignment="1">
      <alignment horizontal="right"/>
    </xf>
    <xf numFmtId="0" fontId="5" fillId="16" borderId="0" xfId="0" applyFont="1" applyFill="1" applyAlignment="1">
      <alignment horizontal="right"/>
    </xf>
    <xf numFmtId="1" fontId="75" fillId="0" borderId="0" xfId="0" applyNumberFormat="1" applyFont="1"/>
    <xf numFmtId="2" fontId="4" fillId="12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3" fontId="85" fillId="0" borderId="0" xfId="0" applyNumberFormat="1" applyFont="1" applyFill="1" applyBorder="1"/>
    <xf numFmtId="3" fontId="59" fillId="0" borderId="0" xfId="0" applyNumberFormat="1" applyFont="1" applyFill="1" applyBorder="1"/>
    <xf numFmtId="3" fontId="86" fillId="0" borderId="0" xfId="0" applyNumberFormat="1" applyFont="1" applyFill="1" applyBorder="1"/>
    <xf numFmtId="3" fontId="78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9" fontId="21" fillId="10" borderId="0" xfId="6" applyFont="1" applyFill="1"/>
    <xf numFmtId="3" fontId="5" fillId="28" borderId="2" xfId="0" applyNumberFormat="1" applyFont="1" applyFill="1" applyBorder="1" applyAlignment="1">
      <alignment horizontal="right"/>
    </xf>
    <xf numFmtId="3" fontId="87" fillId="33" borderId="1" xfId="0" applyNumberFormat="1" applyFont="1" applyFill="1" applyBorder="1" applyAlignment="1">
      <alignment horizontal="right"/>
    </xf>
    <xf numFmtId="0" fontId="75" fillId="0" borderId="0" xfId="0" applyFont="1" applyAlignment="1">
      <alignment horizontal="right"/>
    </xf>
    <xf numFmtId="3" fontId="75" fillId="0" borderId="0" xfId="0" applyNumberFormat="1" applyFont="1" applyBorder="1" applyAlignment="1">
      <alignment horizontal="right"/>
    </xf>
    <xf numFmtId="3" fontId="75" fillId="0" borderId="0" xfId="0" applyNumberFormat="1" applyFont="1" applyBorder="1"/>
    <xf numFmtId="3" fontId="4" fillId="0" borderId="24" xfId="0" applyNumberFormat="1" applyFont="1" applyFill="1" applyBorder="1" applyAlignment="1">
      <alignment horizontal="center"/>
    </xf>
    <xf numFmtId="0" fontId="4" fillId="0" borderId="24" xfId="0" applyFont="1" applyFill="1" applyBorder="1"/>
    <xf numFmtId="0" fontId="4" fillId="0" borderId="15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2" fontId="5" fillId="0" borderId="0" xfId="0" applyNumberFormat="1" applyFont="1" applyBorder="1" applyAlignment="1">
      <alignment horizontal="center"/>
    </xf>
    <xf numFmtId="9" fontId="4" fillId="0" borderId="0" xfId="6" applyFont="1" applyBorder="1"/>
    <xf numFmtId="9" fontId="4" fillId="0" borderId="0" xfId="6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18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21" xfId="0" applyFont="1" applyBorder="1"/>
    <xf numFmtId="0" fontId="4" fillId="0" borderId="24" xfId="0" applyFont="1" applyBorder="1" applyAlignment="1">
      <alignment horizontal="left"/>
    </xf>
    <xf numFmtId="10" fontId="4" fillId="0" borderId="0" xfId="0" applyNumberFormat="1" applyFont="1" applyAlignment="1">
      <alignment horizontal="right"/>
    </xf>
    <xf numFmtId="0" fontId="88" fillId="0" borderId="0" xfId="0" applyFont="1"/>
    <xf numFmtId="0" fontId="59" fillId="0" borderId="0" xfId="0" applyFont="1" applyFill="1" applyBorder="1"/>
    <xf numFmtId="0" fontId="89" fillId="0" borderId="0" xfId="0" applyFont="1"/>
    <xf numFmtId="0" fontId="5" fillId="0" borderId="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66" fontId="59" fillId="0" borderId="16" xfId="0" applyNumberFormat="1" applyFont="1" applyFill="1" applyBorder="1" applyAlignment="1">
      <alignment horizontal="center"/>
    </xf>
    <xf numFmtId="0" fontId="5" fillId="0" borderId="0" xfId="0" applyFont="1" applyBorder="1"/>
    <xf numFmtId="3" fontId="25" fillId="0" borderId="0" xfId="0" applyNumberFormat="1" applyFont="1" applyFill="1" applyBorder="1" applyAlignment="1">
      <alignment horizontal="right"/>
    </xf>
    <xf numFmtId="0" fontId="75" fillId="0" borderId="0" xfId="0" applyFont="1" applyBorder="1"/>
    <xf numFmtId="0" fontId="75" fillId="0" borderId="0" xfId="0" applyFont="1" applyBorder="1" applyAlignment="1">
      <alignment horizontal="right"/>
    </xf>
    <xf numFmtId="9" fontId="75" fillId="0" borderId="0" xfId="6" applyFont="1" applyBorder="1" applyAlignment="1">
      <alignment horizontal="right"/>
    </xf>
    <xf numFmtId="0" fontId="4" fillId="0" borderId="0" xfId="0" applyFont="1" applyFill="1" applyAlignment="1">
      <alignment horizontal="center" vertical="center"/>
    </xf>
    <xf numFmtId="3" fontId="36" fillId="0" borderId="1" xfId="0" applyNumberFormat="1" applyFont="1" applyFill="1" applyBorder="1" applyAlignment="1">
      <alignment horizontal="right"/>
    </xf>
    <xf numFmtId="0" fontId="37" fillId="29" borderId="1" xfId="0" applyFont="1" applyFill="1" applyBorder="1" applyAlignment="1">
      <alignment horizontal="right"/>
    </xf>
    <xf numFmtId="3" fontId="5" fillId="29" borderId="1" xfId="0" applyNumberFormat="1" applyFont="1" applyFill="1" applyBorder="1" applyAlignment="1">
      <alignment horizontal="center"/>
    </xf>
    <xf numFmtId="0" fontId="5" fillId="29" borderId="1" xfId="0" applyFont="1" applyFill="1" applyBorder="1" applyAlignment="1">
      <alignment horizontal="right"/>
    </xf>
    <xf numFmtId="3" fontId="90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center"/>
    </xf>
    <xf numFmtId="9" fontId="10" fillId="0" borderId="0" xfId="6" applyFont="1" applyFill="1" applyBorder="1" applyAlignment="1">
      <alignment horizontal="center"/>
    </xf>
    <xf numFmtId="3" fontId="75" fillId="0" borderId="0" xfId="0" applyNumberFormat="1" applyFont="1" applyFill="1" applyBorder="1" applyAlignment="1">
      <alignment horizontal="right"/>
    </xf>
    <xf numFmtId="3" fontId="90" fillId="0" borderId="0" xfId="0" applyNumberFormat="1" applyFont="1" applyAlignment="1">
      <alignment horizontal="right"/>
    </xf>
    <xf numFmtId="3" fontId="5" fillId="34" borderId="0" xfId="0" applyNumberFormat="1" applyFont="1" applyFill="1" applyAlignment="1">
      <alignment horizontal="center"/>
    </xf>
    <xf numFmtId="3" fontId="6" fillId="34" borderId="2" xfId="0" applyNumberFormat="1" applyFont="1" applyFill="1" applyBorder="1" applyAlignment="1">
      <alignment horizontal="right"/>
    </xf>
    <xf numFmtId="10" fontId="5" fillId="12" borderId="0" xfId="6" applyNumberFormat="1" applyFont="1" applyFill="1"/>
    <xf numFmtId="166" fontId="4" fillId="28" borderId="1" xfId="0" applyNumberFormat="1" applyFont="1" applyFill="1" applyBorder="1" applyAlignment="1">
      <alignment horizontal="center"/>
    </xf>
    <xf numFmtId="166" fontId="4" fillId="28" borderId="3" xfId="0" applyNumberFormat="1" applyFont="1" applyFill="1" applyBorder="1" applyAlignment="1">
      <alignment horizontal="center"/>
    </xf>
    <xf numFmtId="3" fontId="4" fillId="28" borderId="24" xfId="0" applyNumberFormat="1" applyFont="1" applyFill="1" applyBorder="1" applyAlignment="1">
      <alignment horizontal="center"/>
    </xf>
    <xf numFmtId="3" fontId="4" fillId="28" borderId="15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28" borderId="3" xfId="0" applyFont="1" applyFill="1" applyBorder="1" applyAlignment="1">
      <alignment horizontal="center"/>
    </xf>
    <xf numFmtId="3" fontId="4" fillId="28" borderId="0" xfId="0" applyNumberFormat="1" applyFont="1" applyFill="1" applyBorder="1" applyAlignment="1">
      <alignment horizontal="center"/>
    </xf>
    <xf numFmtId="3" fontId="4" fillId="28" borderId="17" xfId="0" applyNumberFormat="1" applyFont="1" applyFill="1" applyBorder="1" applyAlignment="1">
      <alignment horizontal="center"/>
    </xf>
    <xf numFmtId="3" fontId="4" fillId="28" borderId="12" xfId="0" applyNumberFormat="1" applyFont="1" applyFill="1" applyBorder="1" applyAlignment="1">
      <alignment horizontal="center"/>
    </xf>
    <xf numFmtId="3" fontId="4" fillId="28" borderId="21" xfId="0" applyNumberFormat="1" applyFont="1" applyFill="1" applyBorder="1" applyAlignment="1">
      <alignment horizontal="center"/>
    </xf>
    <xf numFmtId="10" fontId="4" fillId="28" borderId="24" xfId="6" applyNumberFormat="1" applyFont="1" applyFill="1" applyBorder="1" applyAlignment="1">
      <alignment horizontal="center"/>
    </xf>
    <xf numFmtId="10" fontId="4" fillId="28" borderId="15" xfId="6" applyNumberFormat="1" applyFont="1" applyFill="1" applyBorder="1" applyAlignment="1">
      <alignment horizontal="center"/>
    </xf>
    <xf numFmtId="10" fontId="4" fillId="28" borderId="0" xfId="6" applyNumberFormat="1" applyFont="1" applyFill="1" applyBorder="1" applyAlignment="1">
      <alignment horizontal="center"/>
    </xf>
    <xf numFmtId="10" fontId="4" fillId="28" borderId="17" xfId="6" applyNumberFormat="1" applyFont="1" applyFill="1" applyBorder="1" applyAlignment="1">
      <alignment horizontal="center"/>
    </xf>
    <xf numFmtId="10" fontId="4" fillId="28" borderId="12" xfId="6" applyNumberFormat="1" applyFont="1" applyFill="1" applyBorder="1" applyAlignment="1">
      <alignment horizontal="center"/>
    </xf>
    <xf numFmtId="10" fontId="4" fillId="28" borderId="21" xfId="6" applyNumberFormat="1" applyFont="1" applyFill="1" applyBorder="1" applyAlignment="1">
      <alignment horizontal="center"/>
    </xf>
    <xf numFmtId="3" fontId="4" fillId="28" borderId="24" xfId="0" applyNumberFormat="1" applyFont="1" applyFill="1" applyBorder="1" applyAlignment="1">
      <alignment horizontal="right"/>
    </xf>
    <xf numFmtId="3" fontId="4" fillId="28" borderId="15" xfId="0" applyNumberFormat="1" applyFont="1" applyFill="1" applyBorder="1" applyAlignment="1">
      <alignment horizontal="right"/>
    </xf>
    <xf numFmtId="3" fontId="4" fillId="28" borderId="0" xfId="0" applyNumberFormat="1" applyFont="1" applyFill="1" applyBorder="1" applyAlignment="1">
      <alignment horizontal="right"/>
    </xf>
    <xf numFmtId="3" fontId="4" fillId="28" borderId="17" xfId="0" applyNumberFormat="1" applyFont="1" applyFill="1" applyBorder="1" applyAlignment="1">
      <alignment horizontal="right"/>
    </xf>
    <xf numFmtId="3" fontId="4" fillId="28" borderId="12" xfId="0" applyNumberFormat="1" applyFont="1" applyFill="1" applyBorder="1" applyAlignment="1">
      <alignment horizontal="right"/>
    </xf>
    <xf numFmtId="3" fontId="4" fillId="28" borderId="21" xfId="0" applyNumberFormat="1" applyFont="1" applyFill="1" applyBorder="1" applyAlignment="1">
      <alignment horizontal="right"/>
    </xf>
    <xf numFmtId="44" fontId="50" fillId="2" borderId="0" xfId="2" applyFont="1" applyFill="1" applyBorder="1" applyAlignment="1">
      <alignment horizontal="center"/>
    </xf>
    <xf numFmtId="3" fontId="82" fillId="0" borderId="0" xfId="0" applyNumberFormat="1" applyFont="1"/>
    <xf numFmtId="0" fontId="82" fillId="0" borderId="0" xfId="0" applyFont="1" applyAlignment="1">
      <alignment horizontal="right"/>
    </xf>
    <xf numFmtId="46" fontId="91" fillId="0" borderId="0" xfId="0" quotePrefix="1" applyNumberFormat="1" applyFont="1" applyFill="1" applyAlignment="1">
      <alignment horizontal="right"/>
    </xf>
    <xf numFmtId="3" fontId="91" fillId="0" borderId="0" xfId="0" applyNumberFormat="1" applyFont="1" applyFill="1" applyAlignment="1">
      <alignment horizontal="right"/>
    </xf>
    <xf numFmtId="9" fontId="91" fillId="0" borderId="0" xfId="6" applyFont="1" applyFill="1" applyAlignment="1">
      <alignment horizontal="center"/>
    </xf>
    <xf numFmtId="0" fontId="4" fillId="28" borderId="1" xfId="0" applyFont="1" applyFill="1" applyBorder="1" applyAlignment="1">
      <alignment horizontal="right"/>
    </xf>
    <xf numFmtId="9" fontId="92" fillId="0" borderId="0" xfId="6" applyFont="1" applyFill="1" applyAlignment="1">
      <alignment horizontal="right"/>
    </xf>
    <xf numFmtId="3" fontId="93" fillId="0" borderId="0" xfId="0" applyNumberFormat="1" applyFont="1" applyBorder="1" applyAlignment="1">
      <alignment horizontal="right"/>
    </xf>
    <xf numFmtId="0" fontId="75" fillId="0" borderId="0" xfId="0" applyFont="1" applyFill="1" applyBorder="1"/>
    <xf numFmtId="0" fontId="44" fillId="0" borderId="1" xfId="0" applyFont="1" applyBorder="1" applyAlignment="1">
      <alignment horizontal="center"/>
    </xf>
    <xf numFmtId="0" fontId="5" fillId="16" borderId="1" xfId="0" applyFont="1" applyFill="1" applyBorder="1" applyAlignment="1">
      <alignment horizontal="center" vertical="center" wrapText="1"/>
    </xf>
    <xf numFmtId="3" fontId="21" fillId="12" borderId="44" xfId="0" applyNumberFormat="1" applyFont="1" applyFill="1" applyBorder="1" applyAlignment="1"/>
    <xf numFmtId="0" fontId="5" fillId="0" borderId="0" xfId="3" applyFont="1" applyBorder="1" applyAlignment="1">
      <alignment horizontal="center"/>
    </xf>
    <xf numFmtId="0" fontId="4" fillId="12" borderId="0" xfId="3" applyFont="1" applyFill="1" applyBorder="1" applyAlignment="1">
      <alignment horizontal="center"/>
    </xf>
    <xf numFmtId="0" fontId="17" fillId="16" borderId="12" xfId="0" applyFont="1" applyFill="1" applyBorder="1"/>
    <xf numFmtId="0" fontId="17" fillId="16" borderId="21" xfId="0" applyFont="1" applyFill="1" applyBorder="1"/>
    <xf numFmtId="0" fontId="22" fillId="16" borderId="12" xfId="0" applyFont="1" applyFill="1" applyBorder="1"/>
    <xf numFmtId="14" fontId="6" fillId="10" borderId="0" xfId="0" applyNumberFormat="1" applyFont="1" applyFill="1"/>
    <xf numFmtId="0" fontId="5" fillId="10" borderId="0" xfId="0" applyFont="1" applyFill="1"/>
    <xf numFmtId="0" fontId="17" fillId="10" borderId="0" xfId="0" applyFont="1" applyFill="1"/>
    <xf numFmtId="3" fontId="94" fillId="0" borderId="0" xfId="0" applyNumberFormat="1" applyFont="1"/>
    <xf numFmtId="3" fontId="27" fillId="0" borderId="0" xfId="0" applyNumberFormat="1" applyFont="1" applyFill="1" applyBorder="1" applyAlignment="1">
      <alignment horizontal="right"/>
    </xf>
    <xf numFmtId="3" fontId="61" fillId="0" borderId="0" xfId="0" applyNumberFormat="1" applyFont="1" applyFill="1" applyBorder="1" applyAlignment="1">
      <alignment horizontal="right"/>
    </xf>
    <xf numFmtId="3" fontId="75" fillId="0" borderId="0" xfId="0" applyNumberFormat="1" applyFont="1" applyFill="1" applyAlignment="1">
      <alignment horizontal="right"/>
    </xf>
    <xf numFmtId="4" fontId="75" fillId="0" borderId="0" xfId="0" applyNumberFormat="1" applyFont="1" applyFill="1" applyAlignment="1">
      <alignment horizontal="center"/>
    </xf>
    <xf numFmtId="4" fontId="75" fillId="0" borderId="0" xfId="0" applyNumberFormat="1" applyFont="1" applyFill="1" applyAlignment="1">
      <alignment horizontal="left"/>
    </xf>
    <xf numFmtId="173" fontId="74" fillId="0" borderId="2" xfId="2" applyNumberFormat="1" applyFont="1" applyFill="1" applyBorder="1" applyAlignment="1">
      <alignment horizontal="right"/>
    </xf>
    <xf numFmtId="0" fontId="95" fillId="0" borderId="0" xfId="0" applyFont="1" applyAlignment="1">
      <alignment horizontal="left"/>
    </xf>
    <xf numFmtId="0" fontId="95" fillId="0" borderId="0" xfId="0" applyFont="1" applyAlignment="1">
      <alignment horizontal="center"/>
    </xf>
    <xf numFmtId="9" fontId="5" fillId="0" borderId="0" xfId="6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75" fillId="0" borderId="0" xfId="0" applyNumberFormat="1" applyFont="1" applyFill="1"/>
    <xf numFmtId="0" fontId="5" fillId="23" borderId="1" xfId="0" applyFont="1" applyFill="1" applyBorder="1" applyAlignment="1">
      <alignment horizontal="center" wrapText="1"/>
    </xf>
    <xf numFmtId="0" fontId="5" fillId="36" borderId="1" xfId="0" applyFont="1" applyFill="1" applyBorder="1" applyAlignment="1">
      <alignment horizontal="center" wrapText="1"/>
    </xf>
    <xf numFmtId="0" fontId="5" fillId="0" borderId="38" xfId="0" applyFont="1" applyFill="1" applyBorder="1"/>
    <xf numFmtId="10" fontId="4" fillId="0" borderId="40" xfId="0" applyNumberFormat="1" applyFont="1" applyBorder="1"/>
    <xf numFmtId="0" fontId="5" fillId="0" borderId="41" xfId="0" applyFont="1" applyFill="1" applyBorder="1"/>
    <xf numFmtId="10" fontId="4" fillId="0" borderId="42" xfId="0" applyNumberFormat="1" applyFont="1" applyBorder="1"/>
    <xf numFmtId="0" fontId="5" fillId="0" borderId="43" xfId="0" applyFont="1" applyFill="1" applyBorder="1"/>
    <xf numFmtId="3" fontId="5" fillId="0" borderId="48" xfId="2" applyNumberFormat="1" applyFont="1" applyBorder="1"/>
    <xf numFmtId="3" fontId="5" fillId="16" borderId="47" xfId="2" applyNumberFormat="1" applyFont="1" applyFill="1" applyBorder="1"/>
    <xf numFmtId="3" fontId="5" fillId="16" borderId="26" xfId="2" applyNumberFormat="1" applyFont="1" applyFill="1" applyBorder="1"/>
    <xf numFmtId="3" fontId="4" fillId="0" borderId="1" xfId="2" applyNumberFormat="1" applyFont="1" applyFill="1" applyBorder="1"/>
    <xf numFmtId="1" fontId="4" fillId="0" borderId="0" xfId="6" applyNumberFormat="1" applyFont="1"/>
    <xf numFmtId="1" fontId="4" fillId="0" borderId="0" xfId="0" applyNumberFormat="1" applyFont="1"/>
    <xf numFmtId="4" fontId="17" fillId="32" borderId="0" xfId="0" applyNumberFormat="1" applyFont="1" applyFill="1"/>
    <xf numFmtId="44" fontId="96" fillId="0" borderId="0" xfId="2" applyFont="1" applyFill="1" applyBorder="1"/>
    <xf numFmtId="3" fontId="97" fillId="0" borderId="0" xfId="0" applyNumberFormat="1" applyFont="1"/>
    <xf numFmtId="3" fontId="5" fillId="11" borderId="48" xfId="0" applyNumberFormat="1" applyFont="1" applyFill="1" applyBorder="1" applyAlignment="1">
      <alignment horizontal="right"/>
    </xf>
    <xf numFmtId="3" fontId="5" fillId="0" borderId="24" xfId="0" applyNumberFormat="1" applyFont="1" applyBorder="1" applyAlignment="1">
      <alignment horizontal="right"/>
    </xf>
    <xf numFmtId="3" fontId="5" fillId="0" borderId="26" xfId="0" applyNumberFormat="1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3" fontId="5" fillId="11" borderId="38" xfId="0" applyNumberFormat="1" applyFont="1" applyFill="1" applyBorder="1" applyAlignment="1">
      <alignment horizontal="right"/>
    </xf>
    <xf numFmtId="3" fontId="5" fillId="11" borderId="40" xfId="0" applyNumberFormat="1" applyFont="1" applyFill="1" applyBorder="1" applyAlignment="1">
      <alignment horizontal="right"/>
    </xf>
    <xf numFmtId="3" fontId="5" fillId="11" borderId="41" xfId="0" applyNumberFormat="1" applyFont="1" applyFill="1" applyBorder="1" applyAlignment="1">
      <alignment horizontal="right"/>
    </xf>
    <xf numFmtId="3" fontId="5" fillId="11" borderId="42" xfId="0" applyNumberFormat="1" applyFont="1" applyFill="1" applyBorder="1" applyAlignment="1">
      <alignment horizontal="right"/>
    </xf>
    <xf numFmtId="3" fontId="5" fillId="11" borderId="43" xfId="0" applyNumberFormat="1" applyFont="1" applyFill="1" applyBorder="1" applyAlignment="1">
      <alignment horizontal="right"/>
    </xf>
    <xf numFmtId="3" fontId="5" fillId="11" borderId="45" xfId="0" applyNumberFormat="1" applyFont="1" applyFill="1" applyBorder="1" applyAlignment="1">
      <alignment horizontal="right"/>
    </xf>
    <xf numFmtId="4" fontId="97" fillId="0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right"/>
    </xf>
    <xf numFmtId="3" fontId="5" fillId="9" borderId="0" xfId="0" applyNumberFormat="1" applyFont="1" applyFill="1"/>
    <xf numFmtId="3" fontId="5" fillId="37" borderId="2" xfId="0" applyNumberFormat="1" applyFont="1" applyFill="1" applyBorder="1" applyAlignment="1"/>
    <xf numFmtId="0" fontId="97" fillId="0" borderId="0" xfId="0" applyFont="1" applyFill="1" applyBorder="1" applyAlignment="1">
      <alignment horizontal="right"/>
    </xf>
    <xf numFmtId="3" fontId="98" fillId="0" borderId="0" xfId="0" applyNumberFormat="1" applyFont="1" applyFill="1" applyBorder="1" applyAlignment="1"/>
    <xf numFmtId="0" fontId="5" fillId="38" borderId="0" xfId="0" applyFont="1" applyFill="1" applyAlignment="1">
      <alignment horizontal="right"/>
    </xf>
    <xf numFmtId="3" fontId="5" fillId="38" borderId="0" xfId="0" applyNumberFormat="1" applyFont="1" applyFill="1"/>
    <xf numFmtId="0" fontId="55" fillId="0" borderId="0" xfId="0" applyFont="1" applyFill="1"/>
    <xf numFmtId="0" fontId="97" fillId="0" borderId="0" xfId="0" applyFont="1" applyAlignment="1">
      <alignment horizontal="right"/>
    </xf>
    <xf numFmtId="3" fontId="4" fillId="0" borderId="15" xfId="0" applyNumberFormat="1" applyFont="1" applyBorder="1"/>
    <xf numFmtId="3" fontId="5" fillId="20" borderId="47" xfId="0" applyNumberFormat="1" applyFont="1" applyFill="1" applyBorder="1" applyAlignment="1">
      <alignment horizontal="right"/>
    </xf>
    <xf numFmtId="3" fontId="5" fillId="3" borderId="47" xfId="0" applyNumberFormat="1" applyFont="1" applyFill="1" applyBorder="1" applyAlignment="1">
      <alignment horizontal="right"/>
    </xf>
    <xf numFmtId="3" fontId="5" fillId="15" borderId="48" xfId="0" applyNumberFormat="1" applyFont="1" applyFill="1" applyBorder="1" applyAlignment="1">
      <alignment horizontal="right"/>
    </xf>
    <xf numFmtId="3" fontId="5" fillId="0" borderId="48" xfId="0" applyNumberFormat="1" applyFont="1" applyFill="1" applyBorder="1"/>
    <xf numFmtId="3" fontId="5" fillId="37" borderId="0" xfId="2" applyNumberFormat="1" applyFont="1" applyFill="1"/>
    <xf numFmtId="44" fontId="0" fillId="0" borderId="0" xfId="0" applyNumberFormat="1"/>
    <xf numFmtId="0" fontId="5" fillId="9" borderId="28" xfId="0" applyFont="1" applyFill="1" applyBorder="1" applyAlignment="1">
      <alignment horizontal="center" vertical="center" wrapText="1"/>
    </xf>
    <xf numFmtId="0" fontId="5" fillId="16" borderId="22" xfId="0" applyFont="1" applyFill="1" applyBorder="1"/>
    <xf numFmtId="44" fontId="96" fillId="0" borderId="0" xfId="2" applyFont="1" applyFill="1" applyBorder="1" applyAlignment="1"/>
    <xf numFmtId="0" fontId="74" fillId="0" borderId="0" xfId="0" applyFont="1" applyFill="1" applyAlignment="1">
      <alignment horizontal="center"/>
    </xf>
    <xf numFmtId="7" fontId="75" fillId="0" borderId="0" xfId="1" applyNumberFormat="1" applyFont="1" applyFill="1" applyBorder="1"/>
    <xf numFmtId="7" fontId="74" fillId="0" borderId="0" xfId="1" applyNumberFormat="1" applyFont="1" applyFill="1" applyBorder="1"/>
    <xf numFmtId="171" fontId="100" fillId="0" borderId="0" xfId="0" applyNumberFormat="1" applyFont="1" applyFill="1" applyBorder="1"/>
    <xf numFmtId="170" fontId="75" fillId="0" borderId="0" xfId="2" applyNumberFormat="1" applyFont="1" applyFill="1" applyBorder="1"/>
    <xf numFmtId="4" fontId="7" fillId="0" borderId="0" xfId="0" applyNumberFormat="1" applyFont="1" applyAlignment="1">
      <alignment horizontal="right"/>
    </xf>
    <xf numFmtId="3" fontId="6" fillId="33" borderId="0" xfId="0" applyNumberFormat="1" applyFont="1" applyFill="1" applyAlignment="1">
      <alignment horizontal="center"/>
    </xf>
    <xf numFmtId="3" fontId="5" fillId="33" borderId="0" xfId="0" applyNumberFormat="1" applyFont="1" applyFill="1" applyAlignment="1">
      <alignment horizontal="center"/>
    </xf>
    <xf numFmtId="3" fontId="98" fillId="0" borderId="0" xfId="0" applyNumberFormat="1" applyFont="1" applyFill="1" applyAlignment="1">
      <alignment horizontal="right"/>
    </xf>
    <xf numFmtId="0" fontId="5" fillId="9" borderId="53" xfId="0" applyFont="1" applyFill="1" applyBorder="1" applyAlignment="1">
      <alignment horizontal="center" wrapText="1"/>
    </xf>
    <xf numFmtId="0" fontId="4" fillId="0" borderId="22" xfId="0" applyFont="1" applyFill="1" applyBorder="1" applyAlignment="1">
      <alignment horizontal="center" vertical="center"/>
    </xf>
    <xf numFmtId="3" fontId="98" fillId="0" borderId="28" xfId="0" applyNumberFormat="1" applyFont="1" applyFill="1" applyBorder="1" applyAlignment="1">
      <alignment horizontal="right" vertical="center" wrapText="1"/>
    </xf>
    <xf numFmtId="9" fontId="4" fillId="10" borderId="23" xfId="6" applyFont="1" applyFill="1" applyBorder="1" applyAlignment="1">
      <alignment horizontal="center" wrapText="1"/>
    </xf>
    <xf numFmtId="0" fontId="4" fillId="0" borderId="28" xfId="0" applyFont="1" applyFill="1" applyBorder="1" applyAlignment="1">
      <alignment horizontal="center" vertical="center" wrapText="1"/>
    </xf>
    <xf numFmtId="168" fontId="78" fillId="0" borderId="0" xfId="6" applyNumberFormat="1" applyFont="1" applyFill="1" applyBorder="1"/>
    <xf numFmtId="168" fontId="4" fillId="0" borderId="0" xfId="6" applyNumberFormat="1" applyFont="1" applyFill="1" applyBorder="1"/>
    <xf numFmtId="0" fontId="7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4" xfId="0" applyFont="1" applyBorder="1"/>
    <xf numFmtId="3" fontId="5" fillId="0" borderId="5" xfId="0" applyNumberFormat="1" applyFont="1" applyBorder="1" applyAlignment="1">
      <alignment horizontal="right"/>
    </xf>
    <xf numFmtId="0" fontId="4" fillId="0" borderId="5" xfId="0" applyFont="1" applyBorder="1"/>
    <xf numFmtId="3" fontId="4" fillId="0" borderId="5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81" fillId="0" borderId="8" xfId="0" applyFont="1" applyBorder="1"/>
    <xf numFmtId="0" fontId="4" fillId="0" borderId="9" xfId="0" applyFont="1" applyBorder="1"/>
    <xf numFmtId="0" fontId="4" fillId="0" borderId="8" xfId="0" applyFont="1" applyBorder="1" applyAlignment="1"/>
    <xf numFmtId="3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47" xfId="0" applyFont="1" applyBorder="1" applyAlignment="1"/>
    <xf numFmtId="0" fontId="4" fillId="0" borderId="26" xfId="0" applyFont="1" applyFill="1" applyBorder="1"/>
    <xf numFmtId="0" fontId="4" fillId="0" borderId="26" xfId="0" applyFont="1" applyBorder="1"/>
    <xf numFmtId="3" fontId="78" fillId="0" borderId="54" xfId="0" applyNumberFormat="1" applyFont="1" applyFill="1" applyBorder="1"/>
    <xf numFmtId="4" fontId="41" fillId="0" borderId="0" xfId="0" applyNumberFormat="1" applyFont="1"/>
    <xf numFmtId="0" fontId="4" fillId="0" borderId="43" xfId="0" applyFont="1" applyBorder="1"/>
    <xf numFmtId="0" fontId="4" fillId="0" borderId="44" xfId="0" applyFont="1" applyBorder="1"/>
    <xf numFmtId="0" fontId="4" fillId="0" borderId="55" xfId="0" applyFont="1" applyBorder="1"/>
    <xf numFmtId="0" fontId="4" fillId="33" borderId="50" xfId="0" applyFont="1" applyFill="1" applyBorder="1"/>
    <xf numFmtId="0" fontId="4" fillId="33" borderId="20" xfId="0" applyFont="1" applyFill="1" applyBorder="1"/>
    <xf numFmtId="0" fontId="4" fillId="33" borderId="21" xfId="0" applyFont="1" applyFill="1" applyBorder="1"/>
    <xf numFmtId="0" fontId="4" fillId="33" borderId="41" xfId="0" applyFont="1" applyFill="1" applyBorder="1"/>
    <xf numFmtId="0" fontId="4" fillId="33" borderId="1" xfId="0" applyFont="1" applyFill="1" applyBorder="1"/>
    <xf numFmtId="0" fontId="4" fillId="33" borderId="19" xfId="0" applyFont="1" applyFill="1" applyBorder="1"/>
    <xf numFmtId="0" fontId="4" fillId="33" borderId="43" xfId="0" applyFont="1" applyFill="1" applyBorder="1"/>
    <xf numFmtId="0" fontId="4" fillId="33" borderId="44" xfId="0" applyFont="1" applyFill="1" applyBorder="1"/>
    <xf numFmtId="0" fontId="4" fillId="33" borderId="55" xfId="0" applyFont="1" applyFill="1" applyBorder="1"/>
    <xf numFmtId="0" fontId="5" fillId="33" borderId="1" xfId="0" applyFont="1" applyFill="1" applyBorder="1"/>
    <xf numFmtId="0" fontId="102" fillId="0" borderId="0" xfId="0" applyFont="1"/>
    <xf numFmtId="0" fontId="4" fillId="12" borderId="1" xfId="3" applyFont="1" applyFill="1" applyBorder="1" applyAlignment="1">
      <alignment horizontal="center"/>
    </xf>
    <xf numFmtId="0" fontId="4" fillId="0" borderId="45" xfId="0" applyFont="1" applyBorder="1"/>
    <xf numFmtId="0" fontId="4" fillId="33" borderId="51" xfId="0" applyFont="1" applyFill="1" applyBorder="1"/>
    <xf numFmtId="0" fontId="4" fillId="33" borderId="42" xfId="0" applyFont="1" applyFill="1" applyBorder="1"/>
    <xf numFmtId="0" fontId="4" fillId="33" borderId="45" xfId="0" applyFont="1" applyFill="1" applyBorder="1"/>
    <xf numFmtId="9" fontId="5" fillId="0" borderId="0" xfId="6" applyFont="1" applyFill="1" applyBorder="1"/>
    <xf numFmtId="4" fontId="4" fillId="0" borderId="0" xfId="0" applyNumberFormat="1" applyFont="1" applyFill="1" applyBorder="1" applyAlignment="1">
      <alignment horizontal="right"/>
    </xf>
    <xf numFmtId="9" fontId="4" fillId="0" borderId="0" xfId="6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59" fillId="0" borderId="0" xfId="3" applyFont="1" applyFill="1" applyAlignment="1">
      <alignment horizontal="center"/>
    </xf>
    <xf numFmtId="0" fontId="57" fillId="0" borderId="0" xfId="0" applyFont="1" applyFill="1" applyAlignment="1">
      <alignment horizontal="center"/>
    </xf>
    <xf numFmtId="2" fontId="4" fillId="12" borderId="20" xfId="0" applyNumberFormat="1" applyFont="1" applyFill="1" applyBorder="1" applyAlignment="1">
      <alignment horizontal="right"/>
    </xf>
    <xf numFmtId="2" fontId="4" fillId="12" borderId="1" xfId="0" applyNumberFormat="1" applyFont="1" applyFill="1" applyBorder="1" applyAlignment="1">
      <alignment horizontal="right"/>
    </xf>
    <xf numFmtId="10" fontId="21" fillId="0" borderId="26" xfId="0" applyNumberFormat="1" applyFont="1" applyBorder="1"/>
    <xf numFmtId="4" fontId="21" fillId="0" borderId="56" xfId="0" applyNumberFormat="1" applyFont="1" applyBorder="1" applyAlignment="1">
      <alignment horizontal="right"/>
    </xf>
    <xf numFmtId="10" fontId="4" fillId="0" borderId="52" xfId="0" applyNumberFormat="1" applyFont="1" applyBorder="1"/>
    <xf numFmtId="10" fontId="60" fillId="0" borderId="1" xfId="0" applyNumberFormat="1" applyFont="1" applyBorder="1"/>
    <xf numFmtId="0" fontId="5" fillId="0" borderId="0" xfId="0" applyFont="1" applyAlignment="1">
      <alignment horizontal="center"/>
    </xf>
    <xf numFmtId="4" fontId="7" fillId="0" borderId="0" xfId="0" quotePrefix="1" applyNumberFormat="1" applyFont="1" applyAlignment="1">
      <alignment horizontal="left"/>
    </xf>
    <xf numFmtId="14" fontId="79" fillId="0" borderId="0" xfId="0" applyNumberFormat="1" applyFont="1"/>
    <xf numFmtId="0" fontId="79" fillId="10" borderId="0" xfId="0" applyFont="1" applyFill="1"/>
    <xf numFmtId="0" fontId="79" fillId="10" borderId="0" xfId="0" applyFont="1" applyFill="1" applyAlignment="1">
      <alignment horizontal="center"/>
    </xf>
    <xf numFmtId="44" fontId="80" fillId="10" borderId="0" xfId="2" applyFont="1" applyFill="1"/>
    <xf numFmtId="44" fontId="80" fillId="0" borderId="0" xfId="0" applyNumberFormat="1" applyFont="1"/>
    <xf numFmtId="44" fontId="79" fillId="0" borderId="0" xfId="2" applyFont="1"/>
    <xf numFmtId="0" fontId="8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2" applyFont="1" applyFill="1" applyAlignment="1">
      <alignment horizontal="right"/>
    </xf>
    <xf numFmtId="170" fontId="4" fillId="0" borderId="0" xfId="2" applyNumberFormat="1" applyFont="1" applyFill="1"/>
    <xf numFmtId="170" fontId="5" fillId="0" borderId="0" xfId="2" applyNumberFormat="1" applyFont="1" applyFill="1"/>
    <xf numFmtId="170" fontId="5" fillId="0" borderId="0" xfId="2" applyNumberFormat="1" applyFont="1" applyFill="1" applyBorder="1"/>
    <xf numFmtId="0" fontId="5" fillId="0" borderId="0" xfId="2" applyNumberFormat="1" applyFont="1" applyFill="1"/>
    <xf numFmtId="44" fontId="5" fillId="0" borderId="0" xfId="2" applyFont="1" applyFill="1"/>
    <xf numFmtId="170" fontId="59" fillId="0" borderId="0" xfId="2" applyNumberFormat="1" applyFont="1" applyFill="1"/>
    <xf numFmtId="173" fontId="4" fillId="0" borderId="0" xfId="0" applyNumberFormat="1" applyFont="1" applyFill="1"/>
    <xf numFmtId="2" fontId="6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12" borderId="0" xfId="9" applyFont="1" applyFill="1" applyBorder="1" applyAlignment="1">
      <alignment horizontal="center"/>
    </xf>
    <xf numFmtId="0" fontId="10" fillId="0" borderId="0" xfId="9" applyFont="1" applyBorder="1" applyAlignment="1">
      <alignment horizontal="right"/>
    </xf>
    <xf numFmtId="14" fontId="10" fillId="0" borderId="0" xfId="9" applyNumberFormat="1" applyFont="1" applyBorder="1"/>
    <xf numFmtId="3" fontId="4" fillId="33" borderId="57" xfId="0" applyNumberFormat="1" applyFont="1" applyFill="1" applyBorder="1"/>
    <xf numFmtId="0" fontId="17" fillId="33" borderId="19" xfId="0" applyFont="1" applyFill="1" applyBorder="1"/>
    <xf numFmtId="0" fontId="22" fillId="16" borderId="18" xfId="0" applyFont="1" applyFill="1" applyBorder="1"/>
    <xf numFmtId="0" fontId="103" fillId="0" borderId="0" xfId="0" applyFont="1"/>
    <xf numFmtId="0" fontId="4" fillId="33" borderId="1" xfId="9" applyFont="1" applyFill="1" applyBorder="1"/>
    <xf numFmtId="0" fontId="4" fillId="33" borderId="20" xfId="9" applyFont="1" applyFill="1" applyBorder="1"/>
    <xf numFmtId="0" fontId="4" fillId="33" borderId="50" xfId="9" applyFont="1" applyFill="1" applyBorder="1"/>
    <xf numFmtId="0" fontId="4" fillId="33" borderId="41" xfId="9" applyFont="1" applyFill="1" applyBorder="1"/>
    <xf numFmtId="0" fontId="4" fillId="33" borderId="43" xfId="9" applyFont="1" applyFill="1" applyBorder="1"/>
    <xf numFmtId="0" fontId="4" fillId="33" borderId="44" xfId="9" applyFont="1" applyFill="1" applyBorder="1"/>
    <xf numFmtId="49" fontId="0" fillId="40" borderId="1" xfId="0" applyNumberFormat="1" applyFill="1" applyBorder="1"/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04" fillId="0" borderId="0" xfId="0" applyFont="1"/>
    <xf numFmtId="0" fontId="105" fillId="0" borderId="0" xfId="0" applyFont="1"/>
    <xf numFmtId="9" fontId="4" fillId="12" borderId="53" xfId="0" applyNumberFormat="1" applyFont="1" applyFill="1" applyBorder="1" applyAlignment="1">
      <alignment horizontal="center" wrapText="1"/>
    </xf>
    <xf numFmtId="0" fontId="105" fillId="0" borderId="0" xfId="0" applyFont="1" applyAlignment="1">
      <alignment horizontal="right"/>
    </xf>
    <xf numFmtId="44" fontId="59" fillId="0" borderId="0" xfId="0" applyNumberFormat="1" applyFont="1"/>
    <xf numFmtId="3" fontId="59" fillId="0" borderId="0" xfId="0" applyNumberFormat="1" applyFont="1" applyFill="1" applyAlignment="1"/>
    <xf numFmtId="10" fontId="5" fillId="0" borderId="0" xfId="6" applyNumberFormat="1" applyFont="1" applyFill="1" applyBorder="1" applyAlignment="1">
      <alignment horizontal="right"/>
    </xf>
    <xf numFmtId="10" fontId="17" fillId="0" borderId="0" xfId="6" applyNumberFormat="1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right"/>
    </xf>
    <xf numFmtId="4" fontId="4" fillId="0" borderId="0" xfId="0" applyNumberFormat="1" applyFont="1" applyFill="1"/>
    <xf numFmtId="0" fontId="79" fillId="0" borderId="0" xfId="0" applyFont="1" applyFill="1"/>
    <xf numFmtId="14" fontId="79" fillId="0" borderId="0" xfId="0" applyNumberFormat="1" applyFont="1" applyFill="1"/>
    <xf numFmtId="0" fontId="106" fillId="0" borderId="0" xfId="0" applyFont="1" applyAlignment="1">
      <alignment horizontal="right"/>
    </xf>
    <xf numFmtId="3" fontId="107" fillId="0" borderId="0" xfId="2" applyNumberFormat="1" applyFont="1" applyBorder="1" applyAlignment="1">
      <alignment horizontal="right"/>
    </xf>
    <xf numFmtId="44" fontId="0" fillId="0" borderId="0" xfId="2" applyFont="1"/>
    <xf numFmtId="9" fontId="0" fillId="0" borderId="0" xfId="6" applyFont="1"/>
    <xf numFmtId="44" fontId="108" fillId="0" borderId="0" xfId="2" applyFont="1" applyFill="1" applyBorder="1"/>
    <xf numFmtId="0" fontId="104" fillId="0" borderId="0" xfId="0" applyNumberFormat="1" applyFont="1"/>
    <xf numFmtId="44" fontId="104" fillId="0" borderId="0" xfId="0" applyNumberFormat="1" applyFont="1"/>
    <xf numFmtId="0" fontId="104" fillId="0" borderId="0" xfId="0" applyNumberFormat="1" applyFont="1" applyAlignment="1">
      <alignment horizontal="center"/>
    </xf>
    <xf numFmtId="3" fontId="74" fillId="0" borderId="0" xfId="0" applyNumberFormat="1" applyFont="1" applyFill="1" applyAlignment="1">
      <alignment horizontal="center"/>
    </xf>
    <xf numFmtId="0" fontId="109" fillId="0" borderId="0" xfId="0" applyFont="1"/>
    <xf numFmtId="10" fontId="75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center"/>
    </xf>
    <xf numFmtId="0" fontId="9" fillId="28" borderId="0" xfId="0" applyFont="1" applyFill="1" applyAlignment="1">
      <alignment horizontal="center" vertical="center" wrapText="1"/>
    </xf>
    <xf numFmtId="0" fontId="5" fillId="41" borderId="0" xfId="0" applyFont="1" applyFill="1" applyAlignment="1">
      <alignment horizontal="center" vertical="center" wrapText="1"/>
    </xf>
    <xf numFmtId="0" fontId="110" fillId="0" borderId="0" xfId="0" applyFont="1"/>
    <xf numFmtId="0" fontId="37" fillId="16" borderId="0" xfId="0" applyFont="1" applyFill="1" applyBorder="1"/>
    <xf numFmtId="0" fontId="22" fillId="16" borderId="0" xfId="0" applyFont="1" applyFill="1" applyBorder="1"/>
    <xf numFmtId="0" fontId="89" fillId="0" borderId="0" xfId="0" applyFont="1" applyFill="1" applyBorder="1" applyAlignment="1">
      <alignment horizontal="left" vertical="center"/>
    </xf>
    <xf numFmtId="0" fontId="89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44" fontId="4" fillId="0" borderId="0" xfId="2" applyFont="1" applyFill="1" applyBorder="1"/>
    <xf numFmtId="10" fontId="4" fillId="0" borderId="0" xfId="6" applyNumberFormat="1" applyFont="1"/>
    <xf numFmtId="0" fontId="5" fillId="10" borderId="0" xfId="0" applyFont="1" applyFill="1" applyAlignment="1">
      <alignment horizontal="left"/>
    </xf>
    <xf numFmtId="0" fontId="4" fillId="10" borderId="46" xfId="5" applyFont="1" applyFill="1" applyAlignment="1">
      <alignment horizontal="center"/>
    </xf>
    <xf numFmtId="0" fontId="4" fillId="43" borderId="0" xfId="0" applyFont="1" applyFill="1" applyAlignment="1">
      <alignment horizontal="center"/>
    </xf>
    <xf numFmtId="0" fontId="5" fillId="23" borderId="1" xfId="0" applyFont="1" applyFill="1" applyBorder="1"/>
    <xf numFmtId="0" fontId="4" fillId="23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10" fontId="4" fillId="23" borderId="1" xfId="6" applyNumberFormat="1" applyFont="1" applyFill="1" applyBorder="1" applyAlignment="1">
      <alignment horizontal="center"/>
    </xf>
    <xf numFmtId="3" fontId="5" fillId="23" borderId="1" xfId="0" applyNumberFormat="1" applyFont="1" applyFill="1" applyBorder="1" applyAlignment="1">
      <alignment horizontal="right"/>
    </xf>
    <xf numFmtId="10" fontId="4" fillId="0" borderId="1" xfId="6" applyNumberFormat="1" applyFont="1" applyBorder="1" applyAlignment="1">
      <alignment horizontal="center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3" fontId="4" fillId="0" borderId="1" xfId="0" applyNumberFormat="1" applyFont="1" applyBorder="1" applyAlignment="1">
      <alignment horizontal="right"/>
    </xf>
    <xf numFmtId="170" fontId="110" fillId="0" borderId="0" xfId="2" applyNumberFormat="1" applyFont="1" applyFill="1"/>
    <xf numFmtId="0" fontId="0" fillId="0" borderId="0" xfId="0" applyAlignment="1">
      <alignment wrapText="1"/>
    </xf>
    <xf numFmtId="0" fontId="4" fillId="16" borderId="1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3" fontId="5" fillId="0" borderId="1" xfId="0" applyNumberFormat="1" applyFont="1" applyFill="1" applyBorder="1" applyAlignment="1">
      <alignment horizontal="right"/>
    </xf>
    <xf numFmtId="4" fontId="7" fillId="13" borderId="1" xfId="0" applyNumberFormat="1" applyFont="1" applyFill="1" applyBorder="1" applyAlignment="1">
      <alignment horizontal="right"/>
    </xf>
    <xf numFmtId="3" fontId="6" fillId="13" borderId="1" xfId="0" applyNumberFormat="1" applyFont="1" applyFill="1" applyBorder="1" applyAlignment="1">
      <alignment horizontal="right"/>
    </xf>
    <xf numFmtId="0" fontId="5" fillId="17" borderId="0" xfId="0" applyFont="1" applyFill="1" applyBorder="1" applyAlignment="1">
      <alignment horizontal="right"/>
    </xf>
    <xf numFmtId="3" fontId="36" fillId="0" borderId="0" xfId="0" applyNumberFormat="1" applyFont="1" applyFill="1" applyBorder="1" applyAlignment="1">
      <alignment horizontal="right"/>
    </xf>
    <xf numFmtId="0" fontId="5" fillId="12" borderId="3" xfId="0" applyFont="1" applyFill="1" applyBorder="1" applyAlignment="1">
      <alignment horizontal="right"/>
    </xf>
    <xf numFmtId="3" fontId="5" fillId="0" borderId="13" xfId="2" applyNumberFormat="1" applyFont="1" applyBorder="1"/>
    <xf numFmtId="3" fontId="5" fillId="0" borderId="14" xfId="2" applyNumberFormat="1" applyFont="1" applyBorder="1"/>
    <xf numFmtId="3" fontId="5" fillId="0" borderId="7" xfId="2" applyNumberFormat="1" applyFont="1" applyBorder="1"/>
    <xf numFmtId="3" fontId="5" fillId="0" borderId="20" xfId="2" applyNumberFormat="1" applyFont="1" applyBorder="1"/>
    <xf numFmtId="3" fontId="5" fillId="0" borderId="18" xfId="2" applyNumberFormat="1" applyFont="1" applyBorder="1"/>
    <xf numFmtId="3" fontId="4" fillId="12" borderId="1" xfId="2" applyNumberFormat="1" applyFont="1" applyFill="1" applyBorder="1"/>
    <xf numFmtId="3" fontId="4" fillId="12" borderId="1" xfId="0" applyNumberFormat="1" applyFont="1" applyFill="1" applyBorder="1"/>
    <xf numFmtId="3" fontId="5" fillId="0" borderId="10" xfId="2" applyNumberFormat="1" applyFont="1" applyBorder="1"/>
    <xf numFmtId="3" fontId="77" fillId="13" borderId="13" xfId="0" applyNumberFormat="1" applyFont="1" applyFill="1" applyBorder="1" applyAlignment="1"/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right"/>
    </xf>
    <xf numFmtId="4" fontId="99" fillId="0" borderId="0" xfId="0" applyNumberFormat="1" applyFont="1" applyFill="1" applyBorder="1"/>
    <xf numFmtId="4" fontId="6" fillId="0" borderId="39" xfId="0" applyNumberFormat="1" applyFont="1" applyFill="1" applyBorder="1" applyAlignment="1">
      <alignment horizontal="right"/>
    </xf>
    <xf numFmtId="0" fontId="17" fillId="17" borderId="0" xfId="0" applyFont="1" applyFill="1" applyAlignment="1">
      <alignment horizontal="right"/>
    </xf>
    <xf numFmtId="4" fontId="111" fillId="17" borderId="39" xfId="0" applyNumberFormat="1" applyFont="1" applyFill="1" applyBorder="1"/>
    <xf numFmtId="4" fontId="6" fillId="33" borderId="2" xfId="0" applyNumberFormat="1" applyFont="1" applyFill="1" applyBorder="1" applyAlignment="1">
      <alignment horizontal="right"/>
    </xf>
    <xf numFmtId="4" fontId="99" fillId="33" borderId="2" xfId="0" applyNumberFormat="1" applyFont="1" applyFill="1" applyBorder="1"/>
    <xf numFmtId="4" fontId="111" fillId="16" borderId="2" xfId="0" applyNumberFormat="1" applyFont="1" applyFill="1" applyBorder="1"/>
    <xf numFmtId="4" fontId="112" fillId="0" borderId="0" xfId="0" applyNumberFormat="1" applyFont="1" applyFill="1" applyBorder="1"/>
    <xf numFmtId="49" fontId="0" fillId="44" borderId="1" xfId="0" applyNumberFormat="1" applyFill="1" applyBorder="1"/>
    <xf numFmtId="49" fontId="0" fillId="0" borderId="1" xfId="0" applyNumberFormat="1" applyBorder="1"/>
    <xf numFmtId="2" fontId="0" fillId="5" borderId="1" xfId="0" applyNumberFormat="1" applyFont="1" applyFill="1" applyBorder="1" applyAlignment="1">
      <alignment horizontal="center"/>
    </xf>
    <xf numFmtId="4" fontId="17" fillId="0" borderId="0" xfId="0" applyNumberFormat="1" applyFont="1"/>
    <xf numFmtId="0" fontId="5" fillId="20" borderId="0" xfId="0" applyFont="1" applyFill="1" applyBorder="1" applyAlignment="1">
      <alignment horizontal="right"/>
    </xf>
    <xf numFmtId="3" fontId="4" fillId="20" borderId="1" xfId="2" applyNumberFormat="1" applyFont="1" applyFill="1" applyBorder="1"/>
    <xf numFmtId="3" fontId="5" fillId="20" borderId="1" xfId="2" applyNumberFormat="1" applyFont="1" applyFill="1" applyBorder="1"/>
    <xf numFmtId="3" fontId="4" fillId="20" borderId="1" xfId="0" applyNumberFormat="1" applyFont="1" applyFill="1" applyBorder="1"/>
    <xf numFmtId="171" fontId="4" fillId="0" borderId="0" xfId="0" applyNumberFormat="1" applyFont="1"/>
    <xf numFmtId="0" fontId="0" fillId="1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3" fontId="57" fillId="0" borderId="0" xfId="0" applyNumberFormat="1" applyFont="1" applyFill="1"/>
    <xf numFmtId="0" fontId="5" fillId="0" borderId="1" xfId="0" applyFont="1" applyFill="1" applyBorder="1" applyAlignment="1">
      <alignment horizontal="center"/>
    </xf>
    <xf numFmtId="44" fontId="109" fillId="0" borderId="0" xfId="0" applyNumberFormat="1" applyFont="1"/>
    <xf numFmtId="3" fontId="114" fillId="10" borderId="0" xfId="0" applyNumberFormat="1" applyFont="1" applyFill="1" applyAlignment="1">
      <alignment horizontal="left" wrapText="1"/>
    </xf>
    <xf numFmtId="0" fontId="4" fillId="13" borderId="14" xfId="0" applyFont="1" applyFill="1" applyBorder="1"/>
    <xf numFmtId="44" fontId="5" fillId="13" borderId="15" xfId="2" applyFont="1" applyFill="1" applyBorder="1" applyAlignment="1">
      <alignment horizontal="right"/>
    </xf>
    <xf numFmtId="0" fontId="4" fillId="13" borderId="16" xfId="0" applyFont="1" applyFill="1" applyBorder="1"/>
    <xf numFmtId="0" fontId="5" fillId="13" borderId="17" xfId="2" applyNumberFormat="1" applyFont="1" applyFill="1" applyBorder="1"/>
    <xf numFmtId="170" fontId="5" fillId="13" borderId="17" xfId="2" applyNumberFormat="1" applyFont="1" applyFill="1" applyBorder="1"/>
    <xf numFmtId="0" fontId="4" fillId="13" borderId="18" xfId="0" applyFont="1" applyFill="1" applyBorder="1"/>
    <xf numFmtId="170" fontId="5" fillId="13" borderId="21" xfId="2" applyNumberFormat="1" applyFont="1" applyFill="1" applyBorder="1"/>
    <xf numFmtId="170" fontId="5" fillId="0" borderId="7" xfId="0" applyNumberFormat="1" applyFont="1" applyBorder="1"/>
    <xf numFmtId="170" fontId="4" fillId="13" borderId="17" xfId="2" applyNumberFormat="1" applyFont="1" applyFill="1" applyBorder="1"/>
    <xf numFmtId="44" fontId="4" fillId="13" borderId="21" xfId="2" applyFont="1" applyFill="1" applyBorder="1"/>
    <xf numFmtId="170" fontId="5" fillId="13" borderId="48" xfId="2" applyNumberFormat="1" applyFont="1" applyFill="1" applyBorder="1"/>
    <xf numFmtId="0" fontId="4" fillId="13" borderId="14" xfId="0" applyFont="1" applyFill="1" applyBorder="1" applyAlignment="1">
      <alignment horizontal="right"/>
    </xf>
    <xf numFmtId="170" fontId="4" fillId="13" borderId="15" xfId="2" applyNumberFormat="1" applyFont="1" applyFill="1" applyBorder="1"/>
    <xf numFmtId="0" fontId="4" fillId="13" borderId="16" xfId="0" applyFont="1" applyFill="1" applyBorder="1" applyAlignment="1">
      <alignment horizontal="right"/>
    </xf>
    <xf numFmtId="170" fontId="59" fillId="13" borderId="17" xfId="2" applyNumberFormat="1" applyFont="1" applyFill="1" applyBorder="1"/>
    <xf numFmtId="0" fontId="4" fillId="13" borderId="18" xfId="0" applyFont="1" applyFill="1" applyBorder="1" applyAlignment="1">
      <alignment horizontal="right"/>
    </xf>
    <xf numFmtId="0" fontId="115" fillId="0" borderId="0" xfId="0" applyFont="1" applyAlignment="1">
      <alignment horizontal="left"/>
    </xf>
    <xf numFmtId="0" fontId="0" fillId="0" borderId="0" xfId="0" applyFont="1"/>
    <xf numFmtId="0" fontId="75" fillId="0" borderId="0" xfId="0" applyFont="1" applyFill="1" applyAlignment="1">
      <alignment horizontal="right"/>
    </xf>
    <xf numFmtId="3" fontId="5" fillId="0" borderId="0" xfId="0" applyNumberFormat="1" applyFont="1" applyFill="1"/>
    <xf numFmtId="3" fontId="59" fillId="13" borderId="1" xfId="0" applyNumberFormat="1" applyFont="1" applyFill="1" applyBorder="1"/>
    <xf numFmtId="3" fontId="77" fillId="13" borderId="19" xfId="0" applyNumberFormat="1" applyFont="1" applyFill="1" applyBorder="1" applyAlignment="1">
      <alignment horizontal="right"/>
    </xf>
    <xf numFmtId="3" fontId="59" fillId="13" borderId="3" xfId="0" applyNumberFormat="1" applyFont="1" applyFill="1" applyBorder="1" applyAlignment="1">
      <alignment horizontal="right"/>
    </xf>
    <xf numFmtId="3" fontId="59" fillId="13" borderId="1" xfId="0" applyNumberFormat="1" applyFont="1" applyFill="1" applyBorder="1" applyAlignment="1">
      <alignment horizontal="right"/>
    </xf>
    <xf numFmtId="4" fontId="77" fillId="0" borderId="0" xfId="0" applyNumberFormat="1" applyFont="1" applyFill="1" applyBorder="1" applyAlignment="1">
      <alignment horizontal="right"/>
    </xf>
    <xf numFmtId="44" fontId="4" fillId="0" borderId="0" xfId="2" applyFont="1"/>
    <xf numFmtId="10" fontId="4" fillId="12" borderId="39" xfId="6" applyNumberFormat="1" applyFont="1" applyFill="1" applyBorder="1"/>
    <xf numFmtId="10" fontId="4" fillId="12" borderId="1" xfId="6" applyNumberFormat="1" applyFont="1" applyFill="1" applyBorder="1"/>
    <xf numFmtId="10" fontId="4" fillId="12" borderId="13" xfId="6" applyNumberFormat="1" applyFont="1" applyFill="1" applyBorder="1"/>
    <xf numFmtId="10" fontId="59" fillId="0" borderId="0" xfId="6" applyNumberFormat="1" applyFont="1" applyFill="1" applyBorder="1"/>
    <xf numFmtId="10" fontId="77" fillId="0" borderId="0" xfId="6" applyNumberFormat="1" applyFont="1" applyFill="1" applyBorder="1"/>
    <xf numFmtId="10" fontId="59" fillId="0" borderId="0" xfId="6" applyNumberFormat="1" applyFont="1"/>
    <xf numFmtId="0" fontId="77" fillId="0" borderId="0" xfId="0" applyFont="1" applyFill="1" applyBorder="1" applyAlignment="1">
      <alignment horizontal="center" vertical="center"/>
    </xf>
    <xf numFmtId="44" fontId="59" fillId="0" borderId="0" xfId="2" applyFont="1" applyFill="1" applyBorder="1"/>
    <xf numFmtId="44" fontId="59" fillId="0" borderId="0" xfId="2" applyFont="1"/>
    <xf numFmtId="9" fontId="59" fillId="0" borderId="0" xfId="6" applyFont="1"/>
    <xf numFmtId="9" fontId="96" fillId="0" borderId="0" xfId="6" applyFont="1" applyFill="1" applyBorder="1"/>
    <xf numFmtId="10" fontId="4" fillId="0" borderId="0" xfId="6" applyNumberFormat="1" applyFont="1" applyFill="1" applyBorder="1"/>
    <xf numFmtId="0" fontId="99" fillId="0" borderId="0" xfId="0" applyFont="1" applyAlignment="1">
      <alignment horizontal="center"/>
    </xf>
    <xf numFmtId="9" fontId="116" fillId="0" borderId="0" xfId="6" applyFont="1"/>
    <xf numFmtId="44" fontId="4" fillId="0" borderId="0" xfId="0" applyNumberFormat="1" applyFont="1" applyFill="1" applyBorder="1"/>
    <xf numFmtId="1" fontId="117" fillId="0" borderId="0" xfId="0" applyNumberFormat="1" applyFont="1"/>
    <xf numFmtId="3" fontId="4" fillId="13" borderId="41" xfId="0" applyNumberFormat="1" applyFont="1" applyFill="1" applyBorder="1" applyAlignment="1">
      <alignment horizontal="center"/>
    </xf>
    <xf numFmtId="3" fontId="4" fillId="13" borderId="1" xfId="0" applyNumberFormat="1" applyFont="1" applyFill="1" applyBorder="1" applyAlignment="1">
      <alignment horizontal="center"/>
    </xf>
    <xf numFmtId="3" fontId="4" fillId="13" borderId="3" xfId="0" applyNumberFormat="1" applyFont="1" applyFill="1" applyBorder="1" applyAlignment="1">
      <alignment horizontal="center"/>
    </xf>
    <xf numFmtId="3" fontId="4" fillId="13" borderId="42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/>
    <xf numFmtId="44" fontId="4" fillId="12" borderId="0" xfId="2" applyFont="1" applyFill="1" applyBorder="1" applyAlignment="1">
      <alignment horizontal="center"/>
    </xf>
    <xf numFmtId="44" fontId="4" fillId="12" borderId="0" xfId="2" applyFont="1" applyFill="1" applyBorder="1"/>
    <xf numFmtId="44" fontId="4" fillId="12" borderId="0" xfId="2" applyFont="1" applyFill="1" applyBorder="1" applyAlignment="1">
      <alignment horizontal="left"/>
    </xf>
    <xf numFmtId="44" fontId="9" fillId="37" borderId="0" xfId="0" applyNumberFormat="1" applyFont="1" applyFill="1" applyBorder="1"/>
    <xf numFmtId="10" fontId="69" fillId="0" borderId="20" xfId="0" applyNumberFormat="1" applyFont="1" applyFill="1" applyBorder="1"/>
    <xf numFmtId="10" fontId="20" fillId="0" borderId="20" xfId="0" applyNumberFormat="1" applyFont="1" applyFill="1" applyBorder="1" applyAlignment="1">
      <alignment horizontal="right"/>
    </xf>
    <xf numFmtId="0" fontId="5" fillId="12" borderId="0" xfId="0" applyFont="1" applyFill="1"/>
    <xf numFmtId="3" fontId="4" fillId="12" borderId="38" xfId="0" applyNumberFormat="1" applyFont="1" applyFill="1" applyBorder="1" applyAlignment="1">
      <alignment horizontal="center"/>
    </xf>
    <xf numFmtId="3" fontId="4" fillId="12" borderId="39" xfId="0" applyNumberFormat="1" applyFont="1" applyFill="1" applyBorder="1" applyAlignment="1">
      <alignment horizontal="center"/>
    </xf>
    <xf numFmtId="3" fontId="4" fillId="12" borderId="58" xfId="0" applyNumberFormat="1" applyFont="1" applyFill="1" applyBorder="1" applyAlignment="1">
      <alignment horizontal="center"/>
    </xf>
    <xf numFmtId="3" fontId="4" fillId="12" borderId="40" xfId="0" applyNumberFormat="1" applyFont="1" applyFill="1" applyBorder="1" applyAlignment="1">
      <alignment horizontal="center"/>
    </xf>
    <xf numFmtId="3" fontId="4" fillId="12" borderId="41" xfId="0" applyNumberFormat="1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3" fontId="4" fillId="12" borderId="3" xfId="0" applyNumberFormat="1" applyFont="1" applyFill="1" applyBorder="1" applyAlignment="1">
      <alignment horizontal="center"/>
    </xf>
    <xf numFmtId="3" fontId="4" fillId="12" borderId="42" xfId="0" applyNumberFormat="1" applyFont="1" applyFill="1" applyBorder="1" applyAlignment="1">
      <alignment horizontal="center"/>
    </xf>
    <xf numFmtId="3" fontId="4" fillId="12" borderId="4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4" xfId="0" applyNumberFormat="1" applyFont="1" applyFill="1" applyBorder="1" applyAlignment="1">
      <alignment horizontal="center"/>
    </xf>
    <xf numFmtId="3" fontId="4" fillId="12" borderId="43" xfId="0" applyNumberFormat="1" applyFont="1" applyFill="1" applyBorder="1" applyAlignment="1">
      <alignment horizontal="center"/>
    </xf>
    <xf numFmtId="3" fontId="4" fillId="12" borderId="44" xfId="0" applyNumberFormat="1" applyFont="1" applyFill="1" applyBorder="1" applyAlignment="1">
      <alignment horizontal="center"/>
    </xf>
    <xf numFmtId="3" fontId="4" fillId="12" borderId="59" xfId="0" applyNumberFormat="1" applyFont="1" applyFill="1" applyBorder="1" applyAlignment="1">
      <alignment horizontal="center"/>
    </xf>
    <xf numFmtId="3" fontId="4" fillId="12" borderId="45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right"/>
    </xf>
    <xf numFmtId="0" fontId="0" fillId="10" borderId="0" xfId="0" applyFill="1" applyAlignment="1">
      <alignment horizontal="center"/>
    </xf>
    <xf numFmtId="0" fontId="67" fillId="39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10" fillId="24" borderId="14" xfId="0" applyFont="1" applyFill="1" applyBorder="1" applyAlignment="1">
      <alignment horizontal="left"/>
    </xf>
    <xf numFmtId="0" fontId="10" fillId="24" borderId="24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7" fillId="0" borderId="0" xfId="0" applyFont="1" applyAlignment="1"/>
    <xf numFmtId="0" fontId="0" fillId="0" borderId="0" xfId="0" applyAlignment="1"/>
    <xf numFmtId="0" fontId="5" fillId="0" borderId="0" xfId="0" applyFont="1" applyAlignment="1">
      <alignment horizontal="center"/>
    </xf>
    <xf numFmtId="0" fontId="5" fillId="29" borderId="12" xfId="0" applyFont="1" applyFill="1" applyBorder="1" applyAlignment="1">
      <alignment horizontal="left"/>
    </xf>
    <xf numFmtId="0" fontId="5" fillId="16" borderId="0" xfId="0" applyFont="1" applyFill="1" applyAlignment="1">
      <alignment horizontal="center"/>
    </xf>
    <xf numFmtId="0" fontId="5" fillId="35" borderId="26" xfId="0" applyFont="1" applyFill="1" applyBorder="1" applyAlignment="1">
      <alignment horizontal="center" vertical="center" wrapText="1"/>
    </xf>
    <xf numFmtId="0" fontId="81" fillId="42" borderId="4" xfId="0" applyFont="1" applyFill="1" applyBorder="1" applyAlignment="1">
      <alignment horizontal="center"/>
    </xf>
    <xf numFmtId="0" fontId="81" fillId="42" borderId="5" xfId="0" applyFont="1" applyFill="1" applyBorder="1" applyAlignment="1">
      <alignment horizontal="center"/>
    </xf>
    <xf numFmtId="3" fontId="113" fillId="0" borderId="16" xfId="0" applyNumberFormat="1" applyFont="1" applyFill="1" applyBorder="1" applyAlignment="1">
      <alignment horizontal="left" wrapText="1"/>
    </xf>
    <xf numFmtId="0" fontId="34" fillId="0" borderId="0" xfId="0" applyFont="1" applyBorder="1" applyAlignment="1">
      <alignment horizontal="center" wrapText="1"/>
    </xf>
    <xf numFmtId="0" fontId="3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Border="1" applyAlignment="1">
      <alignment horizontal="left"/>
    </xf>
    <xf numFmtId="9" fontId="7" fillId="32" borderId="0" xfId="6" applyFont="1" applyFill="1"/>
  </cellXfs>
  <cellStyles count="11">
    <cellStyle name="Čárka" xfId="1" builtinId="3"/>
    <cellStyle name="Měna" xfId="2" builtinId="4"/>
    <cellStyle name="Normální" xfId="0" builtinId="0"/>
    <cellStyle name="Normální 2" xfId="3" xr:uid="{00000000-0005-0000-0000-000003000000}"/>
    <cellStyle name="Normální 3" xfId="4" xr:uid="{00000000-0005-0000-0000-000004000000}"/>
    <cellStyle name="Normální 4" xfId="9" xr:uid="{00000000-0005-0000-0000-000005000000}"/>
    <cellStyle name="Poznámka" xfId="5" builtinId="10"/>
    <cellStyle name="Procenta" xfId="6" builtinId="5"/>
    <cellStyle name="Procenta 2" xfId="7" xr:uid="{00000000-0005-0000-0000-000008000000}"/>
    <cellStyle name="Procenta 3" xfId="10" xr:uid="{00000000-0005-0000-0000-000009000000}"/>
    <cellStyle name="Špatně" xfId="8" builtinId="2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00FF"/>
      <color rgb="FFFF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98-45B8-8FB8-4C8E28832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98-45B8-8FB8-4C8E28832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98-45B8-8FB8-4C8E2883291E}"/>
              </c:ext>
            </c:extLst>
          </c:dPt>
          <c:cat>
            <c:strRef>
              <c:f>log!$N$16:$N$18</c:f>
              <c:strCache>
                <c:ptCount val="3"/>
                <c:pt idx="0">
                  <c:v>BSP</c:v>
                </c:pt>
                <c:pt idx="1">
                  <c:v>MSP</c:v>
                </c:pt>
                <c:pt idx="2">
                  <c:v>DSP</c:v>
                </c:pt>
              </c:strCache>
            </c:strRef>
          </c:cat>
          <c:val>
            <c:numRef>
              <c:f>log!$O$16:$O$18</c:f>
              <c:numCache>
                <c:formatCode>_("Kč"* #,##0.00_);_("Kč"* \(#,##0.00\);_("Kč"* "-"??_);_(@_)</c:formatCode>
                <c:ptCount val="3"/>
                <c:pt idx="0">
                  <c:v>32813648.721321404</c:v>
                </c:pt>
                <c:pt idx="1">
                  <c:v>9199519.0436679013</c:v>
                </c:pt>
                <c:pt idx="2">
                  <c:v>7242198.1345575843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2-47DA-9FC2-90631E70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EE-4711-A639-D003F55BE3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EE-4711-A639-D003F55BE3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EE-4711-A639-D003F55BE397}"/>
              </c:ext>
            </c:extLst>
          </c:dPt>
          <c:cat>
            <c:strRef>
              <c:f>log!$Q$16:$Q$18</c:f>
              <c:strCache>
                <c:ptCount val="3"/>
                <c:pt idx="0">
                  <c:v>BSP</c:v>
                </c:pt>
                <c:pt idx="1">
                  <c:v>MSP</c:v>
                </c:pt>
                <c:pt idx="2">
                  <c:v>DSP</c:v>
                </c:pt>
              </c:strCache>
            </c:strRef>
          </c:cat>
          <c:val>
            <c:numRef>
              <c:f>log!$R$16:$R$18</c:f>
              <c:numCache>
                <c:formatCode>_("Kč"* #,##0.00_);_("Kč"* \(#,##0.00\);_("Kč"* "-"??_);_(@_)</c:formatCode>
                <c:ptCount val="3"/>
                <c:pt idx="0">
                  <c:v>26367597.604908846</c:v>
                </c:pt>
                <c:pt idx="1">
                  <c:v>13082966.689242532</c:v>
                </c:pt>
                <c:pt idx="2">
                  <c:v>8838564.9237296022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8-4E68-B3B0-B9797134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34-40A7-BFC5-75CD67ECE9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34-40A7-BFC5-75CD67ECE9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34-40A7-BFC5-75CD67ECE92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log!$N$40:$N$42</c:f>
              <c:strCache>
                <c:ptCount val="3"/>
                <c:pt idx="0">
                  <c:v>BSP</c:v>
                </c:pt>
                <c:pt idx="1">
                  <c:v>MSP</c:v>
                </c:pt>
                <c:pt idx="2">
                  <c:v>DSP</c:v>
                </c:pt>
              </c:strCache>
            </c:strRef>
          </c:cat>
          <c:val>
            <c:numRef>
              <c:f>log!$O$40:$O$42</c:f>
              <c:numCache>
                <c:formatCode>_("Kč"* #,##0.00_);_("Kč"* \(#,##0.00\);_("Kč"* "-"??_);_(@_)</c:formatCode>
                <c:ptCount val="3"/>
                <c:pt idx="0">
                  <c:v>28563316.514036901</c:v>
                </c:pt>
                <c:pt idx="1">
                  <c:v>28070241.002631474</c:v>
                </c:pt>
                <c:pt idx="2">
                  <c:v>17981916.039276492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5-4FC1-BA38-024B779060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12-4A58-9031-AF9B9F6E07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12-4A58-9031-AF9B9F6E07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12-4A58-9031-AF9B9F6E07B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log!$Q$40:$Q$42</c:f>
              <c:strCache>
                <c:ptCount val="3"/>
                <c:pt idx="0">
                  <c:v>BSP</c:v>
                </c:pt>
                <c:pt idx="1">
                  <c:v>MSP</c:v>
                </c:pt>
                <c:pt idx="2">
                  <c:v>DSP</c:v>
                </c:pt>
              </c:strCache>
            </c:strRef>
          </c:cat>
          <c:val>
            <c:numRef>
              <c:f>log!$R$40:$R$42</c:f>
              <c:numCache>
                <c:formatCode>_("Kč"* #,##0.00_);_("Kč"* \(#,##0.00\);_("Kč"* "-"??_);_(@_)</c:formatCode>
                <c:ptCount val="3"/>
                <c:pt idx="0">
                  <c:v>26367597.604908846</c:v>
                </c:pt>
                <c:pt idx="1">
                  <c:v>13082966.689242532</c:v>
                </c:pt>
                <c:pt idx="2">
                  <c:v>8838564.9237296022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8-4E9B-841B-C0B0642A523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A9-4B56-8E0C-2C8E2B22CD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A9-4B56-8E0C-2C8E2B22CD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A9-4B56-8E0C-2C8E2B22CD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log!$N$57:$N$59</c:f>
              <c:strCache>
                <c:ptCount val="3"/>
                <c:pt idx="0">
                  <c:v>BSP</c:v>
                </c:pt>
                <c:pt idx="1">
                  <c:v>MSP</c:v>
                </c:pt>
                <c:pt idx="2">
                  <c:v>DSP</c:v>
                </c:pt>
              </c:strCache>
            </c:strRef>
          </c:cat>
          <c:val>
            <c:numRef>
              <c:f>log!$O$57:$O$59</c:f>
              <c:numCache>
                <c:formatCode>_("Kč"* #,##0.00_);_("Kč"* \(#,##0.00\);_("Kč"* "-"??_);_(@_)</c:formatCode>
                <c:ptCount val="3"/>
                <c:pt idx="0">
                  <c:v>28841627.603105351</c:v>
                </c:pt>
                <c:pt idx="1">
                  <c:v>28343158.78075128</c:v>
                </c:pt>
                <c:pt idx="2">
                  <c:v>18162653.094690561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3-4DC3-8165-F4D05BE8E1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'App1'!$F$20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'App1'!$E$21:$E$24</c:f>
              <c:strCache>
                <c:ptCount val="4"/>
                <c:pt idx="0">
                  <c:v>ITE, 7620</c:v>
                </c:pt>
                <c:pt idx="1">
                  <c:v>MTI, 7630</c:v>
                </c:pt>
                <c:pt idx="2">
                  <c:v>NTI, 7640</c:v>
                </c:pt>
                <c:pt idx="3">
                  <c:v>DFM, 7817</c:v>
                </c:pt>
              </c:strCache>
            </c:strRef>
          </c:cat>
          <c:val>
            <c:numRef>
              <c:f>'App1'!$F$21:$F$24</c:f>
              <c:numCache>
                <c:formatCode>_("Kč"* #,##0.00_);_("Kč"* \(#,##0.00\);_("Kč"* "-"??_);_(@_)</c:formatCode>
                <c:ptCount val="4"/>
                <c:pt idx="0">
                  <c:v>7449760.4622714967</c:v>
                </c:pt>
                <c:pt idx="1">
                  <c:v>16694695.767024584</c:v>
                </c:pt>
                <c:pt idx="2">
                  <c:v>14522520.895034913</c:v>
                </c:pt>
                <c:pt idx="3">
                  <c:v>6760786.5999999996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B5A-9BD3-91DF4E6F349C}"/>
            </c:ext>
          </c:extLst>
        </c:ser>
        <c:ser>
          <c:idx val="1"/>
          <c:order val="1"/>
          <c:tx>
            <c:strRef>
              <c:f>'App1'!$G$20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'App1'!$E$21:$E$24</c:f>
              <c:strCache>
                <c:ptCount val="4"/>
                <c:pt idx="0">
                  <c:v>ITE, 7620</c:v>
                </c:pt>
                <c:pt idx="1">
                  <c:v>MTI, 7630</c:v>
                </c:pt>
                <c:pt idx="2">
                  <c:v>NTI, 7640</c:v>
                </c:pt>
                <c:pt idx="3">
                  <c:v>DFM, 7817</c:v>
                </c:pt>
              </c:strCache>
            </c:strRef>
          </c:cat>
          <c:val>
            <c:numRef>
              <c:f>'App1'!$G$21:$G$24</c:f>
              <c:numCache>
                <c:formatCode>_("Kč"* #,##0.00_);_("Kč"* \(#,##0.00\);_("Kč"* "-"??_);_(@_)</c:formatCode>
                <c:ptCount val="4"/>
                <c:pt idx="0">
                  <c:v>7438333.508995302</c:v>
                </c:pt>
                <c:pt idx="1">
                  <c:v>16919253.761767309</c:v>
                </c:pt>
                <c:pt idx="2">
                  <c:v>16109354.223483901</c:v>
                </c:pt>
                <c:pt idx="3">
                  <c:v>7948530.5999999987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B-4B5A-9BD3-91DF4E6F349C}"/>
            </c:ext>
          </c:extLst>
        </c:ser>
        <c:ser>
          <c:idx val="2"/>
          <c:order val="2"/>
          <c:tx>
            <c:strRef>
              <c:f>'App1'!$H$20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'App1'!$E$21:$E$24</c:f>
              <c:strCache>
                <c:ptCount val="4"/>
                <c:pt idx="0">
                  <c:v>ITE, 7620</c:v>
                </c:pt>
                <c:pt idx="1">
                  <c:v>MTI, 7630</c:v>
                </c:pt>
                <c:pt idx="2">
                  <c:v>NTI, 7640</c:v>
                </c:pt>
                <c:pt idx="3">
                  <c:v>DFM, 7817</c:v>
                </c:pt>
              </c:strCache>
            </c:strRef>
          </c:cat>
          <c:val>
            <c:numRef>
              <c:f>'App1'!$H$21:$H$24</c:f>
              <c:numCache>
                <c:formatCode>_("Kč"* #,##0.00_);_("Kč"* \(#,##0.00\);_("Kč"* "-"??_);_(@_)</c:formatCode>
                <c:ptCount val="4"/>
                <c:pt idx="0">
                  <c:v>9033065.0054021403</c:v>
                </c:pt>
                <c:pt idx="1">
                  <c:v>16466462.173462093</c:v>
                </c:pt>
                <c:pt idx="2">
                  <c:v>14814260.473343421</c:v>
                </c:pt>
                <c:pt idx="3">
                  <c:v>8114292.3200000003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B-4B5A-9BD3-91DF4E6F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16528"/>
        <c:axId val="646459152"/>
      </c:barChart>
      <c:catAx>
        <c:axId val="65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6459152"/>
        <c:crosses val="autoZero"/>
        <c:auto val="1"/>
        <c:lblAlgn val="ctr"/>
        <c:lblOffset val="100"/>
        <c:noMultiLvlLbl val="0"/>
      </c:catAx>
      <c:valAx>
        <c:axId val="6464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Kč&quot;* #,##0.00_);_(&quot;Kč&quot;* \(#,##0.00\);_(&quot;Kč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'App1'!$E$21</c:f>
              <c:strCache>
                <c:ptCount val="1"/>
                <c:pt idx="0">
                  <c:v>ITE, 7620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'App1'!$F$20:$H$20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'App1'!$F$21:$H$21</c:f>
              <c:numCache>
                <c:formatCode>_("Kč"* #,##0.00_);_("Kč"* \(#,##0.00\);_("Kč"* "-"??_);_(@_)</c:formatCode>
                <c:ptCount val="3"/>
                <c:pt idx="0">
                  <c:v>7449760.4622714967</c:v>
                </c:pt>
                <c:pt idx="1">
                  <c:v>7438333.508995302</c:v>
                </c:pt>
                <c:pt idx="2">
                  <c:v>9033065.0054021403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E-4923-A183-836EA7C37DD3}"/>
            </c:ext>
          </c:extLst>
        </c:ser>
        <c:ser>
          <c:idx val="1"/>
          <c:order val="1"/>
          <c:tx>
            <c:strRef>
              <c:f>'App1'!$E$22</c:f>
              <c:strCache>
                <c:ptCount val="1"/>
                <c:pt idx="0">
                  <c:v>MTI, 7630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'App1'!$F$20:$H$20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'App1'!$F$22:$H$22</c:f>
              <c:numCache>
                <c:formatCode>_("Kč"* #,##0.00_);_("Kč"* \(#,##0.00\);_("Kč"* "-"??_);_(@_)</c:formatCode>
                <c:ptCount val="3"/>
                <c:pt idx="0">
                  <c:v>16694695.767024584</c:v>
                </c:pt>
                <c:pt idx="1">
                  <c:v>16919253.761767309</c:v>
                </c:pt>
                <c:pt idx="2">
                  <c:v>16466462.173462093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E-4923-A183-836EA7C37DD3}"/>
            </c:ext>
          </c:extLst>
        </c:ser>
        <c:ser>
          <c:idx val="2"/>
          <c:order val="2"/>
          <c:tx>
            <c:strRef>
              <c:f>'App1'!$E$23</c:f>
              <c:strCache>
                <c:ptCount val="1"/>
                <c:pt idx="0">
                  <c:v>NTI, 7640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'App1'!$F$20:$H$20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'App1'!$F$23:$H$23</c:f>
              <c:numCache>
                <c:formatCode>_("Kč"* #,##0.00_);_("Kč"* \(#,##0.00\);_("Kč"* "-"??_);_(@_)</c:formatCode>
                <c:ptCount val="3"/>
                <c:pt idx="0">
                  <c:v>14522520.895034913</c:v>
                </c:pt>
                <c:pt idx="1">
                  <c:v>16109354.223483901</c:v>
                </c:pt>
                <c:pt idx="2">
                  <c:v>14814260.473343421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E-4923-A183-836EA7C37DD3}"/>
            </c:ext>
          </c:extLst>
        </c:ser>
        <c:ser>
          <c:idx val="3"/>
          <c:order val="3"/>
          <c:tx>
            <c:strRef>
              <c:f>'App1'!$E$24</c:f>
              <c:strCache>
                <c:ptCount val="1"/>
                <c:pt idx="0">
                  <c:v>DFM, 7817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'App1'!$F$20:$H$20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'App1'!$F$24:$H$24</c:f>
              <c:numCache>
                <c:formatCode>_("Kč"* #,##0.00_);_("Kč"* \(#,##0.00\);_("Kč"* "-"??_);_(@_)</c:formatCode>
                <c:ptCount val="3"/>
                <c:pt idx="0">
                  <c:v>6760786.5999999996</c:v>
                </c:pt>
                <c:pt idx="1">
                  <c:v>7948530.5999999987</c:v>
                </c:pt>
                <c:pt idx="2">
                  <c:v>8114292.3200000003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DE-4923-A183-836EA7C3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551936"/>
        <c:axId val="550086384"/>
      </c:barChart>
      <c:catAx>
        <c:axId val="6475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0086384"/>
        <c:crosses val="autoZero"/>
        <c:auto val="1"/>
        <c:lblAlgn val="ctr"/>
        <c:lblOffset val="100"/>
        <c:noMultiLvlLbl val="0"/>
      </c:catAx>
      <c:valAx>
        <c:axId val="5500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Kč&quot;* #,##0.00_);_(&quot;Kč&quot;* \(#,##0.00\);_(&quot;Kč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75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18</xdr:row>
      <xdr:rowOff>95250</xdr:rowOff>
    </xdr:from>
    <xdr:to>
      <xdr:col>16</xdr:col>
      <xdr:colOff>9524</xdr:colOff>
      <xdr:row>29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18</xdr:row>
      <xdr:rowOff>85725</xdr:rowOff>
    </xdr:from>
    <xdr:to>
      <xdr:col>19</xdr:col>
      <xdr:colOff>19050</xdr:colOff>
      <xdr:row>28</xdr:row>
      <xdr:rowOff>152400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190499</xdr:colOff>
      <xdr:row>42</xdr:row>
      <xdr:rowOff>95250</xdr:rowOff>
    </xdr:from>
    <xdr:to>
      <xdr:col>15</xdr:col>
      <xdr:colOff>257174</xdr:colOff>
      <xdr:row>53</xdr:row>
      <xdr:rowOff>152400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390525</xdr:colOff>
      <xdr:row>43</xdr:row>
      <xdr:rowOff>9525</xdr:rowOff>
    </xdr:from>
    <xdr:to>
      <xdr:col>19</xdr:col>
      <xdr:colOff>438150</xdr:colOff>
      <xdr:row>61</xdr:row>
      <xdr:rowOff>9525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209550</xdr:colOff>
      <xdr:row>59</xdr:row>
      <xdr:rowOff>104775</xdr:rowOff>
    </xdr:from>
    <xdr:to>
      <xdr:col>15</xdr:col>
      <xdr:colOff>266700</xdr:colOff>
      <xdr:row>72</xdr:row>
      <xdr:rowOff>152400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EDA28ACC-134F-467F-850B-EF777249C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304800" cy="291317"/>
    <xdr:sp macro="" textlink="">
      <xdr:nvSpPr>
        <xdr:cNvPr id="5" name="AutoShape 3" descr="https://www.sreality.cz/img/icon-phone.sv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00575" y="0"/>
          <a:ext cx="304800" cy="291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291318"/>
    <xdr:sp macro="" textlink="">
      <xdr:nvSpPr>
        <xdr:cNvPr id="6" name="AutoShape 4" descr="https://www.sreality.cz/img/icon-email.svg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600575" y="0"/>
          <a:ext cx="304800" cy="291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5862</xdr:colOff>
      <xdr:row>144</xdr:row>
      <xdr:rowOff>0</xdr:rowOff>
    </xdr:from>
    <xdr:to>
      <xdr:col>6</xdr:col>
      <xdr:colOff>310662</xdr:colOff>
      <xdr:row>146</xdr:row>
      <xdr:rowOff>82060</xdr:rowOff>
    </xdr:to>
    <xdr:sp macro="" textlink="">
      <xdr:nvSpPr>
        <xdr:cNvPr id="7" name="AutoShape 3" descr="https://www.sreality.cz/img/icon-phone.svg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600575" y="24874904"/>
          <a:ext cx="304800" cy="283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5862</xdr:colOff>
      <xdr:row>139</xdr:row>
      <xdr:rowOff>128954</xdr:rowOff>
    </xdr:from>
    <xdr:to>
      <xdr:col>6</xdr:col>
      <xdr:colOff>310662</xdr:colOff>
      <xdr:row>141</xdr:row>
      <xdr:rowOff>28134</xdr:rowOff>
    </xdr:to>
    <xdr:sp macro="" textlink="">
      <xdr:nvSpPr>
        <xdr:cNvPr id="10" name="AutoShape 3" descr="https://www.sreality.cz/img/icon-phone.svg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501640" y="23735714"/>
          <a:ext cx="304800" cy="29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17</xdr:row>
      <xdr:rowOff>152400</xdr:rowOff>
    </xdr:from>
    <xdr:to>
      <xdr:col>14</xdr:col>
      <xdr:colOff>104775</xdr:colOff>
      <xdr:row>33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F7861F5-B032-4481-8C02-BA0BC33AC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18</xdr:row>
      <xdr:rowOff>0</xdr:rowOff>
    </xdr:from>
    <xdr:to>
      <xdr:col>21</xdr:col>
      <xdr:colOff>419100</xdr:colOff>
      <xdr:row>34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7E2116F-ABDD-4245-A874-6929A659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opLeftCell="A7" workbookViewId="0">
      <selection activeCell="D41" sqref="D41"/>
    </sheetView>
  </sheetViews>
  <sheetFormatPr defaultRowHeight="13.2" x14ac:dyDescent="0.25"/>
  <cols>
    <col min="1" max="1" width="12.44140625" customWidth="1"/>
    <col min="3" max="3" width="4.33203125" customWidth="1"/>
    <col min="4" max="4" width="37.6640625" bestFit="1" customWidth="1"/>
    <col min="5" max="5" width="58.33203125" customWidth="1"/>
    <col min="8" max="8" width="13.6640625" bestFit="1" customWidth="1"/>
    <col min="9" max="11" width="16.88671875" bestFit="1" customWidth="1"/>
    <col min="12" max="12" width="16.88671875" customWidth="1"/>
    <col min="13" max="13" width="14.33203125" bestFit="1" customWidth="1"/>
    <col min="14" max="15" width="16.88671875" bestFit="1" customWidth="1"/>
    <col min="16" max="16" width="5.109375" bestFit="1" customWidth="1"/>
    <col min="17" max="18" width="19.88671875" bestFit="1" customWidth="1"/>
  </cols>
  <sheetData>
    <row r="1" spans="1:19" x14ac:dyDescent="0.25">
      <c r="A1" s="824" t="s">
        <v>588</v>
      </c>
      <c r="B1" s="824" t="s">
        <v>589</v>
      </c>
      <c r="C1" s="824"/>
      <c r="D1" s="824" t="s">
        <v>590</v>
      </c>
    </row>
    <row r="2" spans="1:19" x14ac:dyDescent="0.25">
      <c r="A2" s="856">
        <v>44651</v>
      </c>
      <c r="B2" s="352">
        <v>6</v>
      </c>
      <c r="C2" s="352"/>
      <c r="D2" t="s">
        <v>591</v>
      </c>
    </row>
    <row r="3" spans="1:19" x14ac:dyDescent="0.25">
      <c r="A3" s="856">
        <v>44651</v>
      </c>
      <c r="B3" s="352">
        <v>3</v>
      </c>
      <c r="C3" s="352"/>
      <c r="D3" t="s">
        <v>592</v>
      </c>
    </row>
    <row r="4" spans="1:19" x14ac:dyDescent="0.25">
      <c r="A4" s="856">
        <v>44656</v>
      </c>
      <c r="B4" s="352">
        <v>5</v>
      </c>
      <c r="C4" s="352"/>
      <c r="D4" t="s">
        <v>889</v>
      </c>
    </row>
    <row r="5" spans="1:19" x14ac:dyDescent="0.25">
      <c r="A5" s="856">
        <v>44656</v>
      </c>
      <c r="B5" s="352">
        <v>3</v>
      </c>
      <c r="C5" s="352"/>
      <c r="D5" t="s">
        <v>890</v>
      </c>
    </row>
    <row r="6" spans="1:19" ht="26.4" x14ac:dyDescent="0.25">
      <c r="A6" s="868">
        <v>44656</v>
      </c>
      <c r="B6" s="869">
        <v>12</v>
      </c>
      <c r="C6" s="869"/>
      <c r="D6" s="870" t="s">
        <v>891</v>
      </c>
      <c r="E6" s="871" t="s">
        <v>892</v>
      </c>
    </row>
    <row r="7" spans="1:19" ht="26.4" x14ac:dyDescent="0.25">
      <c r="A7" s="856">
        <v>44657</v>
      </c>
      <c r="B7" s="352">
        <v>13</v>
      </c>
      <c r="C7" s="352"/>
      <c r="D7" t="s">
        <v>893</v>
      </c>
      <c r="E7" s="874" t="s">
        <v>894</v>
      </c>
    </row>
    <row r="8" spans="1:19" x14ac:dyDescent="0.25">
      <c r="A8" s="856">
        <v>44658</v>
      </c>
      <c r="B8" s="352">
        <v>3</v>
      </c>
      <c r="C8" s="352"/>
      <c r="D8" t="s">
        <v>895</v>
      </c>
      <c r="H8" s="992" t="s">
        <v>941</v>
      </c>
      <c r="I8" s="992"/>
      <c r="J8" s="992"/>
      <c r="K8" s="894"/>
      <c r="L8" s="916"/>
      <c r="M8" s="895"/>
    </row>
    <row r="9" spans="1:19" x14ac:dyDescent="0.25">
      <c r="A9" s="856">
        <v>44670</v>
      </c>
      <c r="B9" s="352">
        <v>3</v>
      </c>
      <c r="C9" s="352"/>
      <c r="D9" t="s">
        <v>896</v>
      </c>
      <c r="H9" t="s">
        <v>925</v>
      </c>
      <c r="I9" t="str">
        <f>MID(H9,1,1)</f>
        <v>B</v>
      </c>
      <c r="J9" s="839">
        <v>498468.82235407055</v>
      </c>
      <c r="K9" s="839"/>
      <c r="L9" s="839"/>
      <c r="M9" s="839"/>
    </row>
    <row r="10" spans="1:19" x14ac:dyDescent="0.25">
      <c r="A10" s="856">
        <v>44670</v>
      </c>
      <c r="B10" s="352">
        <v>1</v>
      </c>
      <c r="C10" s="352"/>
      <c r="D10" t="s">
        <v>897</v>
      </c>
      <c r="H10" t="s">
        <v>926</v>
      </c>
      <c r="I10" t="str">
        <f t="shared" ref="I10:I36" si="0">MID(H10,1,1)</f>
        <v>B</v>
      </c>
      <c r="J10" s="839">
        <v>10198672.105364284</v>
      </c>
      <c r="K10" s="839"/>
      <c r="L10" s="839"/>
      <c r="M10" s="839"/>
    </row>
    <row r="11" spans="1:19" x14ac:dyDescent="0.25">
      <c r="A11" s="856">
        <v>44670</v>
      </c>
      <c r="B11" s="877">
        <v>44896</v>
      </c>
      <c r="C11" s="877"/>
      <c r="D11" t="s">
        <v>898</v>
      </c>
      <c r="H11" t="s">
        <v>927</v>
      </c>
      <c r="I11" t="str">
        <f t="shared" si="0"/>
        <v>B</v>
      </c>
      <c r="J11" s="839">
        <v>10710433.429647796</v>
      </c>
      <c r="K11" s="839"/>
      <c r="L11" s="839"/>
      <c r="M11" s="839"/>
    </row>
    <row r="12" spans="1:19" x14ac:dyDescent="0.25">
      <c r="A12" s="856">
        <v>44673</v>
      </c>
      <c r="B12" s="352">
        <v>0</v>
      </c>
      <c r="C12" s="352"/>
      <c r="D12" t="s">
        <v>899</v>
      </c>
      <c r="H12" t="s">
        <v>912</v>
      </c>
      <c r="I12" t="str">
        <f t="shared" si="0"/>
        <v>B</v>
      </c>
      <c r="J12" s="839">
        <v>0</v>
      </c>
      <c r="K12" s="839"/>
      <c r="L12" s="839"/>
      <c r="M12" s="839"/>
    </row>
    <row r="13" spans="1:19" x14ac:dyDescent="0.25">
      <c r="B13" s="352"/>
      <c r="C13" s="352"/>
      <c r="H13" t="s">
        <v>928</v>
      </c>
      <c r="I13" t="str">
        <f t="shared" si="0"/>
        <v>B</v>
      </c>
      <c r="J13" s="839">
        <v>1352512.0713207114</v>
      </c>
      <c r="K13" s="839"/>
      <c r="L13" s="839"/>
      <c r="M13" s="839"/>
    </row>
    <row r="14" spans="1:19" x14ac:dyDescent="0.25">
      <c r="A14" s="856">
        <v>44683</v>
      </c>
      <c r="B14" s="352">
        <v>3</v>
      </c>
      <c r="C14" s="352" t="s">
        <v>993</v>
      </c>
      <c r="D14" t="s">
        <v>907</v>
      </c>
      <c r="H14" t="s">
        <v>929</v>
      </c>
      <c r="I14" t="str">
        <f t="shared" si="0"/>
        <v>B</v>
      </c>
      <c r="J14" s="839">
        <v>1498729.592544572</v>
      </c>
      <c r="K14" s="839"/>
      <c r="L14" s="839"/>
      <c r="M14" s="839"/>
    </row>
    <row r="15" spans="1:19" x14ac:dyDescent="0.25">
      <c r="A15" s="856">
        <v>44683</v>
      </c>
      <c r="B15" s="352">
        <v>6</v>
      </c>
      <c r="C15" s="352" t="s">
        <v>993</v>
      </c>
      <c r="D15" t="s">
        <v>905</v>
      </c>
      <c r="H15" t="s">
        <v>930</v>
      </c>
      <c r="I15" t="str">
        <f t="shared" si="0"/>
        <v>B</v>
      </c>
      <c r="J15" s="839">
        <v>584870.08489544271</v>
      </c>
      <c r="K15" s="839"/>
      <c r="L15" s="839"/>
      <c r="M15" s="839"/>
      <c r="O15" s="893" t="s">
        <v>939</v>
      </c>
      <c r="R15" s="893" t="s">
        <v>940</v>
      </c>
    </row>
    <row r="16" spans="1:19" x14ac:dyDescent="0.25">
      <c r="A16" s="856">
        <v>44683</v>
      </c>
      <c r="B16" s="352">
        <v>10</v>
      </c>
      <c r="C16" s="352" t="s">
        <v>993</v>
      </c>
      <c r="D16" t="s">
        <v>906</v>
      </c>
      <c r="H16" t="s">
        <v>914</v>
      </c>
      <c r="I16" t="str">
        <f t="shared" si="0"/>
        <v>B</v>
      </c>
      <c r="J16" s="839">
        <v>0</v>
      </c>
      <c r="K16" s="839"/>
      <c r="L16" s="839"/>
      <c r="M16" s="839"/>
      <c r="N16" t="s">
        <v>924</v>
      </c>
      <c r="O16" s="839">
        <f>SUMIF(I9:I36,"B",J9:J36)</f>
        <v>32813648.721321404</v>
      </c>
      <c r="P16" s="840">
        <f>O16/SUM($O$16:$O$18)</f>
        <v>0.66619439571807681</v>
      </c>
      <c r="Q16" t="str">
        <f>N16</f>
        <v>BSP</v>
      </c>
      <c r="R16" s="839">
        <f>'1_Bc_Mag_DSP'!F6</f>
        <v>26367597.604908846</v>
      </c>
      <c r="S16" s="840">
        <f>R16/SUM($R$16:$R$18)</f>
        <v>0.54603588907014688</v>
      </c>
    </row>
    <row r="17" spans="1:19" x14ac:dyDescent="0.25">
      <c r="A17" s="856">
        <v>44683</v>
      </c>
      <c r="B17" s="352">
        <v>12</v>
      </c>
      <c r="C17" s="352" t="s">
        <v>993</v>
      </c>
      <c r="D17" t="s">
        <v>908</v>
      </c>
      <c r="H17" t="s">
        <v>931</v>
      </c>
      <c r="I17" t="str">
        <f t="shared" si="0"/>
        <v>N</v>
      </c>
      <c r="J17" s="839">
        <v>598162.58682488464</v>
      </c>
      <c r="K17" s="839"/>
      <c r="L17" s="839"/>
      <c r="M17" s="839"/>
      <c r="N17" t="s">
        <v>938</v>
      </c>
      <c r="O17" s="839">
        <f>SUMIF(I9:I36,"N",J9:J36)</f>
        <v>9199519.0436679013</v>
      </c>
      <c r="P17" s="840">
        <f t="shared" ref="P17:P18" si="1">O17/SUM($O$16:$O$18)</f>
        <v>0.18677191562092388</v>
      </c>
      <c r="Q17" t="str">
        <f t="shared" ref="Q17:Q18" si="2">N17</f>
        <v>MSP</v>
      </c>
      <c r="R17" s="839">
        <f>'1_Bc_Mag_DSP'!F7</f>
        <v>13082966.689242532</v>
      </c>
      <c r="S17" s="840">
        <f t="shared" ref="S17:S18" si="3">R17/SUM($R$16:$R$18)</f>
        <v>0.27092985318107665</v>
      </c>
    </row>
    <row r="18" spans="1:19" x14ac:dyDescent="0.25">
      <c r="A18" s="856">
        <v>44683</v>
      </c>
      <c r="B18" s="352" t="s">
        <v>909</v>
      </c>
      <c r="C18" s="352" t="s">
        <v>993</v>
      </c>
      <c r="D18" t="s">
        <v>910</v>
      </c>
      <c r="H18" t="s">
        <v>932</v>
      </c>
      <c r="I18" t="str">
        <f t="shared" si="0"/>
        <v>N</v>
      </c>
      <c r="J18" s="839">
        <v>1023522.6485670247</v>
      </c>
      <c r="K18" s="839"/>
      <c r="L18" s="839"/>
      <c r="M18" s="839"/>
      <c r="N18" t="s">
        <v>37</v>
      </c>
      <c r="O18" s="839">
        <f>SUMIF(I9:I36,"P",J9:J36)</f>
        <v>7242198.1345575843</v>
      </c>
      <c r="P18" s="840">
        <f t="shared" si="1"/>
        <v>0.14703368866099942</v>
      </c>
      <c r="Q18" t="str">
        <f t="shared" si="2"/>
        <v>DSP</v>
      </c>
      <c r="R18" s="839">
        <f>'1_Bc_Mag_DSP'!F8</f>
        <v>8838564.9237296022</v>
      </c>
      <c r="S18" s="840">
        <f t="shared" si="3"/>
        <v>0.18303425774877652</v>
      </c>
    </row>
    <row r="19" spans="1:19" x14ac:dyDescent="0.25">
      <c r="A19" s="856">
        <v>44684</v>
      </c>
      <c r="B19" s="352">
        <v>12</v>
      </c>
      <c r="C19" s="352" t="s">
        <v>993</v>
      </c>
      <c r="D19" t="s">
        <v>911</v>
      </c>
      <c r="H19" t="s">
        <v>933</v>
      </c>
      <c r="I19" t="str">
        <f t="shared" si="0"/>
        <v>N</v>
      </c>
      <c r="J19" s="839">
        <v>146217.52122386068</v>
      </c>
      <c r="K19" s="839"/>
      <c r="L19" s="839"/>
      <c r="M19" s="839"/>
    </row>
    <row r="20" spans="1:19" x14ac:dyDescent="0.25">
      <c r="A20" s="856">
        <v>44690</v>
      </c>
      <c r="B20" s="352" t="s">
        <v>953</v>
      </c>
      <c r="C20" s="352" t="s">
        <v>993</v>
      </c>
      <c r="D20" t="s">
        <v>954</v>
      </c>
      <c r="E20" s="846" t="s">
        <v>955</v>
      </c>
      <c r="H20" t="s">
        <v>934</v>
      </c>
      <c r="I20" t="str">
        <f t="shared" si="0"/>
        <v>N</v>
      </c>
      <c r="J20" s="839">
        <v>1096631.4091789552</v>
      </c>
      <c r="K20" s="839"/>
      <c r="L20" s="839"/>
      <c r="M20" s="839"/>
    </row>
    <row r="21" spans="1:19" x14ac:dyDescent="0.25">
      <c r="A21" s="856">
        <v>44692</v>
      </c>
      <c r="B21" s="352">
        <v>0</v>
      </c>
      <c r="C21" s="352"/>
      <c r="D21" t="s">
        <v>958</v>
      </c>
      <c r="H21" t="s">
        <v>915</v>
      </c>
      <c r="I21" t="str">
        <f t="shared" si="0"/>
        <v>N</v>
      </c>
      <c r="J21" s="839">
        <v>0</v>
      </c>
      <c r="K21" s="839"/>
      <c r="L21" s="839"/>
      <c r="M21" s="839"/>
    </row>
    <row r="22" spans="1:19" x14ac:dyDescent="0.25">
      <c r="B22" s="352">
        <v>13</v>
      </c>
      <c r="C22" s="352"/>
      <c r="D22" t="s">
        <v>966</v>
      </c>
      <c r="H22" t="s">
        <v>935</v>
      </c>
      <c r="I22" t="str">
        <f t="shared" si="0"/>
        <v>N</v>
      </c>
      <c r="J22" s="839">
        <v>3801655.5518203778</v>
      </c>
      <c r="K22" s="839"/>
      <c r="L22" s="839"/>
      <c r="M22" s="839"/>
    </row>
    <row r="23" spans="1:19" x14ac:dyDescent="0.25">
      <c r="A23" s="856">
        <v>44693</v>
      </c>
      <c r="B23" s="352">
        <v>7</v>
      </c>
      <c r="C23" s="352" t="s">
        <v>992</v>
      </c>
      <c r="D23" t="s">
        <v>982</v>
      </c>
      <c r="H23" t="s">
        <v>936</v>
      </c>
      <c r="I23" t="str">
        <f t="shared" si="0"/>
        <v>N</v>
      </c>
      <c r="J23" s="839">
        <v>548315.70458947762</v>
      </c>
      <c r="K23" s="839"/>
      <c r="L23" s="839"/>
      <c r="M23" s="839"/>
    </row>
    <row r="24" spans="1:19" x14ac:dyDescent="0.25">
      <c r="B24" s="352">
        <v>8</v>
      </c>
      <c r="C24" s="352" t="s">
        <v>992</v>
      </c>
      <c r="D24" t="s">
        <v>983</v>
      </c>
      <c r="H24" t="s">
        <v>937</v>
      </c>
      <c r="I24" t="str">
        <f t="shared" si="0"/>
        <v>N</v>
      </c>
      <c r="J24" s="839">
        <v>0</v>
      </c>
      <c r="K24" s="839"/>
      <c r="L24" s="839"/>
      <c r="M24" s="839"/>
    </row>
    <row r="25" spans="1:19" x14ac:dyDescent="0.25">
      <c r="B25" s="352">
        <v>9</v>
      </c>
      <c r="C25" s="352" t="s">
        <v>992</v>
      </c>
      <c r="D25" t="s">
        <v>988</v>
      </c>
      <c r="H25" t="s">
        <v>912</v>
      </c>
      <c r="I25" t="str">
        <f t="shared" si="0"/>
        <v>B</v>
      </c>
      <c r="J25" s="839">
        <v>3473773.8375608111</v>
      </c>
      <c r="K25" s="839"/>
      <c r="L25" s="839"/>
      <c r="M25" s="839"/>
    </row>
    <row r="26" spans="1:19" x14ac:dyDescent="0.25">
      <c r="B26" s="352">
        <v>13</v>
      </c>
      <c r="C26" s="352" t="s">
        <v>992</v>
      </c>
      <c r="D26" t="s">
        <v>984</v>
      </c>
      <c r="H26" t="s">
        <v>913</v>
      </c>
      <c r="I26" t="str">
        <f t="shared" si="0"/>
        <v>B</v>
      </c>
      <c r="J26" s="839">
        <v>3937903.696597157</v>
      </c>
      <c r="K26" s="839"/>
      <c r="L26" s="839"/>
      <c r="M26" s="839"/>
    </row>
    <row r="27" spans="1:19" x14ac:dyDescent="0.25">
      <c r="B27" s="352">
        <v>9</v>
      </c>
      <c r="C27" s="352" t="s">
        <v>992</v>
      </c>
      <c r="D27" t="s">
        <v>989</v>
      </c>
      <c r="H27" t="s">
        <v>914</v>
      </c>
      <c r="I27" t="str">
        <f t="shared" si="0"/>
        <v>B</v>
      </c>
      <c r="J27" s="839">
        <v>558285.08103655896</v>
      </c>
      <c r="K27" s="839"/>
      <c r="L27" s="839"/>
      <c r="M27" s="839"/>
    </row>
    <row r="28" spans="1:19" x14ac:dyDescent="0.25">
      <c r="A28" t="s">
        <v>990</v>
      </c>
      <c r="B28" s="352">
        <v>4</v>
      </c>
      <c r="C28" s="352" t="s">
        <v>993</v>
      </c>
      <c r="D28" s="846" t="s">
        <v>991</v>
      </c>
      <c r="H28" t="s">
        <v>915</v>
      </c>
      <c r="I28" t="str">
        <f t="shared" si="0"/>
        <v>N</v>
      </c>
      <c r="J28" s="839">
        <v>1985013.6214633207</v>
      </c>
      <c r="K28" s="839"/>
      <c r="L28" s="839"/>
      <c r="M28" s="839"/>
    </row>
    <row r="29" spans="1:19" x14ac:dyDescent="0.25">
      <c r="B29" s="352">
        <v>10</v>
      </c>
      <c r="C29" s="352" t="s">
        <v>993</v>
      </c>
      <c r="D29" t="s">
        <v>996</v>
      </c>
      <c r="H29" t="s">
        <v>916</v>
      </c>
      <c r="I29" t="str">
        <f t="shared" si="0"/>
        <v>P</v>
      </c>
      <c r="J29" s="839">
        <v>496253.40536583017</v>
      </c>
      <c r="K29" s="839"/>
      <c r="L29" s="839"/>
      <c r="M29" s="839"/>
    </row>
    <row r="30" spans="1:19" x14ac:dyDescent="0.25">
      <c r="B30" s="352">
        <v>0</v>
      </c>
      <c r="C30" s="895"/>
      <c r="D30" s="939" t="s">
        <v>998</v>
      </c>
      <c r="H30" t="s">
        <v>917</v>
      </c>
      <c r="I30" t="str">
        <f t="shared" si="0"/>
        <v>P</v>
      </c>
      <c r="J30" s="839">
        <v>124063.35134145754</v>
      </c>
      <c r="K30" s="839"/>
      <c r="L30" s="839"/>
      <c r="M30" s="839"/>
    </row>
    <row r="31" spans="1:19" x14ac:dyDescent="0.25">
      <c r="B31" s="352"/>
      <c r="C31" s="895"/>
      <c r="D31" s="939" t="s">
        <v>999</v>
      </c>
      <c r="H31" t="s">
        <v>918</v>
      </c>
      <c r="I31" t="str">
        <f t="shared" si="0"/>
        <v>P</v>
      </c>
      <c r="J31" s="839">
        <v>292435.04244772135</v>
      </c>
      <c r="K31" s="839"/>
      <c r="L31" s="839"/>
      <c r="M31" s="839"/>
    </row>
    <row r="32" spans="1:19" x14ac:dyDescent="0.25">
      <c r="A32" t="s">
        <v>1008</v>
      </c>
      <c r="B32" s="352">
        <v>9</v>
      </c>
      <c r="C32" s="352" t="s">
        <v>993</v>
      </c>
      <c r="D32" s="939" t="s">
        <v>1009</v>
      </c>
      <c r="H32" t="s">
        <v>919</v>
      </c>
      <c r="I32" t="str">
        <f t="shared" si="0"/>
        <v>P</v>
      </c>
      <c r="J32" s="839">
        <v>199387.5289416282</v>
      </c>
      <c r="K32" s="839"/>
      <c r="L32" s="839"/>
      <c r="M32" s="839"/>
    </row>
    <row r="33" spans="1:19" x14ac:dyDescent="0.25">
      <c r="B33" s="352">
        <v>14</v>
      </c>
      <c r="C33" s="352" t="s">
        <v>993</v>
      </c>
      <c r="D33" s="939" t="s">
        <v>1011</v>
      </c>
      <c r="H33" t="s">
        <v>920</v>
      </c>
      <c r="I33" t="str">
        <f t="shared" si="0"/>
        <v>P</v>
      </c>
      <c r="J33" s="839">
        <v>1495406.4670622116</v>
      </c>
      <c r="K33" s="839"/>
      <c r="L33" s="839"/>
      <c r="M33" s="839"/>
    </row>
    <row r="34" spans="1:19" x14ac:dyDescent="0.25">
      <c r="A34" t="s">
        <v>1015</v>
      </c>
      <c r="B34" s="352">
        <v>9</v>
      </c>
      <c r="C34" s="352" t="s">
        <v>992</v>
      </c>
      <c r="D34" s="939" t="s">
        <v>1016</v>
      </c>
      <c r="H34" t="s">
        <v>921</v>
      </c>
      <c r="I34" t="str">
        <f t="shared" si="0"/>
        <v>P</v>
      </c>
      <c r="J34" s="839">
        <v>1133185.7894849204</v>
      </c>
      <c r="K34" s="839"/>
      <c r="L34" s="839"/>
      <c r="M34" s="839"/>
    </row>
    <row r="35" spans="1:19" x14ac:dyDescent="0.25">
      <c r="A35" t="s">
        <v>1017</v>
      </c>
      <c r="B35" s="352">
        <v>2</v>
      </c>
      <c r="C35" s="352" t="s">
        <v>992</v>
      </c>
      <c r="D35" s="939" t="s">
        <v>1018</v>
      </c>
      <c r="H35" t="s">
        <v>922</v>
      </c>
      <c r="I35" t="str">
        <f t="shared" si="0"/>
        <v>P</v>
      </c>
      <c r="J35" s="839">
        <v>1206294.5500968506</v>
      </c>
      <c r="K35" s="839"/>
      <c r="L35" s="839"/>
      <c r="M35" s="839"/>
    </row>
    <row r="36" spans="1:19" x14ac:dyDescent="0.25">
      <c r="A36" t="s">
        <v>1019</v>
      </c>
      <c r="B36" s="352" t="s">
        <v>1020</v>
      </c>
      <c r="C36" s="352" t="s">
        <v>993</v>
      </c>
      <c r="D36" s="939" t="s">
        <v>1021</v>
      </c>
      <c r="H36" t="s">
        <v>923</v>
      </c>
      <c r="I36" t="str">
        <f t="shared" si="0"/>
        <v>P</v>
      </c>
      <c r="J36" s="839">
        <v>2295171.9998169648</v>
      </c>
      <c r="K36" s="839"/>
      <c r="L36" s="839"/>
      <c r="M36" s="839"/>
    </row>
    <row r="37" spans="1:19" x14ac:dyDescent="0.25">
      <c r="A37" t="s">
        <v>1028</v>
      </c>
      <c r="B37" s="352">
        <v>3</v>
      </c>
      <c r="C37" s="352" t="s">
        <v>993</v>
      </c>
      <c r="D37" s="939" t="s">
        <v>1029</v>
      </c>
    </row>
    <row r="38" spans="1:19" x14ac:dyDescent="0.25">
      <c r="B38" s="352">
        <v>12</v>
      </c>
      <c r="C38" s="352" t="s">
        <v>993</v>
      </c>
      <c r="D38" s="939" t="s">
        <v>1030</v>
      </c>
    </row>
    <row r="39" spans="1:19" ht="31.2" x14ac:dyDescent="0.25">
      <c r="H39" s="992" t="s">
        <v>952</v>
      </c>
      <c r="I39" s="992"/>
      <c r="J39" s="992"/>
      <c r="K39" s="992"/>
      <c r="L39" s="921" t="s">
        <v>1004</v>
      </c>
      <c r="O39" t="str">
        <f>H39</f>
        <v>z PrispTUL22 (K:/rozpocet/2022)</v>
      </c>
    </row>
    <row r="40" spans="1:19" x14ac:dyDescent="0.25">
      <c r="A40" t="s">
        <v>1034</v>
      </c>
      <c r="B40" s="352">
        <v>12</v>
      </c>
      <c r="C40" s="352" t="s">
        <v>993</v>
      </c>
      <c r="D40" t="s">
        <v>1035</v>
      </c>
      <c r="H40" t="s">
        <v>925</v>
      </c>
      <c r="I40" t="s">
        <v>30</v>
      </c>
      <c r="J40" t="s">
        <v>942</v>
      </c>
      <c r="K40" s="839">
        <v>493075.51140542451</v>
      </c>
      <c r="L40" s="839">
        <v>498468.82235407055</v>
      </c>
      <c r="M40" s="920">
        <f>K40-L40</f>
        <v>-5393.3109486460453</v>
      </c>
      <c r="N40" t="s">
        <v>924</v>
      </c>
      <c r="O40" s="839">
        <f>SUMIF(I40:I67,"B",K40:K67)</f>
        <v>28563316.514036901</v>
      </c>
      <c r="P40" s="840">
        <f>O40/SUM($O$40:$O$42)</f>
        <v>0.38280687842342537</v>
      </c>
      <c r="Q40" t="str">
        <f>N40</f>
        <v>BSP</v>
      </c>
      <c r="R40" s="716">
        <f>R16</f>
        <v>26367597.604908846</v>
      </c>
      <c r="S40" s="840">
        <f>R40/SUM($R$40:$R$42)</f>
        <v>0.54603588907014688</v>
      </c>
    </row>
    <row r="41" spans="1:19" x14ac:dyDescent="0.25">
      <c r="H41" t="s">
        <v>926</v>
      </c>
      <c r="I41" t="s">
        <v>30</v>
      </c>
      <c r="J41" t="s">
        <v>943</v>
      </c>
      <c r="K41" s="839">
        <v>10088324.963354984</v>
      </c>
      <c r="L41" s="839">
        <v>10180505.686060714</v>
      </c>
      <c r="M41" s="920">
        <f t="shared" ref="M41:M63" si="4">K41-L41</f>
        <v>-92180.722705729306</v>
      </c>
      <c r="N41" t="s">
        <v>938</v>
      </c>
      <c r="O41" s="839">
        <f t="shared" ref="O41:O42" si="5">SUMIF(I41:I68,"B",K41:K68)</f>
        <v>28070241.002631474</v>
      </c>
      <c r="P41" s="840">
        <f t="shared" ref="P41:P42" si="6">O41/SUM($O$40:$O$42)</f>
        <v>0.37619865779696604</v>
      </c>
      <c r="Q41" t="str">
        <f t="shared" ref="Q41:Q42" si="7">N41</f>
        <v>MSP</v>
      </c>
      <c r="R41" s="716">
        <f t="shared" ref="R41:R42" si="8">R17</f>
        <v>13082966.689242532</v>
      </c>
      <c r="S41" s="840">
        <f t="shared" ref="S41:S42" si="9">R41/SUM($R$40:$R$42)</f>
        <v>0.27092985318107665</v>
      </c>
    </row>
    <row r="42" spans="1:19" x14ac:dyDescent="0.25">
      <c r="H42" t="s">
        <v>927</v>
      </c>
      <c r="I42" t="s">
        <v>30</v>
      </c>
      <c r="J42" t="s">
        <v>944</v>
      </c>
      <c r="K42" s="839">
        <v>10594549.155064555</v>
      </c>
      <c r="L42" s="839">
        <v>10697140.927718354</v>
      </c>
      <c r="M42" s="920">
        <f t="shared" si="4"/>
        <v>-102591.7726537995</v>
      </c>
      <c r="N42" t="s">
        <v>37</v>
      </c>
      <c r="O42" s="839">
        <f t="shared" si="5"/>
        <v>17981916.039276492</v>
      </c>
      <c r="P42" s="840">
        <f t="shared" si="6"/>
        <v>0.24099446377960848</v>
      </c>
      <c r="Q42" t="str">
        <f t="shared" si="7"/>
        <v>DSP</v>
      </c>
      <c r="R42" s="716">
        <f t="shared" si="8"/>
        <v>8838564.9237296022</v>
      </c>
      <c r="S42" s="840">
        <f t="shared" si="9"/>
        <v>0.18303425774877652</v>
      </c>
    </row>
    <row r="43" spans="1:19" x14ac:dyDescent="0.25">
      <c r="H43" t="s">
        <v>912</v>
      </c>
      <c r="I43" t="s">
        <v>30</v>
      </c>
      <c r="J43" t="s">
        <v>945</v>
      </c>
      <c r="K43" s="839">
        <v>3436188.4528164691</v>
      </c>
      <c r="L43" s="839">
        <v>3471558.420572571</v>
      </c>
      <c r="M43" s="920">
        <f t="shared" si="4"/>
        <v>-35369.967756101862</v>
      </c>
      <c r="O43" s="839"/>
    </row>
    <row r="44" spans="1:19" x14ac:dyDescent="0.25">
      <c r="H44" t="s">
        <v>928</v>
      </c>
      <c r="I44" t="s">
        <v>30</v>
      </c>
      <c r="J44" t="s">
        <v>946</v>
      </c>
      <c r="K44" s="839">
        <v>1337878.2209467185</v>
      </c>
      <c r="L44" s="839">
        <v>1352512.0713207114</v>
      </c>
      <c r="M44" s="920">
        <f t="shared" si="4"/>
        <v>-14633.850373992929</v>
      </c>
    </row>
    <row r="45" spans="1:19" x14ac:dyDescent="0.25">
      <c r="H45" t="s">
        <v>929</v>
      </c>
      <c r="I45" t="s">
        <v>30</v>
      </c>
      <c r="J45" t="s">
        <v>943</v>
      </c>
      <c r="K45" s="839">
        <v>1482513.7042923095</v>
      </c>
      <c r="L45" s="839">
        <v>1499172.67594222</v>
      </c>
      <c r="M45" s="920">
        <f t="shared" si="4"/>
        <v>-16658.971649910556</v>
      </c>
    </row>
    <row r="46" spans="1:19" x14ac:dyDescent="0.25">
      <c r="H46" t="s">
        <v>930</v>
      </c>
      <c r="I46" t="s">
        <v>30</v>
      </c>
      <c r="J46" t="s">
        <v>942</v>
      </c>
      <c r="K46" s="839">
        <v>578541.93338236469</v>
      </c>
      <c r="L46" s="839">
        <v>583983.91810014658</v>
      </c>
      <c r="M46" s="920">
        <f t="shared" si="4"/>
        <v>-5441.9847177818883</v>
      </c>
    </row>
    <row r="47" spans="1:19" x14ac:dyDescent="0.25">
      <c r="H47" t="s">
        <v>914</v>
      </c>
      <c r="I47" t="s">
        <v>30</v>
      </c>
      <c r="J47" t="s">
        <v>945</v>
      </c>
      <c r="K47" s="839">
        <v>552244.57277407544</v>
      </c>
      <c r="L47" s="839">
        <v>558285.08103655896</v>
      </c>
      <c r="M47" s="920">
        <f t="shared" si="4"/>
        <v>-6040.5082624835195</v>
      </c>
    </row>
    <row r="48" spans="1:19" x14ac:dyDescent="0.25">
      <c r="H48" t="s">
        <v>931</v>
      </c>
      <c r="I48" t="s">
        <v>140</v>
      </c>
      <c r="J48" t="s">
        <v>942</v>
      </c>
      <c r="K48" s="839">
        <v>591690.61368650943</v>
      </c>
      <c r="L48" s="839">
        <v>598162.58682488464</v>
      </c>
      <c r="M48" s="920">
        <f t="shared" si="4"/>
        <v>-6471.9731383752078</v>
      </c>
    </row>
    <row r="49" spans="8:15" x14ac:dyDescent="0.25">
      <c r="H49" t="s">
        <v>932</v>
      </c>
      <c r="I49" t="s">
        <v>140</v>
      </c>
      <c r="J49" t="s">
        <v>943</v>
      </c>
      <c r="K49" s="839">
        <v>1012448.3834191383</v>
      </c>
      <c r="L49" s="839">
        <v>1023522.6485670247</v>
      </c>
      <c r="M49" s="920">
        <f t="shared" si="4"/>
        <v>-11074.265147886472</v>
      </c>
    </row>
    <row r="50" spans="8:15" x14ac:dyDescent="0.25">
      <c r="H50" t="s">
        <v>933</v>
      </c>
      <c r="I50" t="s">
        <v>140</v>
      </c>
      <c r="J50" t="s">
        <v>947</v>
      </c>
      <c r="K50" s="839">
        <v>144635.48334559117</v>
      </c>
      <c r="L50" s="839">
        <v>146217.52122386068</v>
      </c>
      <c r="M50" s="920">
        <f t="shared" si="4"/>
        <v>-1582.0378782695043</v>
      </c>
    </row>
    <row r="51" spans="8:15" x14ac:dyDescent="0.25">
      <c r="H51" t="s">
        <v>934</v>
      </c>
      <c r="I51" t="s">
        <v>140</v>
      </c>
      <c r="J51" t="s">
        <v>944</v>
      </c>
      <c r="K51" s="839">
        <v>1084766.1250919339</v>
      </c>
      <c r="L51" s="839">
        <v>1096631.4091789552</v>
      </c>
      <c r="M51" s="920">
        <f t="shared" si="4"/>
        <v>-11865.284087021369</v>
      </c>
    </row>
    <row r="52" spans="8:15" x14ac:dyDescent="0.25">
      <c r="H52" t="s">
        <v>915</v>
      </c>
      <c r="I52" t="s">
        <v>140</v>
      </c>
      <c r="J52" t="s">
        <v>945</v>
      </c>
      <c r="K52" s="839">
        <v>1963536.2587522683</v>
      </c>
      <c r="L52" s="839">
        <v>1983241.2878727284</v>
      </c>
      <c r="M52" s="920">
        <f t="shared" si="4"/>
        <v>-19705.029120460153</v>
      </c>
    </row>
    <row r="53" spans="8:15" x14ac:dyDescent="0.25">
      <c r="H53" t="s">
        <v>935</v>
      </c>
      <c r="I53" t="s">
        <v>140</v>
      </c>
      <c r="J53" t="s">
        <v>946</v>
      </c>
      <c r="K53" s="839">
        <v>3760522.5669853711</v>
      </c>
      <c r="L53" s="839">
        <v>3798110.8846391928</v>
      </c>
      <c r="M53" s="920">
        <f t="shared" si="4"/>
        <v>-37588.317653821781</v>
      </c>
    </row>
    <row r="54" spans="8:15" x14ac:dyDescent="0.25">
      <c r="H54" t="s">
        <v>936</v>
      </c>
      <c r="I54" t="s">
        <v>140</v>
      </c>
      <c r="J54" t="s">
        <v>942</v>
      </c>
      <c r="K54" s="839">
        <v>542383.06254596694</v>
      </c>
      <c r="L54" s="839">
        <v>546986.45439653343</v>
      </c>
      <c r="M54" s="920">
        <f t="shared" si="4"/>
        <v>-4603.3918505664915</v>
      </c>
    </row>
    <row r="55" spans="8:15" x14ac:dyDescent="0.25">
      <c r="H55" t="s">
        <v>937</v>
      </c>
      <c r="I55" t="s">
        <v>140</v>
      </c>
      <c r="J55" t="s">
        <v>945</v>
      </c>
      <c r="K55" s="839">
        <v>0</v>
      </c>
      <c r="L55" s="839">
        <v>0</v>
      </c>
      <c r="M55" s="920">
        <f t="shared" si="4"/>
        <v>0</v>
      </c>
    </row>
    <row r="56" spans="8:15" x14ac:dyDescent="0.25">
      <c r="H56" t="s">
        <v>916</v>
      </c>
      <c r="I56" t="s">
        <v>188</v>
      </c>
      <c r="J56" t="s">
        <v>948</v>
      </c>
      <c r="K56" s="839">
        <v>490884.06468806707</v>
      </c>
      <c r="L56" s="839">
        <v>496253.40536583017</v>
      </c>
      <c r="M56" s="920">
        <f t="shared" si="4"/>
        <v>-5369.3406777631026</v>
      </c>
    </row>
    <row r="57" spans="8:15" x14ac:dyDescent="0.25">
      <c r="H57" t="s">
        <v>917</v>
      </c>
      <c r="I57" t="s">
        <v>188</v>
      </c>
      <c r="J57" t="s">
        <v>949</v>
      </c>
      <c r="K57" s="839">
        <v>122721.01617201677</v>
      </c>
      <c r="L57" s="839">
        <v>124063.35134145754</v>
      </c>
      <c r="M57" s="920">
        <f t="shared" si="4"/>
        <v>-1342.3351694407756</v>
      </c>
      <c r="N57" t="str">
        <f>N40</f>
        <v>BSP</v>
      </c>
      <c r="O57" s="839">
        <f>SUMIF(I40:I67,"B",L40:L67)</f>
        <v>28841627.603105351</v>
      </c>
    </row>
    <row r="58" spans="8:15" x14ac:dyDescent="0.25">
      <c r="H58" t="s">
        <v>918</v>
      </c>
      <c r="I58" t="s">
        <v>188</v>
      </c>
      <c r="J58" t="s">
        <v>950</v>
      </c>
      <c r="K58" s="839">
        <v>289270.96669118234</v>
      </c>
      <c r="L58" s="839">
        <v>291991.95905007329</v>
      </c>
      <c r="M58" s="920">
        <f t="shared" si="4"/>
        <v>-2720.9923588909442</v>
      </c>
      <c r="N58" t="str">
        <f t="shared" ref="N58:N59" si="10">N41</f>
        <v>MSP</v>
      </c>
      <c r="O58" s="839">
        <f t="shared" ref="O58:O59" si="11">SUMIF(I41:I68,"B",L41:L68)</f>
        <v>28343158.78075128</v>
      </c>
    </row>
    <row r="59" spans="8:15" x14ac:dyDescent="0.25">
      <c r="H59" t="s">
        <v>919</v>
      </c>
      <c r="I59" t="s">
        <v>188</v>
      </c>
      <c r="J59" t="s">
        <v>951</v>
      </c>
      <c r="K59" s="839">
        <v>197230.20456216982</v>
      </c>
      <c r="L59" s="839">
        <v>199387.5289416282</v>
      </c>
      <c r="M59" s="920">
        <f t="shared" si="4"/>
        <v>-2157.3243794583832</v>
      </c>
      <c r="N59" t="str">
        <f t="shared" si="10"/>
        <v>DSP</v>
      </c>
      <c r="O59" s="839">
        <f t="shared" si="11"/>
        <v>18162653.094690561</v>
      </c>
    </row>
    <row r="60" spans="8:15" x14ac:dyDescent="0.25">
      <c r="H60" t="s">
        <v>920</v>
      </c>
      <c r="I60" t="s">
        <v>188</v>
      </c>
      <c r="J60" t="s">
        <v>942</v>
      </c>
      <c r="K60" s="839">
        <v>1479226.5342162736</v>
      </c>
      <c r="L60" s="839">
        <v>1495406.4670622116</v>
      </c>
      <c r="M60" s="920">
        <f t="shared" si="4"/>
        <v>-16179.932845938019</v>
      </c>
    </row>
    <row r="61" spans="8:15" x14ac:dyDescent="0.25">
      <c r="H61" t="s">
        <v>921</v>
      </c>
      <c r="I61" t="s">
        <v>188</v>
      </c>
      <c r="J61" t="s">
        <v>946</v>
      </c>
      <c r="K61" s="839">
        <v>1120924.9959283317</v>
      </c>
      <c r="L61" s="839">
        <v>1133185.7894849204</v>
      </c>
      <c r="M61" s="920">
        <f t="shared" si="4"/>
        <v>-12260.793556588702</v>
      </c>
    </row>
    <row r="62" spans="8:15" x14ac:dyDescent="0.25">
      <c r="H62" t="s">
        <v>922</v>
      </c>
      <c r="I62" t="s">
        <v>188</v>
      </c>
      <c r="J62" t="s">
        <v>942</v>
      </c>
      <c r="K62" s="839">
        <v>1193242.7376011272</v>
      </c>
      <c r="L62" s="839">
        <v>1206737.6334944987</v>
      </c>
      <c r="M62" s="920">
        <f t="shared" si="4"/>
        <v>-13494.895893371431</v>
      </c>
    </row>
    <row r="63" spans="8:15" x14ac:dyDescent="0.25">
      <c r="H63" t="s">
        <v>923</v>
      </c>
      <c r="I63" t="s">
        <v>188</v>
      </c>
      <c r="J63" t="s">
        <v>945</v>
      </c>
      <c r="K63" s="839">
        <v>2270338.7991823102</v>
      </c>
      <c r="L63" s="839">
        <v>2294728.9164193165</v>
      </c>
      <c r="M63" s="920">
        <f t="shared" si="4"/>
        <v>-24390.117237006314</v>
      </c>
    </row>
  </sheetData>
  <mergeCells count="2">
    <mergeCell ref="H39:K39"/>
    <mergeCell ref="H8:J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pageSetUpPr fitToPage="1"/>
  </sheetPr>
  <dimension ref="A1:IF168"/>
  <sheetViews>
    <sheetView topLeftCell="A112" workbookViewId="0">
      <selection activeCell="D146" sqref="D146"/>
    </sheetView>
  </sheetViews>
  <sheetFormatPr defaultColWidth="9.109375" defaultRowHeight="15.6" x14ac:dyDescent="0.3"/>
  <cols>
    <col min="1" max="1" width="6.5546875" style="1" customWidth="1"/>
    <col min="2" max="2" width="13.5546875" style="1" customWidth="1"/>
    <col min="3" max="3" width="13.44140625" style="1" customWidth="1"/>
    <col min="4" max="4" width="41" style="1" customWidth="1"/>
    <col min="5" max="5" width="10.6640625" style="1" customWidth="1"/>
    <col min="6" max="6" width="11.6640625" style="1" customWidth="1"/>
    <col min="7" max="7" width="11" style="1" customWidth="1"/>
    <col min="8" max="8" width="15.6640625" style="1" customWidth="1"/>
    <col min="9" max="9" width="8" style="3" customWidth="1"/>
    <col min="10" max="10" width="13" style="3" customWidth="1"/>
    <col min="11" max="11" width="10.88671875" style="1" customWidth="1"/>
    <col min="12" max="12" width="12.6640625" style="1" customWidth="1"/>
    <col min="13" max="13" width="12.33203125" style="1" customWidth="1"/>
    <col min="14" max="14" width="12.5546875" style="1" customWidth="1"/>
    <col min="15" max="15" width="11.109375" style="1" customWidth="1"/>
    <col min="16" max="16" width="12.5546875" style="1" customWidth="1"/>
    <col min="17" max="17" width="11.88671875" style="1" customWidth="1"/>
    <col min="18" max="18" width="9" style="1" customWidth="1"/>
    <col min="19" max="19" width="9.6640625" style="1" bestFit="1" customWidth="1"/>
    <col min="20" max="21" width="8.109375" style="1" customWidth="1"/>
    <col min="22" max="16384" width="9.109375" style="1"/>
  </cols>
  <sheetData>
    <row r="1" spans="1:240" ht="27" customHeight="1" thickBot="1" x14ac:dyDescent="0.35">
      <c r="A1" s="528" t="s">
        <v>137</v>
      </c>
      <c r="B1" s="529" t="s">
        <v>28</v>
      </c>
      <c r="C1" s="528" t="s">
        <v>29</v>
      </c>
      <c r="D1" s="530" t="s">
        <v>13</v>
      </c>
      <c r="E1" s="531" t="s">
        <v>14</v>
      </c>
      <c r="F1" s="532" t="s">
        <v>328</v>
      </c>
      <c r="G1" s="531" t="s">
        <v>329</v>
      </c>
      <c r="H1" s="533" t="s">
        <v>15</v>
      </c>
      <c r="I1" s="31"/>
      <c r="J1" s="1"/>
      <c r="L1" s="91"/>
      <c r="M1" s="94"/>
      <c r="N1" s="66"/>
      <c r="O1" s="38"/>
      <c r="P1" s="66"/>
      <c r="Q1" s="66"/>
      <c r="R1" s="38"/>
      <c r="S1" s="63"/>
      <c r="T1" s="120"/>
      <c r="U1" s="120"/>
      <c r="V1" s="93"/>
      <c r="W1" s="93"/>
      <c r="X1" s="93"/>
      <c r="Y1" s="93"/>
      <c r="Z1" s="93"/>
      <c r="AA1" s="93"/>
      <c r="AB1" s="93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/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</row>
    <row r="2" spans="1:240" s="27" customFormat="1" ht="16.2" hidden="1" thickTop="1" x14ac:dyDescent="0.3">
      <c r="A2" s="514">
        <v>1</v>
      </c>
      <c r="B2" s="515" t="s">
        <v>16</v>
      </c>
      <c r="C2" s="514">
        <v>-1</v>
      </c>
      <c r="D2" s="517" t="s">
        <v>105</v>
      </c>
      <c r="E2" s="518">
        <v>16.2</v>
      </c>
      <c r="F2" s="534">
        <v>1</v>
      </c>
      <c r="G2" s="534">
        <v>1</v>
      </c>
      <c r="H2" s="516">
        <v>7625</v>
      </c>
      <c r="I2" s="1"/>
      <c r="J2" s="4"/>
      <c r="K2" s="4"/>
      <c r="M2" s="70"/>
      <c r="N2" s="42"/>
      <c r="O2" s="42"/>
      <c r="P2" s="42"/>
      <c r="Q2" s="42"/>
      <c r="R2" s="42"/>
      <c r="S2" s="42"/>
      <c r="T2" s="70"/>
      <c r="U2" s="42"/>
      <c r="V2" s="42"/>
      <c r="W2" s="42"/>
      <c r="X2" s="42"/>
      <c r="Y2" s="42"/>
      <c r="Z2" s="42"/>
      <c r="AA2" s="42"/>
      <c r="AB2" s="42"/>
    </row>
    <row r="3" spans="1:240" s="27" customFormat="1" ht="16.2" hidden="1" thickTop="1" x14ac:dyDescent="0.3">
      <c r="A3" s="514">
        <v>1</v>
      </c>
      <c r="B3" s="515" t="s">
        <v>16</v>
      </c>
      <c r="C3" s="514">
        <v>-1</v>
      </c>
      <c r="D3" s="517" t="s">
        <v>118</v>
      </c>
      <c r="E3" s="518">
        <v>11.5</v>
      </c>
      <c r="F3" s="534">
        <v>1</v>
      </c>
      <c r="G3" s="534">
        <v>1</v>
      </c>
      <c r="H3" s="516">
        <v>7625</v>
      </c>
      <c r="I3" s="1"/>
      <c r="J3" s="1"/>
      <c r="K3" s="1"/>
      <c r="L3" s="91"/>
      <c r="M3" s="94"/>
      <c r="N3" s="66"/>
      <c r="O3" s="38"/>
      <c r="P3" s="66"/>
      <c r="Q3" s="66"/>
      <c r="R3" s="38"/>
      <c r="S3" s="63"/>
      <c r="T3" s="120"/>
      <c r="U3" s="120"/>
      <c r="V3" s="42"/>
      <c r="W3" s="42"/>
      <c r="X3" s="42"/>
      <c r="Y3" s="42"/>
      <c r="Z3" s="42"/>
      <c r="AA3" s="42"/>
      <c r="AB3" s="42"/>
    </row>
    <row r="4" spans="1:240" s="27" customFormat="1" ht="16.2" hidden="1" thickTop="1" x14ac:dyDescent="0.3">
      <c r="A4" s="514">
        <v>1</v>
      </c>
      <c r="B4" s="515" t="s">
        <v>16</v>
      </c>
      <c r="C4" s="514">
        <v>-1</v>
      </c>
      <c r="D4" s="517" t="s">
        <v>106</v>
      </c>
      <c r="E4" s="518">
        <v>20.5</v>
      </c>
      <c r="F4" s="534">
        <v>1</v>
      </c>
      <c r="G4" s="534">
        <v>1</v>
      </c>
      <c r="H4" s="516">
        <v>7625</v>
      </c>
      <c r="I4" s="1"/>
      <c r="J4" s="4"/>
      <c r="K4" s="4"/>
      <c r="M4" s="70"/>
      <c r="N4" s="42"/>
      <c r="O4" s="42"/>
      <c r="P4" s="42"/>
      <c r="Q4" s="42"/>
      <c r="R4" s="42"/>
      <c r="S4" s="42"/>
      <c r="T4" s="70"/>
      <c r="U4" s="42"/>
      <c r="V4" s="42"/>
      <c r="W4" s="42"/>
      <c r="X4" s="42"/>
      <c r="Y4" s="42"/>
      <c r="Z4" s="42"/>
      <c r="AA4" s="42"/>
      <c r="AB4" s="42"/>
    </row>
    <row r="5" spans="1:240" s="27" customFormat="1" ht="16.2" hidden="1" thickTop="1" x14ac:dyDescent="0.3">
      <c r="A5" s="514">
        <v>1</v>
      </c>
      <c r="B5" s="515" t="s">
        <v>16</v>
      </c>
      <c r="C5" s="514">
        <v>-1</v>
      </c>
      <c r="D5" s="517" t="s">
        <v>107</v>
      </c>
      <c r="E5" s="518">
        <v>12.5</v>
      </c>
      <c r="F5" s="534">
        <v>1</v>
      </c>
      <c r="G5" s="534">
        <v>1</v>
      </c>
      <c r="H5" s="516">
        <v>7625</v>
      </c>
      <c r="I5" s="1"/>
      <c r="J5" s="1"/>
      <c r="K5" s="1"/>
      <c r="L5" s="91"/>
      <c r="M5" s="94"/>
      <c r="N5" s="66"/>
      <c r="O5" s="38"/>
      <c r="P5" s="66"/>
      <c r="Q5" s="66"/>
      <c r="R5" s="38"/>
      <c r="S5" s="63"/>
      <c r="T5" s="120"/>
      <c r="U5" s="120"/>
      <c r="V5" s="42"/>
      <c r="W5" s="42"/>
      <c r="X5" s="42"/>
      <c r="Y5" s="42"/>
      <c r="Z5" s="42"/>
      <c r="AA5" s="42"/>
      <c r="AB5" s="42"/>
    </row>
    <row r="6" spans="1:240" s="27" customFormat="1" ht="16.2" hidden="1" thickTop="1" x14ac:dyDescent="0.3">
      <c r="A6" s="514">
        <v>1</v>
      </c>
      <c r="B6" s="515" t="s">
        <v>16</v>
      </c>
      <c r="C6" s="514">
        <v>-1</v>
      </c>
      <c r="D6" s="517" t="s">
        <v>69</v>
      </c>
      <c r="E6" s="518">
        <v>8.1999999999999993</v>
      </c>
      <c r="F6" s="534">
        <v>1</v>
      </c>
      <c r="G6" s="534">
        <v>1</v>
      </c>
      <c r="H6" s="516">
        <v>7625</v>
      </c>
      <c r="I6" s="1"/>
      <c r="J6" s="4"/>
      <c r="K6" s="4"/>
      <c r="M6" s="70"/>
      <c r="N6" s="42"/>
      <c r="O6" s="42"/>
      <c r="P6" s="42"/>
      <c r="Q6" s="42"/>
      <c r="R6" s="42"/>
      <c r="S6" s="42"/>
      <c r="T6" s="70"/>
      <c r="U6" s="42"/>
      <c r="V6" s="42"/>
      <c r="W6" s="42"/>
      <c r="X6" s="42"/>
      <c r="Y6" s="42"/>
      <c r="Z6" s="42"/>
      <c r="AA6" s="42"/>
      <c r="AB6" s="42"/>
    </row>
    <row r="7" spans="1:240" s="27" customFormat="1" ht="16.2" hidden="1" thickTop="1" x14ac:dyDescent="0.3">
      <c r="A7" s="514">
        <v>1</v>
      </c>
      <c r="B7" s="515" t="s">
        <v>16</v>
      </c>
      <c r="C7" s="514">
        <v>-1</v>
      </c>
      <c r="D7" s="517" t="s">
        <v>72</v>
      </c>
      <c r="E7" s="518">
        <v>17.8</v>
      </c>
      <c r="F7" s="534">
        <v>1</v>
      </c>
      <c r="G7" s="534">
        <v>1</v>
      </c>
      <c r="H7" s="516">
        <v>7640</v>
      </c>
      <c r="I7" s="1"/>
      <c r="J7" s="1"/>
      <c r="K7" s="1"/>
      <c r="L7" s="91"/>
      <c r="M7" s="94"/>
      <c r="N7" s="66"/>
      <c r="O7" s="38"/>
      <c r="P7" s="66"/>
      <c r="Q7" s="66"/>
      <c r="R7" s="38"/>
      <c r="S7" s="63"/>
      <c r="T7" s="120"/>
      <c r="U7" s="120"/>
      <c r="V7" s="42"/>
      <c r="W7" s="42"/>
      <c r="X7" s="42"/>
      <c r="Y7" s="42"/>
      <c r="Z7" s="42"/>
      <c r="AA7" s="42"/>
      <c r="AB7" s="42"/>
    </row>
    <row r="8" spans="1:240" s="27" customFormat="1" ht="16.2" hidden="1" thickTop="1" x14ac:dyDescent="0.3">
      <c r="A8" s="514">
        <v>1</v>
      </c>
      <c r="B8" s="515" t="s">
        <v>16</v>
      </c>
      <c r="C8" s="514">
        <v>-1</v>
      </c>
      <c r="D8" s="517" t="s">
        <v>92</v>
      </c>
      <c r="E8" s="518">
        <v>41.9</v>
      </c>
      <c r="F8" s="534">
        <v>1</v>
      </c>
      <c r="G8" s="534">
        <v>1</v>
      </c>
      <c r="H8" s="516">
        <v>7640</v>
      </c>
      <c r="I8" s="1"/>
      <c r="J8" s="4"/>
      <c r="K8" s="4"/>
      <c r="M8" s="70"/>
      <c r="N8" s="42"/>
      <c r="O8" s="42"/>
      <c r="P8" s="42"/>
      <c r="Q8" s="42"/>
      <c r="R8" s="42"/>
      <c r="S8" s="42"/>
      <c r="T8" s="70"/>
      <c r="U8" s="42"/>
      <c r="V8" s="42"/>
      <c r="W8" s="42"/>
      <c r="X8" s="42"/>
      <c r="Y8" s="42"/>
      <c r="Z8" s="42"/>
      <c r="AA8" s="42"/>
      <c r="AB8" s="42"/>
    </row>
    <row r="9" spans="1:240" s="27" customFormat="1" ht="16.2" thickTop="1" x14ac:dyDescent="0.3">
      <c r="A9" s="514">
        <v>1</v>
      </c>
      <c r="B9" s="515" t="s">
        <v>16</v>
      </c>
      <c r="C9" s="514">
        <v>-1</v>
      </c>
      <c r="D9" s="517" t="s">
        <v>109</v>
      </c>
      <c r="E9" s="518">
        <v>3.7</v>
      </c>
      <c r="F9" s="534">
        <v>1</v>
      </c>
      <c r="G9" s="534">
        <v>1</v>
      </c>
      <c r="H9" s="519">
        <v>7635</v>
      </c>
      <c r="I9" s="1"/>
      <c r="J9" s="1"/>
      <c r="K9" s="1"/>
      <c r="L9" s="91"/>
      <c r="M9" s="94"/>
      <c r="N9" s="66"/>
      <c r="O9" s="38"/>
      <c r="P9" s="66"/>
      <c r="Q9" s="66"/>
      <c r="R9" s="38"/>
      <c r="S9" s="63"/>
      <c r="T9" s="120"/>
      <c r="U9" s="120"/>
      <c r="V9" s="42"/>
      <c r="W9" s="42"/>
      <c r="X9" s="42"/>
      <c r="Y9" s="42"/>
      <c r="Z9" s="42"/>
      <c r="AA9" s="42"/>
      <c r="AB9" s="42"/>
    </row>
    <row r="10" spans="1:240" s="27" customFormat="1" x14ac:dyDescent="0.3">
      <c r="A10" s="514">
        <v>1</v>
      </c>
      <c r="B10" s="515" t="s">
        <v>16</v>
      </c>
      <c r="C10" s="514">
        <v>-1</v>
      </c>
      <c r="D10" s="517" t="s">
        <v>109</v>
      </c>
      <c r="E10" s="518">
        <v>9.6</v>
      </c>
      <c r="F10" s="534">
        <v>1</v>
      </c>
      <c r="G10" s="534">
        <v>1</v>
      </c>
      <c r="H10" s="519">
        <v>7635</v>
      </c>
      <c r="I10" s="1"/>
      <c r="J10" s="4"/>
      <c r="K10" s="4"/>
      <c r="M10" s="70"/>
      <c r="N10" s="42"/>
      <c r="O10" s="42"/>
      <c r="P10" s="42"/>
      <c r="Q10" s="42"/>
      <c r="R10" s="42"/>
      <c r="S10" s="42"/>
      <c r="T10" s="70"/>
      <c r="U10" s="42"/>
      <c r="V10" s="42"/>
      <c r="W10" s="42"/>
      <c r="X10" s="42"/>
      <c r="Y10" s="42"/>
      <c r="Z10" s="42"/>
      <c r="AA10" s="42"/>
      <c r="AB10" s="42"/>
    </row>
    <row r="11" spans="1:240" s="27" customFormat="1" x14ac:dyDescent="0.3">
      <c r="A11" s="514">
        <v>1</v>
      </c>
      <c r="B11" s="515" t="s">
        <v>16</v>
      </c>
      <c r="C11" s="514">
        <v>-1</v>
      </c>
      <c r="D11" s="517" t="s">
        <v>77</v>
      </c>
      <c r="E11" s="518">
        <v>13.9</v>
      </c>
      <c r="F11" s="534">
        <v>1</v>
      </c>
      <c r="G11" s="534">
        <v>1</v>
      </c>
      <c r="H11" s="519">
        <v>7635</v>
      </c>
      <c r="I11" s="1"/>
      <c r="J11" s="1"/>
      <c r="K11" s="1"/>
      <c r="L11" s="91"/>
      <c r="M11" s="94"/>
      <c r="N11" s="66"/>
      <c r="O11" s="38"/>
      <c r="P11" s="66"/>
      <c r="Q11" s="66"/>
      <c r="R11" s="38"/>
      <c r="S11" s="63"/>
      <c r="T11" s="120"/>
      <c r="U11" s="120"/>
      <c r="V11" s="42"/>
      <c r="W11" s="42"/>
      <c r="X11" s="42"/>
      <c r="Y11" s="42"/>
      <c r="Z11" s="42"/>
      <c r="AA11" s="42"/>
      <c r="AB11" s="42"/>
    </row>
    <row r="12" spans="1:240" s="27" customFormat="1" x14ac:dyDescent="0.3">
      <c r="A12" s="514">
        <v>1</v>
      </c>
      <c r="B12" s="515" t="s">
        <v>16</v>
      </c>
      <c r="C12" s="514">
        <v>-1</v>
      </c>
      <c r="D12" s="517" t="s">
        <v>50</v>
      </c>
      <c r="E12" s="518">
        <v>10.7</v>
      </c>
      <c r="F12" s="534">
        <v>1</v>
      </c>
      <c r="G12" s="534">
        <v>1</v>
      </c>
      <c r="H12" s="519">
        <v>7635</v>
      </c>
      <c r="I12" s="1"/>
      <c r="J12" s="4"/>
      <c r="K12" s="4"/>
      <c r="M12" s="70"/>
      <c r="N12" s="42"/>
      <c r="O12" s="42"/>
      <c r="P12" s="42"/>
      <c r="Q12" s="42"/>
      <c r="R12" s="42"/>
      <c r="S12" s="42"/>
      <c r="T12" s="70"/>
      <c r="U12" s="42"/>
      <c r="V12" s="42"/>
      <c r="W12" s="42"/>
      <c r="X12" s="42"/>
      <c r="Y12" s="42"/>
      <c r="Z12" s="42"/>
      <c r="AA12" s="42"/>
      <c r="AB12" s="42"/>
    </row>
    <row r="13" spans="1:240" s="27" customFormat="1" hidden="1" x14ac:dyDescent="0.3">
      <c r="A13" s="514">
        <v>1</v>
      </c>
      <c r="B13" s="515" t="s">
        <v>16</v>
      </c>
      <c r="C13" s="514">
        <v>-1</v>
      </c>
      <c r="D13" s="517" t="s">
        <v>78</v>
      </c>
      <c r="E13" s="518">
        <v>118.7</v>
      </c>
      <c r="F13" s="534">
        <v>1</v>
      </c>
      <c r="G13" s="534">
        <v>1</v>
      </c>
      <c r="H13" s="516">
        <v>7630</v>
      </c>
      <c r="I13" s="1"/>
      <c r="J13" s="4"/>
      <c r="K13" s="4"/>
      <c r="M13" s="70"/>
      <c r="N13" s="42"/>
      <c r="O13" s="42"/>
      <c r="P13" s="42"/>
      <c r="Q13" s="42"/>
      <c r="R13" s="42"/>
      <c r="S13" s="42"/>
      <c r="T13" s="70"/>
      <c r="U13" s="42"/>
      <c r="V13" s="42"/>
      <c r="W13" s="42"/>
      <c r="X13" s="42"/>
      <c r="Y13" s="42"/>
      <c r="Z13" s="42"/>
      <c r="AA13" s="42"/>
      <c r="AB13" s="42"/>
    </row>
    <row r="14" spans="1:240" s="27" customFormat="1" hidden="1" x14ac:dyDescent="0.3">
      <c r="A14" s="514">
        <v>1</v>
      </c>
      <c r="B14" s="515" t="s">
        <v>16</v>
      </c>
      <c r="C14" s="514">
        <v>-1</v>
      </c>
      <c r="D14" s="517" t="s">
        <v>79</v>
      </c>
      <c r="E14" s="518">
        <v>53.4</v>
      </c>
      <c r="F14" s="534">
        <v>1</v>
      </c>
      <c r="G14" s="534">
        <v>1</v>
      </c>
      <c r="H14" s="516">
        <v>7630</v>
      </c>
      <c r="I14" s="1"/>
      <c r="J14" s="4"/>
      <c r="K14" s="4"/>
      <c r="M14" s="70"/>
      <c r="N14" s="42"/>
      <c r="O14" s="42"/>
      <c r="P14" s="42"/>
      <c r="Q14" s="42"/>
      <c r="R14" s="42"/>
      <c r="S14" s="42"/>
      <c r="T14" s="70"/>
      <c r="U14" s="42"/>
      <c r="V14" s="42"/>
      <c r="W14" s="42"/>
      <c r="X14" s="42"/>
      <c r="Y14" s="42"/>
      <c r="Z14" s="42"/>
      <c r="AA14" s="42"/>
      <c r="AB14" s="42"/>
    </row>
    <row r="15" spans="1:240" s="27" customFormat="1" hidden="1" x14ac:dyDescent="0.3">
      <c r="A15" s="514">
        <v>1</v>
      </c>
      <c r="B15" s="515" t="s">
        <v>16</v>
      </c>
      <c r="C15" s="514">
        <v>-1</v>
      </c>
      <c r="D15" s="517" t="s">
        <v>80</v>
      </c>
      <c r="E15" s="518">
        <v>34.75</v>
      </c>
      <c r="F15" s="534">
        <v>1</v>
      </c>
      <c r="G15" s="534">
        <v>1</v>
      </c>
      <c r="H15" s="516">
        <v>7630</v>
      </c>
      <c r="I15" s="1"/>
      <c r="J15" s="1"/>
      <c r="K15" s="1"/>
      <c r="L15" s="91"/>
      <c r="M15" s="94"/>
      <c r="N15" s="66"/>
      <c r="O15" s="38"/>
      <c r="P15" s="66"/>
      <c r="Q15" s="66"/>
      <c r="R15" s="38"/>
      <c r="S15" s="63"/>
      <c r="T15" s="120"/>
      <c r="U15" s="120"/>
      <c r="V15" s="42"/>
      <c r="W15" s="42"/>
      <c r="X15" s="42"/>
      <c r="Y15" s="42"/>
      <c r="Z15" s="42"/>
      <c r="AA15" s="42"/>
      <c r="AB15" s="42"/>
    </row>
    <row r="16" spans="1:240" s="27" customFormat="1" hidden="1" x14ac:dyDescent="0.3">
      <c r="A16" s="514">
        <v>1</v>
      </c>
      <c r="B16" s="515" t="s">
        <v>16</v>
      </c>
      <c r="C16" s="514">
        <v>1</v>
      </c>
      <c r="D16" s="517" t="s">
        <v>72</v>
      </c>
      <c r="E16" s="520">
        <v>30.6</v>
      </c>
      <c r="F16" s="534">
        <v>1</v>
      </c>
      <c r="G16" s="534">
        <v>1</v>
      </c>
      <c r="H16" s="516">
        <v>7640</v>
      </c>
      <c r="I16" s="1"/>
      <c r="J16" s="4"/>
      <c r="K16" s="4"/>
      <c r="M16" s="70"/>
      <c r="N16" s="42"/>
      <c r="O16" s="42"/>
      <c r="P16" s="42"/>
      <c r="Q16" s="42"/>
      <c r="R16" s="42"/>
      <c r="S16" s="42"/>
      <c r="T16" s="70"/>
      <c r="U16" s="42"/>
      <c r="V16" s="42"/>
      <c r="W16" s="42"/>
      <c r="X16" s="120"/>
      <c r="Y16" s="42"/>
      <c r="Z16" s="42"/>
      <c r="AA16" s="42"/>
      <c r="AB16" s="42"/>
    </row>
    <row r="17" spans="1:28" s="27" customFormat="1" hidden="1" x14ac:dyDescent="0.3">
      <c r="A17" s="514">
        <v>1</v>
      </c>
      <c r="B17" s="515" t="s">
        <v>16</v>
      </c>
      <c r="C17" s="514">
        <v>1</v>
      </c>
      <c r="D17" s="517" t="s">
        <v>72</v>
      </c>
      <c r="E17" s="520">
        <v>12.6</v>
      </c>
      <c r="F17" s="534">
        <v>1</v>
      </c>
      <c r="G17" s="534">
        <v>1</v>
      </c>
      <c r="H17" s="521">
        <v>7640</v>
      </c>
      <c r="I17" s="1"/>
      <c r="J17" s="1"/>
      <c r="K17" s="1"/>
      <c r="L17" s="91"/>
      <c r="M17" s="94"/>
      <c r="N17" s="66"/>
      <c r="O17" s="38"/>
      <c r="P17" s="66"/>
      <c r="Q17" s="66"/>
      <c r="R17" s="38"/>
      <c r="S17" s="63"/>
      <c r="T17" s="120"/>
      <c r="U17" s="120"/>
      <c r="V17" s="42"/>
      <c r="W17" s="42"/>
      <c r="X17" s="120"/>
      <c r="Y17" s="42"/>
      <c r="Z17" s="42"/>
      <c r="AA17" s="42"/>
      <c r="AB17" s="42"/>
    </row>
    <row r="18" spans="1:28" s="27" customFormat="1" hidden="1" x14ac:dyDescent="0.3">
      <c r="A18" s="514">
        <v>1</v>
      </c>
      <c r="B18" s="515" t="s">
        <v>16</v>
      </c>
      <c r="C18" s="514">
        <v>1</v>
      </c>
      <c r="D18" s="517" t="s">
        <v>289</v>
      </c>
      <c r="E18" s="520">
        <v>133.19999999999999</v>
      </c>
      <c r="F18" s="534">
        <v>1</v>
      </c>
      <c r="G18" s="534">
        <v>1</v>
      </c>
      <c r="H18" s="516">
        <v>7630</v>
      </c>
      <c r="I18" s="1"/>
      <c r="J18" s="4"/>
      <c r="K18" s="4"/>
      <c r="M18" s="70"/>
      <c r="N18" s="42"/>
      <c r="O18" s="42"/>
      <c r="P18" s="42"/>
      <c r="Q18" s="42"/>
      <c r="R18" s="42"/>
      <c r="S18" s="42"/>
      <c r="T18" s="70"/>
      <c r="U18" s="42"/>
      <c r="V18" s="42"/>
      <c r="W18" s="42"/>
      <c r="X18" s="120"/>
      <c r="Y18" s="42"/>
      <c r="Z18" s="42"/>
      <c r="AA18" s="42"/>
      <c r="AB18" s="42"/>
    </row>
    <row r="19" spans="1:28" s="27" customFormat="1" x14ac:dyDescent="0.3">
      <c r="A19" s="514">
        <v>1</v>
      </c>
      <c r="B19" s="515" t="s">
        <v>16</v>
      </c>
      <c r="C19" s="514">
        <v>1</v>
      </c>
      <c r="D19" s="517" t="s">
        <v>50</v>
      </c>
      <c r="E19" s="520">
        <v>35.200000000000003</v>
      </c>
      <c r="F19" s="534">
        <v>1</v>
      </c>
      <c r="G19" s="534">
        <v>1</v>
      </c>
      <c r="H19" s="522">
        <v>7635</v>
      </c>
      <c r="I19" s="1"/>
      <c r="J19" s="1"/>
      <c r="K19" s="1"/>
      <c r="L19" s="91"/>
      <c r="M19" s="94"/>
      <c r="N19" s="66"/>
      <c r="O19" s="38"/>
      <c r="P19" s="66"/>
      <c r="Q19" s="66"/>
      <c r="R19" s="38"/>
      <c r="S19" s="63"/>
      <c r="T19" s="120"/>
      <c r="U19" s="120"/>
      <c r="V19" s="42"/>
      <c r="W19" s="42"/>
      <c r="X19" s="120"/>
      <c r="Y19" s="42"/>
      <c r="Z19" s="42"/>
      <c r="AA19" s="42"/>
      <c r="AB19" s="42"/>
    </row>
    <row r="20" spans="1:28" s="27" customFormat="1" hidden="1" x14ac:dyDescent="0.3">
      <c r="A20" s="514">
        <v>1</v>
      </c>
      <c r="B20" s="515" t="s">
        <v>16</v>
      </c>
      <c r="C20" s="514">
        <v>1</v>
      </c>
      <c r="D20" s="517" t="s">
        <v>290</v>
      </c>
      <c r="E20" s="520">
        <v>56.3</v>
      </c>
      <c r="F20" s="534">
        <v>1</v>
      </c>
      <c r="G20" s="534">
        <v>1</v>
      </c>
      <c r="H20" s="516">
        <v>7630</v>
      </c>
      <c r="I20" s="1"/>
      <c r="J20" s="4"/>
      <c r="K20" s="4"/>
      <c r="M20" s="70"/>
      <c r="N20" s="42"/>
      <c r="O20" s="42"/>
      <c r="P20" s="42"/>
      <c r="Q20" s="42"/>
      <c r="R20" s="42"/>
      <c r="S20" s="42"/>
      <c r="T20" s="70"/>
      <c r="U20" s="42"/>
      <c r="V20" s="42"/>
      <c r="W20" s="42"/>
      <c r="X20" s="120"/>
      <c r="Y20" s="42"/>
      <c r="Z20" s="42"/>
      <c r="AA20" s="42"/>
      <c r="AB20" s="42"/>
    </row>
    <row r="21" spans="1:28" s="27" customFormat="1" x14ac:dyDescent="0.3">
      <c r="A21" s="514">
        <v>1</v>
      </c>
      <c r="B21" s="515" t="s">
        <v>16</v>
      </c>
      <c r="C21" s="514">
        <v>1</v>
      </c>
      <c r="D21" s="517" t="s">
        <v>50</v>
      </c>
      <c r="E21" s="520">
        <v>35.299999999999997</v>
      </c>
      <c r="F21" s="534">
        <v>1</v>
      </c>
      <c r="G21" s="534">
        <v>1</v>
      </c>
      <c r="H21" s="519">
        <v>7635</v>
      </c>
      <c r="I21" s="1"/>
      <c r="J21" s="1"/>
      <c r="K21" s="1"/>
      <c r="L21" s="91"/>
      <c r="M21" s="94"/>
      <c r="N21" s="66"/>
      <c r="O21" s="38"/>
      <c r="P21" s="66"/>
      <c r="Q21" s="66"/>
      <c r="R21" s="38"/>
      <c r="S21" s="63"/>
      <c r="T21" s="120"/>
      <c r="U21" s="120"/>
      <c r="V21" s="42"/>
      <c r="W21" s="42"/>
      <c r="X21" s="120"/>
      <c r="Y21" s="42"/>
      <c r="Z21" s="42"/>
      <c r="AA21" s="42"/>
      <c r="AB21" s="42"/>
    </row>
    <row r="22" spans="1:28" s="27" customFormat="1" x14ac:dyDescent="0.3">
      <c r="A22" s="514">
        <v>1</v>
      </c>
      <c r="B22" s="515" t="s">
        <v>16</v>
      </c>
      <c r="C22" s="514">
        <v>1</v>
      </c>
      <c r="D22" s="517" t="s">
        <v>50</v>
      </c>
      <c r="E22" s="520">
        <v>35.9</v>
      </c>
      <c r="F22" s="534">
        <v>1</v>
      </c>
      <c r="G22" s="534">
        <v>1</v>
      </c>
      <c r="H22" s="519">
        <v>7635</v>
      </c>
      <c r="I22" s="1"/>
      <c r="J22" s="4"/>
      <c r="K22" s="4"/>
      <c r="M22" s="70"/>
      <c r="N22" s="42"/>
      <c r="O22" s="42"/>
      <c r="P22" s="42"/>
      <c r="Q22" s="42"/>
      <c r="R22" s="42"/>
      <c r="S22" s="42"/>
      <c r="T22" s="70"/>
      <c r="U22" s="42"/>
      <c r="V22" s="42"/>
      <c r="W22" s="42"/>
      <c r="X22" s="120"/>
      <c r="Y22" s="42"/>
      <c r="Z22" s="42"/>
      <c r="AA22" s="42"/>
      <c r="AB22" s="42"/>
    </row>
    <row r="23" spans="1:28" s="27" customFormat="1" x14ac:dyDescent="0.3">
      <c r="A23" s="514">
        <v>1</v>
      </c>
      <c r="B23" s="515" t="s">
        <v>16</v>
      </c>
      <c r="C23" s="514">
        <v>1</v>
      </c>
      <c r="D23" s="517" t="s">
        <v>323</v>
      </c>
      <c r="E23" s="520">
        <v>34.700000000000003</v>
      </c>
      <c r="F23" s="534">
        <v>1</v>
      </c>
      <c r="G23" s="534">
        <v>1</v>
      </c>
      <c r="H23" s="519">
        <v>7635</v>
      </c>
      <c r="I23" s="1"/>
      <c r="J23" s="1"/>
      <c r="K23" s="1"/>
      <c r="L23" s="91"/>
      <c r="M23" s="94"/>
      <c r="N23" s="66"/>
      <c r="O23" s="38"/>
      <c r="P23" s="66"/>
      <c r="Q23" s="66"/>
      <c r="R23" s="38"/>
      <c r="S23" s="63"/>
      <c r="T23" s="120"/>
      <c r="U23" s="120"/>
      <c r="V23" s="42"/>
      <c r="W23" s="42"/>
      <c r="X23" s="120"/>
      <c r="Y23" s="42"/>
      <c r="Z23" s="42"/>
      <c r="AA23" s="42"/>
      <c r="AB23" s="42"/>
    </row>
    <row r="24" spans="1:28" s="27" customFormat="1" x14ac:dyDescent="0.3">
      <c r="A24" s="514">
        <v>1</v>
      </c>
      <c r="B24" s="515" t="s">
        <v>16</v>
      </c>
      <c r="C24" s="514">
        <v>1</v>
      </c>
      <c r="D24" s="517" t="s">
        <v>50</v>
      </c>
      <c r="E24" s="520">
        <v>17.899999999999999</v>
      </c>
      <c r="F24" s="534">
        <v>1</v>
      </c>
      <c r="G24" s="534">
        <v>1</v>
      </c>
      <c r="H24" s="519">
        <v>7635</v>
      </c>
      <c r="I24" s="1"/>
      <c r="J24" s="4"/>
      <c r="K24" s="4"/>
      <c r="M24" s="70"/>
      <c r="N24" s="42"/>
      <c r="O24" s="42"/>
      <c r="P24" s="42"/>
      <c r="Q24" s="42"/>
      <c r="R24" s="42"/>
      <c r="S24" s="42"/>
      <c r="T24" s="70"/>
      <c r="U24" s="42"/>
      <c r="V24" s="42"/>
      <c r="W24" s="42"/>
      <c r="X24" s="120"/>
      <c r="Y24" s="42"/>
      <c r="Z24" s="42"/>
      <c r="AA24" s="42"/>
      <c r="AB24" s="42"/>
    </row>
    <row r="25" spans="1:28" s="27" customFormat="1" x14ac:dyDescent="0.3">
      <c r="A25" s="514">
        <v>1</v>
      </c>
      <c r="B25" s="515" t="s">
        <v>16</v>
      </c>
      <c r="C25" s="514">
        <v>1</v>
      </c>
      <c r="D25" s="517" t="s">
        <v>50</v>
      </c>
      <c r="E25" s="520">
        <v>18.600000000000001</v>
      </c>
      <c r="F25" s="534">
        <v>1</v>
      </c>
      <c r="G25" s="534">
        <v>1</v>
      </c>
      <c r="H25" s="519">
        <v>7635</v>
      </c>
      <c r="I25" s="1"/>
      <c r="J25" s="1"/>
      <c r="K25" s="1"/>
      <c r="L25" s="91"/>
      <c r="M25" s="94"/>
      <c r="N25" s="66"/>
      <c r="O25" s="38"/>
      <c r="P25" s="66"/>
      <c r="Q25" s="66"/>
      <c r="R25" s="38"/>
      <c r="S25" s="63"/>
      <c r="T25" s="120"/>
      <c r="U25" s="120"/>
      <c r="V25" s="42"/>
      <c r="W25" s="42"/>
      <c r="X25" s="120"/>
      <c r="Y25" s="42"/>
      <c r="Z25" s="42"/>
      <c r="AA25" s="42"/>
      <c r="AB25" s="42"/>
    </row>
    <row r="26" spans="1:28" s="27" customFormat="1" x14ac:dyDescent="0.3">
      <c r="A26" s="514">
        <v>1</v>
      </c>
      <c r="B26" s="515" t="s">
        <v>16</v>
      </c>
      <c r="C26" s="514">
        <v>1</v>
      </c>
      <c r="D26" s="517" t="s">
        <v>62</v>
      </c>
      <c r="E26" s="520">
        <v>32.799999999999997</v>
      </c>
      <c r="F26" s="534">
        <v>1</v>
      </c>
      <c r="G26" s="534">
        <v>1</v>
      </c>
      <c r="H26" s="519">
        <v>7635</v>
      </c>
      <c r="I26" s="1"/>
      <c r="J26" s="4"/>
      <c r="K26" s="4"/>
      <c r="M26" s="70"/>
      <c r="N26" s="42"/>
      <c r="O26" s="42"/>
      <c r="P26" s="42"/>
      <c r="Q26" s="42"/>
      <c r="R26" s="42"/>
      <c r="S26" s="42"/>
      <c r="T26" s="70"/>
      <c r="U26" s="42"/>
      <c r="V26" s="42"/>
      <c r="W26" s="42"/>
      <c r="X26" s="120"/>
      <c r="Y26" s="42"/>
      <c r="Z26" s="42"/>
      <c r="AA26" s="42"/>
      <c r="AB26" s="42"/>
    </row>
    <row r="27" spans="1:28" s="27" customFormat="1" hidden="1" x14ac:dyDescent="0.3">
      <c r="A27" s="514">
        <v>1</v>
      </c>
      <c r="B27" s="515" t="s">
        <v>16</v>
      </c>
      <c r="C27" s="514">
        <v>1</v>
      </c>
      <c r="D27" s="517" t="s">
        <v>119</v>
      </c>
      <c r="E27" s="520">
        <v>72.2</v>
      </c>
      <c r="F27" s="534">
        <v>1</v>
      </c>
      <c r="G27" s="534">
        <v>1</v>
      </c>
      <c r="H27" s="516">
        <v>7630</v>
      </c>
      <c r="I27" s="1"/>
      <c r="J27" s="1"/>
      <c r="K27" s="1"/>
      <c r="L27" s="91"/>
      <c r="M27" s="94"/>
      <c r="N27" s="66"/>
      <c r="O27" s="38"/>
      <c r="P27" s="66"/>
      <c r="Q27" s="66"/>
      <c r="R27" s="38"/>
      <c r="S27" s="63"/>
      <c r="T27" s="120"/>
      <c r="U27" s="120"/>
      <c r="V27" s="42"/>
      <c r="W27" s="42"/>
      <c r="X27" s="120"/>
      <c r="Y27" s="42"/>
      <c r="Z27" s="42"/>
      <c r="AA27" s="42"/>
      <c r="AB27" s="42"/>
    </row>
    <row r="28" spans="1:28" s="27" customFormat="1" hidden="1" x14ac:dyDescent="0.3">
      <c r="A28" s="514">
        <v>1</v>
      </c>
      <c r="B28" s="515" t="s">
        <v>16</v>
      </c>
      <c r="C28" s="514">
        <v>1</v>
      </c>
      <c r="D28" s="517" t="s">
        <v>120</v>
      </c>
      <c r="E28" s="520">
        <v>58.8</v>
      </c>
      <c r="F28" s="534">
        <v>1</v>
      </c>
      <c r="G28" s="534">
        <v>1</v>
      </c>
      <c r="H28" s="521">
        <v>7630</v>
      </c>
      <c r="I28" s="1"/>
      <c r="J28" s="4"/>
      <c r="K28" s="4"/>
      <c r="M28" s="70"/>
      <c r="N28" s="42"/>
      <c r="O28" s="42"/>
      <c r="P28" s="42"/>
      <c r="Q28" s="42"/>
      <c r="R28" s="42"/>
      <c r="S28" s="42"/>
      <c r="T28" s="70"/>
      <c r="U28" s="42"/>
      <c r="V28" s="42"/>
      <c r="W28" s="42"/>
      <c r="X28" s="51"/>
      <c r="Y28" s="42"/>
      <c r="Z28" s="42"/>
      <c r="AA28" s="42"/>
      <c r="AB28" s="42"/>
    </row>
    <row r="29" spans="1:28" s="27" customFormat="1" hidden="1" x14ac:dyDescent="0.3">
      <c r="A29" s="514">
        <v>1</v>
      </c>
      <c r="B29" s="515" t="s">
        <v>16</v>
      </c>
      <c r="C29" s="514">
        <v>1</v>
      </c>
      <c r="D29" s="517" t="s">
        <v>121</v>
      </c>
      <c r="E29" s="520">
        <v>37.450000000000003</v>
      </c>
      <c r="F29" s="534">
        <v>1</v>
      </c>
      <c r="G29" s="534">
        <v>1</v>
      </c>
      <c r="H29" s="516">
        <v>7630</v>
      </c>
      <c r="I29" s="1"/>
      <c r="J29" s="1"/>
      <c r="K29" s="1"/>
      <c r="L29" s="91"/>
      <c r="M29" s="94"/>
      <c r="N29" s="66"/>
      <c r="O29" s="38"/>
      <c r="P29" s="66"/>
      <c r="Q29" s="66"/>
      <c r="R29" s="38"/>
      <c r="S29" s="63"/>
      <c r="T29" s="120"/>
      <c r="U29" s="120"/>
      <c r="V29" s="42"/>
      <c r="W29" s="42"/>
      <c r="X29" s="42"/>
      <c r="Y29" s="42"/>
      <c r="Z29" s="42"/>
      <c r="AA29" s="42"/>
      <c r="AB29" s="42"/>
    </row>
    <row r="30" spans="1:28" s="27" customFormat="1" hidden="1" x14ac:dyDescent="0.3">
      <c r="A30" s="514">
        <v>1</v>
      </c>
      <c r="B30" s="515" t="s">
        <v>16</v>
      </c>
      <c r="C30" s="514">
        <v>1</v>
      </c>
      <c r="D30" s="517" t="s">
        <v>81</v>
      </c>
      <c r="E30" s="520">
        <v>60.5</v>
      </c>
      <c r="F30" s="534">
        <v>1</v>
      </c>
      <c r="G30" s="534">
        <v>1</v>
      </c>
      <c r="H30" s="516">
        <v>7630</v>
      </c>
      <c r="I30" s="1"/>
      <c r="J30" s="4"/>
      <c r="K30" s="4"/>
      <c r="M30" s="70"/>
      <c r="N30" s="42"/>
      <c r="O30" s="42"/>
      <c r="P30" s="42"/>
      <c r="Q30" s="42"/>
      <c r="R30" s="42"/>
      <c r="S30" s="42"/>
      <c r="T30" s="70"/>
      <c r="U30" s="42"/>
      <c r="V30" s="42"/>
      <c r="W30" s="42"/>
      <c r="X30" s="42"/>
      <c r="Y30" s="42"/>
      <c r="Z30" s="42"/>
      <c r="AA30" s="42"/>
      <c r="AB30" s="42"/>
    </row>
    <row r="31" spans="1:28" s="27" customFormat="1" hidden="1" x14ac:dyDescent="0.3">
      <c r="A31" s="514">
        <v>1</v>
      </c>
      <c r="B31" s="515" t="s">
        <v>16</v>
      </c>
      <c r="C31" s="514">
        <v>1</v>
      </c>
      <c r="D31" s="517" t="s">
        <v>108</v>
      </c>
      <c r="E31" s="520">
        <v>53.3</v>
      </c>
      <c r="F31" s="534">
        <v>1</v>
      </c>
      <c r="G31" s="534">
        <v>1</v>
      </c>
      <c r="H31" s="521">
        <v>7620</v>
      </c>
      <c r="I31" s="1"/>
      <c r="J31" s="1"/>
      <c r="K31" s="1"/>
      <c r="L31" s="91"/>
      <c r="M31" s="94"/>
      <c r="N31" s="66"/>
      <c r="O31" s="38"/>
      <c r="P31" s="66"/>
      <c r="Q31" s="66"/>
      <c r="R31" s="38"/>
      <c r="S31" s="63"/>
      <c r="T31" s="120"/>
      <c r="U31" s="120"/>
      <c r="V31" s="42"/>
      <c r="W31" s="42"/>
      <c r="X31" s="42"/>
      <c r="Y31" s="42"/>
      <c r="Z31" s="42"/>
      <c r="AA31" s="42"/>
      <c r="AB31" s="42"/>
    </row>
    <row r="32" spans="1:28" s="27" customFormat="1" x14ac:dyDescent="0.3">
      <c r="A32" s="514">
        <v>1</v>
      </c>
      <c r="B32" s="515" t="s">
        <v>16</v>
      </c>
      <c r="C32" s="514">
        <v>1</v>
      </c>
      <c r="D32" s="517" t="s">
        <v>324</v>
      </c>
      <c r="E32" s="520">
        <v>15.9</v>
      </c>
      <c r="F32" s="534">
        <v>1</v>
      </c>
      <c r="G32" s="534">
        <v>1</v>
      </c>
      <c r="H32" s="522">
        <v>7635</v>
      </c>
      <c r="I32" s="1"/>
      <c r="J32" s="4"/>
      <c r="K32" s="4"/>
      <c r="M32" s="70"/>
      <c r="N32" s="42"/>
      <c r="O32" s="42"/>
      <c r="P32" s="42"/>
      <c r="Q32" s="42"/>
      <c r="R32" s="42"/>
      <c r="S32" s="42"/>
      <c r="T32" s="70"/>
      <c r="U32" s="42"/>
      <c r="V32" s="42"/>
      <c r="W32" s="42"/>
      <c r="X32" s="42"/>
      <c r="Y32" s="42"/>
      <c r="Z32" s="42"/>
      <c r="AA32" s="42"/>
      <c r="AB32" s="42"/>
    </row>
    <row r="33" spans="1:28" s="27" customFormat="1" x14ac:dyDescent="0.3">
      <c r="A33" s="514">
        <v>1</v>
      </c>
      <c r="B33" s="515" t="s">
        <v>16</v>
      </c>
      <c r="C33" s="514">
        <v>1</v>
      </c>
      <c r="D33" s="517" t="s">
        <v>50</v>
      </c>
      <c r="E33" s="520">
        <v>23.4</v>
      </c>
      <c r="F33" s="534">
        <v>1</v>
      </c>
      <c r="G33" s="534">
        <v>1</v>
      </c>
      <c r="H33" s="519">
        <v>7635</v>
      </c>
      <c r="I33" s="1"/>
      <c r="J33" s="1"/>
      <c r="K33" s="1"/>
      <c r="L33" s="91"/>
      <c r="M33" s="94"/>
      <c r="N33" s="66"/>
      <c r="O33" s="38"/>
      <c r="P33" s="66"/>
      <c r="Q33" s="66"/>
      <c r="R33" s="38"/>
      <c r="S33" s="63"/>
      <c r="T33" s="120"/>
      <c r="U33" s="120"/>
      <c r="V33" s="42"/>
      <c r="W33" s="42"/>
      <c r="X33" s="42"/>
      <c r="Y33" s="42"/>
      <c r="Z33" s="42"/>
      <c r="AA33" s="42"/>
      <c r="AB33" s="42"/>
    </row>
    <row r="34" spans="1:28" s="27" customFormat="1" x14ac:dyDescent="0.3">
      <c r="A34" s="514">
        <v>1</v>
      </c>
      <c r="B34" s="515" t="s">
        <v>16</v>
      </c>
      <c r="C34" s="514">
        <v>1</v>
      </c>
      <c r="D34" s="517" t="s">
        <v>50</v>
      </c>
      <c r="E34" s="520">
        <v>38.4</v>
      </c>
      <c r="F34" s="534">
        <v>1</v>
      </c>
      <c r="G34" s="534">
        <v>1</v>
      </c>
      <c r="H34" s="519">
        <v>7635</v>
      </c>
      <c r="I34" s="1"/>
      <c r="J34" s="4"/>
      <c r="K34" s="4"/>
      <c r="M34" s="70"/>
      <c r="N34" s="42"/>
      <c r="O34" s="42"/>
      <c r="P34" s="42"/>
      <c r="Q34" s="42"/>
      <c r="R34" s="42"/>
      <c r="S34" s="42"/>
      <c r="T34" s="70"/>
      <c r="U34" s="42"/>
      <c r="V34" s="42"/>
      <c r="W34" s="42"/>
      <c r="X34" s="42"/>
      <c r="Y34" s="42"/>
      <c r="Z34" s="42"/>
      <c r="AA34" s="42"/>
      <c r="AB34" s="42"/>
    </row>
    <row r="35" spans="1:28" s="27" customFormat="1" x14ac:dyDescent="0.3">
      <c r="A35" s="514">
        <v>1</v>
      </c>
      <c r="B35" s="515" t="s">
        <v>16</v>
      </c>
      <c r="C35" s="514">
        <v>1</v>
      </c>
      <c r="D35" s="517" t="s">
        <v>512</v>
      </c>
      <c r="E35" s="520">
        <v>16.899999999999999</v>
      </c>
      <c r="F35" s="534">
        <v>1</v>
      </c>
      <c r="G35" s="534">
        <v>1</v>
      </c>
      <c r="H35" s="521">
        <v>7635</v>
      </c>
      <c r="I35" s="1"/>
      <c r="J35" s="1"/>
      <c r="K35" s="1"/>
      <c r="L35" s="91"/>
      <c r="M35" s="94"/>
      <c r="N35" s="66"/>
      <c r="O35" s="38"/>
      <c r="P35" s="66"/>
      <c r="Q35" s="66"/>
      <c r="R35" s="38"/>
      <c r="S35" s="63"/>
      <c r="T35" s="120"/>
      <c r="U35" s="120"/>
      <c r="V35" s="42"/>
      <c r="W35" s="42"/>
      <c r="X35" s="42"/>
      <c r="Y35" s="42"/>
      <c r="Z35" s="42"/>
      <c r="AA35" s="42"/>
      <c r="AB35" s="42"/>
    </row>
    <row r="36" spans="1:28" s="27" customFormat="1" x14ac:dyDescent="0.3">
      <c r="A36" s="514">
        <v>1</v>
      </c>
      <c r="B36" s="515" t="s">
        <v>16</v>
      </c>
      <c r="C36" s="514">
        <v>1</v>
      </c>
      <c r="D36" s="517" t="s">
        <v>513</v>
      </c>
      <c r="E36" s="520">
        <v>13.4</v>
      </c>
      <c r="F36" s="534">
        <v>1</v>
      </c>
      <c r="G36" s="534">
        <v>1</v>
      </c>
      <c r="H36" s="521">
        <v>7635</v>
      </c>
      <c r="I36" s="1"/>
      <c r="J36" s="4"/>
      <c r="K36" s="4"/>
      <c r="M36" s="70"/>
      <c r="N36" s="42"/>
      <c r="O36" s="42"/>
      <c r="P36" s="42"/>
      <c r="Q36" s="42"/>
      <c r="R36" s="42"/>
      <c r="S36" s="42"/>
      <c r="T36" s="70"/>
      <c r="U36" s="42"/>
      <c r="V36" s="42"/>
      <c r="W36" s="42"/>
      <c r="X36" s="42"/>
      <c r="Y36" s="42"/>
      <c r="Z36" s="42"/>
      <c r="AA36" s="42"/>
      <c r="AB36" s="42"/>
    </row>
    <row r="37" spans="1:28" s="27" customFormat="1" hidden="1" x14ac:dyDescent="0.3">
      <c r="A37" s="514">
        <v>1</v>
      </c>
      <c r="B37" s="515" t="s">
        <v>16</v>
      </c>
      <c r="C37" s="514">
        <v>1</v>
      </c>
      <c r="D37" s="820" t="s">
        <v>514</v>
      </c>
      <c r="E37" s="520">
        <v>34.299999999999997</v>
      </c>
      <c r="F37" s="534">
        <v>1</v>
      </c>
      <c r="G37" s="534">
        <v>1</v>
      </c>
      <c r="H37" s="516">
        <v>7630</v>
      </c>
      <c r="I37" s="1"/>
      <c r="J37" s="1"/>
      <c r="K37" s="1"/>
      <c r="L37" s="91"/>
      <c r="M37" s="94"/>
      <c r="N37" s="66"/>
      <c r="O37" s="38"/>
      <c r="P37" s="66"/>
      <c r="Q37" s="66"/>
      <c r="R37" s="38"/>
      <c r="S37" s="63"/>
      <c r="T37" s="120"/>
      <c r="U37" s="120"/>
      <c r="V37" s="42"/>
      <c r="W37" s="42"/>
      <c r="X37" s="42"/>
      <c r="Y37" s="42"/>
      <c r="Z37" s="42"/>
      <c r="AA37" s="42"/>
      <c r="AB37" s="42"/>
    </row>
    <row r="38" spans="1:28" s="27" customFormat="1" hidden="1" x14ac:dyDescent="0.3">
      <c r="A38" s="514">
        <v>1</v>
      </c>
      <c r="B38" s="515" t="s">
        <v>16</v>
      </c>
      <c r="C38" s="514">
        <v>1</v>
      </c>
      <c r="D38" s="820" t="s">
        <v>291</v>
      </c>
      <c r="E38" s="520">
        <v>50.9</v>
      </c>
      <c r="F38" s="534">
        <v>1</v>
      </c>
      <c r="G38" s="534">
        <v>1</v>
      </c>
      <c r="H38" s="516">
        <v>7630</v>
      </c>
      <c r="I38" s="1"/>
      <c r="J38" s="4"/>
      <c r="K38" s="4"/>
      <c r="M38" s="70"/>
      <c r="N38" s="42"/>
      <c r="O38" s="42"/>
      <c r="P38" s="42"/>
      <c r="Q38" s="42"/>
      <c r="R38" s="42"/>
      <c r="S38" s="42"/>
      <c r="T38" s="70"/>
      <c r="U38" s="42"/>
      <c r="V38" s="42"/>
      <c r="W38" s="42"/>
      <c r="X38" s="42"/>
      <c r="Y38" s="42"/>
      <c r="Z38" s="42"/>
      <c r="AA38" s="42"/>
      <c r="AB38" s="42"/>
    </row>
    <row r="39" spans="1:28" s="27" customFormat="1" x14ac:dyDescent="0.3">
      <c r="A39" s="514">
        <v>1</v>
      </c>
      <c r="B39" s="515" t="s">
        <v>16</v>
      </c>
      <c r="C39" s="514">
        <v>1</v>
      </c>
      <c r="D39" s="517" t="s">
        <v>49</v>
      </c>
      <c r="E39" s="520">
        <v>12.8</v>
      </c>
      <c r="F39" s="534">
        <v>1</v>
      </c>
      <c r="G39" s="534">
        <v>1</v>
      </c>
      <c r="H39" s="519">
        <v>7635</v>
      </c>
      <c r="I39" s="1"/>
      <c r="J39" s="1"/>
      <c r="K39" s="1"/>
      <c r="L39" s="91"/>
      <c r="M39" s="94"/>
      <c r="N39" s="66"/>
      <c r="O39" s="38"/>
      <c r="P39" s="66"/>
      <c r="Q39" s="66"/>
      <c r="R39" s="38"/>
      <c r="S39" s="63"/>
      <c r="T39" s="120"/>
      <c r="U39" s="120"/>
      <c r="V39" s="42"/>
      <c r="W39" s="42"/>
      <c r="X39" s="42"/>
      <c r="Y39" s="42"/>
      <c r="Z39" s="42"/>
      <c r="AA39" s="42"/>
      <c r="AB39" s="42"/>
    </row>
    <row r="40" spans="1:28" s="27" customFormat="1" hidden="1" x14ac:dyDescent="0.3">
      <c r="A40" s="514">
        <v>1</v>
      </c>
      <c r="B40" s="515" t="s">
        <v>16</v>
      </c>
      <c r="C40" s="514">
        <v>2</v>
      </c>
      <c r="D40" s="517" t="s">
        <v>73</v>
      </c>
      <c r="E40" s="520">
        <v>23.05</v>
      </c>
      <c r="F40" s="534">
        <v>1</v>
      </c>
      <c r="G40" s="534">
        <v>1</v>
      </c>
      <c r="H40" s="516">
        <v>7645</v>
      </c>
      <c r="I40" s="1"/>
      <c r="J40" s="4"/>
      <c r="K40" s="4"/>
      <c r="M40" s="70"/>
      <c r="N40" s="42"/>
      <c r="O40" s="42"/>
      <c r="P40" s="42"/>
      <c r="Q40" s="42"/>
      <c r="R40" s="42"/>
      <c r="S40" s="42"/>
      <c r="T40" s="70"/>
      <c r="U40" s="42"/>
      <c r="V40" s="42"/>
      <c r="W40" s="42"/>
      <c r="X40" s="42"/>
      <c r="Y40" s="42"/>
      <c r="Z40" s="42"/>
      <c r="AA40" s="42"/>
      <c r="AB40" s="42"/>
    </row>
    <row r="41" spans="1:28" s="27" customFormat="1" hidden="1" x14ac:dyDescent="0.3">
      <c r="A41" s="514">
        <v>1</v>
      </c>
      <c r="B41" s="515" t="s">
        <v>16</v>
      </c>
      <c r="C41" s="514">
        <v>2</v>
      </c>
      <c r="D41" s="517" t="s">
        <v>292</v>
      </c>
      <c r="E41" s="520">
        <v>84.7</v>
      </c>
      <c r="F41" s="534">
        <v>1</v>
      </c>
      <c r="G41" s="534">
        <v>1</v>
      </c>
      <c r="H41" s="521">
        <v>7630</v>
      </c>
      <c r="I41" s="1"/>
      <c r="J41" s="1"/>
      <c r="K41" s="1"/>
      <c r="L41" s="91"/>
      <c r="M41" s="94"/>
      <c r="N41" s="66"/>
      <c r="O41" s="38"/>
      <c r="P41" s="66"/>
      <c r="Q41" s="66"/>
      <c r="R41" s="38"/>
      <c r="S41" s="63"/>
      <c r="T41" s="120"/>
      <c r="U41" s="120"/>
      <c r="V41" s="42"/>
      <c r="W41" s="42"/>
      <c r="X41" s="42"/>
      <c r="Y41" s="42"/>
      <c r="Z41" s="42"/>
      <c r="AA41" s="42"/>
      <c r="AB41" s="42"/>
    </row>
    <row r="42" spans="1:28" s="27" customFormat="1" hidden="1" x14ac:dyDescent="0.3">
      <c r="A42" s="514">
        <v>1</v>
      </c>
      <c r="B42" s="515" t="s">
        <v>16</v>
      </c>
      <c r="C42" s="514">
        <v>2</v>
      </c>
      <c r="D42" s="517" t="s">
        <v>68</v>
      </c>
      <c r="E42" s="520">
        <v>6</v>
      </c>
      <c r="F42" s="534">
        <v>1</v>
      </c>
      <c r="G42" s="534">
        <v>5</v>
      </c>
      <c r="H42" s="521">
        <v>7817</v>
      </c>
      <c r="I42" s="1"/>
      <c r="J42" s="4"/>
      <c r="K42" s="4"/>
      <c r="M42" s="70"/>
      <c r="N42" s="42"/>
      <c r="O42" s="42"/>
      <c r="P42" s="42"/>
      <c r="Q42" s="42"/>
      <c r="R42" s="42"/>
      <c r="S42" s="42"/>
      <c r="T42" s="70"/>
      <c r="U42" s="42"/>
      <c r="V42" s="42"/>
      <c r="W42" s="42"/>
      <c r="X42" s="42"/>
      <c r="Y42" s="42"/>
      <c r="Z42" s="42"/>
      <c r="AA42" s="42"/>
      <c r="AB42" s="42"/>
    </row>
    <row r="43" spans="1:28" s="27" customFormat="1" hidden="1" x14ac:dyDescent="0.3">
      <c r="A43" s="514">
        <v>1</v>
      </c>
      <c r="B43" s="515" t="s">
        <v>16</v>
      </c>
      <c r="C43" s="514">
        <v>2</v>
      </c>
      <c r="D43" s="517" t="s">
        <v>122</v>
      </c>
      <c r="E43" s="520">
        <v>30.4</v>
      </c>
      <c r="F43" s="534">
        <v>1</v>
      </c>
      <c r="G43" s="534">
        <v>1</v>
      </c>
      <c r="H43" s="516">
        <v>7625</v>
      </c>
      <c r="I43" s="1"/>
      <c r="J43" s="1"/>
      <c r="K43" s="1"/>
      <c r="L43" s="91"/>
      <c r="M43" s="94"/>
      <c r="N43" s="66"/>
      <c r="O43" s="38"/>
      <c r="P43" s="66"/>
      <c r="Q43" s="66"/>
      <c r="R43" s="38"/>
      <c r="S43" s="63"/>
      <c r="T43" s="120"/>
      <c r="U43" s="120"/>
      <c r="V43" s="42"/>
      <c r="W43" s="42"/>
      <c r="X43" s="42"/>
      <c r="Y43" s="42"/>
      <c r="Z43" s="42"/>
      <c r="AA43" s="42"/>
      <c r="AB43" s="42"/>
    </row>
    <row r="44" spans="1:28" s="27" customFormat="1" hidden="1" x14ac:dyDescent="0.3">
      <c r="A44" s="514">
        <v>1</v>
      </c>
      <c r="B44" s="515" t="s">
        <v>16</v>
      </c>
      <c r="C44" s="514">
        <v>2</v>
      </c>
      <c r="D44" s="517" t="s">
        <v>48</v>
      </c>
      <c r="E44" s="520">
        <v>12.1</v>
      </c>
      <c r="F44" s="534">
        <v>1</v>
      </c>
      <c r="G44" s="534">
        <v>1</v>
      </c>
      <c r="H44" s="519">
        <v>7625</v>
      </c>
      <c r="I44" s="1"/>
      <c r="J44" s="4"/>
      <c r="K44" s="4"/>
      <c r="M44" s="70"/>
      <c r="N44" s="42"/>
      <c r="O44" s="42"/>
      <c r="P44" s="42"/>
      <c r="Q44" s="42"/>
      <c r="R44" s="42"/>
      <c r="S44" s="42"/>
      <c r="T44" s="70"/>
      <c r="U44" s="42"/>
      <c r="V44" s="42"/>
      <c r="W44" s="42"/>
      <c r="X44" s="42"/>
      <c r="Y44" s="42"/>
      <c r="Z44" s="42"/>
      <c r="AA44" s="42"/>
      <c r="AB44" s="42"/>
    </row>
    <row r="45" spans="1:28" s="27" customFormat="1" hidden="1" x14ac:dyDescent="0.3">
      <c r="A45" s="514">
        <v>1</v>
      </c>
      <c r="B45" s="515" t="s">
        <v>16</v>
      </c>
      <c r="C45" s="514">
        <v>2</v>
      </c>
      <c r="D45" s="517" t="s">
        <v>47</v>
      </c>
      <c r="E45" s="520">
        <v>23.8</v>
      </c>
      <c r="F45" s="534">
        <v>1</v>
      </c>
      <c r="G45" s="534">
        <v>1</v>
      </c>
      <c r="H45" s="519">
        <v>7625</v>
      </c>
      <c r="I45" s="1"/>
      <c r="J45" s="1"/>
      <c r="K45" s="1"/>
      <c r="L45" s="91"/>
      <c r="M45" s="94"/>
      <c r="N45" s="66"/>
      <c r="O45" s="38"/>
      <c r="P45" s="66"/>
      <c r="Q45" s="66"/>
      <c r="R45" s="38"/>
      <c r="S45" s="63"/>
      <c r="T45" s="120"/>
      <c r="U45" s="120"/>
      <c r="V45" s="42"/>
      <c r="W45" s="42"/>
      <c r="X45" s="42"/>
      <c r="Y45" s="42"/>
      <c r="Z45" s="42"/>
      <c r="AA45" s="42"/>
      <c r="AB45" s="42"/>
    </row>
    <row r="46" spans="1:28" s="27" customFormat="1" hidden="1" x14ac:dyDescent="0.3">
      <c r="A46" s="514">
        <v>1</v>
      </c>
      <c r="B46" s="515" t="s">
        <v>16</v>
      </c>
      <c r="C46" s="514">
        <v>2</v>
      </c>
      <c r="D46" s="517" t="s">
        <v>123</v>
      </c>
      <c r="E46" s="520">
        <v>14.1</v>
      </c>
      <c r="F46" s="534">
        <v>1</v>
      </c>
      <c r="G46" s="534">
        <v>1</v>
      </c>
      <c r="H46" s="519">
        <v>7625</v>
      </c>
      <c r="I46" s="1"/>
      <c r="J46" s="4"/>
      <c r="K46" s="4"/>
      <c r="M46" s="70"/>
      <c r="N46" s="42"/>
      <c r="O46" s="42"/>
      <c r="P46" s="42"/>
      <c r="Q46" s="42"/>
      <c r="R46" s="42"/>
      <c r="S46" s="42"/>
      <c r="T46" s="70"/>
      <c r="U46" s="42"/>
      <c r="V46" s="42"/>
      <c r="W46" s="42"/>
      <c r="X46" s="42"/>
      <c r="Y46" s="42"/>
      <c r="Z46" s="42"/>
      <c r="AA46" s="42"/>
      <c r="AB46" s="42"/>
    </row>
    <row r="47" spans="1:28" s="27" customFormat="1" hidden="1" x14ac:dyDescent="0.3">
      <c r="A47" s="514">
        <v>1</v>
      </c>
      <c r="B47" s="515" t="s">
        <v>16</v>
      </c>
      <c r="C47" s="514">
        <v>2</v>
      </c>
      <c r="D47" s="517" t="s">
        <v>48</v>
      </c>
      <c r="E47" s="520">
        <v>31.2</v>
      </c>
      <c r="F47" s="534">
        <v>1</v>
      </c>
      <c r="G47" s="534">
        <v>1</v>
      </c>
      <c r="H47" s="519">
        <v>7625</v>
      </c>
      <c r="I47" s="1"/>
      <c r="J47" s="1"/>
      <c r="K47" s="1"/>
      <c r="L47" s="91"/>
      <c r="M47" s="94"/>
      <c r="N47" s="66"/>
      <c r="O47" s="38"/>
      <c r="P47" s="66"/>
      <c r="Q47" s="66"/>
      <c r="R47" s="38"/>
      <c r="S47" s="63"/>
      <c r="T47" s="120"/>
      <c r="U47" s="120"/>
      <c r="V47" s="42"/>
      <c r="W47" s="42"/>
      <c r="X47" s="42"/>
      <c r="Y47" s="42"/>
      <c r="Z47" s="42"/>
      <c r="AA47" s="42"/>
      <c r="AB47" s="42"/>
    </row>
    <row r="48" spans="1:28" s="27" customFormat="1" hidden="1" x14ac:dyDescent="0.3">
      <c r="A48" s="514">
        <v>1</v>
      </c>
      <c r="B48" s="515" t="s">
        <v>16</v>
      </c>
      <c r="C48" s="514">
        <v>2</v>
      </c>
      <c r="D48" s="517" t="s">
        <v>48</v>
      </c>
      <c r="E48" s="520">
        <v>15.46</v>
      </c>
      <c r="F48" s="534">
        <v>1</v>
      </c>
      <c r="G48" s="534">
        <v>1</v>
      </c>
      <c r="H48" s="519">
        <v>7625</v>
      </c>
      <c r="I48" s="1"/>
      <c r="J48" s="4"/>
      <c r="K48" s="4"/>
      <c r="M48" s="70"/>
      <c r="N48" s="42"/>
      <c r="O48" s="42"/>
      <c r="P48" s="42"/>
      <c r="Q48" s="42"/>
      <c r="R48" s="42"/>
      <c r="S48" s="42"/>
      <c r="T48" s="70"/>
      <c r="U48" s="42"/>
      <c r="V48" s="42"/>
      <c r="W48" s="42"/>
      <c r="X48" s="42"/>
      <c r="Y48" s="42"/>
      <c r="Z48" s="42"/>
      <c r="AA48" s="42"/>
      <c r="AB48" s="42"/>
    </row>
    <row r="49" spans="1:28" s="27" customFormat="1" hidden="1" x14ac:dyDescent="0.3">
      <c r="A49" s="514">
        <v>1</v>
      </c>
      <c r="B49" s="515" t="s">
        <v>16</v>
      </c>
      <c r="C49" s="514">
        <v>2</v>
      </c>
      <c r="D49" s="517" t="s">
        <v>48</v>
      </c>
      <c r="E49" s="520">
        <v>31.83</v>
      </c>
      <c r="F49" s="534">
        <v>1</v>
      </c>
      <c r="G49" s="534">
        <v>1</v>
      </c>
      <c r="H49" s="519">
        <v>7625</v>
      </c>
      <c r="I49" s="1"/>
      <c r="J49" s="1"/>
      <c r="K49" s="1"/>
      <c r="L49" s="91"/>
      <c r="M49" s="94"/>
      <c r="N49" s="66"/>
      <c r="O49" s="38"/>
      <c r="P49" s="66"/>
      <c r="Q49" s="66"/>
      <c r="R49" s="38"/>
      <c r="S49" s="63"/>
      <c r="T49" s="120"/>
      <c r="U49" s="120"/>
      <c r="V49" s="42"/>
      <c r="W49" s="42"/>
      <c r="X49" s="42"/>
      <c r="Y49" s="42"/>
      <c r="Z49" s="42"/>
      <c r="AA49" s="42"/>
      <c r="AB49" s="42"/>
    </row>
    <row r="50" spans="1:28" s="27" customFormat="1" hidden="1" x14ac:dyDescent="0.3">
      <c r="A50" s="514">
        <v>1</v>
      </c>
      <c r="B50" s="515" t="s">
        <v>16</v>
      </c>
      <c r="C50" s="514">
        <v>2</v>
      </c>
      <c r="D50" s="517" t="s">
        <v>104</v>
      </c>
      <c r="E50" s="520">
        <v>17.52</v>
      </c>
      <c r="F50" s="534">
        <v>1</v>
      </c>
      <c r="G50" s="534">
        <v>5</v>
      </c>
      <c r="H50" s="516">
        <v>7117</v>
      </c>
      <c r="I50" s="1"/>
      <c r="J50" s="4"/>
      <c r="K50" s="4"/>
      <c r="M50" s="70"/>
      <c r="N50" s="42"/>
      <c r="O50" s="42"/>
      <c r="P50" s="42"/>
      <c r="Q50" s="42"/>
      <c r="R50" s="42"/>
      <c r="S50" s="42"/>
      <c r="T50" s="70"/>
      <c r="U50" s="42"/>
      <c r="V50" s="42"/>
      <c r="W50" s="42"/>
      <c r="X50" s="42"/>
      <c r="Y50" s="42"/>
      <c r="Z50" s="42"/>
      <c r="AA50" s="42"/>
      <c r="AB50" s="42"/>
    </row>
    <row r="51" spans="1:28" s="27" customFormat="1" hidden="1" x14ac:dyDescent="0.3">
      <c r="A51" s="514">
        <v>1</v>
      </c>
      <c r="B51" s="515" t="s">
        <v>16</v>
      </c>
      <c r="C51" s="514">
        <v>2</v>
      </c>
      <c r="D51" s="517" t="s">
        <v>104</v>
      </c>
      <c r="E51" s="520">
        <v>17.100000000000001</v>
      </c>
      <c r="F51" s="534">
        <v>1</v>
      </c>
      <c r="G51" s="534">
        <v>5</v>
      </c>
      <c r="H51" s="516">
        <v>7117</v>
      </c>
      <c r="I51" s="1"/>
      <c r="J51" s="1"/>
      <c r="K51" s="1"/>
      <c r="L51" s="91"/>
      <c r="M51" s="94"/>
      <c r="N51" s="66"/>
      <c r="O51" s="38"/>
      <c r="P51" s="66"/>
      <c r="Q51" s="66"/>
      <c r="R51" s="38"/>
      <c r="S51" s="63"/>
      <c r="T51" s="120"/>
      <c r="U51" s="120"/>
      <c r="V51" s="42"/>
      <c r="W51" s="42"/>
      <c r="X51" s="42"/>
      <c r="Y51" s="42"/>
      <c r="Z51" s="42"/>
      <c r="AA51" s="42"/>
      <c r="AB51" s="42"/>
    </row>
    <row r="52" spans="1:28" s="27" customFormat="1" hidden="1" x14ac:dyDescent="0.3">
      <c r="A52" s="514">
        <v>1</v>
      </c>
      <c r="B52" s="515" t="s">
        <v>16</v>
      </c>
      <c r="C52" s="514">
        <v>2</v>
      </c>
      <c r="D52" s="517" t="s">
        <v>48</v>
      </c>
      <c r="E52" s="520">
        <v>29.52</v>
      </c>
      <c r="F52" s="534">
        <v>1</v>
      </c>
      <c r="G52" s="534">
        <v>1</v>
      </c>
      <c r="H52" s="519">
        <v>7625</v>
      </c>
      <c r="I52" s="1"/>
      <c r="J52" s="4"/>
      <c r="K52" s="4"/>
      <c r="M52" s="70"/>
      <c r="N52" s="42"/>
      <c r="O52" s="42"/>
      <c r="P52" s="42"/>
      <c r="Q52" s="42"/>
      <c r="R52" s="42"/>
      <c r="S52" s="42"/>
      <c r="T52" s="70"/>
      <c r="U52" s="42"/>
      <c r="V52" s="42"/>
      <c r="W52" s="42"/>
      <c r="X52" s="42"/>
      <c r="Y52" s="42"/>
      <c r="Z52" s="42"/>
      <c r="AA52" s="42"/>
      <c r="AB52" s="42"/>
    </row>
    <row r="53" spans="1:28" s="27" customFormat="1" hidden="1" x14ac:dyDescent="0.3">
      <c r="A53" s="514">
        <v>1</v>
      </c>
      <c r="B53" s="515" t="s">
        <v>16</v>
      </c>
      <c r="C53" s="514">
        <v>2</v>
      </c>
      <c r="D53" s="517" t="s">
        <v>124</v>
      </c>
      <c r="E53" s="520">
        <v>21.86</v>
      </c>
      <c r="F53" s="534">
        <v>1</v>
      </c>
      <c r="G53" s="534">
        <v>1</v>
      </c>
      <c r="H53" s="516">
        <v>7625</v>
      </c>
      <c r="I53" s="1"/>
      <c r="J53" s="1"/>
      <c r="K53" s="1"/>
      <c r="L53" s="91"/>
      <c r="M53" s="94"/>
      <c r="N53" s="66"/>
      <c r="O53" s="38"/>
      <c r="P53" s="66"/>
      <c r="Q53" s="66"/>
      <c r="R53" s="38"/>
      <c r="S53" s="63"/>
      <c r="T53" s="120"/>
      <c r="U53" s="120"/>
      <c r="V53" s="42"/>
      <c r="W53" s="42"/>
      <c r="X53" s="42"/>
      <c r="Y53" s="42"/>
      <c r="Z53" s="42"/>
      <c r="AA53" s="42"/>
      <c r="AB53" s="42"/>
    </row>
    <row r="54" spans="1:28" s="27" customFormat="1" hidden="1" x14ac:dyDescent="0.3">
      <c r="A54" s="514">
        <v>1</v>
      </c>
      <c r="B54" s="515" t="s">
        <v>16</v>
      </c>
      <c r="C54" s="514">
        <v>2</v>
      </c>
      <c r="D54" s="517" t="s">
        <v>125</v>
      </c>
      <c r="E54" s="520">
        <v>99.25</v>
      </c>
      <c r="F54" s="534">
        <v>1</v>
      </c>
      <c r="G54" s="534">
        <v>1</v>
      </c>
      <c r="H54" s="516">
        <v>7620</v>
      </c>
      <c r="I54" s="1"/>
      <c r="J54" s="4"/>
      <c r="K54" s="4"/>
      <c r="M54" s="70"/>
      <c r="N54" s="42"/>
      <c r="O54" s="42"/>
      <c r="P54" s="42"/>
      <c r="Q54" s="42"/>
      <c r="R54" s="42"/>
      <c r="S54" s="42"/>
      <c r="T54" s="70"/>
      <c r="U54" s="42"/>
      <c r="V54" s="42"/>
      <c r="W54" s="42"/>
      <c r="X54" s="42"/>
      <c r="Y54" s="42"/>
      <c r="Z54" s="42"/>
      <c r="AA54" s="42"/>
      <c r="AB54" s="42"/>
    </row>
    <row r="55" spans="1:28" s="27" customFormat="1" hidden="1" x14ac:dyDescent="0.3">
      <c r="A55" s="514">
        <v>1</v>
      </c>
      <c r="B55" s="515" t="s">
        <v>16</v>
      </c>
      <c r="C55" s="514">
        <v>2</v>
      </c>
      <c r="D55" s="517" t="s">
        <v>48</v>
      </c>
      <c r="E55" s="520">
        <v>26.7</v>
      </c>
      <c r="F55" s="534">
        <v>1</v>
      </c>
      <c r="G55" s="534">
        <v>1</v>
      </c>
      <c r="H55" s="519">
        <v>7625</v>
      </c>
      <c r="I55" s="1"/>
      <c r="J55" s="1"/>
      <c r="K55" s="1"/>
      <c r="L55" s="91"/>
      <c r="M55" s="94"/>
      <c r="N55" s="66"/>
      <c r="O55" s="38"/>
      <c r="P55" s="66"/>
      <c r="Q55" s="66"/>
      <c r="R55" s="38"/>
      <c r="S55" s="63"/>
      <c r="T55" s="120"/>
      <c r="U55" s="120"/>
      <c r="V55" s="42"/>
      <c r="W55" s="42"/>
      <c r="X55" s="42"/>
      <c r="Y55" s="42"/>
      <c r="Z55" s="42"/>
      <c r="AA55" s="42"/>
      <c r="AB55" s="42"/>
    </row>
    <row r="56" spans="1:28" s="27" customFormat="1" hidden="1" x14ac:dyDescent="0.3">
      <c r="A56" s="514">
        <v>1</v>
      </c>
      <c r="B56" s="515" t="s">
        <v>16</v>
      </c>
      <c r="C56" s="514">
        <v>2</v>
      </c>
      <c r="D56" s="517" t="s">
        <v>45</v>
      </c>
      <c r="E56" s="520">
        <v>37.14</v>
      </c>
      <c r="F56" s="534">
        <v>1</v>
      </c>
      <c r="G56" s="534">
        <v>5</v>
      </c>
      <c r="H56" s="516">
        <v>7817</v>
      </c>
      <c r="I56" s="1"/>
      <c r="J56" s="4"/>
      <c r="K56" s="4"/>
      <c r="M56" s="70"/>
      <c r="N56" s="42"/>
      <c r="O56" s="42"/>
      <c r="P56" s="42"/>
      <c r="Q56" s="42"/>
      <c r="R56" s="42"/>
      <c r="S56" s="42"/>
      <c r="T56" s="70"/>
      <c r="U56" s="42"/>
      <c r="V56" s="42"/>
      <c r="W56" s="42"/>
      <c r="X56" s="42"/>
      <c r="Y56" s="42"/>
      <c r="Z56" s="42"/>
      <c r="AA56" s="42"/>
      <c r="AB56" s="42"/>
    </row>
    <row r="57" spans="1:28" s="27" customFormat="1" hidden="1" x14ac:dyDescent="0.3">
      <c r="A57" s="514">
        <v>1</v>
      </c>
      <c r="B57" s="515" t="s">
        <v>16</v>
      </c>
      <c r="C57" s="514">
        <v>2</v>
      </c>
      <c r="D57" s="517" t="s">
        <v>46</v>
      </c>
      <c r="E57" s="520">
        <v>38.44</v>
      </c>
      <c r="F57" s="534">
        <v>1</v>
      </c>
      <c r="G57" s="534">
        <v>5</v>
      </c>
      <c r="H57" s="516">
        <v>7817</v>
      </c>
      <c r="I57" s="1"/>
      <c r="J57" s="1"/>
      <c r="K57" s="1"/>
      <c r="L57" s="91"/>
      <c r="M57" s="94"/>
      <c r="N57" s="66"/>
      <c r="O57" s="38"/>
      <c r="P57" s="66"/>
      <c r="Q57" s="66"/>
      <c r="R57" s="38"/>
      <c r="S57" s="63"/>
      <c r="T57" s="120"/>
      <c r="U57" s="120"/>
      <c r="V57" s="42"/>
      <c r="W57" s="42"/>
      <c r="X57" s="42"/>
      <c r="Y57" s="42"/>
      <c r="Z57" s="42"/>
      <c r="AA57" s="42"/>
      <c r="AB57" s="42"/>
    </row>
    <row r="58" spans="1:28" s="27" customFormat="1" hidden="1" x14ac:dyDescent="0.3">
      <c r="A58" s="514">
        <v>1</v>
      </c>
      <c r="B58" s="515" t="s">
        <v>16</v>
      </c>
      <c r="C58" s="514">
        <v>2</v>
      </c>
      <c r="D58" s="517" t="s">
        <v>17</v>
      </c>
      <c r="E58" s="520">
        <v>19.100000000000001</v>
      </c>
      <c r="F58" s="534">
        <v>1</v>
      </c>
      <c r="G58" s="534">
        <v>1</v>
      </c>
      <c r="H58" s="516">
        <v>7817</v>
      </c>
      <c r="I58" s="1"/>
      <c r="J58" s="4"/>
      <c r="K58" s="4"/>
      <c r="M58" s="70"/>
      <c r="N58" s="42"/>
      <c r="O58" s="42"/>
      <c r="P58" s="42"/>
      <c r="Q58" s="42"/>
      <c r="R58" s="42"/>
      <c r="S58" s="42"/>
      <c r="T58" s="70"/>
      <c r="U58" s="42"/>
      <c r="V58" s="42"/>
      <c r="W58" s="42"/>
      <c r="X58" s="42"/>
      <c r="Y58" s="42"/>
      <c r="Z58" s="42"/>
      <c r="AA58" s="42"/>
      <c r="AB58" s="42"/>
    </row>
    <row r="59" spans="1:28" s="27" customFormat="1" hidden="1" x14ac:dyDescent="0.3">
      <c r="A59" s="514">
        <v>1</v>
      </c>
      <c r="B59" s="515" t="s">
        <v>16</v>
      </c>
      <c r="C59" s="514">
        <v>2</v>
      </c>
      <c r="D59" s="517" t="s">
        <v>44</v>
      </c>
      <c r="E59" s="520">
        <v>51.1</v>
      </c>
      <c r="F59" s="534">
        <v>1</v>
      </c>
      <c r="G59" s="534">
        <v>1</v>
      </c>
      <c r="H59" s="516">
        <v>7817</v>
      </c>
      <c r="I59" s="1"/>
      <c r="J59" s="1"/>
      <c r="K59" s="1"/>
      <c r="L59" s="91"/>
      <c r="M59" s="94"/>
      <c r="N59" s="66"/>
      <c r="O59" s="38"/>
      <c r="P59" s="66"/>
      <c r="Q59" s="66"/>
      <c r="R59" s="38"/>
      <c r="S59" s="63"/>
      <c r="T59" s="120"/>
      <c r="U59" s="120"/>
      <c r="V59" s="42"/>
      <c r="W59" s="42"/>
      <c r="X59" s="42"/>
      <c r="Y59" s="42"/>
      <c r="Z59" s="42"/>
      <c r="AA59" s="42"/>
      <c r="AB59" s="42"/>
    </row>
    <row r="60" spans="1:28" s="27" customFormat="1" hidden="1" x14ac:dyDescent="0.3">
      <c r="A60" s="514">
        <v>1</v>
      </c>
      <c r="B60" s="515" t="s">
        <v>16</v>
      </c>
      <c r="C60" s="514">
        <v>2</v>
      </c>
      <c r="D60" s="517" t="s">
        <v>48</v>
      </c>
      <c r="E60" s="520">
        <v>33</v>
      </c>
      <c r="F60" s="534">
        <v>1</v>
      </c>
      <c r="G60" s="534">
        <v>1</v>
      </c>
      <c r="H60" s="516">
        <v>7625</v>
      </c>
      <c r="I60" s="1"/>
      <c r="J60" s="4"/>
      <c r="K60" s="4"/>
      <c r="M60" s="70"/>
      <c r="N60" s="42"/>
      <c r="O60" s="42"/>
      <c r="P60" s="42"/>
      <c r="Q60" s="42"/>
      <c r="R60" s="42"/>
      <c r="S60" s="42"/>
      <c r="T60" s="70"/>
      <c r="U60" s="42"/>
      <c r="V60" s="42"/>
      <c r="W60" s="42"/>
      <c r="X60" s="42"/>
      <c r="Y60" s="42"/>
      <c r="Z60" s="42"/>
      <c r="AA60" s="42"/>
      <c r="AB60" s="42"/>
    </row>
    <row r="61" spans="1:28" s="27" customFormat="1" hidden="1" x14ac:dyDescent="0.3">
      <c r="A61" s="514">
        <v>1</v>
      </c>
      <c r="B61" s="515" t="s">
        <v>16</v>
      </c>
      <c r="C61" s="514">
        <v>2</v>
      </c>
      <c r="D61" s="517" t="s">
        <v>48</v>
      </c>
      <c r="E61" s="520">
        <v>18.399999999999999</v>
      </c>
      <c r="F61" s="534">
        <v>1</v>
      </c>
      <c r="G61" s="534">
        <v>1</v>
      </c>
      <c r="H61" s="516">
        <v>7625</v>
      </c>
      <c r="I61" s="1"/>
      <c r="J61" s="1"/>
      <c r="K61" s="42"/>
      <c r="L61" s="472"/>
      <c r="M61" s="94"/>
      <c r="N61" s="66"/>
      <c r="O61" s="38"/>
      <c r="P61" s="66"/>
      <c r="Q61" s="66"/>
      <c r="R61" s="38"/>
      <c r="S61" s="63"/>
      <c r="T61" s="120"/>
      <c r="U61" s="120"/>
      <c r="V61" s="42"/>
      <c r="W61" s="42"/>
      <c r="X61" s="42"/>
      <c r="Y61" s="42"/>
      <c r="Z61" s="42"/>
      <c r="AA61" s="42"/>
      <c r="AB61" s="42"/>
    </row>
    <row r="62" spans="1:28" s="27" customFormat="1" hidden="1" x14ac:dyDescent="0.3">
      <c r="A62" s="514">
        <v>1</v>
      </c>
      <c r="B62" s="515" t="s">
        <v>16</v>
      </c>
      <c r="C62" s="514">
        <v>2</v>
      </c>
      <c r="D62" s="517" t="s">
        <v>48</v>
      </c>
      <c r="E62" s="520">
        <v>20.58</v>
      </c>
      <c r="F62" s="534">
        <v>1</v>
      </c>
      <c r="G62" s="534">
        <v>1</v>
      </c>
      <c r="H62" s="516">
        <v>7625</v>
      </c>
      <c r="I62" s="1"/>
      <c r="J62" s="4"/>
      <c r="K62" s="47"/>
      <c r="L62" s="42"/>
      <c r="M62" s="70"/>
      <c r="N62" s="42"/>
      <c r="O62" s="42"/>
      <c r="P62" s="42"/>
      <c r="Q62" s="42"/>
      <c r="R62" s="42"/>
      <c r="S62" s="42"/>
      <c r="T62" s="70"/>
      <c r="U62" s="42"/>
      <c r="V62" s="42"/>
      <c r="W62" s="42"/>
      <c r="X62" s="42"/>
      <c r="Y62" s="42"/>
      <c r="Z62" s="42"/>
      <c r="AA62" s="42"/>
      <c r="AB62" s="42"/>
    </row>
    <row r="63" spans="1:28" s="27" customFormat="1" hidden="1" x14ac:dyDescent="0.3">
      <c r="A63" s="514">
        <v>1</v>
      </c>
      <c r="B63" s="515" t="s">
        <v>16</v>
      </c>
      <c r="C63" s="514">
        <v>2</v>
      </c>
      <c r="D63" s="517" t="s">
        <v>48</v>
      </c>
      <c r="E63" s="520">
        <v>17.190000000000001</v>
      </c>
      <c r="F63" s="534">
        <v>1</v>
      </c>
      <c r="G63" s="534">
        <v>1</v>
      </c>
      <c r="H63" s="516">
        <v>7620</v>
      </c>
      <c r="I63" s="1"/>
      <c r="J63" s="1"/>
      <c r="K63" s="42"/>
      <c r="L63" s="472"/>
      <c r="M63" s="94"/>
      <c r="N63" s="66"/>
      <c r="O63" s="38"/>
      <c r="P63" s="66"/>
      <c r="Q63" s="66"/>
      <c r="R63" s="38"/>
      <c r="S63" s="63"/>
      <c r="T63" s="120"/>
      <c r="U63" s="120"/>
      <c r="V63" s="42"/>
      <c r="W63" s="42"/>
      <c r="X63" s="42"/>
      <c r="Y63" s="42"/>
      <c r="Z63" s="42"/>
      <c r="AA63" s="42"/>
      <c r="AB63" s="42"/>
    </row>
    <row r="64" spans="1:28" s="27" customFormat="1" ht="17.399999999999999" hidden="1" x14ac:dyDescent="0.3">
      <c r="A64" s="514">
        <v>1</v>
      </c>
      <c r="B64" s="515" t="s">
        <v>16</v>
      </c>
      <c r="C64" s="514">
        <v>2</v>
      </c>
      <c r="D64" s="517" t="s">
        <v>325</v>
      </c>
      <c r="E64" s="520">
        <v>37.4</v>
      </c>
      <c r="F64" s="534">
        <v>1</v>
      </c>
      <c r="G64" s="534">
        <v>1</v>
      </c>
      <c r="H64" s="521">
        <v>7640</v>
      </c>
      <c r="I64" s="1"/>
      <c r="J64" s="4"/>
      <c r="K64" s="47"/>
      <c r="L64" s="42"/>
      <c r="M64" s="484"/>
      <c r="N64" s="45"/>
      <c r="O64" s="45"/>
      <c r="P64" s="42"/>
      <c r="Q64" s="42"/>
      <c r="R64" s="42"/>
      <c r="S64" s="42"/>
      <c r="T64" s="70"/>
      <c r="U64" s="42"/>
      <c r="V64" s="42"/>
      <c r="W64" s="42"/>
      <c r="X64" s="42"/>
      <c r="Y64" s="42"/>
      <c r="Z64" s="42"/>
      <c r="AA64" s="42"/>
      <c r="AB64" s="42"/>
    </row>
    <row r="65" spans="1:28" s="27" customFormat="1" hidden="1" x14ac:dyDescent="0.3">
      <c r="A65" s="514">
        <v>1</v>
      </c>
      <c r="B65" s="515" t="s">
        <v>16</v>
      </c>
      <c r="C65" s="514">
        <v>2</v>
      </c>
      <c r="D65" s="517" t="s">
        <v>126</v>
      </c>
      <c r="E65" s="520">
        <v>48.85</v>
      </c>
      <c r="F65" s="534">
        <v>1</v>
      </c>
      <c r="G65" s="534">
        <v>1</v>
      </c>
      <c r="H65" s="516">
        <v>7645</v>
      </c>
      <c r="I65" s="1"/>
      <c r="J65" s="1"/>
      <c r="K65" s="42"/>
      <c r="L65" s="472"/>
      <c r="M65" s="94"/>
      <c r="N65" s="66"/>
      <c r="O65" s="38"/>
      <c r="P65" s="66"/>
      <c r="Q65" s="66"/>
      <c r="R65" s="38"/>
      <c r="S65" s="63"/>
      <c r="T65" s="120"/>
      <c r="U65" s="120"/>
      <c r="V65" s="42"/>
      <c r="W65" s="42"/>
      <c r="X65" s="42"/>
      <c r="Y65" s="42"/>
      <c r="Z65" s="42"/>
      <c r="AA65" s="42"/>
      <c r="AB65" s="42"/>
    </row>
    <row r="66" spans="1:28" s="27" customFormat="1" hidden="1" x14ac:dyDescent="0.3">
      <c r="A66" s="514">
        <v>1</v>
      </c>
      <c r="B66" s="515" t="s">
        <v>16</v>
      </c>
      <c r="C66" s="514">
        <v>2</v>
      </c>
      <c r="D66" s="523" t="s">
        <v>48</v>
      </c>
      <c r="E66" s="524">
        <v>8.99</v>
      </c>
      <c r="F66" s="535">
        <v>1</v>
      </c>
      <c r="G66" s="534">
        <v>1</v>
      </c>
      <c r="H66" s="522">
        <v>7625</v>
      </c>
      <c r="I66" s="1"/>
      <c r="J66" s="4"/>
      <c r="K66" s="47"/>
      <c r="L66" s="42"/>
      <c r="M66" s="70"/>
      <c r="N66" s="42"/>
      <c r="O66" s="42"/>
      <c r="P66" s="42"/>
      <c r="Q66" s="42"/>
      <c r="R66" s="42"/>
      <c r="S66" s="42"/>
      <c r="T66" s="70"/>
      <c r="U66" s="42"/>
      <c r="V66" s="42"/>
      <c r="W66" s="42"/>
      <c r="X66" s="42"/>
      <c r="Y66" s="42"/>
      <c r="Z66" s="42"/>
      <c r="AA66" s="42"/>
      <c r="AB66" s="42"/>
    </row>
    <row r="67" spans="1:28" s="27" customFormat="1" hidden="1" x14ac:dyDescent="0.3">
      <c r="A67" s="514">
        <v>1</v>
      </c>
      <c r="B67" s="515" t="s">
        <v>16</v>
      </c>
      <c r="C67" s="514">
        <v>3</v>
      </c>
      <c r="D67" s="517" t="s">
        <v>53</v>
      </c>
      <c r="E67" s="520">
        <v>23.05</v>
      </c>
      <c r="F67" s="534">
        <v>1</v>
      </c>
      <c r="G67" s="534">
        <v>1</v>
      </c>
      <c r="H67" s="516">
        <v>7645</v>
      </c>
      <c r="I67" s="1"/>
      <c r="J67" s="1"/>
      <c r="K67" s="42"/>
      <c r="L67" s="472"/>
      <c r="M67" s="94"/>
      <c r="N67" s="66"/>
      <c r="O67" s="38"/>
      <c r="P67" s="66"/>
      <c r="Q67" s="66"/>
      <c r="R67" s="38"/>
      <c r="S67" s="63"/>
      <c r="T67" s="120"/>
      <c r="U67" s="120"/>
      <c r="V67" s="42"/>
      <c r="W67" s="42"/>
      <c r="X67" s="42"/>
      <c r="Y67" s="42"/>
      <c r="Z67" s="42"/>
      <c r="AA67" s="42"/>
      <c r="AB67" s="42"/>
    </row>
    <row r="68" spans="1:28" s="27" customFormat="1" hidden="1" x14ac:dyDescent="0.3">
      <c r="A68" s="514">
        <v>1</v>
      </c>
      <c r="B68" s="515" t="s">
        <v>16</v>
      </c>
      <c r="C68" s="514">
        <v>3</v>
      </c>
      <c r="D68" s="517" t="s">
        <v>293</v>
      </c>
      <c r="E68" s="520">
        <v>84.72</v>
      </c>
      <c r="F68" s="534">
        <v>1</v>
      </c>
      <c r="G68" s="534">
        <v>1</v>
      </c>
      <c r="H68" s="521">
        <v>7640</v>
      </c>
      <c r="I68" s="1"/>
      <c r="J68" s="4"/>
      <c r="K68" s="47"/>
      <c r="L68" s="42"/>
      <c r="M68" s="70"/>
      <c r="N68" s="42"/>
      <c r="O68" s="42"/>
      <c r="P68" s="42"/>
      <c r="Q68" s="42"/>
      <c r="R68" s="42"/>
      <c r="S68" s="42"/>
      <c r="T68" s="70"/>
      <c r="U68" s="42"/>
      <c r="V68" s="42"/>
      <c r="W68" s="42"/>
      <c r="X68" s="42"/>
      <c r="Y68" s="42"/>
      <c r="Z68" s="42"/>
      <c r="AA68" s="42"/>
      <c r="AB68" s="42"/>
    </row>
    <row r="69" spans="1:28" s="27" customFormat="1" hidden="1" x14ac:dyDescent="0.3">
      <c r="A69" s="514">
        <v>1</v>
      </c>
      <c r="B69" s="515" t="s">
        <v>16</v>
      </c>
      <c r="C69" s="514">
        <v>3</v>
      </c>
      <c r="D69" s="517" t="s">
        <v>53</v>
      </c>
      <c r="E69" s="520">
        <v>34.119999999999997</v>
      </c>
      <c r="F69" s="534">
        <v>1</v>
      </c>
      <c r="G69" s="534">
        <v>1</v>
      </c>
      <c r="H69" s="516">
        <v>7645</v>
      </c>
      <c r="I69" s="1"/>
      <c r="J69" s="1"/>
      <c r="K69" s="42"/>
      <c r="L69" s="472"/>
      <c r="M69" s="94"/>
      <c r="N69" s="66"/>
      <c r="O69" s="38"/>
      <c r="P69" s="66"/>
      <c r="Q69" s="66"/>
      <c r="R69" s="38"/>
      <c r="S69" s="63"/>
      <c r="T69" s="120"/>
      <c r="U69" s="120"/>
      <c r="V69" s="42"/>
      <c r="W69" s="42"/>
      <c r="X69" s="42"/>
      <c r="Y69" s="42"/>
      <c r="Z69" s="42"/>
      <c r="AA69" s="42"/>
      <c r="AB69" s="42"/>
    </row>
    <row r="70" spans="1:28" s="27" customFormat="1" hidden="1" x14ac:dyDescent="0.3">
      <c r="A70" s="514">
        <v>1</v>
      </c>
      <c r="B70" s="515" t="s">
        <v>16</v>
      </c>
      <c r="C70" s="514">
        <v>3</v>
      </c>
      <c r="D70" s="517" t="s">
        <v>74</v>
      </c>
      <c r="E70" s="520">
        <v>37.44</v>
      </c>
      <c r="F70" s="534">
        <v>1</v>
      </c>
      <c r="G70" s="534">
        <v>1</v>
      </c>
      <c r="H70" s="521">
        <v>7645</v>
      </c>
      <c r="I70" s="1"/>
      <c r="J70" s="4"/>
      <c r="K70" s="47"/>
      <c r="L70" s="42"/>
      <c r="M70" s="70"/>
      <c r="N70" s="42"/>
      <c r="O70" s="485"/>
      <c r="P70" s="485"/>
      <c r="Q70" s="485"/>
      <c r="R70" s="42"/>
      <c r="S70" s="42"/>
      <c r="T70" s="70"/>
      <c r="U70" s="42"/>
      <c r="V70" s="42"/>
      <c r="W70" s="42"/>
      <c r="X70" s="42"/>
      <c r="Y70" s="42"/>
      <c r="Z70" s="42"/>
      <c r="AA70" s="42"/>
      <c r="AB70" s="42"/>
    </row>
    <row r="71" spans="1:28" s="27" customFormat="1" x14ac:dyDescent="0.3">
      <c r="A71" s="514">
        <v>1</v>
      </c>
      <c r="B71" s="515" t="s">
        <v>16</v>
      </c>
      <c r="C71" s="514">
        <v>3</v>
      </c>
      <c r="D71" s="517" t="s">
        <v>50</v>
      </c>
      <c r="E71" s="520">
        <v>17</v>
      </c>
      <c r="F71" s="534">
        <v>1</v>
      </c>
      <c r="G71" s="534">
        <v>1</v>
      </c>
      <c r="H71" s="519">
        <v>7635</v>
      </c>
      <c r="I71" s="1"/>
      <c r="J71" s="1"/>
      <c r="K71" s="1"/>
      <c r="L71" s="91"/>
      <c r="M71" s="94"/>
      <c r="N71" s="66"/>
      <c r="O71" s="38"/>
      <c r="P71" s="66"/>
      <c r="Q71" s="66"/>
      <c r="R71" s="38"/>
      <c r="S71" s="63"/>
      <c r="T71" s="120"/>
      <c r="U71" s="120"/>
      <c r="V71" s="42"/>
      <c r="W71" s="42"/>
      <c r="X71" s="42"/>
      <c r="Y71" s="42"/>
      <c r="Z71" s="42"/>
      <c r="AA71" s="42"/>
      <c r="AB71" s="42"/>
    </row>
    <row r="72" spans="1:28" s="27" customFormat="1" hidden="1" x14ac:dyDescent="0.3">
      <c r="A72" s="514">
        <v>1</v>
      </c>
      <c r="B72" s="515" t="s">
        <v>16</v>
      </c>
      <c r="C72" s="514">
        <v>3</v>
      </c>
      <c r="D72" s="517" t="s">
        <v>127</v>
      </c>
      <c r="E72" s="520">
        <v>56.24</v>
      </c>
      <c r="F72" s="534">
        <v>1</v>
      </c>
      <c r="G72" s="534">
        <v>1</v>
      </c>
      <c r="H72" s="516">
        <v>7620</v>
      </c>
      <c r="I72" s="1"/>
      <c r="J72" s="1"/>
      <c r="K72" s="1"/>
      <c r="L72" s="91"/>
      <c r="M72" s="94"/>
      <c r="N72" s="66"/>
      <c r="O72" s="38"/>
      <c r="P72" s="66"/>
      <c r="Q72" s="66"/>
      <c r="R72" s="38"/>
      <c r="S72" s="63"/>
      <c r="T72" s="120"/>
      <c r="U72" s="120"/>
      <c r="V72" s="42"/>
      <c r="W72" s="42"/>
      <c r="X72" s="42"/>
      <c r="Y72" s="42"/>
      <c r="Z72" s="42"/>
      <c r="AA72" s="42"/>
      <c r="AB72" s="42"/>
    </row>
    <row r="73" spans="1:28" s="27" customFormat="1" hidden="1" x14ac:dyDescent="0.3">
      <c r="A73" s="514">
        <v>1</v>
      </c>
      <c r="B73" s="515" t="s">
        <v>16</v>
      </c>
      <c r="C73" s="514">
        <v>3</v>
      </c>
      <c r="D73" s="517" t="s">
        <v>82</v>
      </c>
      <c r="E73" s="520">
        <v>74.150000000000006</v>
      </c>
      <c r="F73" s="534">
        <v>1</v>
      </c>
      <c r="G73" s="534">
        <v>1</v>
      </c>
      <c r="H73" s="521">
        <v>7640</v>
      </c>
      <c r="I73" s="1"/>
      <c r="J73" s="4"/>
      <c r="K73" s="4"/>
      <c r="M73" s="70"/>
      <c r="N73" s="42"/>
      <c r="O73" s="42"/>
      <c r="P73" s="42"/>
      <c r="Q73" s="42"/>
      <c r="R73" s="42"/>
      <c r="S73" s="42"/>
      <c r="T73" s="70"/>
      <c r="U73" s="42"/>
      <c r="V73" s="42"/>
      <c r="W73" s="42"/>
      <c r="X73" s="42"/>
      <c r="Y73" s="42"/>
      <c r="Z73" s="42"/>
      <c r="AA73" s="42"/>
      <c r="AB73" s="42"/>
    </row>
    <row r="74" spans="1:28" s="27" customFormat="1" hidden="1" x14ac:dyDescent="0.3">
      <c r="A74" s="514">
        <v>1</v>
      </c>
      <c r="B74" s="515" t="s">
        <v>16</v>
      </c>
      <c r="C74" s="514">
        <v>3</v>
      </c>
      <c r="D74" s="517" t="s">
        <v>52</v>
      </c>
      <c r="E74" s="520">
        <v>3.6</v>
      </c>
      <c r="F74" s="534">
        <v>1</v>
      </c>
      <c r="G74" s="534">
        <v>1</v>
      </c>
      <c r="H74" s="521">
        <v>7645</v>
      </c>
      <c r="I74" s="1"/>
      <c r="J74" s="1"/>
      <c r="K74" s="1"/>
      <c r="L74" s="91"/>
      <c r="M74" s="94"/>
      <c r="N74" s="66"/>
      <c r="O74" s="38"/>
      <c r="P74" s="66"/>
      <c r="Q74" s="66"/>
      <c r="R74" s="38"/>
      <c r="S74" s="63"/>
      <c r="T74" s="120"/>
      <c r="U74" s="120"/>
      <c r="V74" s="42"/>
      <c r="W74" s="42"/>
      <c r="X74" s="42"/>
      <c r="Y74" s="42"/>
      <c r="Z74" s="42"/>
      <c r="AA74" s="42"/>
      <c r="AB74" s="42"/>
    </row>
    <row r="75" spans="1:28" s="27" customFormat="1" x14ac:dyDescent="0.3">
      <c r="A75" s="514">
        <v>1</v>
      </c>
      <c r="B75" s="515" t="s">
        <v>16</v>
      </c>
      <c r="C75" s="514">
        <v>3</v>
      </c>
      <c r="D75" s="523" t="s">
        <v>50</v>
      </c>
      <c r="E75" s="524">
        <v>17.059999999999999</v>
      </c>
      <c r="F75" s="535">
        <v>1</v>
      </c>
      <c r="G75" s="534">
        <v>1</v>
      </c>
      <c r="H75" s="522">
        <v>7635</v>
      </c>
      <c r="I75" s="1"/>
      <c r="J75" s="4"/>
      <c r="K75" s="4"/>
      <c r="M75" s="70"/>
      <c r="N75" s="42"/>
      <c r="O75" s="42"/>
      <c r="P75" s="42"/>
      <c r="Q75" s="42"/>
      <c r="R75" s="42"/>
      <c r="S75" s="42"/>
      <c r="T75" s="70"/>
      <c r="U75" s="42"/>
      <c r="V75" s="42"/>
      <c r="W75" s="42"/>
      <c r="X75" s="42"/>
      <c r="Y75" s="42"/>
      <c r="Z75" s="42"/>
      <c r="AA75" s="42"/>
      <c r="AB75" s="42"/>
    </row>
    <row r="76" spans="1:28" s="27" customFormat="1" x14ac:dyDescent="0.3">
      <c r="A76" s="514">
        <v>1</v>
      </c>
      <c r="B76" s="515" t="s">
        <v>16</v>
      </c>
      <c r="C76" s="514">
        <v>4</v>
      </c>
      <c r="D76" s="517" t="s">
        <v>50</v>
      </c>
      <c r="E76" s="520">
        <v>23.34</v>
      </c>
      <c r="F76" s="534">
        <v>1</v>
      </c>
      <c r="G76" s="534">
        <v>1</v>
      </c>
      <c r="H76" s="522">
        <v>7635</v>
      </c>
      <c r="I76" s="1"/>
      <c r="J76" s="1"/>
      <c r="K76" s="1"/>
      <c r="L76" s="91"/>
      <c r="M76" s="94"/>
      <c r="N76" s="66"/>
      <c r="O76" s="38"/>
      <c r="P76" s="66"/>
      <c r="Q76" s="66"/>
      <c r="R76" s="38"/>
      <c r="S76" s="63"/>
      <c r="T76" s="120"/>
      <c r="U76" s="120"/>
      <c r="V76" s="42"/>
      <c r="W76" s="42"/>
      <c r="X76" s="42"/>
      <c r="Y76" s="42"/>
      <c r="Z76" s="42"/>
      <c r="AA76" s="42"/>
      <c r="AB76" s="42"/>
    </row>
    <row r="77" spans="1:28" s="27" customFormat="1" x14ac:dyDescent="0.3">
      <c r="A77" s="514">
        <v>1</v>
      </c>
      <c r="B77" s="515" t="s">
        <v>16</v>
      </c>
      <c r="C77" s="514">
        <v>4</v>
      </c>
      <c r="D77" s="517" t="s">
        <v>50</v>
      </c>
      <c r="E77" s="520">
        <v>14.95</v>
      </c>
      <c r="F77" s="534">
        <v>1</v>
      </c>
      <c r="G77" s="534">
        <v>1</v>
      </c>
      <c r="H77" s="522">
        <v>7635</v>
      </c>
      <c r="I77" s="1"/>
      <c r="J77" s="4"/>
      <c r="K77" s="4"/>
      <c r="M77" s="70"/>
      <c r="N77" s="42"/>
      <c r="O77" s="42"/>
      <c r="P77" s="42"/>
      <c r="Q77" s="42"/>
      <c r="R77" s="42"/>
      <c r="S77" s="42"/>
      <c r="T77" s="70"/>
      <c r="U77" s="42"/>
      <c r="V77" s="42"/>
      <c r="W77" s="42"/>
      <c r="X77" s="42"/>
      <c r="Y77" s="42"/>
      <c r="Z77" s="42"/>
      <c r="AA77" s="42"/>
      <c r="AB77" s="42"/>
    </row>
    <row r="78" spans="1:28" s="27" customFormat="1" x14ac:dyDescent="0.3">
      <c r="A78" s="514">
        <v>1</v>
      </c>
      <c r="B78" s="515" t="s">
        <v>16</v>
      </c>
      <c r="C78" s="514">
        <v>4</v>
      </c>
      <c r="D78" s="525" t="s">
        <v>50</v>
      </c>
      <c r="E78" s="520">
        <v>14.37</v>
      </c>
      <c r="F78" s="534">
        <v>1</v>
      </c>
      <c r="G78" s="534">
        <v>1</v>
      </c>
      <c r="H78" s="522">
        <v>7635</v>
      </c>
      <c r="I78" s="1"/>
      <c r="J78" s="1"/>
      <c r="K78" s="1"/>
      <c r="L78" s="91"/>
      <c r="M78" s="94"/>
      <c r="N78" s="66"/>
      <c r="O78" s="38"/>
      <c r="P78" s="66"/>
      <c r="Q78" s="66"/>
      <c r="R78" s="38"/>
      <c r="S78" s="63"/>
      <c r="T78" s="120"/>
      <c r="U78" s="120"/>
      <c r="V78" s="42"/>
      <c r="W78" s="42"/>
      <c r="X78" s="42"/>
      <c r="Y78" s="42"/>
      <c r="Z78" s="42"/>
      <c r="AA78" s="42"/>
      <c r="AB78" s="42"/>
    </row>
    <row r="79" spans="1:28" s="27" customFormat="1" x14ac:dyDescent="0.3">
      <c r="A79" s="514">
        <v>1</v>
      </c>
      <c r="B79" s="515" t="s">
        <v>16</v>
      </c>
      <c r="C79" s="514">
        <v>4</v>
      </c>
      <c r="D79" s="517" t="s">
        <v>50</v>
      </c>
      <c r="E79" s="520">
        <v>18.86</v>
      </c>
      <c r="F79" s="534">
        <v>1</v>
      </c>
      <c r="G79" s="534">
        <v>1</v>
      </c>
      <c r="H79" s="522">
        <v>7635</v>
      </c>
      <c r="I79" s="1"/>
      <c r="J79" s="4"/>
      <c r="K79" s="4"/>
      <c r="M79" s="70"/>
      <c r="N79" s="42"/>
      <c r="O79" s="42"/>
      <c r="P79" s="42"/>
      <c r="Q79" s="42"/>
      <c r="R79" s="42"/>
      <c r="S79" s="42"/>
      <c r="T79" s="70"/>
      <c r="U79" s="42"/>
      <c r="V79" s="42"/>
      <c r="W79" s="42"/>
      <c r="X79" s="42"/>
      <c r="Y79" s="42"/>
      <c r="Z79" s="42"/>
      <c r="AA79" s="42"/>
      <c r="AB79" s="42"/>
    </row>
    <row r="80" spans="1:28" s="27" customFormat="1" x14ac:dyDescent="0.3">
      <c r="A80" s="514">
        <v>1</v>
      </c>
      <c r="B80" s="515" t="s">
        <v>16</v>
      </c>
      <c r="C80" s="514">
        <v>4</v>
      </c>
      <c r="D80" s="517" t="s">
        <v>50</v>
      </c>
      <c r="E80" s="520">
        <v>19.920000000000002</v>
      </c>
      <c r="F80" s="534">
        <v>1</v>
      </c>
      <c r="G80" s="534">
        <v>1</v>
      </c>
      <c r="H80" s="522">
        <v>7635</v>
      </c>
      <c r="I80" s="1"/>
      <c r="J80" s="1"/>
      <c r="K80" s="1"/>
      <c r="L80" s="91"/>
      <c r="M80" s="94"/>
      <c r="N80" s="66"/>
      <c r="O80" s="38"/>
      <c r="P80" s="66"/>
      <c r="Q80" s="66"/>
      <c r="R80" s="38"/>
      <c r="S80" s="63"/>
      <c r="T80" s="120"/>
      <c r="U80" s="120"/>
      <c r="V80" s="42"/>
      <c r="W80" s="42"/>
      <c r="X80" s="42"/>
      <c r="Y80" s="42"/>
      <c r="Z80" s="42"/>
      <c r="AA80" s="42"/>
      <c r="AB80" s="42"/>
    </row>
    <row r="81" spans="1:28" s="27" customFormat="1" hidden="1" x14ac:dyDescent="0.3">
      <c r="A81" s="514">
        <v>1</v>
      </c>
      <c r="B81" s="515" t="s">
        <v>16</v>
      </c>
      <c r="C81" s="514">
        <v>4</v>
      </c>
      <c r="D81" s="517" t="s">
        <v>128</v>
      </c>
      <c r="E81" s="520">
        <v>12.2</v>
      </c>
      <c r="F81" s="534">
        <v>1</v>
      </c>
      <c r="G81" s="534">
        <v>1</v>
      </c>
      <c r="H81" s="521">
        <v>7630</v>
      </c>
      <c r="I81" s="1"/>
      <c r="J81" s="4"/>
      <c r="K81" s="4"/>
      <c r="M81" s="70"/>
      <c r="N81" s="42"/>
      <c r="O81" s="42"/>
      <c r="P81" s="42"/>
      <c r="Q81" s="42"/>
      <c r="R81" s="42"/>
      <c r="S81" s="42"/>
      <c r="T81" s="70"/>
      <c r="U81" s="42"/>
      <c r="V81" s="42"/>
      <c r="W81" s="42"/>
      <c r="X81" s="42"/>
      <c r="Y81" s="42"/>
      <c r="Z81" s="42"/>
      <c r="AA81" s="42"/>
      <c r="AB81" s="42"/>
    </row>
    <row r="82" spans="1:28" s="27" customFormat="1" hidden="1" x14ac:dyDescent="0.3">
      <c r="A82" s="514">
        <v>1</v>
      </c>
      <c r="B82" s="515" t="s">
        <v>16</v>
      </c>
      <c r="C82" s="514">
        <v>4</v>
      </c>
      <c r="D82" s="517" t="s">
        <v>128</v>
      </c>
      <c r="E82" s="520">
        <v>41.47</v>
      </c>
      <c r="F82" s="534">
        <v>1</v>
      </c>
      <c r="G82" s="534">
        <v>1</v>
      </c>
      <c r="H82" s="521">
        <v>7630</v>
      </c>
      <c r="I82" s="1"/>
      <c r="J82" s="1"/>
      <c r="K82" s="1"/>
      <c r="L82" s="91"/>
      <c r="M82" s="94"/>
      <c r="N82" s="66"/>
      <c r="O82" s="38"/>
      <c r="P82" s="66"/>
      <c r="Q82" s="66"/>
      <c r="R82" s="38"/>
      <c r="S82" s="63"/>
      <c r="T82" s="120"/>
      <c r="U82" s="120"/>
      <c r="V82" s="42"/>
      <c r="W82" s="42"/>
      <c r="X82" s="42"/>
      <c r="Y82" s="42"/>
      <c r="Z82" s="42"/>
      <c r="AA82" s="42"/>
      <c r="AB82" s="42"/>
    </row>
    <row r="83" spans="1:28" s="27" customFormat="1" hidden="1" x14ac:dyDescent="0.3">
      <c r="A83" s="514">
        <v>1</v>
      </c>
      <c r="B83" s="515" t="s">
        <v>16</v>
      </c>
      <c r="C83" s="514">
        <v>4</v>
      </c>
      <c r="D83" s="517" t="s">
        <v>67</v>
      </c>
      <c r="E83" s="520">
        <v>7.31</v>
      </c>
      <c r="F83" s="534">
        <v>1</v>
      </c>
      <c r="G83" s="534">
        <v>1</v>
      </c>
      <c r="H83" s="516">
        <v>7645</v>
      </c>
      <c r="I83" s="1"/>
      <c r="J83" s="4"/>
      <c r="K83" s="4"/>
      <c r="M83" s="70"/>
      <c r="N83" s="42"/>
      <c r="O83" s="42"/>
      <c r="P83" s="42"/>
      <c r="Q83" s="42"/>
      <c r="R83" s="42"/>
      <c r="S83" s="42"/>
      <c r="T83" s="70"/>
      <c r="U83" s="42"/>
      <c r="V83" s="42"/>
      <c r="W83" s="42"/>
      <c r="X83" s="42"/>
      <c r="Y83" s="42"/>
      <c r="Z83" s="42"/>
      <c r="AA83" s="42"/>
      <c r="AB83" s="42"/>
    </row>
    <row r="84" spans="1:28" s="27" customFormat="1" x14ac:dyDescent="0.3">
      <c r="A84" s="514">
        <v>1</v>
      </c>
      <c r="B84" s="515" t="s">
        <v>16</v>
      </c>
      <c r="C84" s="514">
        <v>4</v>
      </c>
      <c r="D84" s="517" t="s">
        <v>163</v>
      </c>
      <c r="E84" s="520">
        <v>13.38</v>
      </c>
      <c r="F84" s="534">
        <v>1</v>
      </c>
      <c r="G84" s="534">
        <v>1</v>
      </c>
      <c r="H84" s="516">
        <v>7635</v>
      </c>
      <c r="I84" s="1"/>
      <c r="J84" s="1"/>
      <c r="K84" s="1"/>
      <c r="L84" s="91"/>
      <c r="M84" s="94"/>
      <c r="N84" s="66"/>
      <c r="O84" s="38"/>
      <c r="P84" s="66"/>
      <c r="Q84" s="66"/>
      <c r="R84" s="38"/>
      <c r="S84" s="63"/>
      <c r="T84" s="120"/>
      <c r="U84" s="120"/>
      <c r="V84" s="42"/>
      <c r="W84" s="42"/>
      <c r="X84" s="42"/>
      <c r="Y84" s="42"/>
      <c r="Z84" s="42"/>
      <c r="AA84" s="42"/>
      <c r="AB84" s="42"/>
    </row>
    <row r="85" spans="1:28" s="27" customFormat="1" hidden="1" x14ac:dyDescent="0.3">
      <c r="A85" s="514">
        <v>1</v>
      </c>
      <c r="B85" s="515" t="s">
        <v>16</v>
      </c>
      <c r="C85" s="514">
        <v>4</v>
      </c>
      <c r="D85" s="517" t="s">
        <v>51</v>
      </c>
      <c r="E85" s="520">
        <v>13.25</v>
      </c>
      <c r="F85" s="534">
        <v>1</v>
      </c>
      <c r="G85" s="534">
        <v>1</v>
      </c>
      <c r="H85" s="516">
        <v>7645</v>
      </c>
      <c r="I85" s="1"/>
      <c r="J85" s="4"/>
      <c r="K85" s="4"/>
      <c r="M85" s="70"/>
      <c r="N85" s="42"/>
      <c r="O85" s="42"/>
      <c r="P85" s="42"/>
      <c r="Q85" s="42"/>
      <c r="R85" s="42"/>
      <c r="S85" s="42"/>
      <c r="T85" s="70"/>
      <c r="U85" s="42"/>
      <c r="V85" s="42"/>
      <c r="W85" s="42"/>
      <c r="X85" s="42"/>
      <c r="Y85" s="42"/>
      <c r="Z85" s="42"/>
      <c r="AA85" s="42"/>
      <c r="AB85" s="42"/>
    </row>
    <row r="86" spans="1:28" s="27" customFormat="1" hidden="1" x14ac:dyDescent="0.3">
      <c r="A86" s="514">
        <v>1</v>
      </c>
      <c r="B86" s="515" t="s">
        <v>16</v>
      </c>
      <c r="C86" s="514">
        <v>4</v>
      </c>
      <c r="D86" s="517" t="s">
        <v>53</v>
      </c>
      <c r="E86" s="520">
        <v>13.89</v>
      </c>
      <c r="F86" s="534">
        <v>1</v>
      </c>
      <c r="G86" s="534">
        <v>1</v>
      </c>
      <c r="H86" s="516">
        <v>7645</v>
      </c>
      <c r="I86" s="1"/>
      <c r="J86" s="1"/>
      <c r="K86" s="1"/>
      <c r="L86" s="91"/>
      <c r="M86" s="94"/>
      <c r="N86" s="66"/>
      <c r="O86" s="38"/>
      <c r="P86" s="66"/>
      <c r="Q86" s="66"/>
      <c r="R86" s="38"/>
      <c r="S86" s="63"/>
      <c r="T86" s="120"/>
      <c r="U86" s="120"/>
      <c r="V86" s="42"/>
      <c r="W86" s="42"/>
      <c r="X86" s="42"/>
      <c r="Y86" s="42"/>
      <c r="Z86" s="42"/>
      <c r="AA86" s="42"/>
      <c r="AB86" s="42"/>
    </row>
    <row r="87" spans="1:28" s="27" customFormat="1" hidden="1" x14ac:dyDescent="0.3">
      <c r="A87" s="514">
        <v>1</v>
      </c>
      <c r="B87" s="515" t="s">
        <v>16</v>
      </c>
      <c r="C87" s="514">
        <v>4</v>
      </c>
      <c r="D87" s="517" t="s">
        <v>53</v>
      </c>
      <c r="E87" s="520">
        <v>13.89</v>
      </c>
      <c r="F87" s="534">
        <v>1</v>
      </c>
      <c r="G87" s="534">
        <v>1</v>
      </c>
      <c r="H87" s="516">
        <v>7645</v>
      </c>
      <c r="I87" s="1"/>
      <c r="J87" s="4"/>
      <c r="K87" s="4"/>
      <c r="M87" s="70"/>
      <c r="N87" s="42"/>
      <c r="O87" s="42"/>
      <c r="P87" s="42"/>
      <c r="Q87" s="42"/>
      <c r="R87" s="42"/>
      <c r="S87" s="42"/>
      <c r="T87" s="70"/>
      <c r="U87" s="42"/>
      <c r="V87" s="42"/>
      <c r="W87" s="42"/>
      <c r="X87" s="42"/>
      <c r="Y87" s="42"/>
      <c r="Z87" s="42"/>
      <c r="AA87" s="42"/>
      <c r="AB87" s="42"/>
    </row>
    <row r="88" spans="1:28" s="27" customFormat="1" hidden="1" x14ac:dyDescent="0.3">
      <c r="A88" s="514">
        <v>1</v>
      </c>
      <c r="B88" s="515" t="s">
        <v>16</v>
      </c>
      <c r="C88" s="514">
        <v>4</v>
      </c>
      <c r="D88" s="517" t="s">
        <v>53</v>
      </c>
      <c r="E88" s="520">
        <v>13.41</v>
      </c>
      <c r="F88" s="534">
        <v>1</v>
      </c>
      <c r="G88" s="534">
        <v>1</v>
      </c>
      <c r="H88" s="516">
        <v>7645</v>
      </c>
      <c r="I88" s="1"/>
      <c r="J88" s="1"/>
      <c r="K88" s="1"/>
      <c r="L88" s="91"/>
      <c r="M88" s="94"/>
      <c r="N88" s="66"/>
      <c r="O88" s="38"/>
      <c r="P88" s="66"/>
      <c r="Q88" s="66"/>
      <c r="R88" s="38"/>
      <c r="S88" s="63"/>
      <c r="T88" s="120"/>
      <c r="U88" s="120"/>
      <c r="V88" s="42"/>
      <c r="W88" s="42"/>
      <c r="X88" s="42"/>
      <c r="Y88" s="42"/>
      <c r="Z88" s="42"/>
      <c r="AA88" s="42"/>
      <c r="AB88" s="42"/>
    </row>
    <row r="89" spans="1:28" s="27" customFormat="1" hidden="1" x14ac:dyDescent="0.3">
      <c r="A89" s="514">
        <v>1</v>
      </c>
      <c r="B89" s="515" t="s">
        <v>16</v>
      </c>
      <c r="C89" s="514">
        <v>4</v>
      </c>
      <c r="D89" s="517" t="s">
        <v>52</v>
      </c>
      <c r="E89" s="520">
        <v>12.18</v>
      </c>
      <c r="F89" s="534">
        <v>1</v>
      </c>
      <c r="G89" s="534">
        <v>1</v>
      </c>
      <c r="H89" s="516">
        <v>7645</v>
      </c>
      <c r="I89" s="1"/>
      <c r="J89" s="4"/>
      <c r="K89" s="4"/>
      <c r="M89" s="70"/>
      <c r="N89" s="42"/>
      <c r="O89" s="42"/>
      <c r="P89" s="42"/>
      <c r="Q89" s="42"/>
      <c r="R89" s="42"/>
      <c r="S89" s="42"/>
      <c r="T89" s="70"/>
      <c r="U89" s="42"/>
      <c r="V89" s="42"/>
      <c r="W89" s="42"/>
      <c r="X89" s="42"/>
      <c r="Y89" s="42"/>
      <c r="Z89" s="42"/>
      <c r="AA89" s="42"/>
      <c r="AB89" s="42"/>
    </row>
    <row r="90" spans="1:28" s="27" customFormat="1" hidden="1" x14ac:dyDescent="0.3">
      <c r="A90" s="514">
        <v>1</v>
      </c>
      <c r="B90" s="515" t="s">
        <v>16</v>
      </c>
      <c r="C90" s="514">
        <v>4</v>
      </c>
      <c r="D90" s="517" t="s">
        <v>53</v>
      </c>
      <c r="E90" s="520">
        <v>34.65</v>
      </c>
      <c r="F90" s="534">
        <v>1</v>
      </c>
      <c r="G90" s="534">
        <v>1</v>
      </c>
      <c r="H90" s="516">
        <v>7645</v>
      </c>
      <c r="I90" s="1"/>
      <c r="J90" s="1"/>
      <c r="K90" s="1"/>
      <c r="L90" s="91"/>
      <c r="M90" s="94"/>
      <c r="N90" s="66"/>
      <c r="O90" s="38"/>
      <c r="P90" s="66"/>
      <c r="Q90" s="66"/>
      <c r="R90" s="38"/>
      <c r="S90" s="63"/>
      <c r="T90" s="120"/>
      <c r="U90" s="120"/>
      <c r="V90" s="42"/>
      <c r="W90" s="42"/>
      <c r="X90" s="42"/>
      <c r="Y90" s="42"/>
      <c r="Z90" s="42"/>
      <c r="AA90" s="42"/>
      <c r="AB90" s="42"/>
    </row>
    <row r="91" spans="1:28" s="27" customFormat="1" hidden="1" x14ac:dyDescent="0.3">
      <c r="A91" s="514">
        <v>1</v>
      </c>
      <c r="B91" s="515" t="s">
        <v>16</v>
      </c>
      <c r="C91" s="514">
        <v>4</v>
      </c>
      <c r="D91" s="517" t="s">
        <v>53</v>
      </c>
      <c r="E91" s="520">
        <v>16.5</v>
      </c>
      <c r="F91" s="534">
        <v>1</v>
      </c>
      <c r="G91" s="534">
        <v>1</v>
      </c>
      <c r="H91" s="516">
        <v>7645</v>
      </c>
      <c r="I91" s="1"/>
      <c r="J91" s="4"/>
      <c r="K91" s="4"/>
      <c r="M91" s="70"/>
      <c r="N91" s="42"/>
      <c r="O91" s="42"/>
      <c r="P91" s="42"/>
      <c r="Q91" s="42"/>
      <c r="R91" s="42"/>
      <c r="S91" s="42"/>
      <c r="T91" s="70"/>
      <c r="U91" s="42"/>
      <c r="V91" s="42"/>
      <c r="W91" s="42"/>
      <c r="X91" s="42"/>
      <c r="Y91" s="42"/>
      <c r="Z91" s="42"/>
      <c r="AA91" s="42"/>
      <c r="AB91" s="42"/>
    </row>
    <row r="92" spans="1:28" s="27" customFormat="1" x14ac:dyDescent="0.3">
      <c r="A92" s="514">
        <v>1</v>
      </c>
      <c r="B92" s="515" t="s">
        <v>16</v>
      </c>
      <c r="C92" s="514">
        <v>4</v>
      </c>
      <c r="D92" s="517" t="s">
        <v>163</v>
      </c>
      <c r="E92" s="520">
        <v>14.1</v>
      </c>
      <c r="F92" s="534">
        <v>1</v>
      </c>
      <c r="G92" s="534">
        <v>1</v>
      </c>
      <c r="H92" s="516">
        <v>7635</v>
      </c>
      <c r="I92" s="1"/>
      <c r="J92" s="1"/>
      <c r="K92" s="1"/>
      <c r="L92" s="91"/>
      <c r="M92" s="94"/>
      <c r="N92" s="66"/>
      <c r="O92" s="38"/>
      <c r="P92" s="66"/>
      <c r="Q92" s="66"/>
      <c r="R92" s="38"/>
      <c r="S92" s="63"/>
      <c r="T92" s="120"/>
      <c r="U92" s="120"/>
      <c r="V92" s="42"/>
      <c r="W92" s="42"/>
      <c r="X92" s="42"/>
      <c r="Y92" s="42"/>
      <c r="Z92" s="42"/>
      <c r="AA92" s="42"/>
      <c r="AB92" s="42"/>
    </row>
    <row r="93" spans="1:28" s="27" customFormat="1" hidden="1" x14ac:dyDescent="0.3">
      <c r="A93" s="514">
        <v>1</v>
      </c>
      <c r="B93" s="515" t="s">
        <v>16</v>
      </c>
      <c r="C93" s="514">
        <v>4</v>
      </c>
      <c r="D93" s="517" t="s">
        <v>163</v>
      </c>
      <c r="E93" s="520">
        <v>14.5</v>
      </c>
      <c r="F93" s="534">
        <v>1</v>
      </c>
      <c r="G93" s="534">
        <v>1</v>
      </c>
      <c r="H93" s="516">
        <v>7630</v>
      </c>
      <c r="I93" s="1"/>
      <c r="J93" s="4"/>
      <c r="K93" s="4"/>
      <c r="M93" s="70"/>
      <c r="N93" s="42"/>
      <c r="O93" s="42"/>
      <c r="P93" s="42"/>
      <c r="Q93" s="42"/>
      <c r="R93" s="42"/>
      <c r="S93" s="42"/>
      <c r="T93" s="70"/>
      <c r="U93" s="42"/>
      <c r="V93" s="42"/>
      <c r="W93" s="42"/>
      <c r="X93" s="42"/>
      <c r="Y93" s="42"/>
      <c r="Z93" s="42"/>
      <c r="AA93" s="42"/>
      <c r="AB93" s="42"/>
    </row>
    <row r="94" spans="1:28" s="27" customFormat="1" hidden="1" x14ac:dyDescent="0.3">
      <c r="A94" s="514">
        <v>1</v>
      </c>
      <c r="B94" s="515" t="s">
        <v>16</v>
      </c>
      <c r="C94" s="514">
        <v>4</v>
      </c>
      <c r="D94" s="517" t="s">
        <v>163</v>
      </c>
      <c r="E94" s="520">
        <v>14.5</v>
      </c>
      <c r="F94" s="534">
        <v>1</v>
      </c>
      <c r="G94" s="534">
        <v>1</v>
      </c>
      <c r="H94" s="521">
        <v>7630</v>
      </c>
      <c r="I94" s="1"/>
      <c r="J94" s="1"/>
      <c r="K94" s="1"/>
      <c r="L94" s="91"/>
      <c r="M94" s="94"/>
      <c r="N94" s="66"/>
      <c r="O94" s="38"/>
      <c r="P94" s="66"/>
      <c r="Q94" s="66"/>
      <c r="R94" s="38"/>
      <c r="S94" s="63"/>
      <c r="T94" s="120"/>
      <c r="U94" s="120"/>
      <c r="V94" s="42"/>
      <c r="W94" s="42"/>
      <c r="X94" s="42"/>
      <c r="Y94" s="42"/>
      <c r="Z94" s="42"/>
      <c r="AA94" s="42"/>
      <c r="AB94" s="42"/>
    </row>
    <row r="95" spans="1:28" s="27" customFormat="1" hidden="1" x14ac:dyDescent="0.3">
      <c r="A95" s="514">
        <v>1</v>
      </c>
      <c r="B95" s="515" t="s">
        <v>16</v>
      </c>
      <c r="C95" s="514">
        <v>4</v>
      </c>
      <c r="D95" s="517" t="s">
        <v>129</v>
      </c>
      <c r="E95" s="520">
        <v>13.87</v>
      </c>
      <c r="F95" s="534">
        <v>1</v>
      </c>
      <c r="G95" s="534">
        <v>1</v>
      </c>
      <c r="H95" s="521">
        <v>7645</v>
      </c>
      <c r="I95" s="1"/>
      <c r="J95" s="4"/>
      <c r="K95" s="4"/>
      <c r="M95" s="70"/>
      <c r="N95" s="42"/>
      <c r="O95" s="42"/>
      <c r="P95" s="42"/>
      <c r="Q95" s="42"/>
      <c r="R95" s="42"/>
      <c r="S95" s="42"/>
      <c r="T95" s="70"/>
      <c r="U95" s="42"/>
      <c r="V95" s="42"/>
      <c r="W95" s="42"/>
      <c r="X95" s="42"/>
      <c r="Y95" s="42"/>
      <c r="Z95" s="42"/>
      <c r="AA95" s="42"/>
      <c r="AB95" s="42"/>
    </row>
    <row r="96" spans="1:28" s="27" customFormat="1" hidden="1" x14ac:dyDescent="0.3">
      <c r="A96" s="514">
        <v>1</v>
      </c>
      <c r="B96" s="515" t="s">
        <v>16</v>
      </c>
      <c r="C96" s="514">
        <v>4</v>
      </c>
      <c r="D96" s="517" t="s">
        <v>129</v>
      </c>
      <c r="E96" s="520">
        <v>14.1</v>
      </c>
      <c r="F96" s="534">
        <v>1</v>
      </c>
      <c r="G96" s="534">
        <v>1</v>
      </c>
      <c r="H96" s="521">
        <v>7645</v>
      </c>
      <c r="I96" s="1"/>
      <c r="J96" s="1"/>
      <c r="K96" s="1"/>
      <c r="L96" s="91"/>
      <c r="M96" s="94"/>
      <c r="N96" s="66"/>
      <c r="O96" s="38"/>
      <c r="P96" s="66"/>
      <c r="Q96" s="66"/>
      <c r="R96" s="38"/>
      <c r="S96" s="63"/>
      <c r="T96" s="120"/>
      <c r="U96" s="120"/>
      <c r="V96" s="42"/>
      <c r="W96" s="42"/>
      <c r="X96" s="42"/>
      <c r="Y96" s="42"/>
      <c r="Z96" s="42"/>
      <c r="AA96" s="42"/>
      <c r="AB96" s="42"/>
    </row>
    <row r="97" spans="1:28" s="27" customFormat="1" x14ac:dyDescent="0.3">
      <c r="A97" s="514">
        <v>1</v>
      </c>
      <c r="B97" s="515" t="s">
        <v>16</v>
      </c>
      <c r="C97" s="514">
        <v>4</v>
      </c>
      <c r="D97" s="517" t="s">
        <v>50</v>
      </c>
      <c r="E97" s="520">
        <v>14.65</v>
      </c>
      <c r="F97" s="534">
        <v>1</v>
      </c>
      <c r="G97" s="534">
        <v>1</v>
      </c>
      <c r="H97" s="519">
        <v>7635</v>
      </c>
      <c r="I97" s="1"/>
      <c r="J97" s="4"/>
      <c r="K97" s="4"/>
      <c r="M97" s="70"/>
      <c r="N97" s="42"/>
      <c r="O97" s="42"/>
      <c r="P97" s="42"/>
      <c r="Q97" s="42"/>
      <c r="R97" s="42"/>
      <c r="S97" s="42"/>
      <c r="T97" s="70"/>
      <c r="U97" s="42"/>
      <c r="V97" s="42"/>
      <c r="W97" s="42"/>
      <c r="X97" s="42"/>
      <c r="Y97" s="42"/>
      <c r="Z97" s="42"/>
      <c r="AA97" s="42"/>
      <c r="AB97" s="42"/>
    </row>
    <row r="98" spans="1:28" s="27" customFormat="1" x14ac:dyDescent="0.3">
      <c r="A98" s="514">
        <v>1</v>
      </c>
      <c r="B98" s="515" t="s">
        <v>16</v>
      </c>
      <c r="C98" s="514">
        <v>4</v>
      </c>
      <c r="D98" s="517" t="s">
        <v>50</v>
      </c>
      <c r="E98" s="520">
        <v>14.5</v>
      </c>
      <c r="F98" s="534">
        <v>1</v>
      </c>
      <c r="G98" s="534">
        <v>1</v>
      </c>
      <c r="H98" s="519">
        <v>7635</v>
      </c>
      <c r="I98" s="1"/>
      <c r="J98" s="1"/>
      <c r="K98" s="1"/>
      <c r="L98" s="91"/>
      <c r="M98" s="94"/>
      <c r="N98" s="66"/>
      <c r="O98" s="38"/>
      <c r="P98" s="66"/>
      <c r="Q98" s="66"/>
      <c r="R98" s="38"/>
      <c r="S98" s="63"/>
      <c r="T98" s="120"/>
      <c r="U98" s="120"/>
      <c r="V98" s="42"/>
      <c r="W98" s="42"/>
      <c r="X98" s="42"/>
      <c r="Y98" s="42"/>
      <c r="Z98" s="42"/>
      <c r="AA98" s="42"/>
      <c r="AB98" s="42"/>
    </row>
    <row r="99" spans="1:28" s="27" customFormat="1" x14ac:dyDescent="0.3">
      <c r="A99" s="514">
        <v>1</v>
      </c>
      <c r="B99" s="515" t="s">
        <v>16</v>
      </c>
      <c r="C99" s="514">
        <v>4</v>
      </c>
      <c r="D99" s="517" t="s">
        <v>50</v>
      </c>
      <c r="E99" s="520">
        <v>14.62</v>
      </c>
      <c r="F99" s="534">
        <v>1</v>
      </c>
      <c r="G99" s="534">
        <v>1</v>
      </c>
      <c r="H99" s="519">
        <v>7635</v>
      </c>
      <c r="I99" s="1"/>
      <c r="J99" s="4"/>
      <c r="K99" s="4"/>
      <c r="M99" s="70"/>
      <c r="N99" s="42"/>
      <c r="O99" s="42"/>
      <c r="P99" s="42"/>
      <c r="Q99" s="42"/>
      <c r="R99" s="42"/>
      <c r="S99" s="42"/>
      <c r="T99" s="70"/>
      <c r="U99" s="42"/>
      <c r="V99" s="42"/>
      <c r="W99" s="42"/>
      <c r="X99" s="42"/>
      <c r="Y99" s="42"/>
      <c r="Z99" s="42"/>
      <c r="AA99" s="42"/>
      <c r="AB99" s="42"/>
    </row>
    <row r="100" spans="1:28" s="27" customFormat="1" x14ac:dyDescent="0.3">
      <c r="A100" s="514">
        <v>1</v>
      </c>
      <c r="B100" s="515" t="s">
        <v>16</v>
      </c>
      <c r="C100" s="514">
        <v>4</v>
      </c>
      <c r="D100" s="517" t="s">
        <v>50</v>
      </c>
      <c r="E100" s="520">
        <v>14.89</v>
      </c>
      <c r="F100" s="534">
        <v>1</v>
      </c>
      <c r="G100" s="534">
        <v>1</v>
      </c>
      <c r="H100" s="522">
        <v>7635</v>
      </c>
      <c r="I100" s="1"/>
      <c r="J100" s="1"/>
      <c r="K100" s="1"/>
      <c r="L100" s="91"/>
      <c r="M100" s="94"/>
      <c r="N100" s="66"/>
      <c r="O100" s="38"/>
      <c r="P100" s="66"/>
      <c r="Q100" s="66"/>
      <c r="R100" s="38"/>
      <c r="S100" s="63"/>
      <c r="T100" s="120"/>
      <c r="U100" s="120"/>
      <c r="V100" s="42"/>
      <c r="W100" s="42"/>
      <c r="X100" s="42"/>
      <c r="Y100" s="42"/>
      <c r="Z100" s="42"/>
      <c r="AA100" s="42"/>
      <c r="AB100" s="42"/>
    </row>
    <row r="101" spans="1:28" s="27" customFormat="1" hidden="1" x14ac:dyDescent="0.3">
      <c r="A101" s="514">
        <v>1</v>
      </c>
      <c r="B101" s="515" t="s">
        <v>16</v>
      </c>
      <c r="C101" s="514">
        <v>4</v>
      </c>
      <c r="D101" s="517" t="s">
        <v>67</v>
      </c>
      <c r="E101" s="520">
        <v>6</v>
      </c>
      <c r="F101" s="534">
        <v>1</v>
      </c>
      <c r="G101" s="534">
        <v>1</v>
      </c>
      <c r="H101" s="521">
        <v>7645</v>
      </c>
      <c r="I101" s="1"/>
      <c r="J101" s="4"/>
      <c r="K101" s="4"/>
      <c r="M101" s="70"/>
      <c r="N101" s="42"/>
      <c r="O101" s="42"/>
      <c r="P101" s="42"/>
      <c r="Q101" s="42"/>
      <c r="R101" s="42"/>
      <c r="S101" s="42"/>
      <c r="T101" s="70"/>
      <c r="U101" s="42"/>
      <c r="V101" s="42"/>
      <c r="W101" s="42"/>
      <c r="X101" s="42"/>
      <c r="Y101" s="42"/>
      <c r="Z101" s="42"/>
      <c r="AA101" s="42"/>
      <c r="AB101" s="42"/>
    </row>
    <row r="102" spans="1:28" s="27" customFormat="1" hidden="1" x14ac:dyDescent="0.3">
      <c r="A102" s="514">
        <v>1</v>
      </c>
      <c r="B102" s="515" t="s">
        <v>16</v>
      </c>
      <c r="C102" s="514">
        <v>4</v>
      </c>
      <c r="D102" s="517" t="s">
        <v>70</v>
      </c>
      <c r="E102" s="520">
        <v>9.27</v>
      </c>
      <c r="F102" s="534">
        <v>1</v>
      </c>
      <c r="G102" s="534">
        <v>1</v>
      </c>
      <c r="H102" s="521">
        <v>7630</v>
      </c>
      <c r="I102" s="1"/>
      <c r="J102" s="848"/>
      <c r="K102" s="848"/>
      <c r="M102" s="70"/>
      <c r="N102" s="42"/>
      <c r="O102" s="42"/>
      <c r="P102" s="42"/>
      <c r="Q102" s="42"/>
      <c r="R102" s="42"/>
      <c r="S102" s="42"/>
      <c r="T102" s="70"/>
      <c r="U102" s="42"/>
      <c r="V102" s="42"/>
      <c r="W102" s="42"/>
      <c r="X102" s="42"/>
      <c r="Y102" s="42"/>
      <c r="Z102" s="42"/>
      <c r="AA102" s="42"/>
      <c r="AB102" s="42"/>
    </row>
    <row r="103" spans="1:28" s="27" customFormat="1" x14ac:dyDescent="0.3">
      <c r="A103" s="514">
        <v>1</v>
      </c>
      <c r="B103" s="515" t="s">
        <v>16</v>
      </c>
      <c r="C103" s="514">
        <v>4</v>
      </c>
      <c r="D103" s="517" t="s">
        <v>71</v>
      </c>
      <c r="E103" s="520">
        <v>13.7</v>
      </c>
      <c r="F103" s="534">
        <v>1</v>
      </c>
      <c r="G103" s="534">
        <v>1</v>
      </c>
      <c r="H103" s="522">
        <v>7635</v>
      </c>
      <c r="I103" s="1"/>
      <c r="J103" s="848"/>
      <c r="K103" s="848"/>
      <c r="M103" s="70"/>
      <c r="N103" s="42"/>
      <c r="O103" s="42"/>
      <c r="P103" s="42"/>
      <c r="Q103" s="42"/>
      <c r="R103" s="42"/>
      <c r="S103" s="42"/>
      <c r="T103" s="70"/>
      <c r="U103" s="42"/>
      <c r="V103" s="42"/>
      <c r="W103" s="42"/>
      <c r="X103" s="42"/>
      <c r="Y103" s="42"/>
      <c r="Z103" s="42"/>
      <c r="AA103" s="42"/>
      <c r="AB103" s="42"/>
    </row>
    <row r="104" spans="1:28" s="27" customFormat="1" x14ac:dyDescent="0.3">
      <c r="A104" s="514">
        <v>1</v>
      </c>
      <c r="B104" s="515" t="s">
        <v>16</v>
      </c>
      <c r="C104" s="514">
        <v>4</v>
      </c>
      <c r="D104" s="517" t="s">
        <v>130</v>
      </c>
      <c r="E104" s="520">
        <v>2.06</v>
      </c>
      <c r="F104" s="534">
        <v>1</v>
      </c>
      <c r="G104" s="534">
        <v>1</v>
      </c>
      <c r="H104" s="522">
        <v>7635</v>
      </c>
      <c r="I104" s="1"/>
      <c r="J104" s="848"/>
      <c r="K104" s="848"/>
      <c r="M104" s="70"/>
      <c r="N104" s="42"/>
      <c r="O104" s="42"/>
      <c r="P104" s="42"/>
      <c r="Q104" s="42"/>
      <c r="R104" s="42"/>
      <c r="S104" s="42"/>
      <c r="T104" s="70"/>
      <c r="U104" s="42"/>
      <c r="V104" s="42"/>
      <c r="W104" s="42"/>
      <c r="X104" s="42"/>
      <c r="Y104" s="42"/>
      <c r="Z104" s="42"/>
      <c r="AA104" s="42"/>
      <c r="AB104" s="42"/>
    </row>
    <row r="105" spans="1:28" s="27" customFormat="1" hidden="1" x14ac:dyDescent="0.3">
      <c r="A105" s="514">
        <v>1</v>
      </c>
      <c r="B105" s="515" t="s">
        <v>326</v>
      </c>
      <c r="C105" s="526">
        <v>1</v>
      </c>
      <c r="D105" s="517" t="s">
        <v>510</v>
      </c>
      <c r="E105" s="527">
        <v>10.72</v>
      </c>
      <c r="F105" s="536">
        <v>1</v>
      </c>
      <c r="G105" s="536">
        <v>1</v>
      </c>
      <c r="H105" s="521">
        <v>7640</v>
      </c>
      <c r="I105" s="1"/>
      <c r="J105" s="848"/>
      <c r="K105" s="848"/>
      <c r="M105" s="70"/>
      <c r="N105" s="42"/>
      <c r="O105" s="42"/>
      <c r="P105" s="42"/>
      <c r="Q105" s="42"/>
      <c r="R105" s="42"/>
      <c r="S105" s="42"/>
      <c r="T105" s="70"/>
      <c r="U105" s="42"/>
      <c r="V105" s="42"/>
      <c r="W105" s="42"/>
      <c r="X105" s="42"/>
      <c r="Y105" s="42"/>
      <c r="Z105" s="42"/>
      <c r="AA105" s="42"/>
      <c r="AB105" s="42"/>
    </row>
    <row r="106" spans="1:28" s="27" customFormat="1" x14ac:dyDescent="0.3">
      <c r="A106" s="514">
        <v>1</v>
      </c>
      <c r="B106" s="515" t="s">
        <v>326</v>
      </c>
      <c r="C106" s="526">
        <v>2</v>
      </c>
      <c r="D106" s="517" t="s">
        <v>50</v>
      </c>
      <c r="E106" s="527">
        <v>12.73</v>
      </c>
      <c r="F106" s="536">
        <v>1</v>
      </c>
      <c r="G106" s="536">
        <v>1</v>
      </c>
      <c r="H106" s="521">
        <v>7635</v>
      </c>
      <c r="I106" s="1"/>
      <c r="J106" s="848"/>
      <c r="K106" s="848"/>
      <c r="M106" s="70"/>
      <c r="N106" s="42"/>
      <c r="O106" s="42"/>
      <c r="P106" s="42"/>
      <c r="Q106" s="42"/>
      <c r="R106" s="42"/>
      <c r="S106" s="42"/>
      <c r="T106" s="70"/>
      <c r="U106" s="42"/>
      <c r="V106" s="42"/>
      <c r="W106" s="42"/>
      <c r="X106" s="42"/>
      <c r="Y106" s="42"/>
      <c r="Z106" s="42"/>
      <c r="AA106" s="42"/>
      <c r="AB106" s="42"/>
    </row>
    <row r="107" spans="1:28" s="27" customFormat="1" hidden="1" x14ac:dyDescent="0.3">
      <c r="A107" s="514">
        <v>1</v>
      </c>
      <c r="B107" s="515" t="s">
        <v>326</v>
      </c>
      <c r="C107" s="526">
        <v>2</v>
      </c>
      <c r="D107" s="517" t="s">
        <v>51</v>
      </c>
      <c r="E107" s="527">
        <v>9.25</v>
      </c>
      <c r="F107" s="536">
        <v>1</v>
      </c>
      <c r="G107" s="536">
        <v>1</v>
      </c>
      <c r="H107" s="519">
        <v>7645</v>
      </c>
      <c r="I107" s="1"/>
      <c r="J107" s="896"/>
      <c r="K107" s="896"/>
      <c r="M107" s="70"/>
      <c r="N107" s="42"/>
      <c r="O107" s="42"/>
      <c r="P107" s="42"/>
      <c r="Q107" s="42"/>
      <c r="R107" s="42"/>
      <c r="S107" s="42"/>
      <c r="T107" s="70"/>
      <c r="U107" s="42"/>
      <c r="V107" s="42"/>
      <c r="W107" s="42"/>
      <c r="X107" s="42"/>
      <c r="Y107" s="42"/>
      <c r="Z107" s="42"/>
      <c r="AA107" s="42"/>
      <c r="AB107" s="42"/>
    </row>
    <row r="108" spans="1:28" s="27" customFormat="1" hidden="1" x14ac:dyDescent="0.3">
      <c r="A108" s="514">
        <v>1</v>
      </c>
      <c r="B108" s="515" t="s">
        <v>326</v>
      </c>
      <c r="C108" s="526">
        <v>2</v>
      </c>
      <c r="D108" s="517" t="s">
        <v>511</v>
      </c>
      <c r="E108" s="527">
        <v>23.47</v>
      </c>
      <c r="F108" s="536">
        <v>1</v>
      </c>
      <c r="G108" s="536">
        <v>1</v>
      </c>
      <c r="H108" s="519">
        <v>7645</v>
      </c>
      <c r="I108" s="1"/>
      <c r="J108" s="896"/>
      <c r="K108" s="896"/>
      <c r="M108" s="70"/>
      <c r="N108" s="42"/>
      <c r="O108" s="42"/>
      <c r="P108" s="42"/>
      <c r="Q108" s="42"/>
      <c r="R108" s="42"/>
      <c r="S108" s="42"/>
      <c r="T108" s="70"/>
      <c r="U108" s="42"/>
      <c r="V108" s="42"/>
      <c r="W108" s="42"/>
      <c r="X108" s="42"/>
      <c r="Y108" s="42"/>
      <c r="Z108" s="42"/>
      <c r="AA108" s="42"/>
      <c r="AB108" s="42"/>
    </row>
    <row r="109" spans="1:28" s="27" customFormat="1" hidden="1" x14ac:dyDescent="0.3">
      <c r="A109" s="514">
        <v>1</v>
      </c>
      <c r="B109" s="515" t="s">
        <v>326</v>
      </c>
      <c r="C109" s="526">
        <v>2</v>
      </c>
      <c r="D109" s="517" t="s">
        <v>51</v>
      </c>
      <c r="E109" s="527">
        <v>20.97</v>
      </c>
      <c r="F109" s="536">
        <v>1</v>
      </c>
      <c r="G109" s="536">
        <v>1</v>
      </c>
      <c r="H109" s="521">
        <v>7645</v>
      </c>
      <c r="I109" s="1"/>
      <c r="J109" s="896"/>
      <c r="K109" s="896"/>
      <c r="M109" s="70"/>
      <c r="N109" s="42"/>
      <c r="O109" s="42"/>
      <c r="P109" s="42"/>
      <c r="Q109" s="42"/>
      <c r="R109" s="42"/>
      <c r="S109" s="42"/>
      <c r="T109" s="70"/>
      <c r="U109" s="42"/>
      <c r="V109" s="42"/>
      <c r="W109" s="42"/>
      <c r="X109" s="42"/>
      <c r="Y109" s="42"/>
      <c r="Z109" s="42"/>
      <c r="AA109" s="42"/>
      <c r="AB109" s="42"/>
    </row>
    <row r="110" spans="1:28" s="27" customFormat="1" hidden="1" x14ac:dyDescent="0.3">
      <c r="A110" s="514">
        <v>1</v>
      </c>
      <c r="B110" s="515" t="s">
        <v>326</v>
      </c>
      <c r="C110" s="526">
        <v>2</v>
      </c>
      <c r="D110" s="517" t="s">
        <v>51</v>
      </c>
      <c r="E110" s="527">
        <v>15.13</v>
      </c>
      <c r="F110" s="536">
        <v>1</v>
      </c>
      <c r="G110" s="536">
        <v>1</v>
      </c>
      <c r="H110" s="519">
        <v>7645</v>
      </c>
      <c r="I110" s="1"/>
      <c r="J110" s="896"/>
      <c r="K110" s="896"/>
      <c r="M110" s="70"/>
      <c r="N110" s="42"/>
      <c r="O110" s="42"/>
      <c r="P110" s="42"/>
      <c r="Q110" s="42"/>
      <c r="R110" s="42"/>
      <c r="S110" s="42"/>
      <c r="T110" s="70"/>
      <c r="U110" s="42"/>
      <c r="V110" s="42"/>
      <c r="W110" s="42"/>
      <c r="X110" s="42"/>
      <c r="Y110" s="42"/>
      <c r="Z110" s="42"/>
      <c r="AA110" s="42"/>
      <c r="AB110" s="42"/>
    </row>
    <row r="111" spans="1:28" s="27" customFormat="1" hidden="1" x14ac:dyDescent="0.3">
      <c r="A111" s="514">
        <v>1</v>
      </c>
      <c r="B111" s="515" t="s">
        <v>326</v>
      </c>
      <c r="C111" s="526">
        <v>2</v>
      </c>
      <c r="D111" s="517" t="s">
        <v>74</v>
      </c>
      <c r="E111" s="527">
        <v>14.37</v>
      </c>
      <c r="F111" s="536">
        <v>1</v>
      </c>
      <c r="G111" s="536">
        <v>1</v>
      </c>
      <c r="H111" s="516">
        <v>7645</v>
      </c>
      <c r="I111" s="1"/>
      <c r="J111" s="896"/>
      <c r="K111" s="896"/>
      <c r="M111" s="70"/>
      <c r="N111" s="42"/>
      <c r="O111" s="42"/>
      <c r="P111" s="42"/>
      <c r="Q111" s="42"/>
      <c r="R111" s="42"/>
      <c r="S111" s="42"/>
      <c r="T111" s="70"/>
      <c r="U111" s="42"/>
      <c r="V111" s="42"/>
      <c r="W111" s="42"/>
      <c r="X111" s="42"/>
      <c r="Y111" s="42"/>
      <c r="Z111" s="42"/>
      <c r="AA111" s="42"/>
      <c r="AB111" s="42"/>
    </row>
    <row r="112" spans="1:28" s="27" customFormat="1" x14ac:dyDescent="0.3">
      <c r="A112" s="514">
        <v>1</v>
      </c>
      <c r="B112" s="515" t="s">
        <v>326</v>
      </c>
      <c r="C112" s="526">
        <v>3</v>
      </c>
      <c r="D112" s="517" t="s">
        <v>50</v>
      </c>
      <c r="E112" s="527">
        <v>17.64</v>
      </c>
      <c r="F112" s="536">
        <v>1</v>
      </c>
      <c r="G112" s="536">
        <v>1</v>
      </c>
      <c r="H112" s="519">
        <v>7635</v>
      </c>
      <c r="I112" s="1"/>
      <c r="J112" s="896"/>
      <c r="K112" s="896"/>
      <c r="M112" s="70"/>
      <c r="N112" s="42"/>
      <c r="O112" s="42"/>
      <c r="P112" s="42"/>
      <c r="Q112" s="42"/>
      <c r="R112" s="42"/>
      <c r="S112" s="42"/>
      <c r="T112" s="70"/>
      <c r="U112" s="42"/>
      <c r="V112" s="42"/>
      <c r="W112" s="42"/>
      <c r="X112" s="42"/>
      <c r="Y112" s="42"/>
      <c r="Z112" s="42"/>
      <c r="AA112" s="42"/>
      <c r="AB112" s="42"/>
    </row>
    <row r="113" spans="1:28" s="27" customFormat="1" x14ac:dyDescent="0.3">
      <c r="A113" s="514">
        <v>1</v>
      </c>
      <c r="B113" s="515" t="s">
        <v>326</v>
      </c>
      <c r="C113" s="526">
        <v>3</v>
      </c>
      <c r="D113" s="517" t="s">
        <v>50</v>
      </c>
      <c r="E113" s="527">
        <v>23.52</v>
      </c>
      <c r="F113" s="536">
        <v>1</v>
      </c>
      <c r="G113" s="536">
        <v>1</v>
      </c>
      <c r="H113" s="519">
        <v>7635</v>
      </c>
      <c r="I113" s="1"/>
      <c r="J113" s="896"/>
      <c r="K113" s="896"/>
      <c r="M113" s="70"/>
      <c r="N113" s="42"/>
      <c r="O113" s="42"/>
      <c r="P113" s="42"/>
      <c r="Q113" s="42"/>
      <c r="R113" s="42"/>
      <c r="S113" s="42"/>
      <c r="T113" s="70"/>
      <c r="U113" s="42"/>
      <c r="V113" s="42"/>
      <c r="W113" s="42"/>
      <c r="X113" s="42"/>
      <c r="Y113" s="42"/>
      <c r="Z113" s="42"/>
      <c r="AA113" s="42"/>
      <c r="AB113" s="42"/>
    </row>
    <row r="114" spans="1:28" s="27" customFormat="1" x14ac:dyDescent="0.3">
      <c r="A114" s="514">
        <v>1</v>
      </c>
      <c r="B114" s="515" t="s">
        <v>326</v>
      </c>
      <c r="C114" s="526">
        <v>3</v>
      </c>
      <c r="D114" s="517" t="s">
        <v>71</v>
      </c>
      <c r="E114" s="527">
        <v>21.4</v>
      </c>
      <c r="F114" s="536">
        <v>1</v>
      </c>
      <c r="G114" s="536">
        <v>1</v>
      </c>
      <c r="H114" s="519">
        <v>7635</v>
      </c>
      <c r="I114" s="1"/>
      <c r="J114" s="896"/>
      <c r="K114" s="896"/>
      <c r="M114" s="70"/>
      <c r="N114" s="42"/>
      <c r="O114" s="42"/>
      <c r="P114" s="42"/>
      <c r="Q114" s="42"/>
      <c r="R114" s="42"/>
      <c r="S114" s="42"/>
      <c r="T114" s="70"/>
      <c r="U114" s="42"/>
      <c r="V114" s="42"/>
      <c r="W114" s="42"/>
      <c r="X114" s="42"/>
      <c r="Y114" s="42"/>
      <c r="Z114" s="42"/>
      <c r="AA114" s="42"/>
      <c r="AB114" s="42"/>
    </row>
    <row r="115" spans="1:28" s="27" customFormat="1" x14ac:dyDescent="0.3">
      <c r="A115" s="514">
        <v>1</v>
      </c>
      <c r="B115" s="515" t="s">
        <v>326</v>
      </c>
      <c r="C115" s="526">
        <v>3</v>
      </c>
      <c r="D115" s="517" t="s">
        <v>50</v>
      </c>
      <c r="E115" s="527">
        <v>102.73</v>
      </c>
      <c r="F115" s="536">
        <v>1</v>
      </c>
      <c r="G115" s="536">
        <v>1</v>
      </c>
      <c r="H115" s="519">
        <v>7635</v>
      </c>
      <c r="I115" s="1"/>
      <c r="J115" s="896"/>
      <c r="K115" s="896"/>
      <c r="M115" s="70"/>
      <c r="N115" s="42"/>
      <c r="O115" s="42"/>
      <c r="P115" s="42"/>
      <c r="Q115" s="42"/>
      <c r="R115" s="42"/>
      <c r="S115" s="42"/>
      <c r="T115" s="70"/>
      <c r="U115" s="42"/>
      <c r="V115" s="42"/>
      <c r="W115" s="42"/>
      <c r="X115" s="42"/>
      <c r="Y115" s="42"/>
      <c r="Z115" s="42"/>
      <c r="AA115" s="42"/>
      <c r="AB115" s="42"/>
    </row>
    <row r="116" spans="1:28" s="27" customFormat="1" hidden="1" x14ac:dyDescent="0.3">
      <c r="A116" s="514">
        <v>1</v>
      </c>
      <c r="B116" s="515" t="s">
        <v>327</v>
      </c>
      <c r="C116" s="514">
        <v>-1</v>
      </c>
      <c r="D116" s="517" t="s">
        <v>131</v>
      </c>
      <c r="E116" s="520">
        <v>60.05</v>
      </c>
      <c r="F116" s="534">
        <v>1</v>
      </c>
      <c r="G116" s="534">
        <v>1</v>
      </c>
      <c r="H116" s="516">
        <v>7640</v>
      </c>
      <c r="I116" s="1"/>
      <c r="J116" s="896"/>
      <c r="K116" s="896"/>
      <c r="M116" s="70"/>
      <c r="N116" s="42"/>
      <c r="O116" s="42"/>
      <c r="P116" s="42"/>
      <c r="Q116" s="42"/>
      <c r="R116" s="42"/>
      <c r="S116" s="42"/>
      <c r="T116" s="70"/>
      <c r="U116" s="42"/>
      <c r="V116" s="42"/>
      <c r="W116" s="42"/>
      <c r="X116" s="42"/>
      <c r="Y116" s="42"/>
      <c r="Z116" s="42"/>
      <c r="AA116" s="42"/>
      <c r="AB116" s="42"/>
    </row>
    <row r="117" spans="1:28" s="27" customFormat="1" hidden="1" x14ac:dyDescent="0.3">
      <c r="A117" s="514">
        <v>1</v>
      </c>
      <c r="B117" s="515" t="s">
        <v>327</v>
      </c>
      <c r="C117" s="514">
        <v>-1</v>
      </c>
      <c r="D117" s="517" t="s">
        <v>132</v>
      </c>
      <c r="E117" s="520">
        <v>21</v>
      </c>
      <c r="F117" s="534">
        <v>1</v>
      </c>
      <c r="G117" s="534">
        <v>1</v>
      </c>
      <c r="H117" s="516">
        <v>7640</v>
      </c>
      <c r="I117" s="1"/>
      <c r="J117" s="896"/>
      <c r="K117" s="896"/>
      <c r="M117" s="70"/>
      <c r="N117" s="42"/>
      <c r="O117" s="42"/>
      <c r="P117" s="42"/>
      <c r="Q117" s="42"/>
      <c r="R117" s="42"/>
      <c r="S117" s="42"/>
      <c r="T117" s="70"/>
      <c r="U117" s="42"/>
      <c r="V117" s="42"/>
      <c r="W117" s="42"/>
      <c r="X117" s="42"/>
      <c r="Y117" s="42"/>
      <c r="Z117" s="42"/>
      <c r="AA117" s="42"/>
      <c r="AB117" s="42"/>
    </row>
    <row r="118" spans="1:28" s="27" customFormat="1" hidden="1" x14ac:dyDescent="0.3">
      <c r="A118" s="514">
        <v>1</v>
      </c>
      <c r="B118" s="515" t="s">
        <v>327</v>
      </c>
      <c r="C118" s="514">
        <v>-1</v>
      </c>
      <c r="D118" s="517" t="s">
        <v>133</v>
      </c>
      <c r="E118" s="520">
        <v>4.2</v>
      </c>
      <c r="F118" s="534">
        <v>1</v>
      </c>
      <c r="G118" s="534">
        <v>1</v>
      </c>
      <c r="H118" s="516">
        <v>7640</v>
      </c>
      <c r="I118" s="1"/>
      <c r="J118" s="896"/>
      <c r="K118" s="896"/>
      <c r="M118" s="70"/>
      <c r="N118" s="42"/>
      <c r="O118" s="42"/>
      <c r="P118" s="42"/>
      <c r="Q118" s="42"/>
      <c r="R118" s="42"/>
      <c r="S118" s="42"/>
      <c r="T118" s="70"/>
      <c r="U118" s="42"/>
      <c r="V118" s="42"/>
      <c r="W118" s="42"/>
      <c r="X118" s="42"/>
      <c r="Y118" s="42"/>
      <c r="Z118" s="42"/>
      <c r="AA118" s="42"/>
      <c r="AB118" s="42"/>
    </row>
    <row r="119" spans="1:28" s="27" customFormat="1" x14ac:dyDescent="0.3">
      <c r="A119" s="514">
        <v>1</v>
      </c>
      <c r="B119" s="650" t="s">
        <v>372</v>
      </c>
      <c r="C119" s="514">
        <v>3</v>
      </c>
      <c r="D119" s="523" t="s">
        <v>967</v>
      </c>
      <c r="E119" s="524">
        <v>25.61</v>
      </c>
      <c r="F119" s="535">
        <v>1</v>
      </c>
      <c r="G119" s="535">
        <v>2</v>
      </c>
      <c r="H119" s="650">
        <v>7635</v>
      </c>
      <c r="I119" s="1"/>
      <c r="J119" s="896"/>
      <c r="K119" s="896"/>
      <c r="M119" s="70"/>
      <c r="N119" s="42"/>
      <c r="O119" s="42"/>
      <c r="P119" s="42"/>
      <c r="Q119" s="42"/>
      <c r="R119" s="42"/>
      <c r="S119" s="42"/>
      <c r="T119" s="70"/>
      <c r="U119" s="42"/>
      <c r="V119" s="42"/>
      <c r="W119" s="42"/>
      <c r="X119" s="42"/>
      <c r="Y119" s="42"/>
      <c r="Z119" s="42"/>
      <c r="AA119" s="42"/>
      <c r="AB119" s="42"/>
    </row>
    <row r="120" spans="1:28" s="27" customFormat="1" x14ac:dyDescent="0.3">
      <c r="A120" s="514">
        <v>1</v>
      </c>
      <c r="B120" s="650" t="s">
        <v>372</v>
      </c>
      <c r="C120" s="514">
        <v>3</v>
      </c>
      <c r="D120" s="523" t="s">
        <v>968</v>
      </c>
      <c r="E120" s="524">
        <v>15.21</v>
      </c>
      <c r="F120" s="535">
        <v>1</v>
      </c>
      <c r="G120" s="535">
        <v>2</v>
      </c>
      <c r="H120" s="650">
        <v>7635</v>
      </c>
      <c r="I120" s="1"/>
      <c r="J120" s="896"/>
      <c r="K120" s="896"/>
      <c r="M120" s="70"/>
      <c r="N120" s="42"/>
      <c r="O120" s="42"/>
      <c r="P120" s="42"/>
      <c r="Q120" s="42"/>
      <c r="R120" s="42"/>
      <c r="S120" s="42"/>
      <c r="T120" s="70"/>
      <c r="U120" s="42"/>
      <c r="V120" s="42"/>
      <c r="W120" s="42"/>
      <c r="X120" s="42"/>
      <c r="Y120" s="42"/>
      <c r="Z120" s="42"/>
      <c r="AA120" s="42"/>
      <c r="AB120" s="42"/>
    </row>
    <row r="121" spans="1:28" s="27" customFormat="1" x14ac:dyDescent="0.3">
      <c r="A121" s="514">
        <v>1</v>
      </c>
      <c r="B121" s="650" t="s">
        <v>372</v>
      </c>
      <c r="C121" s="514">
        <v>3</v>
      </c>
      <c r="D121" s="523" t="s">
        <v>967</v>
      </c>
      <c r="E121" s="524">
        <v>15.09</v>
      </c>
      <c r="F121" s="535">
        <v>1</v>
      </c>
      <c r="G121" s="535">
        <v>2</v>
      </c>
      <c r="H121" s="650">
        <v>7635</v>
      </c>
      <c r="I121" s="1"/>
      <c r="J121" s="896"/>
      <c r="K121" s="896"/>
      <c r="M121" s="70"/>
      <c r="N121" s="42"/>
      <c r="O121" s="42"/>
      <c r="P121" s="42"/>
      <c r="Q121" s="42"/>
      <c r="R121" s="42"/>
      <c r="S121" s="42"/>
      <c r="T121" s="70"/>
      <c r="U121" s="42"/>
      <c r="V121" s="42"/>
      <c r="W121" s="42"/>
      <c r="X121" s="42"/>
      <c r="Y121" s="42"/>
      <c r="Z121" s="42"/>
      <c r="AA121" s="42"/>
      <c r="AB121" s="42"/>
    </row>
    <row r="122" spans="1:28" s="27" customFormat="1" x14ac:dyDescent="0.3">
      <c r="A122" s="514">
        <v>1</v>
      </c>
      <c r="B122" s="650" t="s">
        <v>372</v>
      </c>
      <c r="C122" s="514">
        <v>3</v>
      </c>
      <c r="D122" s="523" t="s">
        <v>969</v>
      </c>
      <c r="E122" s="524">
        <v>15.09</v>
      </c>
      <c r="F122" s="535">
        <v>1</v>
      </c>
      <c r="G122" s="535">
        <v>2</v>
      </c>
      <c r="H122" s="650">
        <v>7635</v>
      </c>
      <c r="I122" s="1"/>
      <c r="J122" s="896"/>
      <c r="K122" s="896"/>
      <c r="M122" s="70"/>
      <c r="N122" s="42"/>
      <c r="O122" s="42"/>
      <c r="P122" s="42"/>
      <c r="Q122" s="42"/>
      <c r="R122" s="42"/>
      <c r="S122" s="42"/>
      <c r="T122" s="70"/>
      <c r="U122" s="42"/>
      <c r="V122" s="42"/>
      <c r="W122" s="42"/>
      <c r="X122" s="42"/>
      <c r="Y122" s="42"/>
      <c r="Z122" s="42"/>
      <c r="AA122" s="42"/>
      <c r="AB122" s="42"/>
    </row>
    <row r="123" spans="1:28" s="27" customFormat="1" x14ac:dyDescent="0.3">
      <c r="A123" s="514">
        <v>1</v>
      </c>
      <c r="B123" s="650" t="s">
        <v>372</v>
      </c>
      <c r="C123" s="514">
        <v>3</v>
      </c>
      <c r="D123" s="523" t="s">
        <v>970</v>
      </c>
      <c r="E123" s="524">
        <v>15.41</v>
      </c>
      <c r="F123" s="535">
        <v>1</v>
      </c>
      <c r="G123" s="535">
        <v>2</v>
      </c>
      <c r="H123" s="650">
        <v>7635</v>
      </c>
      <c r="I123" s="1"/>
      <c r="J123" s="896"/>
      <c r="K123" s="896"/>
      <c r="M123" s="70"/>
      <c r="N123" s="42"/>
      <c r="O123" s="42"/>
      <c r="P123" s="42"/>
      <c r="Q123" s="42"/>
      <c r="R123" s="42"/>
      <c r="S123" s="42"/>
      <c r="T123" s="70"/>
      <c r="U123" s="42"/>
      <c r="V123" s="42"/>
      <c r="W123" s="42"/>
      <c r="X123" s="42"/>
      <c r="Y123" s="42"/>
      <c r="Z123" s="42"/>
      <c r="AA123" s="42"/>
      <c r="AB123" s="42"/>
    </row>
    <row r="124" spans="1:28" s="27" customFormat="1" x14ac:dyDescent="0.3">
      <c r="A124" s="514">
        <v>1</v>
      </c>
      <c r="B124" s="650" t="s">
        <v>372</v>
      </c>
      <c r="C124" s="514">
        <v>3</v>
      </c>
      <c r="D124" s="523" t="s">
        <v>971</v>
      </c>
      <c r="E124" s="524">
        <v>15.41</v>
      </c>
      <c r="F124" s="535">
        <v>1</v>
      </c>
      <c r="G124" s="535">
        <v>2</v>
      </c>
      <c r="H124" s="650">
        <v>7635</v>
      </c>
      <c r="I124" s="1"/>
      <c r="J124" s="896"/>
      <c r="K124" s="896"/>
      <c r="M124" s="70"/>
      <c r="N124" s="42"/>
      <c r="O124" s="42"/>
      <c r="P124" s="42"/>
      <c r="Q124" s="42"/>
      <c r="R124" s="42"/>
      <c r="S124" s="42"/>
      <c r="T124" s="70"/>
      <c r="U124" s="42"/>
      <c r="V124" s="42"/>
      <c r="W124" s="42"/>
      <c r="X124" s="42"/>
      <c r="Y124" s="42"/>
      <c r="Z124" s="42"/>
      <c r="AA124" s="42"/>
      <c r="AB124" s="42"/>
    </row>
    <row r="125" spans="1:28" s="27" customFormat="1" x14ac:dyDescent="0.3">
      <c r="A125" s="514">
        <v>1</v>
      </c>
      <c r="B125" s="650" t="s">
        <v>372</v>
      </c>
      <c r="C125" s="514">
        <v>3</v>
      </c>
      <c r="D125" s="523" t="s">
        <v>972</v>
      </c>
      <c r="E125" s="524">
        <v>15.09</v>
      </c>
      <c r="F125" s="535">
        <v>1</v>
      </c>
      <c r="G125" s="535">
        <v>2</v>
      </c>
      <c r="H125" s="650">
        <v>7635</v>
      </c>
      <c r="I125" s="1"/>
      <c r="J125" s="848"/>
      <c r="K125" s="848"/>
      <c r="M125" s="70"/>
      <c r="N125" s="42"/>
      <c r="O125" s="42"/>
      <c r="P125" s="42"/>
      <c r="Q125" s="42"/>
      <c r="R125" s="42"/>
      <c r="S125" s="42"/>
      <c r="T125" s="70"/>
      <c r="U125" s="42"/>
      <c r="V125" s="42"/>
      <c r="W125" s="42"/>
      <c r="X125" s="42"/>
      <c r="Y125" s="42"/>
      <c r="Z125" s="42"/>
      <c r="AA125" s="42"/>
      <c r="AB125" s="42"/>
    </row>
    <row r="126" spans="1:28" s="27" customFormat="1" x14ac:dyDescent="0.3">
      <c r="A126" s="514">
        <v>1</v>
      </c>
      <c r="B126" s="650" t="s">
        <v>372</v>
      </c>
      <c r="C126" s="514">
        <v>3</v>
      </c>
      <c r="D126" s="523" t="s">
        <v>973</v>
      </c>
      <c r="E126" s="524">
        <v>15.09</v>
      </c>
      <c r="F126" s="535">
        <v>1</v>
      </c>
      <c r="G126" s="535">
        <v>2</v>
      </c>
      <c r="H126" s="650">
        <v>7635</v>
      </c>
      <c r="I126" s="1"/>
      <c r="J126" s="848"/>
      <c r="K126" s="848"/>
      <c r="M126" s="70"/>
      <c r="N126" s="42"/>
      <c r="O126" s="42"/>
      <c r="P126" s="42"/>
      <c r="Q126" s="42"/>
      <c r="R126" s="42"/>
      <c r="S126" s="42"/>
      <c r="T126" s="70"/>
      <c r="U126" s="42"/>
      <c r="V126" s="42"/>
      <c r="W126" s="42"/>
      <c r="X126" s="42"/>
      <c r="Y126" s="42"/>
      <c r="Z126" s="42"/>
      <c r="AA126" s="42"/>
      <c r="AB126" s="42"/>
    </row>
    <row r="127" spans="1:28" s="27" customFormat="1" x14ac:dyDescent="0.3">
      <c r="A127" s="514">
        <v>1</v>
      </c>
      <c r="B127" s="650" t="s">
        <v>372</v>
      </c>
      <c r="C127" s="514">
        <v>3</v>
      </c>
      <c r="D127" s="523" t="s">
        <v>974</v>
      </c>
      <c r="E127" s="524">
        <v>15.41</v>
      </c>
      <c r="F127" s="535">
        <v>1</v>
      </c>
      <c r="G127" s="535">
        <v>2</v>
      </c>
      <c r="H127" s="650">
        <v>7635</v>
      </c>
      <c r="I127" s="1"/>
      <c r="J127" s="848"/>
      <c r="K127" s="848"/>
      <c r="M127" s="70"/>
      <c r="N127" s="42"/>
      <c r="O127" s="42"/>
      <c r="P127" s="42"/>
      <c r="Q127" s="42"/>
      <c r="R127" s="42"/>
      <c r="S127" s="42"/>
      <c r="T127" s="70"/>
      <c r="U127" s="42"/>
      <c r="V127" s="42"/>
      <c r="W127" s="42"/>
      <c r="X127" s="42"/>
      <c r="Y127" s="42"/>
      <c r="Z127" s="42"/>
      <c r="AA127" s="42"/>
      <c r="AB127" s="42"/>
    </row>
    <row r="128" spans="1:28" s="27" customFormat="1" hidden="1" x14ac:dyDescent="0.3">
      <c r="A128" s="514">
        <v>1</v>
      </c>
      <c r="B128" s="650" t="s">
        <v>372</v>
      </c>
      <c r="C128" s="514">
        <v>3</v>
      </c>
      <c r="D128" s="523" t="s">
        <v>373</v>
      </c>
      <c r="E128" s="524">
        <v>19.399999999999999</v>
      </c>
      <c r="F128" s="535">
        <v>1</v>
      </c>
      <c r="G128" s="535">
        <v>1</v>
      </c>
      <c r="H128" s="650">
        <v>7630</v>
      </c>
      <c r="I128" s="1"/>
      <c r="J128" s="848"/>
      <c r="K128" s="848"/>
      <c r="M128" s="70"/>
      <c r="N128" s="42"/>
      <c r="O128" s="42"/>
      <c r="P128" s="42"/>
      <c r="Q128" s="42"/>
      <c r="R128" s="42"/>
      <c r="S128" s="42"/>
      <c r="T128" s="70"/>
      <c r="U128" s="42"/>
      <c r="V128" s="42"/>
      <c r="W128" s="42"/>
      <c r="X128" s="42"/>
      <c r="Y128" s="42"/>
      <c r="Z128" s="42"/>
      <c r="AA128" s="42"/>
      <c r="AB128" s="42"/>
    </row>
    <row r="129" spans="1:28" s="27" customFormat="1" hidden="1" x14ac:dyDescent="0.3">
      <c r="A129" s="514">
        <v>1</v>
      </c>
      <c r="B129" s="650" t="s">
        <v>372</v>
      </c>
      <c r="C129" s="514">
        <v>3</v>
      </c>
      <c r="D129" s="523" t="s">
        <v>374</v>
      </c>
      <c r="E129" s="524">
        <v>45.41</v>
      </c>
      <c r="F129" s="535">
        <v>1</v>
      </c>
      <c r="G129" s="535">
        <v>1</v>
      </c>
      <c r="H129" s="650">
        <v>7630</v>
      </c>
      <c r="I129" s="1"/>
      <c r="J129" s="848"/>
      <c r="K129" s="848"/>
      <c r="M129" s="70"/>
      <c r="N129" s="42"/>
      <c r="O129" s="42"/>
      <c r="P129" s="42"/>
      <c r="Q129" s="42"/>
      <c r="R129" s="42"/>
      <c r="S129" s="42"/>
      <c r="T129" s="70"/>
      <c r="U129" s="42"/>
      <c r="V129" s="42"/>
      <c r="W129" s="42"/>
      <c r="X129" s="42"/>
      <c r="Y129" s="42"/>
      <c r="Z129" s="42"/>
      <c r="AA129" s="42"/>
      <c r="AB129" s="42"/>
    </row>
    <row r="130" spans="1:28" s="27" customFormat="1" hidden="1" x14ac:dyDescent="0.3">
      <c r="A130" s="514">
        <v>1</v>
      </c>
      <c r="B130" s="650" t="s">
        <v>372</v>
      </c>
      <c r="C130" s="514">
        <v>3</v>
      </c>
      <c r="D130" s="523" t="s">
        <v>375</v>
      </c>
      <c r="E130" s="524">
        <v>29.4</v>
      </c>
      <c r="F130" s="535">
        <v>1</v>
      </c>
      <c r="G130" s="535">
        <v>1</v>
      </c>
      <c r="H130" s="650">
        <v>7630</v>
      </c>
      <c r="I130" s="1"/>
      <c r="J130" s="1"/>
      <c r="K130" s="1"/>
      <c r="L130" s="91"/>
      <c r="M130" s="94"/>
      <c r="N130" s="66"/>
      <c r="O130" s="38"/>
      <c r="P130" s="66"/>
      <c r="Q130" s="66"/>
      <c r="R130" s="38"/>
      <c r="S130" s="63"/>
      <c r="T130" s="120"/>
      <c r="U130" s="120"/>
      <c r="V130" s="42"/>
      <c r="W130" s="42"/>
      <c r="X130" s="42"/>
      <c r="Y130" s="42"/>
      <c r="Z130" s="42"/>
      <c r="AA130" s="42"/>
      <c r="AB130" s="42"/>
    </row>
    <row r="131" spans="1:28" s="27" customFormat="1" hidden="1" x14ac:dyDescent="0.3">
      <c r="A131" s="514">
        <v>1</v>
      </c>
      <c r="B131" s="650" t="s">
        <v>372</v>
      </c>
      <c r="C131" s="514">
        <v>3</v>
      </c>
      <c r="D131" s="523" t="s">
        <v>376</v>
      </c>
      <c r="E131" s="524">
        <v>45.8</v>
      </c>
      <c r="F131" s="535">
        <v>1</v>
      </c>
      <c r="G131" s="535">
        <v>1</v>
      </c>
      <c r="H131" s="650">
        <v>7640</v>
      </c>
      <c r="I131" s="1"/>
      <c r="J131" s="4"/>
      <c r="K131" s="4"/>
      <c r="M131" s="70"/>
      <c r="N131" s="42"/>
      <c r="O131" s="42"/>
      <c r="P131" s="42"/>
      <c r="Q131" s="42"/>
      <c r="R131" s="42"/>
      <c r="S131" s="42"/>
      <c r="T131" s="70"/>
      <c r="U131" s="42"/>
      <c r="V131" s="42"/>
      <c r="W131" s="42"/>
      <c r="X131" s="42"/>
      <c r="Y131" s="42"/>
      <c r="Z131" s="42"/>
      <c r="AA131" s="42"/>
      <c r="AB131" s="42"/>
    </row>
    <row r="132" spans="1:28" s="27" customFormat="1" hidden="1" x14ac:dyDescent="0.3">
      <c r="A132" s="514">
        <v>1</v>
      </c>
      <c r="B132" s="650" t="s">
        <v>372</v>
      </c>
      <c r="C132" s="514">
        <v>3</v>
      </c>
      <c r="D132" s="523" t="s">
        <v>377</v>
      </c>
      <c r="E132" s="524">
        <v>45.92</v>
      </c>
      <c r="F132" s="535">
        <v>1</v>
      </c>
      <c r="G132" s="535">
        <v>1</v>
      </c>
      <c r="H132" s="650">
        <v>7640</v>
      </c>
      <c r="I132" s="1"/>
      <c r="J132" s="4"/>
      <c r="K132" s="4"/>
      <c r="M132" s="70"/>
      <c r="N132" s="42"/>
      <c r="O132" s="42"/>
      <c r="P132" s="42"/>
      <c r="Q132" s="42"/>
      <c r="R132" s="42"/>
      <c r="S132" s="42"/>
      <c r="T132" s="70"/>
      <c r="U132" s="42"/>
      <c r="V132" s="42"/>
      <c r="W132" s="42"/>
      <c r="X132" s="42"/>
      <c r="Y132" s="42"/>
      <c r="Z132" s="42"/>
      <c r="AA132" s="42"/>
      <c r="AB132" s="42"/>
    </row>
    <row r="133" spans="1:28" s="27" customFormat="1" hidden="1" x14ac:dyDescent="0.3">
      <c r="A133" s="514">
        <v>1</v>
      </c>
      <c r="B133" s="650" t="s">
        <v>372</v>
      </c>
      <c r="C133" s="514">
        <v>3</v>
      </c>
      <c r="D133" s="523" t="s">
        <v>378</v>
      </c>
      <c r="E133" s="524">
        <v>30.45</v>
      </c>
      <c r="F133" s="535">
        <v>1</v>
      </c>
      <c r="G133" s="535">
        <v>1</v>
      </c>
      <c r="H133" s="650">
        <v>7630</v>
      </c>
      <c r="I133" s="1"/>
      <c r="J133" s="4"/>
      <c r="K133" s="4"/>
      <c r="M133" s="70"/>
      <c r="N133" s="42"/>
      <c r="O133" s="42"/>
      <c r="P133" s="42"/>
      <c r="Q133" s="42"/>
      <c r="R133" s="42"/>
      <c r="S133" s="42"/>
      <c r="T133" s="70"/>
      <c r="U133" s="42"/>
      <c r="V133" s="42"/>
      <c r="W133" s="42"/>
      <c r="X133" s="42"/>
      <c r="Y133" s="42"/>
      <c r="Z133" s="42"/>
      <c r="AA133" s="42"/>
      <c r="AB133" s="42"/>
    </row>
    <row r="134" spans="1:28" s="27" customFormat="1" hidden="1" x14ac:dyDescent="0.3">
      <c r="A134" s="514">
        <v>1</v>
      </c>
      <c r="B134" s="650" t="s">
        <v>372</v>
      </c>
      <c r="C134" s="514">
        <v>3</v>
      </c>
      <c r="D134" s="523" t="s">
        <v>379</v>
      </c>
      <c r="E134" s="524">
        <v>30.45</v>
      </c>
      <c r="F134" s="535">
        <v>1</v>
      </c>
      <c r="G134" s="535">
        <v>1</v>
      </c>
      <c r="H134" s="650">
        <v>7630</v>
      </c>
      <c r="I134" s="1"/>
      <c r="J134" s="4"/>
      <c r="K134" s="4"/>
      <c r="M134" s="70"/>
      <c r="N134" s="42"/>
      <c r="O134" s="42"/>
      <c r="P134" s="42"/>
      <c r="Q134" s="42"/>
      <c r="R134" s="42"/>
      <c r="S134" s="42"/>
      <c r="T134" s="70"/>
      <c r="U134" s="42"/>
      <c r="V134" s="42"/>
      <c r="W134" s="42"/>
      <c r="X134" s="42"/>
      <c r="Y134" s="42"/>
      <c r="Z134" s="42"/>
      <c r="AA134" s="42"/>
      <c r="AB134" s="42"/>
    </row>
    <row r="135" spans="1:28" s="27" customFormat="1" hidden="1" x14ac:dyDescent="0.3">
      <c r="A135" s="514">
        <v>1</v>
      </c>
      <c r="B135" s="650" t="s">
        <v>372</v>
      </c>
      <c r="C135" s="514">
        <v>3</v>
      </c>
      <c r="D135" s="523" t="s">
        <v>380</v>
      </c>
      <c r="E135" s="524">
        <v>30.45</v>
      </c>
      <c r="F135" s="535">
        <v>1</v>
      </c>
      <c r="G135" s="535">
        <v>1</v>
      </c>
      <c r="H135" s="650">
        <v>7630</v>
      </c>
      <c r="I135" s="1"/>
      <c r="J135" s="4"/>
      <c r="K135" s="4"/>
      <c r="M135" s="70"/>
      <c r="N135" s="42"/>
      <c r="O135" s="42"/>
      <c r="P135" s="42"/>
      <c r="Q135" s="42"/>
      <c r="R135" s="42"/>
      <c r="S135" s="42"/>
      <c r="T135" s="70"/>
      <c r="U135" s="42"/>
      <c r="V135" s="42"/>
      <c r="W135" s="42"/>
      <c r="X135" s="42"/>
      <c r="Y135" s="42"/>
      <c r="Z135" s="42"/>
      <c r="AA135" s="42"/>
      <c r="AB135" s="42"/>
    </row>
    <row r="136" spans="1:28" s="27" customFormat="1" hidden="1" x14ac:dyDescent="0.3">
      <c r="A136" s="514">
        <v>1</v>
      </c>
      <c r="B136" s="650" t="s">
        <v>372</v>
      </c>
      <c r="C136" s="514">
        <v>3</v>
      </c>
      <c r="D136" s="523" t="s">
        <v>381</v>
      </c>
      <c r="E136" s="524">
        <v>21.71</v>
      </c>
      <c r="F136" s="535">
        <v>1</v>
      </c>
      <c r="G136" s="535">
        <v>1</v>
      </c>
      <c r="H136" s="650">
        <v>7630</v>
      </c>
      <c r="I136" s="1"/>
      <c r="J136" s="4"/>
      <c r="K136" s="4"/>
      <c r="M136" s="70"/>
      <c r="N136" s="42"/>
      <c r="O136" s="42"/>
      <c r="P136" s="42"/>
      <c r="Q136" s="42"/>
      <c r="R136" s="42"/>
      <c r="S136" s="42"/>
      <c r="T136" s="70"/>
      <c r="U136" s="42"/>
      <c r="V136" s="42"/>
      <c r="W136" s="42"/>
      <c r="X136" s="42"/>
      <c r="Y136" s="42"/>
      <c r="Z136" s="42"/>
      <c r="AA136" s="42"/>
      <c r="AB136" s="42"/>
    </row>
    <row r="137" spans="1:28" s="27" customFormat="1" x14ac:dyDescent="0.3">
      <c r="A137" s="514">
        <v>3</v>
      </c>
      <c r="B137" s="650" t="s">
        <v>975</v>
      </c>
      <c r="C137" s="514">
        <v>1</v>
      </c>
      <c r="D137" s="907" t="s">
        <v>976</v>
      </c>
      <c r="E137" s="520">
        <v>59.3</v>
      </c>
      <c r="F137" s="534">
        <v>1</v>
      </c>
      <c r="G137" s="534">
        <v>2</v>
      </c>
      <c r="H137" s="519">
        <v>7635</v>
      </c>
      <c r="I137" s="1"/>
      <c r="J137" s="4"/>
      <c r="K137" s="4"/>
      <c r="M137" s="70"/>
      <c r="N137" s="42"/>
      <c r="O137" s="42"/>
      <c r="P137" s="42"/>
      <c r="Q137" s="42"/>
      <c r="R137" s="42"/>
      <c r="S137" s="42"/>
      <c r="T137" s="70"/>
      <c r="U137" s="42"/>
      <c r="V137" s="42"/>
      <c r="W137" s="42"/>
      <c r="X137" s="42"/>
      <c r="Y137" s="42"/>
      <c r="Z137" s="42"/>
      <c r="AA137" s="42"/>
      <c r="AB137" s="42"/>
    </row>
    <row r="138" spans="1:28" s="27" customFormat="1" x14ac:dyDescent="0.3">
      <c r="A138" s="514">
        <v>3</v>
      </c>
      <c r="B138" s="650" t="s">
        <v>975</v>
      </c>
      <c r="C138" s="514">
        <v>3</v>
      </c>
      <c r="D138" s="908" t="s">
        <v>977</v>
      </c>
      <c r="E138" s="909">
        <v>7.91</v>
      </c>
      <c r="F138" s="534">
        <v>1</v>
      </c>
      <c r="G138" s="534">
        <v>2</v>
      </c>
      <c r="H138" s="516">
        <v>7635</v>
      </c>
      <c r="I138" s="1"/>
      <c r="J138" s="4"/>
      <c r="K138" s="4"/>
      <c r="M138" s="70"/>
      <c r="N138" s="42"/>
      <c r="O138" s="42"/>
      <c r="P138" s="42"/>
      <c r="Q138" s="42"/>
      <c r="R138" s="42"/>
      <c r="S138" s="42"/>
      <c r="T138" s="70"/>
      <c r="U138" s="42"/>
      <c r="V138" s="42"/>
      <c r="W138" s="42"/>
      <c r="X138" s="42"/>
      <c r="Y138" s="42"/>
      <c r="Z138" s="42"/>
      <c r="AA138" s="42"/>
      <c r="AB138" s="42"/>
    </row>
    <row r="139" spans="1:28" s="27" customFormat="1" x14ac:dyDescent="0.3">
      <c r="A139" s="514">
        <v>3</v>
      </c>
      <c r="B139" s="650" t="s">
        <v>975</v>
      </c>
      <c r="C139" s="514">
        <v>3</v>
      </c>
      <c r="D139" s="908" t="s">
        <v>977</v>
      </c>
      <c r="E139" s="909">
        <v>119.83</v>
      </c>
      <c r="F139" s="534">
        <v>1</v>
      </c>
      <c r="G139" s="534">
        <v>2</v>
      </c>
      <c r="H139" s="516">
        <v>7635</v>
      </c>
      <c r="I139" s="1"/>
      <c r="J139" s="4"/>
      <c r="K139" s="4"/>
      <c r="M139" s="70"/>
      <c r="N139" s="42"/>
      <c r="O139" s="42"/>
      <c r="P139" s="42"/>
      <c r="Q139" s="42"/>
      <c r="R139" s="42"/>
      <c r="S139" s="42"/>
      <c r="T139" s="70"/>
      <c r="U139" s="42"/>
      <c r="V139" s="42"/>
      <c r="W139" s="42"/>
      <c r="X139" s="42"/>
      <c r="Y139" s="42"/>
      <c r="Z139" s="42"/>
      <c r="AA139" s="42"/>
      <c r="AB139" s="42"/>
    </row>
    <row r="140" spans="1:28" s="27" customFormat="1" x14ac:dyDescent="0.3">
      <c r="A140" s="514">
        <v>3</v>
      </c>
      <c r="B140" s="650" t="s">
        <v>978</v>
      </c>
      <c r="C140" s="514">
        <v>1</v>
      </c>
      <c r="D140" s="908" t="s">
        <v>979</v>
      </c>
      <c r="E140" s="520">
        <v>8.8000000000000007</v>
      </c>
      <c r="F140" s="534">
        <v>1</v>
      </c>
      <c r="G140" s="534">
        <v>2</v>
      </c>
      <c r="H140" s="650">
        <v>7635</v>
      </c>
      <c r="I140" s="1"/>
      <c r="J140" s="4"/>
      <c r="K140" s="4"/>
      <c r="M140" s="70"/>
      <c r="N140" s="42"/>
      <c r="O140" s="42"/>
      <c r="P140" s="42"/>
      <c r="Q140" s="42"/>
      <c r="R140" s="42"/>
      <c r="S140" s="42"/>
      <c r="T140" s="70"/>
      <c r="U140" s="42"/>
      <c r="V140" s="42"/>
      <c r="W140" s="42"/>
      <c r="X140" s="42"/>
      <c r="Y140" s="42"/>
      <c r="Z140" s="42"/>
      <c r="AA140" s="42"/>
      <c r="AB140" s="42"/>
    </row>
    <row r="141" spans="1:28" s="27" customFormat="1" x14ac:dyDescent="0.3">
      <c r="A141" s="514">
        <v>3</v>
      </c>
      <c r="B141" s="650" t="s">
        <v>978</v>
      </c>
      <c r="C141" s="514">
        <v>1</v>
      </c>
      <c r="D141" s="908" t="s">
        <v>980</v>
      </c>
      <c r="E141" s="520">
        <v>18</v>
      </c>
      <c r="F141" s="534">
        <v>1</v>
      </c>
      <c r="G141" s="534">
        <v>2</v>
      </c>
      <c r="H141" s="650">
        <v>7635</v>
      </c>
      <c r="I141" s="1"/>
      <c r="J141" s="4"/>
      <c r="K141" s="4"/>
      <c r="M141" s="70"/>
      <c r="N141" s="42"/>
      <c r="O141" s="42"/>
      <c r="P141" s="42"/>
      <c r="Q141" s="42"/>
      <c r="R141" s="42"/>
      <c r="S141" s="42"/>
      <c r="T141" s="70"/>
      <c r="U141" s="42"/>
      <c r="V141" s="42"/>
      <c r="W141" s="42"/>
      <c r="X141" s="42"/>
      <c r="Y141" s="42"/>
      <c r="Z141" s="42"/>
      <c r="AA141" s="42"/>
      <c r="AB141" s="42"/>
    </row>
    <row r="142" spans="1:28" s="27" customFormat="1" x14ac:dyDescent="0.3">
      <c r="A142" s="514">
        <v>3</v>
      </c>
      <c r="B142" s="650" t="s">
        <v>978</v>
      </c>
      <c r="C142" s="514">
        <v>1</v>
      </c>
      <c r="D142" s="908" t="s">
        <v>980</v>
      </c>
      <c r="E142" s="520">
        <v>18</v>
      </c>
      <c r="F142" s="534">
        <v>1</v>
      </c>
      <c r="G142" s="534">
        <v>2</v>
      </c>
      <c r="H142" s="650">
        <v>7635</v>
      </c>
      <c r="I142" s="1"/>
      <c r="J142" s="4"/>
      <c r="K142" s="4"/>
      <c r="M142" s="70"/>
      <c r="N142" s="42"/>
      <c r="O142" s="42"/>
      <c r="P142" s="42"/>
      <c r="Q142" s="42"/>
      <c r="R142" s="42"/>
      <c r="S142" s="42"/>
      <c r="T142" s="70"/>
      <c r="U142" s="42"/>
      <c r="V142" s="42"/>
      <c r="W142" s="42"/>
      <c r="X142" s="42"/>
      <c r="Y142" s="42"/>
      <c r="Z142" s="42"/>
      <c r="AA142" s="42"/>
      <c r="AB142" s="42"/>
    </row>
    <row r="143" spans="1:28" s="27" customFormat="1" x14ac:dyDescent="0.3">
      <c r="A143" s="514">
        <v>3</v>
      </c>
      <c r="B143" s="650" t="s">
        <v>978</v>
      </c>
      <c r="C143" s="514">
        <v>1</v>
      </c>
      <c r="D143" s="908" t="s">
        <v>981</v>
      </c>
      <c r="E143" s="520">
        <v>18</v>
      </c>
      <c r="F143" s="534">
        <v>1</v>
      </c>
      <c r="G143" s="534">
        <v>2</v>
      </c>
      <c r="H143" s="650">
        <v>7635</v>
      </c>
      <c r="I143" s="1"/>
      <c r="J143" s="4"/>
      <c r="K143" s="4"/>
      <c r="M143" s="70"/>
      <c r="N143" s="42"/>
      <c r="O143" s="42"/>
      <c r="P143" s="42"/>
      <c r="Q143" s="42"/>
      <c r="R143" s="42"/>
      <c r="S143" s="42"/>
      <c r="T143" s="70"/>
      <c r="U143" s="42"/>
      <c r="V143" s="42"/>
      <c r="W143" s="42"/>
      <c r="X143" s="42"/>
      <c r="Y143" s="42"/>
      <c r="Z143" s="42"/>
      <c r="AA143" s="42"/>
      <c r="AB143" s="42"/>
    </row>
    <row r="144" spans="1:28" s="27" customFormat="1" x14ac:dyDescent="0.3">
      <c r="A144" s="514">
        <v>3</v>
      </c>
      <c r="B144" s="650" t="s">
        <v>978</v>
      </c>
      <c r="C144" s="514">
        <v>1</v>
      </c>
      <c r="D144" s="907" t="s">
        <v>979</v>
      </c>
      <c r="E144" s="520">
        <v>8.8000000000000007</v>
      </c>
      <c r="F144" s="534">
        <v>1</v>
      </c>
      <c r="G144" s="534">
        <v>2</v>
      </c>
      <c r="H144" s="650">
        <v>7635</v>
      </c>
      <c r="I144" s="1"/>
      <c r="J144" s="4"/>
      <c r="K144" s="4"/>
      <c r="M144" s="70"/>
      <c r="N144" s="42"/>
      <c r="O144" s="42"/>
      <c r="P144" s="42"/>
      <c r="Q144" s="42"/>
      <c r="R144" s="42"/>
      <c r="S144" s="42"/>
      <c r="T144" s="70"/>
      <c r="U144" s="42"/>
      <c r="V144" s="42"/>
      <c r="W144" s="42"/>
      <c r="X144" s="42"/>
      <c r="Y144" s="42"/>
      <c r="Z144" s="42"/>
      <c r="AA144" s="42"/>
      <c r="AB144" s="42"/>
    </row>
    <row r="145" spans="1:23" s="4" customFormat="1" ht="16.2" hidden="1" thickBot="1" x14ac:dyDescent="0.35">
      <c r="A145" s="1"/>
      <c r="B145" s="1"/>
      <c r="C145" s="1"/>
      <c r="D145" s="1"/>
      <c r="E145" s="34">
        <f>SUM(E2:E144)</f>
        <v>3973.409999999998</v>
      </c>
      <c r="F145" s="54" t="s">
        <v>54</v>
      </c>
      <c r="G145" s="1"/>
      <c r="H145" s="53"/>
      <c r="I145" s="3"/>
      <c r="J145" s="1"/>
      <c r="K145" s="42"/>
      <c r="L145" s="47"/>
      <c r="M145" s="475"/>
      <c r="N145" s="42"/>
      <c r="O145" s="474"/>
      <c r="P145" s="474"/>
      <c r="Q145" s="474"/>
      <c r="R145" s="42"/>
      <c r="S145" s="42"/>
      <c r="T145" s="42"/>
      <c r="U145" s="42"/>
      <c r="V145" s="1"/>
      <c r="W145" s="1"/>
    </row>
    <row r="146" spans="1:23" x14ac:dyDescent="0.3">
      <c r="A146" s="2"/>
      <c r="B146" s="2"/>
      <c r="C146" s="2"/>
      <c r="E146" s="851"/>
      <c r="F146" s="4"/>
      <c r="H146" s="53"/>
      <c r="J146" s="1"/>
      <c r="K146" s="42"/>
      <c r="L146" s="42"/>
      <c r="M146" s="150"/>
      <c r="N146" s="42"/>
      <c r="O146" s="477"/>
      <c r="P146" s="477"/>
      <c r="Q146" s="477"/>
      <c r="R146" s="42"/>
      <c r="S146" s="42"/>
      <c r="T146" s="42"/>
      <c r="U146" s="42"/>
    </row>
    <row r="147" spans="1:23" x14ac:dyDescent="0.3">
      <c r="C147" s="1" t="s">
        <v>565</v>
      </c>
      <c r="K147" s="478"/>
      <c r="L147" s="42"/>
      <c r="M147" s="94"/>
      <c r="N147" s="47"/>
      <c r="O147" s="47"/>
      <c r="P147" s="47"/>
      <c r="Q147" s="47"/>
      <c r="R147" s="47"/>
      <c r="S147" s="479"/>
      <c r="T147" s="479"/>
      <c r="U147" s="47"/>
      <c r="V147" s="4"/>
      <c r="W147" s="4"/>
    </row>
    <row r="148" spans="1:23" ht="16.2" x14ac:dyDescent="0.35">
      <c r="C148" s="97" t="s">
        <v>330</v>
      </c>
      <c r="K148" s="42"/>
      <c r="L148" s="42"/>
      <c r="M148" s="42"/>
      <c r="N148" s="42"/>
      <c r="O148" s="42"/>
      <c r="P148" s="42"/>
      <c r="Q148" s="480"/>
      <c r="R148" s="42"/>
      <c r="S148" s="481"/>
      <c r="T148" s="481"/>
      <c r="U148" s="42"/>
    </row>
    <row r="149" spans="1:23" x14ac:dyDescent="0.3">
      <c r="B149" s="53"/>
      <c r="C149" s="70"/>
      <c r="D149" s="471"/>
      <c r="E149" s="53"/>
      <c r="K149" s="42"/>
      <c r="L149" s="482"/>
      <c r="M149" s="70"/>
      <c r="N149" s="42"/>
      <c r="O149" s="42"/>
      <c r="P149" s="42"/>
      <c r="Q149" s="42"/>
      <c r="R149" s="42"/>
      <c r="S149" s="481"/>
      <c r="T149" s="481"/>
      <c r="U149" s="42"/>
    </row>
    <row r="150" spans="1:23" ht="31.2" x14ac:dyDescent="0.3">
      <c r="C150" s="91"/>
      <c r="D150" s="408" t="s">
        <v>294</v>
      </c>
      <c r="E150" s="651" t="s">
        <v>382</v>
      </c>
      <c r="F150" s="435" t="s">
        <v>318</v>
      </c>
      <c r="G150" s="483" t="s">
        <v>317</v>
      </c>
      <c r="H150" s="410" t="s">
        <v>295</v>
      </c>
      <c r="I150" s="38"/>
      <c r="J150" s="63"/>
      <c r="K150" s="120"/>
      <c r="L150" s="120"/>
      <c r="M150" s="70"/>
      <c r="N150" s="42"/>
      <c r="O150" s="42"/>
      <c r="P150" s="42"/>
      <c r="Q150" s="42"/>
      <c r="R150" s="42"/>
      <c r="S150" s="42"/>
      <c r="T150" s="42"/>
      <c r="U150" s="42"/>
    </row>
    <row r="151" spans="1:23" x14ac:dyDescent="0.3">
      <c r="A151" s="4"/>
      <c r="B151" s="12"/>
      <c r="C151" s="919">
        <v>7620</v>
      </c>
      <c r="D151" s="409">
        <f>SUM(E151:G151)</f>
        <v>225.98000000000002</v>
      </c>
      <c r="E151" s="781">
        <v>116.44</v>
      </c>
      <c r="F151" s="781">
        <v>109.54</v>
      </c>
      <c r="G151" s="781">
        <v>0</v>
      </c>
      <c r="H151" s="411" t="s">
        <v>296</v>
      </c>
      <c r="I151" s="38"/>
      <c r="J151" s="63"/>
      <c r="K151" s="120"/>
      <c r="L151" s="120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3" x14ac:dyDescent="0.3">
      <c r="B152" s="12"/>
      <c r="C152" s="919">
        <v>7625</v>
      </c>
      <c r="D152" s="409">
        <f t="shared" ref="D152:D158" si="0">SUM(E152:G152)</f>
        <v>386.84000000000003</v>
      </c>
      <c r="E152" s="782">
        <v>265.68</v>
      </c>
      <c r="F152" s="782">
        <v>68.900000000000006</v>
      </c>
      <c r="G152" s="782">
        <v>52.26</v>
      </c>
      <c r="H152" s="411" t="s">
        <v>297</v>
      </c>
      <c r="I152" s="42"/>
      <c r="J152" s="42"/>
      <c r="K152" s="70"/>
      <c r="L152" s="42"/>
      <c r="M152" s="476"/>
      <c r="N152" s="42"/>
      <c r="O152" s="42"/>
      <c r="P152" s="42"/>
      <c r="Q152" s="42"/>
      <c r="R152" s="42"/>
      <c r="S152" s="42"/>
      <c r="T152" s="42"/>
      <c r="U152" s="42"/>
    </row>
    <row r="153" spans="1:23" x14ac:dyDescent="0.3">
      <c r="B153" s="12"/>
      <c r="C153" s="919">
        <v>7630</v>
      </c>
      <c r="D153" s="409">
        <f t="shared" si="0"/>
        <v>1094.4099999999999</v>
      </c>
      <c r="E153" s="782">
        <v>163.5</v>
      </c>
      <c r="F153" s="782">
        <v>930.91</v>
      </c>
      <c r="G153" s="782">
        <v>0</v>
      </c>
      <c r="H153" s="474"/>
      <c r="I153" s="38"/>
      <c r="J153" s="63"/>
      <c r="K153" s="120"/>
      <c r="L153" s="120"/>
      <c r="M153" s="70"/>
      <c r="N153" s="42"/>
      <c r="O153" s="42"/>
      <c r="P153" s="42"/>
      <c r="Q153" s="42"/>
      <c r="R153" s="42"/>
      <c r="S153" s="42"/>
      <c r="T153" s="42"/>
      <c r="U153" s="42"/>
    </row>
    <row r="154" spans="1:23" x14ac:dyDescent="0.3">
      <c r="A154" s="65"/>
      <c r="B154" s="12"/>
      <c r="C154" s="919">
        <v>7635</v>
      </c>
      <c r="D154" s="409">
        <f t="shared" si="0"/>
        <v>1180.5700000000002</v>
      </c>
      <c r="E154" s="782">
        <v>831.37</v>
      </c>
      <c r="F154" s="782">
        <v>200.34</v>
      </c>
      <c r="G154" s="782">
        <v>148.86000000000001</v>
      </c>
      <c r="H154" s="474"/>
      <c r="I154" s="38"/>
      <c r="J154" s="476"/>
      <c r="K154" s="120"/>
      <c r="L154" s="120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3" x14ac:dyDescent="0.3">
      <c r="B155" s="12"/>
      <c r="C155" s="919">
        <v>7640</v>
      </c>
      <c r="D155" s="409">
        <f t="shared" si="0"/>
        <v>486.86</v>
      </c>
      <c r="E155" s="782">
        <v>48.12</v>
      </c>
      <c r="F155" s="782">
        <v>438.74</v>
      </c>
      <c r="G155" s="782">
        <v>0</v>
      </c>
      <c r="H155" s="474"/>
      <c r="I155" s="1"/>
      <c r="J155" s="1"/>
    </row>
    <row r="156" spans="1:23" x14ac:dyDescent="0.3">
      <c r="B156" s="12"/>
      <c r="C156" s="39">
        <v>7645</v>
      </c>
      <c r="D156" s="409">
        <f t="shared" si="0"/>
        <v>412.34999999999997</v>
      </c>
      <c r="E156" s="782">
        <v>359.79</v>
      </c>
      <c r="F156" s="782">
        <v>23.47</v>
      </c>
      <c r="G156" s="782">
        <v>29.09</v>
      </c>
      <c r="H156" s="474"/>
      <c r="I156" s="1"/>
      <c r="J156" s="1"/>
    </row>
    <row r="157" spans="1:23" x14ac:dyDescent="0.3">
      <c r="C157" s="39">
        <v>7817</v>
      </c>
      <c r="D157" s="409">
        <f t="shared" si="0"/>
        <v>151.78</v>
      </c>
      <c r="E157" s="782">
        <v>75.58</v>
      </c>
      <c r="F157" s="782">
        <v>0</v>
      </c>
      <c r="G157" s="782">
        <v>76.2</v>
      </c>
      <c r="H157" s="474"/>
      <c r="I157" s="1"/>
      <c r="J157" s="1"/>
    </row>
    <row r="158" spans="1:23" x14ac:dyDescent="0.3">
      <c r="C158" s="39">
        <v>7117</v>
      </c>
      <c r="D158" s="409">
        <f t="shared" si="0"/>
        <v>34.619999999999997</v>
      </c>
      <c r="E158" s="782">
        <v>34.619999999999997</v>
      </c>
      <c r="F158" s="782">
        <v>0</v>
      </c>
      <c r="G158" s="782">
        <v>0</v>
      </c>
      <c r="H158" s="474"/>
      <c r="I158" s="1"/>
      <c r="J158" s="1"/>
    </row>
    <row r="159" spans="1:23" x14ac:dyDescent="0.3">
      <c r="D159" s="33">
        <f>SUM(D151:D158)</f>
        <v>3973.4100000000003</v>
      </c>
      <c r="E159" s="413">
        <f>SUM(E151:E158)</f>
        <v>1895.0999999999997</v>
      </c>
      <c r="F159" s="413">
        <f>SUM(F151:F158)</f>
        <v>1771.8999999999999</v>
      </c>
      <c r="G159" s="413">
        <f>SUM(G151:G158)</f>
        <v>306.41000000000003</v>
      </c>
      <c r="H159" s="413"/>
      <c r="I159" s="1"/>
      <c r="J159" s="1"/>
    </row>
    <row r="160" spans="1:23" x14ac:dyDescent="0.3">
      <c r="A160" s="26"/>
      <c r="B160" s="67">
        <v>3973.41</v>
      </c>
      <c r="C160" s="40" t="s">
        <v>566</v>
      </c>
      <c r="D160" s="68">
        <f>D159-E145</f>
        <v>0</v>
      </c>
      <c r="E160" s="4"/>
      <c r="F160" s="4"/>
      <c r="G160" s="4"/>
      <c r="H160" s="4"/>
      <c r="I160" s="4"/>
      <c r="J160" s="410"/>
      <c r="K160" s="410"/>
      <c r="L160" s="4"/>
    </row>
    <row r="161" spans="1:11" x14ac:dyDescent="0.3">
      <c r="A161" s="3"/>
      <c r="G161" s="412">
        <f>SUM(E159:G159)</f>
        <v>3973.4099999999994</v>
      </c>
      <c r="H161" s="412"/>
      <c r="I161" s="1"/>
      <c r="J161" s="411"/>
      <c r="K161" s="411"/>
    </row>
    <row r="162" spans="1:11" x14ac:dyDescent="0.3">
      <c r="A162" s="3"/>
      <c r="C162" s="54" t="s">
        <v>3</v>
      </c>
      <c r="D162" s="32">
        <f>D151+D152</f>
        <v>612.82000000000005</v>
      </c>
      <c r="I162" s="1"/>
      <c r="J162" s="411"/>
      <c r="K162" s="753"/>
    </row>
    <row r="163" spans="1:11" x14ac:dyDescent="0.3">
      <c r="A163" s="3"/>
      <c r="C163" s="54" t="s">
        <v>2</v>
      </c>
      <c r="D163" s="32">
        <f>D153+D154</f>
        <v>2274.98</v>
      </c>
      <c r="I163" s="1"/>
      <c r="J163" s="1"/>
      <c r="K163" s="753"/>
    </row>
    <row r="164" spans="1:11" x14ac:dyDescent="0.3">
      <c r="A164" s="3"/>
      <c r="B164" s="4"/>
      <c r="C164" s="54" t="s">
        <v>1</v>
      </c>
      <c r="D164" s="1">
        <f>D155+D156</f>
        <v>899.21</v>
      </c>
      <c r="I164" s="1"/>
      <c r="J164" s="1"/>
      <c r="K164" s="753"/>
    </row>
    <row r="165" spans="1:11" ht="16.2" thickBot="1" x14ac:dyDescent="0.35">
      <c r="A165" s="3"/>
      <c r="C165" s="54" t="s">
        <v>98</v>
      </c>
      <c r="D165" s="414">
        <f>D157+D158</f>
        <v>186.4</v>
      </c>
      <c r="I165" s="1"/>
      <c r="J165" s="1"/>
      <c r="K165" s="753"/>
    </row>
    <row r="166" spans="1:11" ht="16.2" thickTop="1" x14ac:dyDescent="0.3">
      <c r="A166" s="3"/>
      <c r="D166" s="32">
        <f>SUM(D162:D165)</f>
        <v>3973.4100000000003</v>
      </c>
      <c r="I166" s="1"/>
      <c r="J166" s="1"/>
      <c r="K166" s="753"/>
    </row>
    <row r="167" spans="1:11" x14ac:dyDescent="0.3">
      <c r="A167" s="3"/>
      <c r="I167" s="1"/>
      <c r="J167" s="1"/>
    </row>
    <row r="168" spans="1:11" x14ac:dyDescent="0.3">
      <c r="A168" s="3"/>
      <c r="I168" s="1"/>
      <c r="J168" s="1"/>
    </row>
  </sheetData>
  <autoFilter ref="A1:IF145" xr:uid="{00000000-0009-0000-0000-000009000000}">
    <filterColumn colId="7">
      <filters>
        <filter val="7635"/>
      </filters>
    </filterColumn>
  </autoFilter>
  <phoneticPr fontId="0" type="noConversion"/>
  <printOptions gridLines="1"/>
  <pageMargins left="0" right="0" top="0.59055118110236227" bottom="0" header="0.19685039370078741" footer="0"/>
  <pageSetup paperSize="9" scale="90" fitToHeight="4" orientation="landscape" r:id="rId1"/>
  <headerFooter alignWithMargins="0">
    <oddHeader>&amp;L&amp;Z&amp;F&amp;RList: &amp;A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0"/>
  <sheetViews>
    <sheetView workbookViewId="0">
      <selection activeCell="D5" sqref="D5"/>
    </sheetView>
  </sheetViews>
  <sheetFormatPr defaultColWidth="9.109375" defaultRowHeight="18" x14ac:dyDescent="0.35"/>
  <cols>
    <col min="1" max="1" width="9.109375" style="9"/>
    <col min="2" max="2" width="18.109375" style="9" customWidth="1"/>
    <col min="3" max="3" width="17" style="9" customWidth="1"/>
    <col min="4" max="4" width="20.88671875" style="9" customWidth="1"/>
    <col min="5" max="5" width="23.33203125" style="9" customWidth="1"/>
    <col min="6" max="8" width="9.109375" style="9"/>
    <col min="9" max="9" width="15.6640625" style="9" customWidth="1"/>
    <col min="10" max="16384" width="9.109375" style="9"/>
  </cols>
  <sheetData>
    <row r="1" spans="1:15" s="1" customFormat="1" x14ac:dyDescent="0.35">
      <c r="A1" s="84" t="s">
        <v>225</v>
      </c>
      <c r="B1" s="834"/>
      <c r="C1" s="69"/>
      <c r="D1" s="69"/>
      <c r="E1" s="834"/>
      <c r="F1" s="27"/>
    </row>
    <row r="2" spans="1:15" s="1" customFormat="1" ht="17.399999999999999" x14ac:dyDescent="0.3">
      <c r="A2" s="8"/>
      <c r="B2" s="32"/>
      <c r="C2" s="235"/>
      <c r="D2" s="235"/>
      <c r="E2" s="32"/>
    </row>
    <row r="3" spans="1:15" s="1" customFormat="1" ht="31.2" x14ac:dyDescent="0.3">
      <c r="B3" s="236"/>
      <c r="C3" s="237" t="s">
        <v>113</v>
      </c>
      <c r="D3" s="16"/>
      <c r="E3" s="27"/>
    </row>
    <row r="4" spans="1:15" s="1" customFormat="1" ht="15.6" x14ac:dyDescent="0.3">
      <c r="B4" s="238" t="s">
        <v>99</v>
      </c>
      <c r="C4" s="248">
        <v>3973.41</v>
      </c>
      <c r="D4" s="470" t="s">
        <v>316</v>
      </c>
      <c r="G4" s="40"/>
      <c r="H4" s="40"/>
    </row>
    <row r="5" spans="1:15" s="1" customFormat="1" ht="15.6" x14ac:dyDescent="0.3">
      <c r="B5" s="238" t="s">
        <v>9</v>
      </c>
      <c r="C5" s="239">
        <f>$C$4*E18</f>
        <v>186.4</v>
      </c>
      <c r="D5" s="366">
        <v>24924</v>
      </c>
      <c r="G5" s="40"/>
      <c r="H5" s="40"/>
      <c r="O5" s="40"/>
    </row>
    <row r="6" spans="1:15" s="1" customFormat="1" ht="15.6" x14ac:dyDescent="0.3">
      <c r="B6" s="238" t="s">
        <v>3</v>
      </c>
      <c r="C6" s="239">
        <f>$C$4*E19</f>
        <v>612.82000000000005</v>
      </c>
      <c r="D6" s="366">
        <v>81944</v>
      </c>
      <c r="O6" s="40"/>
    </row>
    <row r="7" spans="1:15" s="1" customFormat="1" ht="15.6" x14ac:dyDescent="0.3">
      <c r="B7" s="238" t="s">
        <v>2</v>
      </c>
      <c r="C7" s="239">
        <f>$C$4*E20</f>
        <v>2274.98</v>
      </c>
      <c r="D7" s="366">
        <v>304201</v>
      </c>
      <c r="O7" s="40"/>
    </row>
    <row r="8" spans="1:15" s="1" customFormat="1" ht="15.6" x14ac:dyDescent="0.3">
      <c r="B8" s="238" t="s">
        <v>1</v>
      </c>
      <c r="C8" s="239">
        <f>$C$4*E21</f>
        <v>899.21</v>
      </c>
      <c r="D8" s="366">
        <v>120239</v>
      </c>
      <c r="O8" s="40"/>
    </row>
    <row r="9" spans="1:15" s="1" customFormat="1" ht="15.6" x14ac:dyDescent="0.3">
      <c r="B9" s="240" t="s">
        <v>7</v>
      </c>
      <c r="C9" s="241">
        <f>C5+C6+C7+C8</f>
        <v>3973.41</v>
      </c>
      <c r="D9" s="241">
        <f>SUM(D5:D8)</f>
        <v>531308</v>
      </c>
    </row>
    <row r="10" spans="1:15" s="1" customFormat="1" ht="15.6" x14ac:dyDescent="0.3">
      <c r="B10" s="27"/>
      <c r="C10" s="248">
        <f>D22</f>
        <v>3973.41</v>
      </c>
      <c r="D10" s="1" t="s">
        <v>145</v>
      </c>
    </row>
    <row r="11" spans="1:15" s="1" customFormat="1" ht="15.6" x14ac:dyDescent="0.3">
      <c r="I11" s="242"/>
    </row>
    <row r="12" spans="1:15" s="1" customFormat="1" ht="15.6" x14ac:dyDescent="0.3">
      <c r="B12" s="2" t="s">
        <v>570</v>
      </c>
    </row>
    <row r="13" spans="1:15" s="1" customFormat="1" ht="15.6" x14ac:dyDescent="0.3"/>
    <row r="14" spans="1:15" s="1" customFormat="1" ht="15.6" x14ac:dyDescent="0.3">
      <c r="A14" s="1" t="s">
        <v>298</v>
      </c>
    </row>
    <row r="15" spans="1:15" s="1" customFormat="1" ht="16.2" thickBot="1" x14ac:dyDescent="0.35"/>
    <row r="16" spans="1:15" s="1" customFormat="1" ht="34.5" customHeight="1" thickBot="1" x14ac:dyDescent="0.35">
      <c r="B16" s="431">
        <v>2022</v>
      </c>
      <c r="C16" s="415" t="s">
        <v>113</v>
      </c>
      <c r="D16" s="416" t="s">
        <v>299</v>
      </c>
      <c r="E16" s="417" t="s">
        <v>300</v>
      </c>
    </row>
    <row r="17" spans="2:5" s="1" customFormat="1" ht="16.8" thickBot="1" x14ac:dyDescent="0.4">
      <c r="B17" s="420" t="s">
        <v>112</v>
      </c>
      <c r="C17" s="429">
        <f>'0_PRIDEL'!H26</f>
        <v>531308.23142507602</v>
      </c>
      <c r="D17" s="429">
        <f>'0_PRIDEL'!H25</f>
        <v>3973.41</v>
      </c>
      <c r="E17" s="430">
        <v>1</v>
      </c>
    </row>
    <row r="18" spans="2:5" s="1" customFormat="1" ht="16.2" thickTop="1" x14ac:dyDescent="0.3">
      <c r="B18" s="421" t="s">
        <v>9</v>
      </c>
      <c r="C18" s="432">
        <f>E18*$C$17</f>
        <v>24924.650196590377</v>
      </c>
      <c r="D18" s="422">
        <f>'7_Plochy pracovišť'!D165</f>
        <v>186.4</v>
      </c>
      <c r="E18" s="423">
        <f>D18/$D$17</f>
        <v>4.6911846499606134E-2</v>
      </c>
    </row>
    <row r="19" spans="2:5" s="1" customFormat="1" ht="15.6" x14ac:dyDescent="0.3">
      <c r="B19" s="424" t="s">
        <v>3</v>
      </c>
      <c r="C19" s="433">
        <f>E19*$C$17</f>
        <v>81943.798999326813</v>
      </c>
      <c r="D19" s="418">
        <f>'7_Plochy pracovišť'!D162</f>
        <v>612.82000000000005</v>
      </c>
      <c r="E19" s="425">
        <f>D19/$D$17</f>
        <v>0.15423024555734247</v>
      </c>
    </row>
    <row r="20" spans="2:5" s="1" customFormat="1" ht="15.6" x14ac:dyDescent="0.3">
      <c r="B20" s="424" t="s">
        <v>2</v>
      </c>
      <c r="C20" s="433">
        <f>E20*$C$17</f>
        <v>304201.07673948054</v>
      </c>
      <c r="D20" s="418">
        <f>'7_Plochy pracovišť'!D163</f>
        <v>2274.98</v>
      </c>
      <c r="E20" s="425">
        <f>D20/$D$17</f>
        <v>0.57255103299181309</v>
      </c>
    </row>
    <row r="21" spans="2:5" s="1" customFormat="1" ht="16.2" thickBot="1" x14ac:dyDescent="0.35">
      <c r="B21" s="426" t="s">
        <v>1</v>
      </c>
      <c r="C21" s="434">
        <f>E21*$C$17</f>
        <v>120238.70548967831</v>
      </c>
      <c r="D21" s="427">
        <f>'7_Plochy pracovišť'!D164</f>
        <v>899.21</v>
      </c>
      <c r="E21" s="428">
        <f>D21/$D$17</f>
        <v>0.22630687495123838</v>
      </c>
    </row>
    <row r="22" spans="2:5" s="1" customFormat="1" ht="16.2" thickTop="1" x14ac:dyDescent="0.3">
      <c r="B22" s="42" t="s">
        <v>7</v>
      </c>
      <c r="C22" s="413">
        <f>SUM(C18:C21)</f>
        <v>531308.23142507602</v>
      </c>
      <c r="D22" s="413">
        <f>SUM(D18:D21)</f>
        <v>3973.41</v>
      </c>
      <c r="E22" s="419">
        <f>SUM(E18:E21)</f>
        <v>1.0000000000000002</v>
      </c>
    </row>
    <row r="23" spans="2:5" s="1" customFormat="1" ht="15.6" x14ac:dyDescent="0.3"/>
    <row r="24" spans="2:5" s="1" customFormat="1" ht="15.6" x14ac:dyDescent="0.3">
      <c r="C24" s="1" t="s">
        <v>567</v>
      </c>
      <c r="D24" s="249">
        <f>D17-D22</f>
        <v>0</v>
      </c>
    </row>
    <row r="25" spans="2:5" s="1" customFormat="1" ht="15.6" x14ac:dyDescent="0.3"/>
    <row r="26" spans="2:5" s="1" customFormat="1" ht="15.6" x14ac:dyDescent="0.3"/>
    <row r="27" spans="2:5" s="1" customFormat="1" ht="15.6" x14ac:dyDescent="0.3"/>
    <row r="28" spans="2:5" s="1" customFormat="1" ht="15.6" x14ac:dyDescent="0.3"/>
    <row r="29" spans="2:5" s="1" customFormat="1" ht="15.6" x14ac:dyDescent="0.3"/>
    <row r="30" spans="2:5" s="1" customFormat="1" ht="15.6" x14ac:dyDescent="0.3"/>
    <row r="31" spans="2:5" s="1" customFormat="1" ht="15.6" x14ac:dyDescent="0.3"/>
    <row r="32" spans="2:5" s="1" customFormat="1" ht="15.6" x14ac:dyDescent="0.3"/>
    <row r="33" s="1" customFormat="1" ht="15.6" x14ac:dyDescent="0.3"/>
    <row r="34" s="1" customFormat="1" ht="15.6" x14ac:dyDescent="0.3"/>
    <row r="35" s="1" customFormat="1" ht="15.6" x14ac:dyDescent="0.3"/>
    <row r="36" s="1" customFormat="1" ht="15.6" x14ac:dyDescent="0.3"/>
    <row r="37" s="1" customFormat="1" ht="15.6" x14ac:dyDescent="0.3"/>
    <row r="38" s="1" customFormat="1" ht="15.6" x14ac:dyDescent="0.3"/>
    <row r="39" s="1" customFormat="1" ht="15.6" x14ac:dyDescent="0.3"/>
    <row r="40" s="1" customFormat="1" ht="15.6" x14ac:dyDescent="0.3"/>
    <row r="41" s="1" customFormat="1" ht="15.6" x14ac:dyDescent="0.3"/>
    <row r="42" s="1" customFormat="1" ht="15.6" x14ac:dyDescent="0.3"/>
    <row r="43" s="1" customFormat="1" ht="15.6" x14ac:dyDescent="0.3"/>
    <row r="44" s="1" customFormat="1" ht="15.6" x14ac:dyDescent="0.3"/>
    <row r="45" s="1" customFormat="1" ht="15.6" x14ac:dyDescent="0.3"/>
    <row r="46" s="1" customFormat="1" ht="15.6" x14ac:dyDescent="0.3"/>
    <row r="47" s="1" customFormat="1" ht="15.6" x14ac:dyDescent="0.3"/>
    <row r="48" s="1" customFormat="1" ht="15.6" x14ac:dyDescent="0.3"/>
    <row r="49" s="1" customFormat="1" ht="15.6" x14ac:dyDescent="0.3"/>
    <row r="50" s="1" customFormat="1" ht="15.6" x14ac:dyDescent="0.3"/>
    <row r="51" s="1" customFormat="1" ht="15.6" x14ac:dyDescent="0.3"/>
    <row r="52" s="1" customFormat="1" ht="15.6" x14ac:dyDescent="0.3"/>
    <row r="53" s="1" customFormat="1" ht="15.6" x14ac:dyDescent="0.3"/>
    <row r="54" s="1" customFormat="1" ht="15.6" x14ac:dyDescent="0.3"/>
    <row r="55" s="1" customFormat="1" ht="15.6" x14ac:dyDescent="0.3"/>
    <row r="56" s="1" customFormat="1" ht="15.6" x14ac:dyDescent="0.3"/>
    <row r="57" s="1" customFormat="1" ht="15.6" x14ac:dyDescent="0.3"/>
    <row r="58" s="1" customFormat="1" ht="15.6" x14ac:dyDescent="0.3"/>
    <row r="59" s="1" customFormat="1" ht="15.6" x14ac:dyDescent="0.3"/>
    <row r="60" s="1" customFormat="1" ht="15.6" x14ac:dyDescent="0.3"/>
    <row r="61" s="1" customFormat="1" ht="15.6" x14ac:dyDescent="0.3"/>
    <row r="62" s="1" customFormat="1" ht="15.6" x14ac:dyDescent="0.3"/>
    <row r="63" s="1" customFormat="1" ht="15.6" x14ac:dyDescent="0.3"/>
    <row r="64" s="1" customFormat="1" ht="15.6" x14ac:dyDescent="0.3"/>
    <row r="65" s="1" customFormat="1" ht="15.6" x14ac:dyDescent="0.3"/>
    <row r="66" s="1" customFormat="1" ht="15.6" x14ac:dyDescent="0.3"/>
    <row r="67" s="1" customFormat="1" ht="15.6" x14ac:dyDescent="0.3"/>
    <row r="68" s="1" customFormat="1" ht="15.6" x14ac:dyDescent="0.3"/>
    <row r="69" s="1" customFormat="1" ht="15.6" x14ac:dyDescent="0.3"/>
    <row r="70" s="1" customFormat="1" ht="15.6" x14ac:dyDescent="0.3"/>
    <row r="71" s="1" customFormat="1" ht="15.6" x14ac:dyDescent="0.3"/>
    <row r="72" s="1" customFormat="1" ht="15.6" x14ac:dyDescent="0.3"/>
    <row r="73" s="1" customFormat="1" ht="15.6" x14ac:dyDescent="0.3"/>
    <row r="74" s="1" customFormat="1" ht="15.6" x14ac:dyDescent="0.3"/>
    <row r="75" s="1" customFormat="1" ht="15.6" x14ac:dyDescent="0.3"/>
    <row r="76" s="1" customFormat="1" ht="15.6" x14ac:dyDescent="0.3"/>
    <row r="77" s="1" customFormat="1" ht="15.6" x14ac:dyDescent="0.3"/>
    <row r="78" s="1" customFormat="1" ht="15.6" x14ac:dyDescent="0.3"/>
    <row r="79" s="1" customFormat="1" ht="15.6" x14ac:dyDescent="0.3"/>
    <row r="80" s="1" customFormat="1" ht="15.6" x14ac:dyDescent="0.3"/>
    <row r="81" s="1" customFormat="1" ht="15.6" x14ac:dyDescent="0.3"/>
    <row r="82" s="1" customFormat="1" ht="15.6" x14ac:dyDescent="0.3"/>
    <row r="83" s="1" customFormat="1" ht="15.6" x14ac:dyDescent="0.3"/>
    <row r="84" s="1" customFormat="1" ht="15.6" x14ac:dyDescent="0.3"/>
    <row r="85" s="1" customFormat="1" ht="15.6" x14ac:dyDescent="0.3"/>
    <row r="86" s="1" customFormat="1" ht="15.6" x14ac:dyDescent="0.3"/>
    <row r="87" s="1" customFormat="1" ht="15.6" x14ac:dyDescent="0.3"/>
    <row r="88" s="1" customFormat="1" ht="15.6" x14ac:dyDescent="0.3"/>
    <row r="89" s="1" customFormat="1" ht="15.6" x14ac:dyDescent="0.3"/>
    <row r="90" s="1" customFormat="1" ht="15.6" x14ac:dyDescent="0.3"/>
    <row r="91" s="1" customFormat="1" ht="15.6" x14ac:dyDescent="0.3"/>
    <row r="92" s="1" customFormat="1" ht="15.6" x14ac:dyDescent="0.3"/>
    <row r="93" s="1" customFormat="1" ht="15.6" x14ac:dyDescent="0.3"/>
    <row r="94" s="1" customFormat="1" ht="15.6" x14ac:dyDescent="0.3"/>
    <row r="95" s="1" customFormat="1" ht="15.6" x14ac:dyDescent="0.3"/>
    <row r="96" s="1" customFormat="1" ht="15.6" x14ac:dyDescent="0.3"/>
    <row r="97" s="1" customFormat="1" ht="15.6" x14ac:dyDescent="0.3"/>
    <row r="98" s="1" customFormat="1" ht="15.6" x14ac:dyDescent="0.3"/>
    <row r="99" s="1" customFormat="1" ht="15.6" x14ac:dyDescent="0.3"/>
    <row r="100" s="1" customFormat="1" ht="15.6" x14ac:dyDescent="0.3"/>
    <row r="101" s="1" customFormat="1" ht="15.6" x14ac:dyDescent="0.3"/>
    <row r="102" s="1" customFormat="1" ht="15.6" x14ac:dyDescent="0.3"/>
    <row r="103" s="1" customFormat="1" ht="15.6" x14ac:dyDescent="0.3"/>
    <row r="104" s="1" customFormat="1" ht="15.6" x14ac:dyDescent="0.3"/>
    <row r="105" s="1" customFormat="1" ht="15.6" x14ac:dyDescent="0.3"/>
    <row r="106" s="1" customFormat="1" ht="15.6" x14ac:dyDescent="0.3"/>
    <row r="107" s="1" customFormat="1" ht="15.6" x14ac:dyDescent="0.3"/>
    <row r="108" s="1" customFormat="1" ht="15.6" x14ac:dyDescent="0.3"/>
    <row r="109" s="1" customFormat="1" ht="15.6" x14ac:dyDescent="0.3"/>
    <row r="110" s="1" customFormat="1" ht="15.6" x14ac:dyDescent="0.3"/>
    <row r="111" s="1" customFormat="1" ht="15.6" x14ac:dyDescent="0.3"/>
    <row r="112" s="1" customFormat="1" ht="15.6" x14ac:dyDescent="0.3"/>
    <row r="113" s="1" customFormat="1" ht="15.6" x14ac:dyDescent="0.3"/>
    <row r="114" s="1" customFormat="1" ht="15.6" x14ac:dyDescent="0.3"/>
    <row r="115" s="1" customFormat="1" ht="15.6" x14ac:dyDescent="0.3"/>
    <row r="116" s="1" customFormat="1" ht="15.6" x14ac:dyDescent="0.3"/>
    <row r="117" s="1" customFormat="1" ht="15.6" x14ac:dyDescent="0.3"/>
    <row r="118" s="1" customFormat="1" ht="15.6" x14ac:dyDescent="0.3"/>
    <row r="119" s="1" customFormat="1" ht="15.6" x14ac:dyDescent="0.3"/>
    <row r="120" s="1" customFormat="1" ht="15.6" x14ac:dyDescent="0.3"/>
    <row r="121" s="1" customFormat="1" ht="15.6" x14ac:dyDescent="0.3"/>
    <row r="122" s="1" customFormat="1" ht="15.6" x14ac:dyDescent="0.3"/>
    <row r="123" s="1" customFormat="1" ht="15.6" x14ac:dyDescent="0.3"/>
    <row r="124" s="1" customFormat="1" ht="15.6" x14ac:dyDescent="0.3"/>
    <row r="125" s="1" customFormat="1" ht="15.6" x14ac:dyDescent="0.3"/>
    <row r="126" s="1" customFormat="1" ht="15.6" x14ac:dyDescent="0.3"/>
    <row r="127" s="1" customFormat="1" ht="15.6" x14ac:dyDescent="0.3"/>
    <row r="128" s="1" customFormat="1" ht="15.6" x14ac:dyDescent="0.3"/>
    <row r="129" s="1" customFormat="1" ht="15.6" x14ac:dyDescent="0.3"/>
    <row r="130" s="1" customFormat="1" ht="15.6" x14ac:dyDescent="0.3"/>
    <row r="131" s="1" customFormat="1" ht="15.6" x14ac:dyDescent="0.3"/>
    <row r="132" s="1" customFormat="1" ht="15.6" x14ac:dyDescent="0.3"/>
    <row r="133" s="1" customFormat="1" ht="15.6" x14ac:dyDescent="0.3"/>
    <row r="134" s="1" customFormat="1" ht="15.6" x14ac:dyDescent="0.3"/>
    <row r="135" s="1" customFormat="1" ht="15.6" x14ac:dyDescent="0.3"/>
    <row r="136" s="1" customFormat="1" ht="15.6" x14ac:dyDescent="0.3"/>
    <row r="137" s="1" customFormat="1" ht="15.6" x14ac:dyDescent="0.3"/>
    <row r="138" s="1" customFormat="1" ht="15.6" x14ac:dyDescent="0.3"/>
    <row r="139" s="1" customFormat="1" ht="15.6" x14ac:dyDescent="0.3"/>
    <row r="140" s="1" customFormat="1" ht="15.6" x14ac:dyDescent="0.3"/>
    <row r="141" s="1" customFormat="1" ht="15.6" x14ac:dyDescent="0.3"/>
    <row r="142" s="1" customFormat="1" ht="15.6" x14ac:dyDescent="0.3"/>
    <row r="143" s="1" customFormat="1" ht="15.6" x14ac:dyDescent="0.3"/>
    <row r="144" s="1" customFormat="1" ht="15.6" x14ac:dyDescent="0.3"/>
    <row r="145" s="1" customFormat="1" ht="15.6" x14ac:dyDescent="0.3"/>
    <row r="146" s="1" customFormat="1" ht="15.6" x14ac:dyDescent="0.3"/>
    <row r="147" s="1" customFormat="1" ht="15.6" x14ac:dyDescent="0.3"/>
    <row r="148" s="1" customFormat="1" ht="15.6" x14ac:dyDescent="0.3"/>
    <row r="149" s="1" customFormat="1" ht="15.6" x14ac:dyDescent="0.3"/>
    <row r="150" s="1" customFormat="1" ht="15.6" x14ac:dyDescent="0.3"/>
    <row r="151" s="1" customFormat="1" ht="15.6" x14ac:dyDescent="0.3"/>
    <row r="152" s="1" customFormat="1" ht="15.6" x14ac:dyDescent="0.3"/>
    <row r="153" s="1" customFormat="1" ht="15.6" x14ac:dyDescent="0.3"/>
    <row r="154" s="1" customFormat="1" ht="15.6" x14ac:dyDescent="0.3"/>
    <row r="155" s="1" customFormat="1" ht="15.6" x14ac:dyDescent="0.3"/>
    <row r="156" s="1" customFormat="1" ht="15.6" x14ac:dyDescent="0.3"/>
    <row r="157" s="1" customFormat="1" ht="15.6" x14ac:dyDescent="0.3"/>
    <row r="158" s="1" customFormat="1" ht="15.6" x14ac:dyDescent="0.3"/>
    <row r="159" s="1" customFormat="1" ht="15.6" x14ac:dyDescent="0.3"/>
    <row r="160" s="1" customFormat="1" ht="15.6" x14ac:dyDescent="0.3"/>
    <row r="161" s="1" customFormat="1" ht="15.6" x14ac:dyDescent="0.3"/>
    <row r="162" s="1" customFormat="1" ht="15.6" x14ac:dyDescent="0.3"/>
    <row r="163" s="1" customFormat="1" ht="15.6" x14ac:dyDescent="0.3"/>
    <row r="164" s="1" customFormat="1" ht="15.6" x14ac:dyDescent="0.3"/>
    <row r="165" s="1" customFormat="1" ht="15.6" x14ac:dyDescent="0.3"/>
    <row r="166" s="1" customFormat="1" ht="15.6" x14ac:dyDescent="0.3"/>
    <row r="167" s="1" customFormat="1" ht="15.6" x14ac:dyDescent="0.3"/>
    <row r="168" s="1" customFormat="1" ht="15.6" x14ac:dyDescent="0.3"/>
    <row r="169" s="1" customFormat="1" ht="15.6" x14ac:dyDescent="0.3"/>
    <row r="170" s="1" customFormat="1" ht="15.6" x14ac:dyDescent="0.3"/>
  </sheetData>
  <printOptions gridLines="1"/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31"/>
  <sheetViews>
    <sheetView workbookViewId="0">
      <selection activeCell="B8" sqref="B8"/>
    </sheetView>
  </sheetViews>
  <sheetFormatPr defaultColWidth="9.109375" defaultRowHeight="15.6" x14ac:dyDescent="0.3"/>
  <cols>
    <col min="1" max="1" width="46.88671875" style="1" customWidth="1"/>
    <col min="2" max="4" width="23.109375" style="1" customWidth="1"/>
    <col min="5" max="6" width="22.5546875" style="1" customWidth="1"/>
    <col min="7" max="7" width="15.6640625" style="1" customWidth="1"/>
    <col min="8" max="8" width="20" style="1" customWidth="1"/>
    <col min="9" max="9" width="22.5546875" style="1" customWidth="1"/>
    <col min="10" max="10" width="30.6640625" style="1" bestFit="1" customWidth="1"/>
    <col min="11" max="11" width="11" style="1" bestFit="1" customWidth="1"/>
    <col min="12" max="12" width="12.6640625" style="1" customWidth="1"/>
    <col min="13" max="13" width="11.5546875" bestFit="1" customWidth="1"/>
    <col min="14" max="14" width="10.44140625" style="1" customWidth="1"/>
    <col min="15" max="15" width="4.109375" style="1" customWidth="1"/>
    <col min="16" max="16" width="11.109375" style="1" bestFit="1" customWidth="1"/>
    <col min="17" max="17" width="18.6640625" style="1" bestFit="1" customWidth="1"/>
    <col min="18" max="18" width="7.6640625" style="1" customWidth="1"/>
    <col min="19" max="28" width="18.33203125" style="1" bestFit="1" customWidth="1"/>
    <col min="29" max="16384" width="9.109375" style="1"/>
  </cols>
  <sheetData>
    <row r="1" spans="1:22" ht="17.399999999999999" x14ac:dyDescent="0.3">
      <c r="A1" s="8" t="s">
        <v>568</v>
      </c>
    </row>
    <row r="2" spans="1:22" x14ac:dyDescent="0.3">
      <c r="D2" s="53"/>
      <c r="E2" s="53"/>
      <c r="F2" s="53"/>
      <c r="G2" s="53"/>
      <c r="H2" s="53"/>
      <c r="I2" s="53"/>
      <c r="J2" s="53"/>
      <c r="K2" s="53"/>
      <c r="L2" s="53"/>
      <c r="N2" s="53"/>
      <c r="O2" s="53"/>
      <c r="P2" s="53"/>
      <c r="Q2" s="53"/>
      <c r="R2" s="53"/>
      <c r="S2" s="53"/>
      <c r="T2" s="53"/>
      <c r="U2" s="53"/>
      <c r="V2" s="53"/>
    </row>
    <row r="3" spans="1:22" x14ac:dyDescent="0.3">
      <c r="A3" s="12"/>
      <c r="B3" s="465"/>
      <c r="D3" s="53"/>
      <c r="E3" s="53"/>
      <c r="F3" s="53"/>
      <c r="G3" s="53"/>
      <c r="H3" s="53"/>
      <c r="I3" s="53"/>
      <c r="J3" s="53"/>
      <c r="K3" s="53"/>
      <c r="L3" s="53"/>
      <c r="N3" s="53"/>
      <c r="O3" s="53"/>
      <c r="P3" s="53"/>
      <c r="Q3" s="53"/>
      <c r="R3" s="53"/>
      <c r="S3" s="53"/>
      <c r="T3" s="53"/>
      <c r="U3" s="53"/>
      <c r="V3" s="53"/>
    </row>
    <row r="4" spans="1:22" x14ac:dyDescent="0.3">
      <c r="A4" s="27"/>
      <c r="B4" s="19">
        <v>2022</v>
      </c>
      <c r="C4" s="649"/>
      <c r="D4" s="649"/>
      <c r="E4" s="42"/>
      <c r="F4" s="42"/>
      <c r="G4" s="55"/>
      <c r="H4" s="243"/>
      <c r="I4" s="243"/>
      <c r="J4" s="897"/>
      <c r="K4" s="243"/>
      <c r="L4" s="897"/>
      <c r="N4" s="243"/>
      <c r="O4" s="243"/>
      <c r="P4" s="917"/>
      <c r="Q4" s="243"/>
      <c r="R4" s="53"/>
      <c r="S4" s="53"/>
      <c r="T4" s="53"/>
      <c r="U4" s="53"/>
      <c r="V4" s="53"/>
    </row>
    <row r="5" spans="1:22" ht="17.399999999999999" x14ac:dyDescent="0.3">
      <c r="A5" s="15" t="s">
        <v>366</v>
      </c>
      <c r="B5" s="991">
        <v>3800000</v>
      </c>
      <c r="C5" s="613"/>
      <c r="D5" s="613"/>
      <c r="E5" s="601"/>
      <c r="F5" s="601"/>
      <c r="G5" s="601"/>
      <c r="H5" s="601"/>
      <c r="I5" s="601"/>
      <c r="J5" s="601"/>
      <c r="K5" s="601"/>
      <c r="L5" s="601"/>
      <c r="N5" s="601"/>
      <c r="O5" s="601"/>
      <c r="P5" s="601"/>
      <c r="Q5" s="601"/>
      <c r="R5" s="53"/>
      <c r="S5" s="53"/>
      <c r="T5" s="53"/>
      <c r="U5" s="53"/>
      <c r="V5" s="53"/>
    </row>
    <row r="6" spans="1:22" ht="17.399999999999999" x14ac:dyDescent="0.3">
      <c r="A6" s="12" t="s">
        <v>165</v>
      </c>
      <c r="B6" s="246">
        <f>C17</f>
        <v>2549746.3200000003</v>
      </c>
      <c r="C6" s="367" t="e">
        <f>#REF!*C12*1.34*0</f>
        <v>#REF!</v>
      </c>
      <c r="D6" s="602"/>
      <c r="E6" s="603"/>
      <c r="F6" s="603"/>
      <c r="G6" s="575"/>
      <c r="H6" s="575"/>
      <c r="I6" s="576"/>
      <c r="J6" s="576"/>
      <c r="K6" s="576"/>
      <c r="L6" s="576"/>
      <c r="N6" s="576"/>
      <c r="O6" s="53"/>
      <c r="P6" s="53"/>
      <c r="Q6" s="53"/>
      <c r="R6" s="53"/>
      <c r="S6" s="53"/>
      <c r="T6" s="53"/>
      <c r="U6" s="53"/>
      <c r="V6" s="53"/>
    </row>
    <row r="7" spans="1:22" ht="17.399999999999999" x14ac:dyDescent="0.3">
      <c r="A7" s="12" t="s">
        <v>364</v>
      </c>
      <c r="B7" s="606"/>
      <c r="C7" s="41" t="s">
        <v>365</v>
      </c>
      <c r="D7" s="603"/>
      <c r="E7" s="603"/>
      <c r="F7" s="603"/>
      <c r="G7" s="575"/>
      <c r="H7" s="576"/>
      <c r="I7" s="576"/>
      <c r="J7" s="576"/>
      <c r="K7" s="576"/>
      <c r="L7" s="576"/>
      <c r="N7" s="611"/>
      <c r="O7" s="53"/>
      <c r="P7" s="53"/>
      <c r="Q7" s="53"/>
      <c r="R7" s="53"/>
      <c r="S7" s="53"/>
      <c r="T7" s="53"/>
      <c r="U7" s="53"/>
      <c r="V7" s="53"/>
    </row>
    <row r="8" spans="1:22" ht="17.399999999999999" x14ac:dyDescent="0.3">
      <c r="A8" s="12" t="s">
        <v>313</v>
      </c>
      <c r="B8" s="606">
        <f>'6_Garanti'!O46</f>
        <v>385344</v>
      </c>
      <c r="C8" s="41"/>
      <c r="D8" s="603"/>
      <c r="E8" s="603"/>
      <c r="F8" s="603"/>
      <c r="G8" s="575"/>
      <c r="H8" s="576"/>
      <c r="I8" s="576"/>
      <c r="J8" s="576"/>
      <c r="K8" s="576"/>
      <c r="L8" s="576"/>
      <c r="N8" s="611"/>
      <c r="O8" s="53"/>
      <c r="P8" s="53"/>
      <c r="Q8" s="53"/>
      <c r="R8" s="53"/>
      <c r="S8" s="53"/>
      <c r="T8" s="53"/>
      <c r="U8" s="53"/>
      <c r="V8" s="53"/>
    </row>
    <row r="9" spans="1:22" ht="20.399999999999999" x14ac:dyDescent="0.35">
      <c r="A9" s="15" t="s">
        <v>338</v>
      </c>
      <c r="B9" s="573">
        <f>B6+B5+B7+B8</f>
        <v>6735090.3200000003</v>
      </c>
      <c r="D9" s="604"/>
      <c r="E9" s="604"/>
      <c r="F9" s="604"/>
      <c r="G9" s="604"/>
      <c r="H9" s="604"/>
      <c r="I9" s="604"/>
      <c r="J9" s="604"/>
      <c r="K9" s="604"/>
      <c r="L9" s="604"/>
      <c r="N9" s="612"/>
      <c r="O9" s="53"/>
      <c r="P9" s="53"/>
      <c r="Q9" s="53"/>
      <c r="R9" s="53"/>
      <c r="S9" s="53"/>
      <c r="T9" s="53"/>
      <c r="U9" s="53"/>
      <c r="V9" s="53"/>
    </row>
    <row r="10" spans="1:22" x14ac:dyDescent="0.3">
      <c r="A10" s="574" t="s">
        <v>368</v>
      </c>
      <c r="B10" s="610">
        <f>B6-C17</f>
        <v>0</v>
      </c>
      <c r="D10" s="604"/>
      <c r="E10" s="604"/>
      <c r="F10" s="604"/>
      <c r="G10" s="604"/>
      <c r="H10" s="604"/>
      <c r="I10" s="604"/>
      <c r="J10" s="604"/>
      <c r="K10" s="604"/>
      <c r="L10" s="604"/>
      <c r="N10" s="612"/>
      <c r="O10" s="53"/>
      <c r="P10" s="53"/>
      <c r="Q10" s="53"/>
      <c r="R10" s="53"/>
      <c r="S10" s="53"/>
      <c r="T10" s="53"/>
      <c r="U10" s="53"/>
      <c r="V10" s="53"/>
    </row>
    <row r="12" spans="1:22" x14ac:dyDescent="0.3">
      <c r="A12" s="15" t="s">
        <v>367</v>
      </c>
      <c r="B12" s="607" t="s">
        <v>363</v>
      </c>
      <c r="C12" s="608"/>
      <c r="F12" s="851"/>
      <c r="G12" s="33"/>
    </row>
    <row r="13" spans="1:22" x14ac:dyDescent="0.3">
      <c r="B13" s="609" t="s">
        <v>370</v>
      </c>
      <c r="C13" s="646"/>
      <c r="F13" s="1" t="s">
        <v>569</v>
      </c>
    </row>
    <row r="14" spans="1:22" x14ac:dyDescent="0.3">
      <c r="B14" s="247" t="s">
        <v>3</v>
      </c>
      <c r="C14" s="255">
        <f>SUMIF($R$16:$R$25,B14,$Q$16:$Q$25)*1.338</f>
        <v>0</v>
      </c>
      <c r="D14" s="594" t="str">
        <f>"mzdové náklady převedené "&amp;B14&amp;" (viz list 10/sl.K)"</f>
        <v>mzdové náklady převedené ITE (viz list 10/sl.K)</v>
      </c>
      <c r="F14" s="975" t="s">
        <v>304</v>
      </c>
      <c r="G14" s="395"/>
      <c r="H14" s="395"/>
      <c r="I14" s="395"/>
      <c r="J14" s="395"/>
    </row>
    <row r="15" spans="1:22" ht="16.2" thickBot="1" x14ac:dyDescent="0.35">
      <c r="B15" s="247" t="s">
        <v>2</v>
      </c>
      <c r="C15" s="255">
        <f>SUMIF($R$16:$R$25,B15,$Q$16:$Q$25)*1.338</f>
        <v>59755.079999999994</v>
      </c>
      <c r="D15" s="594" t="str">
        <f>"mzdové náklady převedené "&amp;B15&amp;" (viz list 10/sl.K)"</f>
        <v>mzdové náklady převedené MTI (viz list 10/sl.K)</v>
      </c>
      <c r="G15" s="440" t="s">
        <v>311</v>
      </c>
      <c r="H15" s="440" t="s">
        <v>312</v>
      </c>
      <c r="I15" s="440" t="s">
        <v>337</v>
      </c>
      <c r="J15" s="440" t="s">
        <v>1013</v>
      </c>
      <c r="L15" s="440" t="s">
        <v>985</v>
      </c>
      <c r="M15" s="440" t="s">
        <v>986</v>
      </c>
      <c r="N15" s="558"/>
      <c r="P15" s="440" t="s">
        <v>985</v>
      </c>
      <c r="Q15" s="440" t="s">
        <v>987</v>
      </c>
    </row>
    <row r="16" spans="1:22" x14ac:dyDescent="0.3">
      <c r="B16" s="247" t="s">
        <v>1</v>
      </c>
      <c r="C16" s="255">
        <f>SUMIF($R$16:$R$25,B16,$Q$16:$Q$25)*1.338</f>
        <v>0</v>
      </c>
      <c r="D16" s="594" t="str">
        <f>"mzdové náklady převedené "&amp;B16&amp;" (viz list 10/sl.K)"</f>
        <v>mzdové náklady převedené NTI (viz list 10/sl.K)</v>
      </c>
      <c r="F16" s="438" t="s">
        <v>305</v>
      </c>
      <c r="G16" s="976">
        <f>(55000*0.3)+700</f>
        <v>17200</v>
      </c>
      <c r="H16" s="977">
        <v>18000</v>
      </c>
      <c r="I16" s="978">
        <v>5000</v>
      </c>
      <c r="J16" s="979"/>
      <c r="K16" s="3" t="s">
        <v>515</v>
      </c>
      <c r="L16" s="3">
        <v>12</v>
      </c>
      <c r="M16" s="437">
        <f>SUM(G16:I16)*L16</f>
        <v>482400</v>
      </c>
      <c r="N16" s="441" t="s">
        <v>9</v>
      </c>
      <c r="P16" s="3">
        <v>0</v>
      </c>
      <c r="Q16" s="437">
        <f>J16*L16</f>
        <v>0</v>
      </c>
      <c r="R16" s="441" t="s">
        <v>3</v>
      </c>
    </row>
    <row r="17" spans="1:18" ht="16.2" x14ac:dyDescent="0.35">
      <c r="B17" s="247" t="s">
        <v>9</v>
      </c>
      <c r="C17" s="255">
        <f>SUMIF($N$16:$N$25,B17,$M$16:$M$25)*1.338</f>
        <v>2549746.3200000003</v>
      </c>
      <c r="D17" s="594" t="str">
        <f>"mzdové náklady rozpočtem "&amp;B17&amp;" mimo paušál &gt; viz B6"</f>
        <v>mzdové náklady rozpočtem DFM mimo paušál &gt; viz B6</v>
      </c>
      <c r="F17" s="439" t="s">
        <v>306</v>
      </c>
      <c r="G17" s="964">
        <f>40000*0.5</f>
        <v>20000</v>
      </c>
      <c r="H17" s="965">
        <v>11000</v>
      </c>
      <c r="I17" s="966">
        <v>0</v>
      </c>
      <c r="J17" s="967"/>
      <c r="K17" s="605" t="s">
        <v>516</v>
      </c>
      <c r="L17" s="605">
        <v>12</v>
      </c>
      <c r="M17" s="437">
        <f t="shared" ref="M17:M25" si="0">SUM(G17:I17)*L17</f>
        <v>372000</v>
      </c>
      <c r="N17" s="441" t="s">
        <v>9</v>
      </c>
      <c r="P17" s="3">
        <v>0</v>
      </c>
      <c r="Q17" s="437">
        <f t="shared" ref="Q17:Q25" si="1">J17*L17</f>
        <v>0</v>
      </c>
      <c r="R17" s="441" t="s">
        <v>2</v>
      </c>
    </row>
    <row r="18" spans="1:18" ht="16.2" x14ac:dyDescent="0.35">
      <c r="B18" s="247"/>
      <c r="C18" s="255"/>
      <c r="D18" s="594"/>
      <c r="F18" s="439" t="s">
        <v>307</v>
      </c>
      <c r="G18" s="964">
        <f>29000*0.28</f>
        <v>8120.0000000000009</v>
      </c>
      <c r="H18" s="965">
        <v>11000</v>
      </c>
      <c r="I18" s="966">
        <v>0</v>
      </c>
      <c r="J18" s="967">
        <f>(29000*0.5)-G18</f>
        <v>6379.9999999999991</v>
      </c>
      <c r="K18" s="605" t="s">
        <v>516</v>
      </c>
      <c r="L18" s="605">
        <v>12</v>
      </c>
      <c r="M18" s="437">
        <f t="shared" si="0"/>
        <v>229440</v>
      </c>
      <c r="N18" s="441" t="s">
        <v>9</v>
      </c>
      <c r="P18" s="3">
        <v>7</v>
      </c>
      <c r="Q18" s="437">
        <f>J18*P18</f>
        <v>44659.999999999993</v>
      </c>
      <c r="R18" s="441" t="s">
        <v>2</v>
      </c>
    </row>
    <row r="19" spans="1:18" ht="16.2" x14ac:dyDescent="0.35">
      <c r="C19" s="610"/>
      <c r="D19" s="596"/>
      <c r="F19" s="439" t="s">
        <v>308</v>
      </c>
      <c r="G19" s="964">
        <f>55000*0.5</f>
        <v>27500</v>
      </c>
      <c r="H19" s="965">
        <v>11000</v>
      </c>
      <c r="I19" s="966">
        <v>0</v>
      </c>
      <c r="J19" s="967"/>
      <c r="K19" s="605" t="s">
        <v>516</v>
      </c>
      <c r="L19" s="605">
        <v>12</v>
      </c>
      <c r="M19" s="437">
        <f t="shared" si="0"/>
        <v>462000</v>
      </c>
      <c r="N19" s="441" t="s">
        <v>9</v>
      </c>
      <c r="P19" s="3">
        <v>0</v>
      </c>
      <c r="Q19" s="437">
        <f t="shared" si="1"/>
        <v>0</v>
      </c>
      <c r="R19" s="441" t="s">
        <v>3</v>
      </c>
    </row>
    <row r="20" spans="1:18" x14ac:dyDescent="0.3">
      <c r="F20" s="438" t="s">
        <v>309</v>
      </c>
      <c r="G20" s="980">
        <f>20000*0.5</f>
        <v>10000</v>
      </c>
      <c r="H20" s="981">
        <v>0</v>
      </c>
      <c r="I20" s="982">
        <v>0</v>
      </c>
      <c r="J20" s="983"/>
      <c r="K20" s="821" t="s">
        <v>340</v>
      </c>
      <c r="L20" s="605">
        <v>12</v>
      </c>
      <c r="M20" s="437">
        <f t="shared" si="0"/>
        <v>120000</v>
      </c>
      <c r="N20" s="441" t="s">
        <v>9</v>
      </c>
      <c r="P20" s="3">
        <v>0</v>
      </c>
      <c r="Q20" s="437">
        <f t="shared" si="1"/>
        <v>0</v>
      </c>
      <c r="R20" s="441" t="s">
        <v>2</v>
      </c>
    </row>
    <row r="21" spans="1:18" x14ac:dyDescent="0.3">
      <c r="F21" s="438" t="s">
        <v>310</v>
      </c>
      <c r="G21" s="980">
        <f>35000*0.2</f>
        <v>7000</v>
      </c>
      <c r="H21" s="981">
        <v>0</v>
      </c>
      <c r="I21" s="982">
        <v>2300</v>
      </c>
      <c r="J21" s="983"/>
      <c r="K21" s="822" t="s">
        <v>343</v>
      </c>
      <c r="L21" s="605">
        <v>12</v>
      </c>
      <c r="M21" s="437">
        <f t="shared" si="0"/>
        <v>111600</v>
      </c>
      <c r="N21" s="441" t="s">
        <v>9</v>
      </c>
      <c r="P21" s="3">
        <v>0</v>
      </c>
      <c r="Q21" s="437">
        <f t="shared" si="1"/>
        <v>0</v>
      </c>
      <c r="R21" s="441" t="s">
        <v>519</v>
      </c>
    </row>
    <row r="22" spans="1:18" x14ac:dyDescent="0.3">
      <c r="F22" s="438" t="s">
        <v>336</v>
      </c>
      <c r="G22" s="980">
        <f>30000*0.15</f>
        <v>4500</v>
      </c>
      <c r="H22" s="981">
        <v>0</v>
      </c>
      <c r="I22" s="982">
        <v>1000</v>
      </c>
      <c r="J22" s="983"/>
      <c r="K22" s="822" t="s">
        <v>339</v>
      </c>
      <c r="L22" s="605">
        <v>12</v>
      </c>
      <c r="M22" s="437">
        <f t="shared" si="0"/>
        <v>66000</v>
      </c>
      <c r="N22" s="441" t="s">
        <v>9</v>
      </c>
      <c r="P22" s="3">
        <v>0</v>
      </c>
      <c r="Q22" s="437">
        <f t="shared" si="1"/>
        <v>0</v>
      </c>
      <c r="R22" s="441" t="s">
        <v>9</v>
      </c>
    </row>
    <row r="23" spans="1:18" x14ac:dyDescent="0.3">
      <c r="A23" s="27"/>
      <c r="F23" s="438" t="s">
        <v>394</v>
      </c>
      <c r="G23" s="980">
        <f>37000*0.05</f>
        <v>1850</v>
      </c>
      <c r="H23" s="981">
        <v>0</v>
      </c>
      <c r="I23" s="982">
        <v>0</v>
      </c>
      <c r="J23" s="983"/>
      <c r="K23" s="822" t="s">
        <v>395</v>
      </c>
      <c r="L23" s="605">
        <v>12</v>
      </c>
      <c r="M23" s="437">
        <f t="shared" si="0"/>
        <v>22200</v>
      </c>
      <c r="N23" s="441" t="s">
        <v>9</v>
      </c>
      <c r="P23" s="3">
        <v>0</v>
      </c>
      <c r="Q23" s="437">
        <f t="shared" si="1"/>
        <v>0</v>
      </c>
      <c r="R23" s="441" t="s">
        <v>3</v>
      </c>
    </row>
    <row r="24" spans="1:18" x14ac:dyDescent="0.3">
      <c r="A24" s="27"/>
      <c r="F24" s="438" t="s">
        <v>517</v>
      </c>
      <c r="G24" s="984">
        <v>0</v>
      </c>
      <c r="H24" s="985">
        <v>0</v>
      </c>
      <c r="I24" s="986">
        <v>3000</v>
      </c>
      <c r="J24" s="983"/>
      <c r="K24" s="822" t="s">
        <v>518</v>
      </c>
      <c r="L24" s="605">
        <v>12</v>
      </c>
      <c r="M24" s="437">
        <f t="shared" si="0"/>
        <v>36000</v>
      </c>
      <c r="N24" s="441" t="s">
        <v>9</v>
      </c>
      <c r="P24" s="3">
        <v>0</v>
      </c>
      <c r="Q24" s="437">
        <f t="shared" si="1"/>
        <v>0</v>
      </c>
      <c r="R24" s="441" t="s">
        <v>1</v>
      </c>
    </row>
    <row r="25" spans="1:18" ht="16.2" thickBot="1" x14ac:dyDescent="0.35">
      <c r="F25" s="438" t="s">
        <v>505</v>
      </c>
      <c r="G25" s="987">
        <v>0</v>
      </c>
      <c r="H25" s="988">
        <v>0</v>
      </c>
      <c r="I25" s="989">
        <v>1000</v>
      </c>
      <c r="J25" s="990"/>
      <c r="K25" s="822" t="s">
        <v>506</v>
      </c>
      <c r="L25" s="605">
        <v>4</v>
      </c>
      <c r="M25" s="437">
        <f t="shared" si="0"/>
        <v>4000</v>
      </c>
      <c r="N25" s="441" t="s">
        <v>9</v>
      </c>
      <c r="P25" s="3">
        <v>0</v>
      </c>
      <c r="Q25" s="437">
        <f t="shared" si="1"/>
        <v>0</v>
      </c>
      <c r="R25" s="441" t="s">
        <v>3</v>
      </c>
    </row>
    <row r="26" spans="1:18" x14ac:dyDescent="0.3">
      <c r="F26" s="43"/>
      <c r="G26" s="540"/>
      <c r="H26" s="940"/>
      <c r="I26" s="613"/>
      <c r="J26" s="613"/>
      <c r="L26" s="605"/>
    </row>
    <row r="27" spans="1:18" x14ac:dyDescent="0.3">
      <c r="F27" s="549"/>
      <c r="H27" s="27"/>
      <c r="I27" s="288"/>
      <c r="J27" s="27"/>
      <c r="M27" s="355"/>
    </row>
    <row r="28" spans="1:18" x14ac:dyDescent="0.3">
      <c r="G28" s="383"/>
      <c r="K28" s="383"/>
      <c r="L28" s="383"/>
    </row>
    <row r="30" spans="1:18" x14ac:dyDescent="0.3">
      <c r="E30" s="221"/>
    </row>
    <row r="31" spans="1:18" x14ac:dyDescent="0.3">
      <c r="E31" s="221"/>
    </row>
  </sheetData>
  <printOptions horizontalCentered="1" gridLines="1"/>
  <pageMargins left="0" right="0" top="0.78740157480314965" bottom="0" header="0.31496062992125984" footer="0"/>
  <pageSetup paperSize="9" scale="99" orientation="landscape" horizontalDpi="4294967295" verticalDpi="4294967295" r:id="rId1"/>
  <headerFooter>
    <oddHeader>&amp;R&amp;Z&amp;F
List: &amp;A</oddHead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A76"/>
  <sheetViews>
    <sheetView tabSelected="1" zoomScale="85" zoomScaleNormal="85" workbookViewId="0">
      <pane xSplit="1" ySplit="10" topLeftCell="B11" activePane="bottomRight" state="frozen"/>
      <selection pane="topRight" activeCell="B1" sqref="B1"/>
      <selection pane="bottomLeft" activeCell="A4" sqref="A4"/>
      <selection pane="bottomRight" activeCell="O15" sqref="O15"/>
    </sheetView>
  </sheetViews>
  <sheetFormatPr defaultColWidth="9.109375" defaultRowHeight="18" x14ac:dyDescent="0.35"/>
  <cols>
    <col min="1" max="1" width="10.88671875" style="9" customWidth="1"/>
    <col min="2" max="2" width="25" style="56" customWidth="1"/>
    <col min="3" max="3" width="14.44140625" style="72" customWidth="1"/>
    <col min="4" max="4" width="15.44140625" style="56" bestFit="1" customWidth="1"/>
    <col min="5" max="5" width="11" style="72" customWidth="1"/>
    <col min="6" max="6" width="16.33203125" style="56" customWidth="1"/>
    <col min="7" max="7" width="19" style="56" customWidth="1"/>
    <col min="8" max="8" width="17.44140625" style="73" customWidth="1"/>
    <col min="9" max="9" width="17.33203125" style="11" customWidth="1"/>
    <col min="10" max="10" width="13.44140625" style="8" customWidth="1"/>
    <col min="11" max="13" width="16.33203125" style="8" customWidth="1"/>
    <col min="14" max="14" width="21.44140625" style="9" customWidth="1"/>
    <col min="15" max="15" width="8.109375" style="9" customWidth="1"/>
    <col min="16" max="16" width="13.88671875" style="9" bestFit="1" customWidth="1"/>
    <col min="17" max="17" width="9" style="40" customWidth="1"/>
    <col min="18" max="18" width="16.33203125" style="9" customWidth="1"/>
    <col min="19" max="19" width="13.5546875" style="9" customWidth="1"/>
    <col min="20" max="20" width="14" style="9" customWidth="1"/>
    <col min="21" max="21" width="22.33203125" style="9" customWidth="1"/>
    <col min="22" max="23" width="16" style="9" bestFit="1" customWidth="1"/>
    <col min="24" max="24" width="12.88671875" style="9" bestFit="1" customWidth="1"/>
    <col min="25" max="25" width="11.88671875" style="9" customWidth="1"/>
    <col min="26" max="26" width="18.5546875" style="9" customWidth="1"/>
    <col min="27" max="27" width="10" style="9" bestFit="1" customWidth="1"/>
    <col min="28" max="28" width="12.33203125" style="9" customWidth="1"/>
    <col min="29" max="29" width="17.5546875" style="9" customWidth="1"/>
    <col min="30" max="30" width="9.88671875" style="9" bestFit="1" customWidth="1"/>
    <col min="31" max="32" width="9.109375" style="9"/>
    <col min="33" max="33" width="16.44140625" style="9" customWidth="1"/>
    <col min="34" max="34" width="15" style="9" customWidth="1"/>
    <col min="35" max="35" width="9.109375" style="9"/>
    <col min="36" max="36" width="13.6640625" style="9" customWidth="1"/>
    <col min="37" max="16384" width="9.109375" style="9"/>
  </cols>
  <sheetData>
    <row r="1" spans="1:27" x14ac:dyDescent="0.35">
      <c r="A1" s="8" t="s">
        <v>571</v>
      </c>
      <c r="O1" s="40"/>
      <c r="P1" s="40"/>
    </row>
    <row r="2" spans="1:27" x14ac:dyDescent="0.35">
      <c r="A2" s="8"/>
      <c r="O2" s="40"/>
      <c r="P2" s="40"/>
    </row>
    <row r="3" spans="1:27" x14ac:dyDescent="0.35">
      <c r="A3" s="8"/>
      <c r="B3" s="725" t="s">
        <v>415</v>
      </c>
      <c r="C3" s="9"/>
      <c r="D3" s="208">
        <f>'0_PRIDEL'!B19</f>
        <v>49109633.93860998</v>
      </c>
      <c r="O3" s="40"/>
      <c r="P3" s="40"/>
    </row>
    <row r="4" spans="1:27" x14ac:dyDescent="0.35">
      <c r="A4" s="8"/>
      <c r="B4" s="76" t="s">
        <v>416</v>
      </c>
      <c r="C4" s="76">
        <f>'4_DOC_PROF'!I15</f>
        <v>85000</v>
      </c>
      <c r="D4" s="56">
        <f>D3-C4</f>
        <v>49024633.93860998</v>
      </c>
      <c r="O4" s="40"/>
      <c r="P4" s="40"/>
    </row>
    <row r="5" spans="1:27" x14ac:dyDescent="0.35">
      <c r="A5" s="8"/>
      <c r="B5" s="76" t="s">
        <v>414</v>
      </c>
      <c r="C5" s="76">
        <f>'4a_úvazky-na-FM'!J27</f>
        <v>290405.64072900231</v>
      </c>
      <c r="D5" s="726">
        <f>D4-C5</f>
        <v>48734228.297880977</v>
      </c>
      <c r="O5" s="40"/>
      <c r="P5" s="40"/>
    </row>
    <row r="6" spans="1:27" x14ac:dyDescent="0.35">
      <c r="A6" s="8"/>
      <c r="B6" s="76" t="s">
        <v>995</v>
      </c>
      <c r="C6" s="76">
        <f>SUM('9_DFM'!C14:C16)</f>
        <v>59755.079999999994</v>
      </c>
      <c r="D6" s="726">
        <f>D5-C6</f>
        <v>48674473.217880979</v>
      </c>
      <c r="O6" s="40"/>
      <c r="P6" s="40"/>
    </row>
    <row r="7" spans="1:27" x14ac:dyDescent="0.35">
      <c r="A7" s="8"/>
      <c r="B7" s="76" t="s">
        <v>313</v>
      </c>
      <c r="C7" s="76">
        <f>'6_Garanti'!O46</f>
        <v>385344</v>
      </c>
      <c r="D7" s="726">
        <f>D6-C7</f>
        <v>48289129.217880979</v>
      </c>
      <c r="E7" s="788" t="s">
        <v>502</v>
      </c>
      <c r="O7" s="40"/>
      <c r="P7" s="40"/>
    </row>
    <row r="8" spans="1:27" ht="20.399999999999999" x14ac:dyDescent="0.35">
      <c r="A8" s="256"/>
      <c r="O8" s="40"/>
      <c r="P8" s="40"/>
    </row>
    <row r="9" spans="1:27" x14ac:dyDescent="0.35">
      <c r="B9" s="56" t="s">
        <v>87</v>
      </c>
      <c r="C9" s="56" t="s">
        <v>88</v>
      </c>
      <c r="D9" s="56" t="s">
        <v>89</v>
      </c>
      <c r="E9" s="56" t="s">
        <v>90</v>
      </c>
      <c r="F9" s="56" t="s">
        <v>38</v>
      </c>
      <c r="G9" s="56" t="s">
        <v>39</v>
      </c>
      <c r="H9" s="56" t="s">
        <v>86</v>
      </c>
      <c r="I9" s="56" t="s">
        <v>85</v>
      </c>
      <c r="J9" s="56" t="s">
        <v>40</v>
      </c>
      <c r="K9" s="56" t="s">
        <v>135</v>
      </c>
      <c r="L9" s="56" t="s">
        <v>230</v>
      </c>
      <c r="M9" s="56" t="s">
        <v>254</v>
      </c>
      <c r="N9" s="56" t="s">
        <v>314</v>
      </c>
      <c r="P9" s="73"/>
    </row>
    <row r="10" spans="1:27" s="11" customFormat="1" ht="52.8" x14ac:dyDescent="0.35">
      <c r="A10" s="257"/>
      <c r="B10" s="258" t="s">
        <v>58</v>
      </c>
      <c r="C10" s="36" t="s">
        <v>6</v>
      </c>
      <c r="D10" s="258" t="s">
        <v>0</v>
      </c>
      <c r="E10" s="36" t="s">
        <v>6</v>
      </c>
      <c r="F10" s="134" t="s">
        <v>31</v>
      </c>
      <c r="G10" s="674" t="s">
        <v>138</v>
      </c>
      <c r="H10" s="131" t="s">
        <v>37</v>
      </c>
      <c r="I10" s="675" t="s">
        <v>139</v>
      </c>
      <c r="J10" s="131" t="s">
        <v>233</v>
      </c>
      <c r="K10" s="131" t="s">
        <v>277</v>
      </c>
      <c r="L10" s="131" t="s">
        <v>253</v>
      </c>
      <c r="M10" s="131" t="s">
        <v>313</v>
      </c>
      <c r="N10" s="131" t="s">
        <v>251</v>
      </c>
      <c r="P10" s="960"/>
      <c r="V10" s="9"/>
      <c r="W10" s="9"/>
      <c r="X10" s="9"/>
      <c r="Y10" s="9"/>
      <c r="Z10" s="9"/>
      <c r="AA10" s="9"/>
    </row>
    <row r="11" spans="1:27" x14ac:dyDescent="0.35">
      <c r="A11" s="15" t="s">
        <v>3</v>
      </c>
      <c r="B11" s="259">
        <f>'5_Výuka'!D370</f>
        <v>5036082.4746390013</v>
      </c>
      <c r="C11" s="259">
        <f>B11/$B$16*100</f>
        <v>20.429030829369744</v>
      </c>
      <c r="D11" s="259">
        <f>'5_Výuka'!G370</f>
        <v>1817620.8537110006</v>
      </c>
      <c r="E11" s="259">
        <f>D11/$D$16*100</f>
        <v>14.921811216479309</v>
      </c>
      <c r="F11" s="259">
        <f>'2_Projekty_BP_DP'!J5</f>
        <v>370000</v>
      </c>
      <c r="G11" s="259">
        <f>B11+D11+F11</f>
        <v>7223703.3283500019</v>
      </c>
      <c r="H11" s="259">
        <f>'3_DSP'!N7</f>
        <v>784732.39977038524</v>
      </c>
      <c r="I11" s="259">
        <f>G11+H11</f>
        <v>8008435.7281203875</v>
      </c>
      <c r="J11" s="259">
        <f>'4_DOC_PROF'!K7</f>
        <v>45000</v>
      </c>
      <c r="K11" s="259">
        <f>'9_DFM'!C14</f>
        <v>0</v>
      </c>
      <c r="L11" s="259">
        <f>'4a_úvazky-na-FM'!J24</f>
        <v>58265.262157132245</v>
      </c>
      <c r="M11" s="259">
        <f>'6_Garanti'!O42</f>
        <v>0</v>
      </c>
      <c r="N11" s="260">
        <f>I11+J11+K11+L11+M11</f>
        <v>8111700.9902775194</v>
      </c>
      <c r="O11" s="510"/>
      <c r="P11" s="961">
        <f>N11/SUM($N$11:$N$14)</f>
        <v>0.16709075430864065</v>
      </c>
      <c r="W11" s="74"/>
      <c r="X11" s="74"/>
      <c r="Z11" s="98"/>
    </row>
    <row r="12" spans="1:27" x14ac:dyDescent="0.35">
      <c r="A12" s="15" t="s">
        <v>2</v>
      </c>
      <c r="B12" s="259">
        <f>'5_Výuka'!D371</f>
        <v>11480122.402363047</v>
      </c>
      <c r="C12" s="259">
        <f>B12/$B$16*100</f>
        <v>46.569486433921924</v>
      </c>
      <c r="D12" s="259">
        <f>'5_Výuka'!G371</f>
        <v>5827708.6126138046</v>
      </c>
      <c r="E12" s="259">
        <f>D12/$D$16*100</f>
        <v>47.842743201657974</v>
      </c>
      <c r="F12" s="259">
        <f>'2_Projekty_BP_DP'!J6</f>
        <v>1446000</v>
      </c>
      <c r="G12" s="259">
        <f>B12+D12+F12</f>
        <v>18753831.014976852</v>
      </c>
      <c r="H12" s="259">
        <f>'3_DSP'!N8</f>
        <v>3097627.8938304679</v>
      </c>
      <c r="I12" s="259">
        <f t="shared" ref="I12" si="0">G12+H12</f>
        <v>21851458.908807319</v>
      </c>
      <c r="J12" s="259">
        <f>'4_DOC_PROF'!K8</f>
        <v>20000</v>
      </c>
      <c r="K12" s="259">
        <f>'9_DFM'!C15</f>
        <v>59755.079999999994</v>
      </c>
      <c r="L12" s="259">
        <f>'4a_úvazky-na-FM'!J25</f>
        <v>124750.79267729107</v>
      </c>
      <c r="M12" s="259">
        <f>'6_Garanti'!O43</f>
        <v>0</v>
      </c>
      <c r="N12" s="260">
        <f>I12+J12+K12+L12+M12</f>
        <v>22055964.781484608</v>
      </c>
      <c r="O12" s="510"/>
      <c r="P12" s="961">
        <f t="shared" ref="P12:P14" si="1">N12/SUM($N$11:$N$14)</f>
        <v>0.45432490630020023</v>
      </c>
      <c r="W12" s="74"/>
      <c r="X12" s="74"/>
      <c r="Z12" s="98"/>
    </row>
    <row r="13" spans="1:27" x14ac:dyDescent="0.35">
      <c r="A13" s="15" t="s">
        <v>1</v>
      </c>
      <c r="B13" s="259">
        <f>'5_Výuka'!D372</f>
        <v>8135392.7279067961</v>
      </c>
      <c r="C13" s="259">
        <f>B13/$B$16*100</f>
        <v>33.001482736708326</v>
      </c>
      <c r="D13" s="259">
        <f>'5_Výuka'!G372</f>
        <v>4535637.2229177281</v>
      </c>
      <c r="E13" s="259">
        <f>D13/$D$16*100</f>
        <v>37.235445581862713</v>
      </c>
      <c r="F13" s="259">
        <f>'2_Projekty_BP_DP'!J7</f>
        <v>802000</v>
      </c>
      <c r="G13" s="259">
        <f>B13+D13+F13</f>
        <v>13473029.950824525</v>
      </c>
      <c r="H13" s="259">
        <f>'3_DSP'!N9</f>
        <v>3593248.356843343</v>
      </c>
      <c r="I13" s="259">
        <f>G13+H13</f>
        <v>17066278.307667866</v>
      </c>
      <c r="J13" s="259">
        <f>'4_DOC_PROF'!K9</f>
        <v>20000</v>
      </c>
      <c r="K13" s="259">
        <f>'9_DFM'!C16</f>
        <v>0</v>
      </c>
      <c r="L13" s="259">
        <f>'4a_úvazky-na-FM'!J26</f>
        <v>107389.58589457898</v>
      </c>
      <c r="M13" s="259">
        <f>'6_Garanti'!O44</f>
        <v>0</v>
      </c>
      <c r="N13" s="260">
        <f>I13+J13+K13+L13+M13</f>
        <v>17193667.893562444</v>
      </c>
      <c r="O13" s="510"/>
      <c r="P13" s="961">
        <f t="shared" si="1"/>
        <v>0.35416775607372536</v>
      </c>
      <c r="W13" s="74"/>
      <c r="X13" s="74"/>
    </row>
    <row r="14" spans="1:27" x14ac:dyDescent="0.35">
      <c r="A14" s="15" t="s">
        <v>9</v>
      </c>
      <c r="B14" s="259"/>
      <c r="C14" s="259"/>
      <c r="D14" s="259"/>
      <c r="E14" s="259"/>
      <c r="F14" s="259"/>
      <c r="G14" s="259"/>
      <c r="H14" s="259">
        <f>'3_DSP'!L10</f>
        <v>800000</v>
      </c>
      <c r="I14" s="259">
        <f t="shared" ref="I14:I15" si="2">G14+H14</f>
        <v>800000</v>
      </c>
      <c r="J14" s="259"/>
      <c r="K14" s="259"/>
      <c r="L14" s="259"/>
      <c r="M14" s="259">
        <f>'6_Garanti'!O46</f>
        <v>385344</v>
      </c>
      <c r="N14" s="260">
        <f>I14+J14+K14+L14+M14</f>
        <v>1185344</v>
      </c>
      <c r="O14" s="1015" t="s">
        <v>1043</v>
      </c>
      <c r="P14" s="961">
        <f t="shared" si="1"/>
        <v>2.44165833174338E-2</v>
      </c>
      <c r="W14" s="74"/>
      <c r="X14" s="74"/>
    </row>
    <row r="15" spans="1:27" ht="18.600000000000001" thickBot="1" x14ac:dyDescent="0.4">
      <c r="A15" s="15" t="s">
        <v>904</v>
      </c>
      <c r="B15" s="879"/>
      <c r="C15" s="879"/>
      <c r="D15" s="879"/>
      <c r="E15" s="879"/>
      <c r="F15" s="879"/>
      <c r="G15" s="879"/>
      <c r="H15" s="879">
        <f>'3_DSP'!N16</f>
        <v>562956.27328540594</v>
      </c>
      <c r="I15" s="879">
        <f t="shared" si="2"/>
        <v>562956.27328540594</v>
      </c>
      <c r="J15" s="879"/>
      <c r="K15" s="879"/>
      <c r="L15" s="879"/>
      <c r="M15" s="879"/>
      <c r="N15" s="880">
        <f>I15+J15+K15+L15+M15</f>
        <v>562956.27328540594</v>
      </c>
      <c r="O15" s="510"/>
      <c r="P15" s="510"/>
      <c r="W15" s="74"/>
      <c r="X15" s="74"/>
    </row>
    <row r="16" spans="1:27" ht="18.600000000000001" thickBot="1" x14ac:dyDescent="0.4">
      <c r="A16" s="58"/>
      <c r="B16" s="261">
        <f t="shared" ref="B16:K16" si="3">SUM(B11:B14)</f>
        <v>24651597.604908846</v>
      </c>
      <c r="C16" s="262">
        <f t="shared" si="3"/>
        <v>99.999999999999986</v>
      </c>
      <c r="D16" s="263">
        <f t="shared" si="3"/>
        <v>12180966.689242534</v>
      </c>
      <c r="E16" s="262">
        <f t="shared" si="3"/>
        <v>100</v>
      </c>
      <c r="F16" s="264">
        <f t="shared" si="3"/>
        <v>2618000</v>
      </c>
      <c r="G16" s="265">
        <f t="shared" si="3"/>
        <v>39450564.294151381</v>
      </c>
      <c r="H16" s="228">
        <f>SUM(H11:H15)</f>
        <v>8838564.9237296022</v>
      </c>
      <c r="I16" s="266">
        <f t="shared" si="3"/>
        <v>47726172.944595575</v>
      </c>
      <c r="J16" s="267">
        <f t="shared" si="3"/>
        <v>85000</v>
      </c>
      <c r="K16" s="267">
        <f t="shared" si="3"/>
        <v>59755.079999999994</v>
      </c>
      <c r="L16" s="267">
        <f>SUM(L11:L14)</f>
        <v>290405.64072900231</v>
      </c>
      <c r="M16" s="267">
        <f>SUM(M11:M14)</f>
        <v>385344</v>
      </c>
      <c r="N16" s="268">
        <f>SUM(N11:N15)</f>
        <v>49109633.938609973</v>
      </c>
      <c r="W16" s="75"/>
      <c r="X16" s="75"/>
    </row>
    <row r="17" spans="2:18" x14ac:dyDescent="0.35">
      <c r="C17" s="77"/>
      <c r="D17" s="75"/>
      <c r="E17" s="75"/>
      <c r="F17" s="75"/>
      <c r="G17" s="75"/>
      <c r="H17" s="40"/>
      <c r="I17" s="114"/>
      <c r="J17" s="115"/>
      <c r="K17" s="115"/>
      <c r="L17" s="115"/>
      <c r="M17" s="647" t="s">
        <v>335</v>
      </c>
      <c r="N17" s="648">
        <f>N16-'0_PRIDEL'!B19</f>
        <v>0</v>
      </c>
      <c r="O17" s="80"/>
      <c r="P17" s="80"/>
      <c r="R17" s="81"/>
    </row>
    <row r="18" spans="2:18" x14ac:dyDescent="0.35">
      <c r="B18" s="76"/>
      <c r="I18" s="83"/>
      <c r="N18" s="8"/>
      <c r="O18" s="2"/>
    </row>
    <row r="19" spans="2:18" x14ac:dyDescent="0.35">
      <c r="B19" s="76"/>
      <c r="I19" s="83"/>
      <c r="N19" s="8"/>
    </row>
    <row r="20" spans="2:18" x14ac:dyDescent="0.35">
      <c r="B20" s="76"/>
      <c r="I20" s="83"/>
      <c r="N20" s="8"/>
      <c r="O20" s="2"/>
    </row>
    <row r="21" spans="2:18" x14ac:dyDescent="0.35">
      <c r="B21" s="76"/>
      <c r="I21" s="83"/>
      <c r="N21" s="8"/>
      <c r="O21" s="2"/>
    </row>
    <row r="22" spans="2:18" x14ac:dyDescent="0.35">
      <c r="B22" s="78"/>
      <c r="I22" s="83"/>
      <c r="N22" s="8"/>
      <c r="O22" s="2"/>
    </row>
    <row r="23" spans="2:18" s="79" customFormat="1" x14ac:dyDescent="0.35">
      <c r="B23" s="78"/>
      <c r="I23" s="82"/>
      <c r="J23" s="84"/>
      <c r="K23" s="84"/>
      <c r="L23" s="84"/>
      <c r="M23" s="84"/>
      <c r="N23" s="84"/>
      <c r="O23" s="19"/>
    </row>
    <row r="24" spans="2:18" s="79" customFormat="1" x14ac:dyDescent="0.35">
      <c r="B24" s="78"/>
      <c r="I24" s="82"/>
      <c r="J24" s="84"/>
      <c r="K24" s="84"/>
      <c r="L24" s="84"/>
      <c r="M24" s="84"/>
      <c r="N24" s="84"/>
      <c r="O24" s="19"/>
    </row>
    <row r="25" spans="2:18" s="79" customFormat="1" x14ac:dyDescent="0.35">
      <c r="B25" s="78"/>
      <c r="I25" s="82"/>
      <c r="J25" s="84"/>
      <c r="K25" s="84"/>
      <c r="L25" s="84"/>
      <c r="M25" s="84"/>
      <c r="N25" s="84"/>
      <c r="O25" s="19"/>
    </row>
    <row r="26" spans="2:18" s="79" customFormat="1" x14ac:dyDescent="0.35">
      <c r="B26" s="99"/>
      <c r="C26" s="100"/>
      <c r="D26" s="100"/>
      <c r="E26" s="100"/>
      <c r="F26" s="100"/>
      <c r="G26" s="100"/>
      <c r="H26" s="100"/>
      <c r="I26" s="82"/>
      <c r="J26" s="84"/>
      <c r="K26" s="84"/>
      <c r="L26" s="84"/>
      <c r="M26" s="84"/>
      <c r="N26" s="84"/>
      <c r="O26" s="19"/>
    </row>
    <row r="27" spans="2:18" s="79" customFormat="1" x14ac:dyDescent="0.35">
      <c r="B27" s="109"/>
      <c r="C27" s="110"/>
      <c r="D27" s="60"/>
      <c r="E27" s="102"/>
      <c r="F27" s="101"/>
      <c r="G27" s="101"/>
      <c r="H27" s="111"/>
      <c r="I27" s="82"/>
      <c r="J27" s="84"/>
      <c r="K27" s="84"/>
      <c r="L27" s="84"/>
      <c r="M27" s="84"/>
      <c r="N27" s="84"/>
      <c r="O27" s="19"/>
    </row>
    <row r="28" spans="2:18" s="79" customFormat="1" x14ac:dyDescent="0.35">
      <c r="B28" s="58"/>
      <c r="C28" s="58"/>
      <c r="D28" s="58"/>
      <c r="E28" s="102"/>
      <c r="F28" s="101"/>
      <c r="G28" s="101"/>
      <c r="H28" s="111"/>
      <c r="I28" s="82"/>
      <c r="J28" s="84"/>
      <c r="K28" s="84"/>
      <c r="L28" s="84"/>
      <c r="M28" s="84"/>
      <c r="N28" s="84"/>
      <c r="O28" s="19"/>
    </row>
    <row r="29" spans="2:18" s="79" customFormat="1" x14ac:dyDescent="0.35">
      <c r="B29" s="101"/>
      <c r="C29" s="103"/>
      <c r="D29" s="101"/>
      <c r="E29" s="44"/>
      <c r="F29" s="44"/>
      <c r="G29" s="112"/>
      <c r="H29" s="44"/>
      <c r="I29" s="31"/>
      <c r="J29" s="85"/>
      <c r="K29" s="85"/>
      <c r="L29" s="85"/>
      <c r="M29" s="85"/>
      <c r="N29" s="86"/>
      <c r="O29" s="86"/>
    </row>
    <row r="30" spans="2:18" x14ac:dyDescent="0.35">
      <c r="B30" s="101"/>
      <c r="C30" s="102"/>
      <c r="D30" s="38"/>
      <c r="E30" s="113"/>
      <c r="F30" s="113"/>
      <c r="G30" s="113"/>
      <c r="H30" s="103"/>
      <c r="I30" s="35"/>
      <c r="J30" s="13"/>
      <c r="K30" s="13"/>
      <c r="L30" s="13"/>
      <c r="M30" s="13"/>
      <c r="N30" s="35"/>
      <c r="O30" s="35"/>
    </row>
    <row r="31" spans="2:18" x14ac:dyDescent="0.35">
      <c r="B31" s="101"/>
      <c r="C31" s="102"/>
      <c r="D31" s="38"/>
      <c r="E31" s="113"/>
      <c r="F31" s="113"/>
      <c r="G31" s="113"/>
      <c r="H31" s="103"/>
      <c r="I31" s="35"/>
      <c r="J31" s="13"/>
      <c r="K31" s="13"/>
      <c r="L31" s="13"/>
      <c r="M31" s="13"/>
      <c r="N31" s="35"/>
      <c r="O31" s="35"/>
    </row>
    <row r="32" spans="2:18" x14ac:dyDescent="0.35">
      <c r="B32" s="101"/>
      <c r="C32" s="102"/>
      <c r="D32" s="38"/>
      <c r="E32" s="113"/>
      <c r="F32" s="113"/>
      <c r="G32" s="113"/>
      <c r="H32" s="103"/>
      <c r="I32" s="35"/>
      <c r="J32" s="13"/>
      <c r="K32" s="13"/>
      <c r="L32" s="13"/>
      <c r="M32" s="13"/>
      <c r="N32" s="35"/>
      <c r="O32" s="35"/>
    </row>
    <row r="33" spans="1:19" x14ac:dyDescent="0.35">
      <c r="B33" s="101"/>
      <c r="C33" s="102"/>
      <c r="D33" s="101"/>
      <c r="E33" s="102"/>
      <c r="F33" s="102"/>
      <c r="G33" s="102"/>
      <c r="H33" s="90"/>
      <c r="I33" s="37"/>
      <c r="J33" s="6"/>
      <c r="K33" s="6"/>
      <c r="L33" s="6"/>
      <c r="M33" s="6"/>
      <c r="N33" s="37"/>
      <c r="O33" s="7"/>
    </row>
    <row r="34" spans="1:19" x14ac:dyDescent="0.35">
      <c r="B34" s="101"/>
      <c r="C34" s="102"/>
      <c r="D34" s="101"/>
      <c r="E34" s="103"/>
      <c r="F34" s="104"/>
      <c r="G34" s="104"/>
      <c r="H34" s="103"/>
      <c r="I34" s="3"/>
      <c r="J34" s="3"/>
      <c r="K34" s="3"/>
      <c r="L34" s="3"/>
      <c r="M34" s="3"/>
      <c r="N34" s="3"/>
      <c r="O34" s="73"/>
    </row>
    <row r="35" spans="1:19" x14ac:dyDescent="0.35">
      <c r="B35" s="101"/>
      <c r="C35" s="102"/>
      <c r="D35" s="101"/>
      <c r="E35" s="103"/>
      <c r="F35" s="104"/>
      <c r="G35" s="105"/>
      <c r="H35" s="90"/>
      <c r="I35" s="35"/>
      <c r="J35" s="35"/>
      <c r="K35" s="35"/>
      <c r="L35" s="35"/>
      <c r="M35" s="35"/>
      <c r="N35" s="35"/>
    </row>
    <row r="36" spans="1:19" x14ac:dyDescent="0.35">
      <c r="B36" s="101"/>
      <c r="C36" s="102"/>
      <c r="D36" s="101"/>
      <c r="E36" s="102"/>
      <c r="F36" s="101"/>
      <c r="G36" s="101"/>
      <c r="H36" s="106"/>
      <c r="J36" s="11"/>
      <c r="K36" s="11"/>
      <c r="L36" s="11"/>
      <c r="M36" s="11"/>
      <c r="N36" s="11"/>
    </row>
    <row r="37" spans="1:19" x14ac:dyDescent="0.35">
      <c r="B37" s="101"/>
      <c r="C37" s="102"/>
      <c r="D37" s="101"/>
      <c r="E37" s="102"/>
      <c r="F37" s="101"/>
      <c r="G37" s="101"/>
      <c r="H37" s="106"/>
      <c r="N37" s="8"/>
    </row>
    <row r="38" spans="1:19" x14ac:dyDescent="0.35">
      <c r="B38" s="101"/>
      <c r="C38" s="102"/>
      <c r="D38" s="101"/>
      <c r="E38" s="102"/>
      <c r="F38" s="101"/>
      <c r="G38" s="101"/>
      <c r="H38" s="44"/>
      <c r="I38" s="44"/>
      <c r="J38" s="87"/>
      <c r="K38" s="87"/>
      <c r="L38" s="87"/>
      <c r="M38" s="87"/>
      <c r="N38" s="87"/>
    </row>
    <row r="39" spans="1:19" x14ac:dyDescent="0.35">
      <c r="B39" s="101"/>
      <c r="C39" s="102"/>
      <c r="D39" s="107"/>
      <c r="E39" s="102"/>
      <c r="F39" s="101"/>
      <c r="G39" s="101"/>
      <c r="H39" s="108"/>
      <c r="I39" s="88"/>
      <c r="J39" s="87"/>
      <c r="K39" s="87"/>
      <c r="L39" s="87"/>
      <c r="M39" s="87"/>
      <c r="N39" s="87"/>
    </row>
    <row r="40" spans="1:19" x14ac:dyDescent="0.35">
      <c r="A40" s="40"/>
      <c r="B40" s="48"/>
      <c r="C40" s="102"/>
      <c r="D40" s="107"/>
      <c r="E40" s="102"/>
      <c r="F40" s="101"/>
      <c r="G40" s="101"/>
      <c r="H40" s="108"/>
      <c r="I40" s="88"/>
      <c r="N40" s="8"/>
    </row>
    <row r="41" spans="1:19" x14ac:dyDescent="0.35">
      <c r="A41" s="40"/>
      <c r="B41" s="40"/>
      <c r="D41" s="12"/>
      <c r="H41" s="88"/>
      <c r="I41" s="88"/>
      <c r="N41" s="8"/>
    </row>
    <row r="42" spans="1:19" x14ac:dyDescent="0.35">
      <c r="A42" s="40"/>
      <c r="B42" s="40"/>
      <c r="J42" s="9"/>
      <c r="K42" s="9"/>
      <c r="L42" s="9"/>
      <c r="M42" s="9"/>
    </row>
    <row r="43" spans="1:19" x14ac:dyDescent="0.35">
      <c r="N43" s="8"/>
      <c r="R43" s="89"/>
      <c r="S43" s="89"/>
    </row>
    <row r="44" spans="1:19" x14ac:dyDescent="0.35">
      <c r="N44" s="8"/>
      <c r="R44" s="89"/>
      <c r="S44" s="89"/>
    </row>
    <row r="45" spans="1:19" x14ac:dyDescent="0.35">
      <c r="N45" s="8"/>
      <c r="R45" s="89"/>
      <c r="S45" s="89"/>
    </row>
    <row r="46" spans="1:19" x14ac:dyDescent="0.35">
      <c r="N46" s="8"/>
      <c r="R46" s="89"/>
      <c r="S46" s="89"/>
    </row>
    <row r="47" spans="1:19" x14ac:dyDescent="0.35">
      <c r="N47" s="8"/>
      <c r="R47" s="89"/>
      <c r="S47" s="89"/>
    </row>
    <row r="48" spans="1:19" x14ac:dyDescent="0.35">
      <c r="N48" s="8"/>
      <c r="R48" s="89"/>
      <c r="S48" s="89"/>
    </row>
    <row r="49" spans="14:14" x14ac:dyDescent="0.35">
      <c r="N49" s="8"/>
    </row>
    <row r="50" spans="14:14" x14ac:dyDescent="0.35">
      <c r="N50" s="8"/>
    </row>
    <row r="51" spans="14:14" x14ac:dyDescent="0.35">
      <c r="N51" s="8"/>
    </row>
    <row r="52" spans="14:14" x14ac:dyDescent="0.35">
      <c r="N52" s="8"/>
    </row>
    <row r="53" spans="14:14" x14ac:dyDescent="0.35">
      <c r="N53" s="8"/>
    </row>
    <row r="54" spans="14:14" x14ac:dyDescent="0.35">
      <c r="N54" s="8"/>
    </row>
    <row r="55" spans="14:14" x14ac:dyDescent="0.35">
      <c r="N55" s="8"/>
    </row>
    <row r="56" spans="14:14" x14ac:dyDescent="0.35">
      <c r="N56" s="8"/>
    </row>
    <row r="57" spans="14:14" x14ac:dyDescent="0.35">
      <c r="N57" s="8"/>
    </row>
    <row r="58" spans="14:14" x14ac:dyDescent="0.35">
      <c r="N58" s="8"/>
    </row>
    <row r="59" spans="14:14" x14ac:dyDescent="0.35">
      <c r="N59" s="8"/>
    </row>
    <row r="60" spans="14:14" x14ac:dyDescent="0.35">
      <c r="N60" s="8"/>
    </row>
    <row r="61" spans="14:14" x14ac:dyDescent="0.35">
      <c r="N61" s="8"/>
    </row>
    <row r="62" spans="14:14" x14ac:dyDescent="0.35">
      <c r="N62" s="8"/>
    </row>
    <row r="63" spans="14:14" x14ac:dyDescent="0.35">
      <c r="N63" s="8"/>
    </row>
    <row r="64" spans="14:14" x14ac:dyDescent="0.35">
      <c r="N64" s="8"/>
    </row>
    <row r="65" spans="14:14" x14ac:dyDescent="0.35">
      <c r="N65" s="8"/>
    </row>
    <row r="66" spans="14:14" x14ac:dyDescent="0.35">
      <c r="N66" s="8"/>
    </row>
    <row r="67" spans="14:14" x14ac:dyDescent="0.35">
      <c r="N67" s="8"/>
    </row>
    <row r="68" spans="14:14" x14ac:dyDescent="0.35">
      <c r="N68" s="8"/>
    </row>
    <row r="69" spans="14:14" x14ac:dyDescent="0.35">
      <c r="N69" s="8"/>
    </row>
    <row r="70" spans="14:14" x14ac:dyDescent="0.35">
      <c r="N70" s="8"/>
    </row>
    <row r="71" spans="14:14" x14ac:dyDescent="0.35">
      <c r="N71" s="8"/>
    </row>
    <row r="72" spans="14:14" x14ac:dyDescent="0.35">
      <c r="N72" s="8"/>
    </row>
    <row r="73" spans="14:14" x14ac:dyDescent="0.35">
      <c r="N73" s="8"/>
    </row>
    <row r="74" spans="14:14" x14ac:dyDescent="0.35">
      <c r="N74" s="8"/>
    </row>
    <row r="75" spans="14:14" x14ac:dyDescent="0.35">
      <c r="N75" s="8"/>
    </row>
    <row r="76" spans="14:14" x14ac:dyDescent="0.35">
      <c r="N76" s="8"/>
    </row>
  </sheetData>
  <dataConsolidate>
    <dataRefs count="1">
      <dataRef ref="B14:C14" sheet="10_Celkem_106"/>
    </dataRefs>
  </dataConsolidate>
  <phoneticPr fontId="0" type="noConversion"/>
  <printOptions horizontalCentered="1" gridLines="1"/>
  <pageMargins left="0" right="0" top="1.5748031496062993" bottom="0.19685039370078741" header="1.1811023622047245" footer="0.51181102362204722"/>
  <pageSetup paperSize="9" scale="74" orientation="landscape" r:id="rId1"/>
  <headerFooter alignWithMargins="0">
    <oddHeader>&amp;R&amp;Z&amp;F
List: &amp;A</oddHead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50"/>
  <sheetViews>
    <sheetView workbookViewId="0">
      <selection activeCell="K20" sqref="K20"/>
    </sheetView>
  </sheetViews>
  <sheetFormatPr defaultColWidth="9.109375" defaultRowHeight="15.6" x14ac:dyDescent="0.3"/>
  <cols>
    <col min="1" max="1" width="18.88671875" style="1" customWidth="1"/>
    <col min="2" max="2" width="15.109375" style="1" bestFit="1" customWidth="1"/>
    <col min="3" max="3" width="35.33203125" style="1" customWidth="1"/>
    <col min="4" max="4" width="20.5546875" style="1" customWidth="1"/>
    <col min="5" max="6" width="12.33203125" style="1" customWidth="1"/>
    <col min="7" max="7" width="10.33203125" style="1" customWidth="1"/>
    <col min="8" max="8" width="13.6640625" style="1" customWidth="1"/>
    <col min="9" max="9" width="9.109375" style="1"/>
    <col min="10" max="10" width="20.5546875" style="1" bestFit="1" customWidth="1"/>
    <col min="11" max="11" width="18.5546875" style="1" customWidth="1"/>
    <col min="12" max="12" width="12.109375" style="1" customWidth="1"/>
    <col min="13" max="13" width="20.5546875" style="1" customWidth="1"/>
    <col min="14" max="14" width="11" style="1" customWidth="1"/>
    <col min="15" max="15" width="10.109375" style="1" bestFit="1" customWidth="1"/>
    <col min="16" max="16" width="11.44140625" style="1" bestFit="1" customWidth="1"/>
    <col min="17" max="17" width="14.5546875" style="1" customWidth="1"/>
    <col min="18" max="18" width="11.33203125" style="1" bestFit="1" customWidth="1"/>
    <col min="19" max="16384" width="9.109375" style="1"/>
  </cols>
  <sheetData>
    <row r="1" spans="1:16" ht="18" x14ac:dyDescent="0.35">
      <c r="A1" s="8" t="s">
        <v>572</v>
      </c>
      <c r="E1" s="851"/>
    </row>
    <row r="2" spans="1:16" ht="17.399999999999999" x14ac:dyDescent="0.3">
      <c r="A2" s="8"/>
    </row>
    <row r="3" spans="1:16" ht="16.2" thickBot="1" x14ac:dyDescent="0.35">
      <c r="A3" s="701" t="s">
        <v>556</v>
      </c>
      <c r="B3" s="702">
        <f>'0_PRIDEL'!B21</f>
        <v>4728566.0009407401</v>
      </c>
      <c r="C3" s="851"/>
    </row>
    <row r="4" spans="1:16" ht="16.2" thickBot="1" x14ac:dyDescent="0.35">
      <c r="A4" s="561" t="s">
        <v>353</v>
      </c>
      <c r="B4" s="406">
        <f>E11</f>
        <v>285000</v>
      </c>
    </row>
    <row r="5" spans="1:16" x14ac:dyDescent="0.3">
      <c r="A5" s="701" t="s">
        <v>352</v>
      </c>
      <c r="B5" s="702">
        <f>B3-B4</f>
        <v>4443566.0009407401</v>
      </c>
    </row>
    <row r="7" spans="1:16" x14ac:dyDescent="0.3">
      <c r="D7" s="558"/>
      <c r="E7" s="559"/>
      <c r="F7" s="560" t="s">
        <v>348</v>
      </c>
      <c r="G7" s="5"/>
      <c r="H7" s="3"/>
      <c r="J7" s="1004" t="s">
        <v>349</v>
      </c>
      <c r="K7" s="1004"/>
      <c r="L7" s="1004"/>
      <c r="M7" s="1004"/>
    </row>
    <row r="8" spans="1:16" ht="46.8" x14ac:dyDescent="0.3">
      <c r="D8" s="27"/>
      <c r="E8" s="131" t="s">
        <v>84</v>
      </c>
      <c r="F8" s="131" t="s">
        <v>383</v>
      </c>
      <c r="G8" s="5"/>
      <c r="H8" s="3"/>
      <c r="J8" s="12" t="s">
        <v>354</v>
      </c>
      <c r="K8" s="12" t="s">
        <v>355</v>
      </c>
      <c r="L8" s="12" t="s">
        <v>356</v>
      </c>
      <c r="M8" s="1" t="s">
        <v>360</v>
      </c>
    </row>
    <row r="9" spans="1:16" x14ac:dyDescent="0.3">
      <c r="B9" s="462"/>
      <c r="D9" s="15" t="s">
        <v>346</v>
      </c>
      <c r="E9" s="396">
        <v>85000</v>
      </c>
      <c r="F9" s="396">
        <v>21068</v>
      </c>
      <c r="G9" s="192" t="s">
        <v>350</v>
      </c>
      <c r="H9" s="3"/>
      <c r="J9" s="15" t="s">
        <v>331</v>
      </c>
      <c r="K9" s="14">
        <f>SUMIF($D$9:$D$30,J9,$E$9:$E$30)</f>
        <v>106949</v>
      </c>
      <c r="M9" s="117">
        <f>SUM(K9:L9)</f>
        <v>106949</v>
      </c>
    </row>
    <row r="10" spans="1:16" ht="16.2" thickBot="1" x14ac:dyDescent="0.35">
      <c r="B10" s="537"/>
      <c r="D10" s="15" t="s">
        <v>346</v>
      </c>
      <c r="E10" s="396">
        <v>200000</v>
      </c>
      <c r="F10" s="396">
        <v>21069</v>
      </c>
      <c r="G10" s="1" t="s">
        <v>351</v>
      </c>
      <c r="J10" s="15" t="s">
        <v>332</v>
      </c>
      <c r="K10" s="14">
        <f>SUMIF($D$9:$D$30,J10,$E$9:$E$30)</f>
        <v>1329635</v>
      </c>
      <c r="L10" s="14"/>
      <c r="M10" s="117">
        <f>SUM(K10:L10)</f>
        <v>1329635</v>
      </c>
    </row>
    <row r="11" spans="1:16" ht="16.2" thickBot="1" x14ac:dyDescent="0.35">
      <c r="D11" s="198" t="s">
        <v>285</v>
      </c>
      <c r="E11" s="406">
        <f>SUM(E9:E10)</f>
        <v>285000</v>
      </c>
      <c r="F11" s="406"/>
      <c r="H11" s="221"/>
      <c r="J11" s="15" t="s">
        <v>333</v>
      </c>
      <c r="K11" s="14">
        <f>SUMIF($D$9:$D$30,J11,$E$9:$E$30)</f>
        <v>2754315</v>
      </c>
      <c r="L11" s="14"/>
      <c r="M11" s="117">
        <f>SUM(K11:L11)</f>
        <v>2754315</v>
      </c>
    </row>
    <row r="12" spans="1:16" x14ac:dyDescent="0.3">
      <c r="C12" s="117"/>
      <c r="M12" s="2"/>
    </row>
    <row r="13" spans="1:16" ht="46.8" x14ac:dyDescent="0.3">
      <c r="C13" s="117"/>
      <c r="D13" s="269"/>
      <c r="E13" s="131" t="str">
        <f>E8</f>
        <v>Účelová podpora činnost 115</v>
      </c>
      <c r="F13" s="131" t="s">
        <v>383</v>
      </c>
      <c r="G13" s="192" t="s">
        <v>286</v>
      </c>
      <c r="H13" s="550" t="s">
        <v>341</v>
      </c>
      <c r="J13" s="15" t="s">
        <v>347</v>
      </c>
      <c r="K13" s="14">
        <f>SUMIF($D$9:$D$30,J13,$E$9:$E$30)</f>
        <v>252667</v>
      </c>
      <c r="L13" s="14"/>
      <c r="M13" s="117">
        <f>SUM(K13:L13)</f>
        <v>252667</v>
      </c>
    </row>
    <row r="14" spans="1:16" x14ac:dyDescent="0.3">
      <c r="D14" s="15" t="s">
        <v>331</v>
      </c>
      <c r="E14" s="396">
        <v>106949</v>
      </c>
      <c r="F14" s="398">
        <v>21476</v>
      </c>
      <c r="G14" s="407"/>
      <c r="H14" s="550"/>
      <c r="J14" s="15" t="s">
        <v>346</v>
      </c>
      <c r="K14" s="14">
        <f>SUMIF($D$9:$D$30,J14,$E$9:$E$30)</f>
        <v>285000</v>
      </c>
      <c r="M14" s="117">
        <f>SUM(K14:L14)</f>
        <v>285000</v>
      </c>
    </row>
    <row r="15" spans="1:16" x14ac:dyDescent="0.3">
      <c r="D15" s="15" t="s">
        <v>332</v>
      </c>
      <c r="E15" s="397">
        <v>321924</v>
      </c>
      <c r="F15" s="398">
        <v>21468</v>
      </c>
      <c r="G15" s="407"/>
      <c r="H15" s="550"/>
      <c r="M15" s="14">
        <f>SUM(M9:M14)</f>
        <v>4728566</v>
      </c>
      <c r="P15" s="42"/>
    </row>
    <row r="16" spans="1:16" x14ac:dyDescent="0.3">
      <c r="D16" s="15" t="s">
        <v>332</v>
      </c>
      <c r="E16" s="397">
        <v>113753</v>
      </c>
      <c r="F16" s="398">
        <v>21471</v>
      </c>
      <c r="G16" s="407"/>
      <c r="H16" s="550"/>
      <c r="J16" s="556" t="s">
        <v>357</v>
      </c>
      <c r="K16" s="557">
        <f>SUM(K9:K15)</f>
        <v>4728566</v>
      </c>
      <c r="L16" s="557">
        <f>SUM(L9:L15)</f>
        <v>0</v>
      </c>
      <c r="M16" s="661">
        <f>SUM(K16:L16)</f>
        <v>4728566</v>
      </c>
      <c r="P16" s="42"/>
    </row>
    <row r="17" spans="3:19" x14ac:dyDescent="0.3">
      <c r="D17" s="15" t="s">
        <v>332</v>
      </c>
      <c r="E17" s="397">
        <v>362289</v>
      </c>
      <c r="F17" s="398">
        <v>21430</v>
      </c>
      <c r="G17" s="407"/>
      <c r="H17" s="550"/>
      <c r="J17" s="555" t="s">
        <v>335</v>
      </c>
      <c r="K17" s="554">
        <f>K16-E35</f>
        <v>0</v>
      </c>
      <c r="P17" s="42"/>
    </row>
    <row r="18" spans="3:19" x14ac:dyDescent="0.3">
      <c r="D18" s="15" t="s">
        <v>332</v>
      </c>
      <c r="E18" s="397">
        <v>531669</v>
      </c>
      <c r="F18" s="398">
        <v>21478</v>
      </c>
      <c r="G18" s="407"/>
      <c r="H18" s="550"/>
      <c r="P18" s="466"/>
    </row>
    <row r="19" spans="3:19" x14ac:dyDescent="0.3">
      <c r="C19" s="117"/>
      <c r="D19" s="15" t="s">
        <v>333</v>
      </c>
      <c r="E19" s="397">
        <v>401058</v>
      </c>
      <c r="F19" s="398">
        <v>21469</v>
      </c>
      <c r="G19" s="407"/>
      <c r="H19" s="550"/>
      <c r="J19" s="12" t="s">
        <v>358</v>
      </c>
      <c r="K19" s="14">
        <f>B3</f>
        <v>4728566.0009407401</v>
      </c>
      <c r="O19" s="42"/>
      <c r="P19" s="466"/>
    </row>
    <row r="20" spans="3:19" x14ac:dyDescent="0.3">
      <c r="C20" s="117"/>
      <c r="D20" s="15" t="s">
        <v>333</v>
      </c>
      <c r="E20" s="397">
        <v>428185</v>
      </c>
      <c r="F20" s="398">
        <v>21470</v>
      </c>
      <c r="G20" s="407"/>
      <c r="H20" s="550"/>
      <c r="J20" s="12" t="s">
        <v>359</v>
      </c>
      <c r="K20" s="941">
        <f>-L16</f>
        <v>0</v>
      </c>
      <c r="O20" s="42"/>
    </row>
    <row r="21" spans="3:19" x14ac:dyDescent="0.3">
      <c r="D21" s="15" t="s">
        <v>333</v>
      </c>
      <c r="E21" s="397">
        <v>0</v>
      </c>
      <c r="F21" s="398">
        <v>21364</v>
      </c>
      <c r="G21" s="407"/>
      <c r="H21" s="550"/>
      <c r="O21" s="595"/>
    </row>
    <row r="22" spans="3:19" x14ac:dyDescent="0.3">
      <c r="D22" s="15" t="s">
        <v>333</v>
      </c>
      <c r="E22" s="397">
        <v>255340</v>
      </c>
      <c r="F22" s="398">
        <v>21472</v>
      </c>
      <c r="G22" s="407"/>
      <c r="H22" s="550"/>
      <c r="O22" s="595"/>
    </row>
    <row r="23" spans="3:19" x14ac:dyDescent="0.3">
      <c r="D23" s="15" t="s">
        <v>333</v>
      </c>
      <c r="E23" s="397">
        <v>432314</v>
      </c>
      <c r="F23" s="398">
        <v>21472</v>
      </c>
      <c r="G23" s="407"/>
      <c r="H23" s="551"/>
      <c r="O23" s="107"/>
    </row>
    <row r="24" spans="3:19" x14ac:dyDescent="0.3">
      <c r="D24" s="15" t="s">
        <v>333</v>
      </c>
      <c r="E24" s="397">
        <v>189401</v>
      </c>
      <c r="F24" s="398">
        <v>21428</v>
      </c>
      <c r="G24" s="407"/>
      <c r="H24" s="551"/>
      <c r="O24" s="107"/>
      <c r="P24" s="564"/>
      <c r="Q24" s="564"/>
      <c r="R24" s="42"/>
      <c r="S24" s="42"/>
    </row>
    <row r="25" spans="3:19" x14ac:dyDescent="0.3">
      <c r="D25" s="15" t="s">
        <v>333</v>
      </c>
      <c r="E25" s="397">
        <v>249459</v>
      </c>
      <c r="F25" s="397">
        <v>21432</v>
      </c>
      <c r="G25" s="407"/>
      <c r="H25" s="551"/>
      <c r="O25" s="107"/>
      <c r="P25" s="564"/>
      <c r="Q25" s="564"/>
      <c r="R25" s="42"/>
      <c r="S25" s="42"/>
    </row>
    <row r="26" spans="3:19" x14ac:dyDescent="0.3">
      <c r="D26" s="15" t="s">
        <v>333</v>
      </c>
      <c r="E26" s="397">
        <v>185824</v>
      </c>
      <c r="F26" s="397">
        <v>21477</v>
      </c>
      <c r="G26" s="407"/>
      <c r="H26" s="551"/>
      <c r="O26" s="107"/>
      <c r="P26" s="564"/>
      <c r="Q26" s="564"/>
      <c r="R26" s="42"/>
      <c r="S26" s="42"/>
    </row>
    <row r="27" spans="3:19" x14ac:dyDescent="0.3">
      <c r="D27" s="15" t="s">
        <v>333</v>
      </c>
      <c r="E27" s="397">
        <v>176466</v>
      </c>
      <c r="F27" s="397">
        <v>21479</v>
      </c>
      <c r="G27" s="407"/>
      <c r="H27" s="551"/>
      <c r="O27" s="107"/>
      <c r="P27" s="564"/>
      <c r="Q27" s="564"/>
      <c r="R27" s="42"/>
      <c r="S27" s="42"/>
    </row>
    <row r="28" spans="3:19" x14ac:dyDescent="0.3">
      <c r="D28" s="15" t="s">
        <v>333</v>
      </c>
      <c r="E28" s="397">
        <v>207213</v>
      </c>
      <c r="F28" s="397">
        <v>21480</v>
      </c>
      <c r="G28" s="407"/>
      <c r="H28" s="551"/>
      <c r="O28" s="107"/>
      <c r="P28" s="564"/>
      <c r="Q28" s="564"/>
      <c r="R28" s="42"/>
      <c r="S28" s="42"/>
    </row>
    <row r="29" spans="3:19" x14ac:dyDescent="0.3">
      <c r="D29" s="15" t="s">
        <v>333</v>
      </c>
      <c r="E29" s="397">
        <v>229055</v>
      </c>
      <c r="F29" s="397">
        <v>21437</v>
      </c>
      <c r="G29" s="407"/>
      <c r="H29" s="551"/>
      <c r="O29" s="107"/>
      <c r="P29" s="564"/>
      <c r="Q29" s="564"/>
      <c r="R29" s="42"/>
      <c r="S29" s="42"/>
    </row>
    <row r="30" spans="3:19" ht="16.2" thickBot="1" x14ac:dyDescent="0.35">
      <c r="D30" s="15" t="s">
        <v>347</v>
      </c>
      <c r="E30" s="397">
        <v>252667</v>
      </c>
      <c r="F30" s="652">
        <v>21474</v>
      </c>
      <c r="G30" s="407"/>
      <c r="H30" s="551"/>
      <c r="P30" s="568"/>
      <c r="Q30" s="42"/>
      <c r="R30" s="42"/>
      <c r="S30" s="42"/>
    </row>
    <row r="31" spans="3:19" ht="16.2" thickBot="1" x14ac:dyDescent="0.35">
      <c r="D31" s="198" t="s">
        <v>284</v>
      </c>
      <c r="E31" s="703">
        <f>SUM(E14:E30)</f>
        <v>4443566</v>
      </c>
      <c r="F31" s="703"/>
      <c r="G31" s="5"/>
      <c r="H31" s="3"/>
      <c r="I31" s="3"/>
      <c r="J31" s="3"/>
      <c r="K31" s="3"/>
      <c r="L31" s="3"/>
      <c r="P31" s="568"/>
      <c r="Q31" s="42"/>
      <c r="R31" s="42"/>
      <c r="S31" s="42"/>
    </row>
    <row r="32" spans="3:19" x14ac:dyDescent="0.3">
      <c r="D32" s="704" t="s">
        <v>335</v>
      </c>
      <c r="E32" s="705">
        <f>E31-B5</f>
        <v>-9.4074010848999023E-4</v>
      </c>
      <c r="F32" s="403"/>
      <c r="G32" s="5"/>
      <c r="H32" s="3"/>
      <c r="I32" s="3"/>
      <c r="J32" s="3"/>
      <c r="K32" s="3"/>
      <c r="L32" s="3"/>
      <c r="P32" s="568"/>
      <c r="Q32" s="42"/>
      <c r="R32" s="42"/>
      <c r="S32" s="42"/>
    </row>
    <row r="33" spans="1:19" x14ac:dyDescent="0.3">
      <c r="I33" s="3"/>
      <c r="J33" s="3"/>
      <c r="K33" s="3"/>
      <c r="L33" s="3"/>
      <c r="N33" s="42"/>
      <c r="O33" s="42"/>
      <c r="P33" s="568"/>
      <c r="Q33" s="149"/>
      <c r="R33" s="569"/>
      <c r="S33" s="149"/>
    </row>
    <row r="34" spans="1:19" ht="16.2" thickBot="1" x14ac:dyDescent="0.35">
      <c r="I34" s="3"/>
      <c r="J34" s="3"/>
      <c r="K34" s="3"/>
      <c r="L34" s="3"/>
      <c r="N34" s="43"/>
      <c r="O34" s="149"/>
      <c r="P34" s="568"/>
      <c r="Q34" s="42"/>
      <c r="R34" s="570"/>
      <c r="S34" s="42"/>
    </row>
    <row r="35" spans="1:19" ht="16.2" thickBot="1" x14ac:dyDescent="0.35">
      <c r="D35" s="15" t="s">
        <v>294</v>
      </c>
      <c r="E35" s="405">
        <f>E31+E11</f>
        <v>4728566</v>
      </c>
      <c r="F35" s="405"/>
      <c r="N35" s="43"/>
      <c r="O35" s="149"/>
      <c r="P35" s="42"/>
      <c r="Q35" s="42"/>
      <c r="R35" s="42"/>
      <c r="S35" s="42"/>
    </row>
    <row r="36" spans="1:19" x14ac:dyDescent="0.3">
      <c r="D36" s="704" t="s">
        <v>335</v>
      </c>
      <c r="E36" s="705">
        <f>E35-B3</f>
        <v>-9.4074010848999023E-4</v>
      </c>
      <c r="I36" s="221"/>
      <c r="J36" s="221"/>
      <c r="K36" s="221"/>
      <c r="L36" s="221"/>
      <c r="N36" s="43"/>
      <c r="O36" s="149"/>
      <c r="P36" s="42"/>
      <c r="Q36" s="565"/>
      <c r="R36" s="48"/>
      <c r="S36" s="42"/>
    </row>
    <row r="37" spans="1:19" x14ac:dyDescent="0.3">
      <c r="N37" s="43"/>
      <c r="O37" s="149"/>
      <c r="P37" s="42"/>
      <c r="Q37" s="567"/>
      <c r="R37" s="48"/>
      <c r="S37" s="42"/>
    </row>
    <row r="38" spans="1:19" x14ac:dyDescent="0.3">
      <c r="A38" s="538" t="s">
        <v>334</v>
      </c>
      <c r="N38" s="107"/>
      <c r="O38" s="149"/>
    </row>
    <row r="39" spans="1:19" x14ac:dyDescent="0.3">
      <c r="A39" s="1" t="s">
        <v>344</v>
      </c>
      <c r="N39" s="42"/>
      <c r="O39" s="149"/>
    </row>
    <row r="40" spans="1:19" x14ac:dyDescent="0.3">
      <c r="A40" s="1" t="s">
        <v>371</v>
      </c>
      <c r="N40" s="42"/>
      <c r="O40" s="565"/>
    </row>
    <row r="41" spans="1:19" x14ac:dyDescent="0.3">
      <c r="N41" s="42"/>
      <c r="O41" s="566"/>
    </row>
    <row r="44" spans="1:19" x14ac:dyDescent="0.3">
      <c r="D44" s="43"/>
      <c r="E44" s="404"/>
    </row>
    <row r="45" spans="1:19" x14ac:dyDescent="0.3">
      <c r="D45" s="43"/>
      <c r="E45" s="404"/>
    </row>
    <row r="46" spans="1:19" x14ac:dyDescent="0.3">
      <c r="D46" s="43"/>
      <c r="E46" s="404"/>
    </row>
    <row r="47" spans="1:19" x14ac:dyDescent="0.3">
      <c r="D47" s="42"/>
      <c r="E47" s="42"/>
    </row>
    <row r="48" spans="1:19" x14ac:dyDescent="0.3">
      <c r="D48" s="107"/>
      <c r="E48" s="466"/>
    </row>
    <row r="49" spans="4:5" x14ac:dyDescent="0.3">
      <c r="D49" s="107"/>
      <c r="E49" s="466"/>
    </row>
    <row r="50" spans="4:5" x14ac:dyDescent="0.3">
      <c r="D50" s="42"/>
      <c r="E50" s="467"/>
    </row>
  </sheetData>
  <mergeCells count="1">
    <mergeCell ref="J7:M7"/>
  </mergeCells>
  <printOptions horizontalCentered="1" verticalCentered="1" gridLines="1"/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&amp;R&amp;Z&amp;F
List: 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  <pageSetUpPr fitToPage="1"/>
  </sheetPr>
  <dimension ref="A1:V54"/>
  <sheetViews>
    <sheetView topLeftCell="A9" zoomScaleNormal="100" workbookViewId="0">
      <selection activeCell="B15" sqref="B15"/>
    </sheetView>
  </sheetViews>
  <sheetFormatPr defaultColWidth="9.109375" defaultRowHeight="15.6" x14ac:dyDescent="0.3"/>
  <cols>
    <col min="1" max="1" width="22.109375" style="1" customWidth="1"/>
    <col min="2" max="2" width="21.6640625" style="1" customWidth="1"/>
    <col min="3" max="3" width="21" style="1" customWidth="1"/>
    <col min="4" max="4" width="16.6640625" style="1" customWidth="1"/>
    <col min="5" max="5" width="8.44140625" style="1" customWidth="1"/>
    <col min="6" max="6" width="17.109375" style="1" customWidth="1"/>
    <col min="7" max="7" width="15" style="1" customWidth="1"/>
    <col min="8" max="8" width="11.44140625" style="1" customWidth="1"/>
    <col min="9" max="10" width="17.88671875" style="1" customWidth="1"/>
    <col min="11" max="11" width="12.6640625" style="1" bestFit="1" customWidth="1"/>
    <col min="12" max="12" width="12.44140625" style="1" bestFit="1" customWidth="1"/>
    <col min="13" max="13" width="4.109375" style="1" customWidth="1"/>
    <col min="14" max="14" width="11" style="1" customWidth="1"/>
    <col min="15" max="15" width="3.6640625" style="1" customWidth="1"/>
    <col min="16" max="16" width="18.33203125" style="1" bestFit="1" customWidth="1"/>
    <col min="17" max="17" width="8" style="1" bestFit="1" customWidth="1"/>
    <col min="18" max="18" width="7.88671875" style="1" bestFit="1" customWidth="1"/>
    <col min="19" max="19" width="18.33203125" style="1" bestFit="1" customWidth="1"/>
    <col min="20" max="21" width="5.109375" style="1" bestFit="1" customWidth="1"/>
    <col min="22" max="22" width="16.44140625" style="1" bestFit="1" customWidth="1"/>
    <col min="23" max="16384" width="9.109375" style="1"/>
  </cols>
  <sheetData>
    <row r="1" spans="1:22" ht="18" x14ac:dyDescent="0.35">
      <c r="A1" s="8" t="s">
        <v>573</v>
      </c>
    </row>
    <row r="2" spans="1:22" ht="17.399999999999999" x14ac:dyDescent="0.3">
      <c r="A2" s="8"/>
    </row>
    <row r="3" spans="1:22" ht="18" thickBot="1" x14ac:dyDescent="0.35">
      <c r="A3" s="8"/>
      <c r="B3" s="706" t="s">
        <v>408</v>
      </c>
      <c r="D3" s="707">
        <f>'0_PRIDEL'!B20</f>
        <v>23491776.243640598</v>
      </c>
    </row>
    <row r="4" spans="1:22" ht="16.2" thickBot="1" x14ac:dyDescent="0.35">
      <c r="B4" s="116" t="s">
        <v>412</v>
      </c>
      <c r="C4" s="14">
        <f>C18</f>
        <v>342000</v>
      </c>
      <c r="D4" s="333">
        <f>D3-C4</f>
        <v>23149776.243640598</v>
      </c>
      <c r="E4" s="594" t="s">
        <v>557</v>
      </c>
    </row>
    <row r="5" spans="1:22" ht="16.2" thickBot="1" x14ac:dyDescent="0.35">
      <c r="B5" s="116" t="s">
        <v>413</v>
      </c>
      <c r="C5" s="14">
        <f>'4_DOC_PROF'!I16</f>
        <v>85000</v>
      </c>
      <c r="D5" s="333">
        <f t="shared" ref="D5:D6" si="0">D4-C5</f>
        <v>23064776.243640598</v>
      </c>
      <c r="E5" s="594" t="s">
        <v>557</v>
      </c>
    </row>
    <row r="6" spans="1:22" ht="16.2" thickBot="1" x14ac:dyDescent="0.35">
      <c r="B6" s="116" t="s">
        <v>414</v>
      </c>
      <c r="C6" s="14">
        <f>'4a_úvazky-na-FM'!K27</f>
        <v>435608.4610935034</v>
      </c>
      <c r="D6" s="333">
        <f t="shared" si="0"/>
        <v>22629167.782547094</v>
      </c>
      <c r="E6" s="594" t="s">
        <v>557</v>
      </c>
    </row>
    <row r="7" spans="1:22" ht="16.2" thickBot="1" x14ac:dyDescent="0.35">
      <c r="B7" s="116" t="s">
        <v>417</v>
      </c>
      <c r="C7" s="22">
        <f>300000</f>
        <v>300000</v>
      </c>
      <c r="D7" s="333">
        <f>D6-C7</f>
        <v>22329167.782547094</v>
      </c>
      <c r="E7" s="594" t="s">
        <v>557</v>
      </c>
    </row>
    <row r="8" spans="1:22" x14ac:dyDescent="0.3">
      <c r="D8" s="27"/>
    </row>
    <row r="9" spans="1:22" s="3" customFormat="1" x14ac:dyDescent="0.3">
      <c r="C9" s="5"/>
      <c r="D9" s="13"/>
    </row>
    <row r="10" spans="1:22" ht="46.8" x14ac:dyDescent="0.3">
      <c r="B10" s="131" t="s">
        <v>231</v>
      </c>
      <c r="C10" s="131" t="s">
        <v>232</v>
      </c>
      <c r="D10" s="44"/>
      <c r="E10" s="44"/>
      <c r="F10" s="272" t="s">
        <v>422</v>
      </c>
      <c r="G10" s="272" t="s">
        <v>423</v>
      </c>
      <c r="H10" s="272" t="s">
        <v>411</v>
      </c>
      <c r="I10" s="131" t="s">
        <v>236</v>
      </c>
      <c r="J10" s="131" t="s">
        <v>237</v>
      </c>
      <c r="K10" s="273" t="s">
        <v>253</v>
      </c>
      <c r="L10" s="273" t="s">
        <v>83</v>
      </c>
      <c r="O10" s="42"/>
      <c r="P10" s="42"/>
    </row>
    <row r="11" spans="1:22" x14ac:dyDescent="0.3">
      <c r="A11" s="80" t="s">
        <v>3</v>
      </c>
      <c r="B11" s="968">
        <f>B40</f>
        <v>0</v>
      </c>
      <c r="C11" s="270">
        <f t="shared" ref="C11:C17" si="1">12*B11</f>
        <v>0</v>
      </c>
      <c r="D11" s="466"/>
      <c r="E11" s="80" t="str">
        <f>A11</f>
        <v>ITE</v>
      </c>
      <c r="F11" s="274">
        <f>$G$28*G29</f>
        <v>4607808.8843032392</v>
      </c>
      <c r="G11" s="274">
        <f>$H$28*H29</f>
        <v>2481886.99903011</v>
      </c>
      <c r="H11" s="274"/>
      <c r="I11" s="275">
        <f>'4_DOC_PROF'!L7</f>
        <v>45000</v>
      </c>
      <c r="J11" s="285">
        <f>C11</f>
        <v>0</v>
      </c>
      <c r="K11" s="317">
        <f>'4a_úvazky-na-FM'!K24</f>
        <v>87397.893235698357</v>
      </c>
      <c r="L11" s="276">
        <f>SUM(F11:K11)</f>
        <v>7222093.7765690479</v>
      </c>
      <c r="M11" s="110"/>
      <c r="N11" s="953">
        <f>L11/SUM($L$11:$L$14)</f>
        <v>0.30743072391233611</v>
      </c>
      <c r="O11" s="954"/>
      <c r="P11" s="955">
        <v>6577004.1193312621</v>
      </c>
      <c r="Q11" s="953">
        <v>0.27997049057164031</v>
      </c>
      <c r="S11" s="956">
        <v>7285731.9047493069</v>
      </c>
      <c r="T11" s="957">
        <v>0.31013967735716103</v>
      </c>
      <c r="V11" s="828">
        <f>L11-P11</f>
        <v>645089.65723778587</v>
      </c>
    </row>
    <row r="12" spans="1:22" x14ac:dyDescent="0.3">
      <c r="A12" s="80" t="s">
        <v>2</v>
      </c>
      <c r="B12" s="968">
        <f t="shared" ref="B12:B17" si="2">B41</f>
        <v>11100</v>
      </c>
      <c r="C12" s="270">
        <f t="shared" si="1"/>
        <v>133200</v>
      </c>
      <c r="D12" s="466"/>
      <c r="E12" s="80" t="str">
        <f t="shared" ref="E12:E17" si="3">A12</f>
        <v>MTI</v>
      </c>
      <c r="F12" s="274">
        <f t="shared" ref="F12:F13" si="4">$G$28*G30</f>
        <v>6469968.6152044507</v>
      </c>
      <c r="G12" s="274">
        <f t="shared" ref="G12:G13" si="5">$H$28*H30</f>
        <v>2141590.4820240922</v>
      </c>
      <c r="H12" s="274"/>
      <c r="I12" s="275">
        <f>'4_DOC_PROF'!L8</f>
        <v>20000</v>
      </c>
      <c r="J12" s="285">
        <f t="shared" ref="J12:J17" si="6">C12</f>
        <v>133200</v>
      </c>
      <c r="K12" s="317">
        <f>'4a_úvazky-na-FM'!K25</f>
        <v>187126.1890159366</v>
      </c>
      <c r="L12" s="276">
        <f t="shared" ref="L12:L17" si="7">SUM(F12:K12)</f>
        <v>8951885.2862444781</v>
      </c>
      <c r="M12" s="110"/>
      <c r="N12" s="953">
        <f t="shared" ref="N12:N14" si="8">L12/SUM($L$11:$L$14)</f>
        <v>0.38106464123451811</v>
      </c>
      <c r="O12" s="566"/>
      <c r="P12" s="955">
        <v>9111985.4192453418</v>
      </c>
      <c r="Q12" s="953">
        <v>0.38787979779570847</v>
      </c>
      <c r="S12" s="956">
        <v>8685944.8979543429</v>
      </c>
      <c r="T12" s="957">
        <v>0.36974406736509313</v>
      </c>
      <c r="V12" s="828">
        <f t="shared" ref="V12:V14" si="9">L12-P12</f>
        <v>-160100.13300086372</v>
      </c>
    </row>
    <row r="13" spans="1:22" x14ac:dyDescent="0.3">
      <c r="A13" s="80" t="s">
        <v>1</v>
      </c>
      <c r="B13" s="968">
        <f t="shared" si="2"/>
        <v>17400</v>
      </c>
      <c r="C13" s="270">
        <f t="shared" si="1"/>
        <v>208800</v>
      </c>
      <c r="D13" s="466"/>
      <c r="E13" s="80" t="str">
        <f t="shared" si="3"/>
        <v>NTI</v>
      </c>
      <c r="F13" s="274">
        <f t="shared" si="4"/>
        <v>4552639.9482752737</v>
      </c>
      <c r="G13" s="274">
        <f t="shared" si="5"/>
        <v>2075272.8537099275</v>
      </c>
      <c r="H13" s="335"/>
      <c r="I13" s="278">
        <f>'4_DOC_PROF'!L9</f>
        <v>20000</v>
      </c>
      <c r="J13" s="285">
        <f t="shared" si="6"/>
        <v>208800</v>
      </c>
      <c r="K13" s="710">
        <f>'4a_úvazky-na-FM'!K26</f>
        <v>161084.37884186846</v>
      </c>
      <c r="L13" s="276">
        <f t="shared" si="7"/>
        <v>7017797.18082707</v>
      </c>
      <c r="M13" s="110"/>
      <c r="N13" s="953">
        <f t="shared" si="8"/>
        <v>0.29873420843291243</v>
      </c>
      <c r="O13" s="566"/>
      <c r="P13" s="955">
        <v>7502786.7050639922</v>
      </c>
      <c r="Q13" s="953">
        <v>0.31937928521241787</v>
      </c>
      <c r="S13" s="956">
        <v>7220099.4409369463</v>
      </c>
      <c r="T13" s="957">
        <v>0.30734582885751277</v>
      </c>
      <c r="V13" s="828">
        <f t="shared" si="9"/>
        <v>-484989.52423692215</v>
      </c>
    </row>
    <row r="14" spans="1:22" x14ac:dyDescent="0.3">
      <c r="A14" s="80" t="s">
        <v>9</v>
      </c>
      <c r="B14" s="968">
        <f t="shared" si="2"/>
        <v>0</v>
      </c>
      <c r="C14" s="270">
        <f t="shared" si="1"/>
        <v>0</v>
      </c>
      <c r="D14" s="466"/>
      <c r="E14" s="80" t="str">
        <f t="shared" si="3"/>
        <v>DFM</v>
      </c>
      <c r="F14" s="274"/>
      <c r="G14" s="872"/>
      <c r="H14" s="872">
        <v>300000</v>
      </c>
      <c r="I14" s="285"/>
      <c r="J14" s="285">
        <f t="shared" si="6"/>
        <v>0</v>
      </c>
      <c r="K14" s="285"/>
      <c r="L14" s="276">
        <f t="shared" si="7"/>
        <v>300000</v>
      </c>
      <c r="M14" s="110"/>
      <c r="N14" s="953">
        <f t="shared" si="8"/>
        <v>1.2770426420233435E-2</v>
      </c>
      <c r="O14" s="566"/>
      <c r="P14" s="955">
        <v>300000</v>
      </c>
      <c r="Q14" s="953">
        <v>1.2770426420233435E-2</v>
      </c>
      <c r="S14" s="956">
        <v>300000</v>
      </c>
      <c r="T14" s="957">
        <v>1.2770426420233435E-2</v>
      </c>
      <c r="V14" s="828">
        <f t="shared" si="9"/>
        <v>0</v>
      </c>
    </row>
    <row r="15" spans="1:22" x14ac:dyDescent="0.3">
      <c r="A15" s="80" t="s">
        <v>519</v>
      </c>
      <c r="B15" s="968">
        <f t="shared" si="2"/>
        <v>21000</v>
      </c>
      <c r="C15" s="892">
        <f t="shared" si="1"/>
        <v>252000</v>
      </c>
      <c r="D15" s="1008" t="s">
        <v>994</v>
      </c>
      <c r="E15" s="80" t="str">
        <f t="shared" si="3"/>
        <v>CXI</v>
      </c>
      <c r="F15" s="942"/>
      <c r="G15" s="942"/>
      <c r="H15" s="942"/>
      <c r="I15" s="942"/>
      <c r="J15" s="942">
        <f t="shared" si="6"/>
        <v>252000</v>
      </c>
      <c r="K15" s="942"/>
      <c r="L15" s="943">
        <f t="shared" si="7"/>
        <v>252000</v>
      </c>
      <c r="M15" s="110"/>
      <c r="N15" s="858"/>
      <c r="O15" s="149"/>
      <c r="P15" s="42"/>
      <c r="S15" s="947"/>
    </row>
    <row r="16" spans="1:22" x14ac:dyDescent="0.3">
      <c r="A16" s="80" t="s">
        <v>496</v>
      </c>
      <c r="B16" s="968">
        <f t="shared" si="2"/>
        <v>7800</v>
      </c>
      <c r="C16" s="892">
        <f t="shared" si="1"/>
        <v>93600</v>
      </c>
      <c r="D16" s="1008"/>
      <c r="E16" s="80" t="str">
        <f t="shared" si="3"/>
        <v>KCH</v>
      </c>
      <c r="F16" s="942"/>
      <c r="G16" s="942"/>
      <c r="H16" s="942"/>
      <c r="I16" s="942"/>
      <c r="J16" s="942">
        <f t="shared" si="6"/>
        <v>93600</v>
      </c>
      <c r="K16" s="942"/>
      <c r="L16" s="943">
        <f t="shared" si="7"/>
        <v>93600</v>
      </c>
      <c r="M16" s="110"/>
      <c r="N16" s="858"/>
      <c r="O16" s="149"/>
      <c r="P16" s="42"/>
    </row>
    <row r="17" spans="1:16" x14ac:dyDescent="0.3">
      <c r="A17" s="80" t="s">
        <v>594</v>
      </c>
      <c r="B17" s="968">
        <f t="shared" si="2"/>
        <v>0</v>
      </c>
      <c r="C17" s="892">
        <f t="shared" si="1"/>
        <v>0</v>
      </c>
      <c r="D17" s="1008"/>
      <c r="E17" s="80" t="str">
        <f t="shared" si="3"/>
        <v>KFY</v>
      </c>
      <c r="F17" s="944"/>
      <c r="G17" s="944"/>
      <c r="H17" s="944"/>
      <c r="I17" s="944"/>
      <c r="J17" s="942">
        <f t="shared" si="6"/>
        <v>0</v>
      </c>
      <c r="K17" s="944"/>
      <c r="L17" s="945">
        <f t="shared" si="7"/>
        <v>0</v>
      </c>
      <c r="M17" s="110"/>
      <c r="N17" s="858"/>
      <c r="O17" s="149"/>
      <c r="P17" s="42"/>
    </row>
    <row r="18" spans="1:16" ht="16.2" thickBot="1" x14ac:dyDescent="0.35">
      <c r="A18" s="12"/>
      <c r="B18" s="714">
        <f>SUM(B11:B17)</f>
        <v>57300</v>
      </c>
      <c r="C18" s="713">
        <f>SUM(C11:C14)</f>
        <v>342000</v>
      </c>
      <c r="D18" s="105"/>
      <c r="F18" s="711">
        <f t="shared" ref="F18:K18" si="10">SUM(F11:F17)</f>
        <v>15630417.447782964</v>
      </c>
      <c r="G18" s="711">
        <f t="shared" si="10"/>
        <v>6698750.3347641295</v>
      </c>
      <c r="H18" s="712">
        <f t="shared" si="10"/>
        <v>300000</v>
      </c>
      <c r="I18" s="712">
        <f t="shared" si="10"/>
        <v>85000</v>
      </c>
      <c r="J18" s="713">
        <f>SUM(J11:J14)</f>
        <v>342000</v>
      </c>
      <c r="K18" s="713">
        <f t="shared" si="10"/>
        <v>435608.4610935034</v>
      </c>
      <c r="L18" s="713">
        <f>SUM(L11:L14)</f>
        <v>23491776.243640594</v>
      </c>
      <c r="O18" s="149"/>
      <c r="P18" s="42"/>
    </row>
    <row r="19" spans="1:16" x14ac:dyDescent="0.3">
      <c r="A19" s="825"/>
      <c r="C19" s="399"/>
      <c r="D19" s="708"/>
      <c r="E19" s="709" t="s">
        <v>335</v>
      </c>
      <c r="F19" s="689">
        <f>F18-G28</f>
        <v>0</v>
      </c>
      <c r="G19" s="689">
        <f>G18-H28</f>
        <v>0</v>
      </c>
      <c r="H19" s="689"/>
      <c r="K19" s="709" t="s">
        <v>335</v>
      </c>
      <c r="L19" s="689">
        <f>L18-D3</f>
        <v>0</v>
      </c>
      <c r="M19" s="192"/>
      <c r="O19" s="149"/>
      <c r="P19" s="42"/>
    </row>
    <row r="20" spans="1:16" x14ac:dyDescent="0.3">
      <c r="B20" s="851"/>
      <c r="D20" s="27"/>
      <c r="H20" s="116"/>
      <c r="L20" s="12"/>
      <c r="N20" s="499"/>
      <c r="O20" s="42"/>
    </row>
    <row r="21" spans="1:16" x14ac:dyDescent="0.3">
      <c r="A21" s="42"/>
      <c r="D21" s="105"/>
      <c r="H21" s="116"/>
      <c r="L21" s="12"/>
      <c r="N21" s="499"/>
      <c r="O21" s="42"/>
    </row>
    <row r="22" spans="1:16" ht="16.2" thickBot="1" x14ac:dyDescent="0.35">
      <c r="A22" s="51"/>
      <c r="H22" s="116"/>
      <c r="K22" s="12"/>
      <c r="N22" s="500"/>
      <c r="O22" s="42"/>
    </row>
    <row r="23" spans="1:16" x14ac:dyDescent="0.3">
      <c r="A23" s="51"/>
      <c r="E23" s="738"/>
      <c r="F23" s="739"/>
      <c r="G23" s="739"/>
      <c r="H23" s="740"/>
      <c r="I23" s="741"/>
      <c r="J23" s="742"/>
      <c r="K23" s="12"/>
    </row>
    <row r="24" spans="1:16" x14ac:dyDescent="0.3">
      <c r="A24" s="51"/>
      <c r="E24" s="743"/>
      <c r="F24" s="53"/>
      <c r="G24" s="53"/>
      <c r="H24" s="53"/>
      <c r="I24" s="53"/>
      <c r="J24" s="162"/>
      <c r="K24" s="105"/>
      <c r="O24" s="12"/>
    </row>
    <row r="25" spans="1:16" ht="16.2" thickBot="1" x14ac:dyDescent="0.35">
      <c r="A25" s="51"/>
      <c r="E25" s="744"/>
      <c r="F25" s="1005" t="s">
        <v>558</v>
      </c>
      <c r="G25" s="1005"/>
      <c r="H25" s="1005"/>
      <c r="I25" s="1005"/>
      <c r="J25" s="745"/>
      <c r="K25" s="42"/>
      <c r="L25" s="42"/>
      <c r="P25" s="12"/>
    </row>
    <row r="26" spans="1:16" ht="25.2" thickBot="1" x14ac:dyDescent="0.35">
      <c r="A26" s="42"/>
      <c r="E26" s="743"/>
      <c r="F26" s="431">
        <v>2022</v>
      </c>
      <c r="G26" s="415" t="s">
        <v>420</v>
      </c>
      <c r="H26" s="729" t="s">
        <v>421</v>
      </c>
      <c r="I26" s="717" t="s">
        <v>301</v>
      </c>
      <c r="J26" s="745"/>
      <c r="K26" s="473"/>
      <c r="L26" s="473"/>
      <c r="P26" s="12"/>
    </row>
    <row r="27" spans="1:16" ht="16.2" thickBot="1" x14ac:dyDescent="0.35">
      <c r="D27" s="827"/>
      <c r="E27" s="743"/>
      <c r="F27" s="730"/>
      <c r="G27" s="732">
        <v>0.7</v>
      </c>
      <c r="H27" s="826">
        <f>1-G27</f>
        <v>0.30000000000000004</v>
      </c>
      <c r="I27" s="733"/>
      <c r="J27" s="745"/>
      <c r="K27" s="149"/>
      <c r="L27" s="149"/>
      <c r="O27" s="42"/>
      <c r="P27" s="42"/>
    </row>
    <row r="28" spans="1:16" ht="16.2" thickBot="1" x14ac:dyDescent="0.35">
      <c r="E28" s="743"/>
      <c r="F28" s="718" t="s">
        <v>112</v>
      </c>
      <c r="G28" s="333">
        <f>$D$7*G27</f>
        <v>15630417.447782965</v>
      </c>
      <c r="H28" s="333">
        <f>$D$7*H27</f>
        <v>6698750.3347641295</v>
      </c>
      <c r="I28" s="731">
        <f>H28+G28-D7</f>
        <v>0</v>
      </c>
      <c r="J28" s="745"/>
      <c r="K28" s="149"/>
      <c r="L28" s="149"/>
      <c r="M28" s="42"/>
      <c r="N28" s="42"/>
      <c r="O28" s="42"/>
      <c r="P28" s="42"/>
    </row>
    <row r="29" spans="1:16" x14ac:dyDescent="0.3">
      <c r="E29" s="746"/>
      <c r="F29" s="676" t="s">
        <v>3</v>
      </c>
      <c r="G29" s="677">
        <v>0.29479755737149654</v>
      </c>
      <c r="H29" s="948">
        <v>0.3705</v>
      </c>
      <c r="I29" s="53"/>
      <c r="J29" s="747"/>
      <c r="K29" s="149"/>
      <c r="L29" s="951">
        <v>0.2742</v>
      </c>
      <c r="M29" s="42"/>
      <c r="N29" s="42">
        <v>0.37051263167188714</v>
      </c>
      <c r="O29" s="48">
        <v>0.32497731319146606</v>
      </c>
      <c r="P29" s="48">
        <v>0.30451005513664681</v>
      </c>
    </row>
    <row r="30" spans="1:16" x14ac:dyDescent="0.3">
      <c r="E30" s="746"/>
      <c r="F30" s="678" t="s">
        <v>2</v>
      </c>
      <c r="G30" s="679">
        <v>0.41393447339579265</v>
      </c>
      <c r="H30" s="949">
        <v>0.31969999999999998</v>
      </c>
      <c r="I30" s="53"/>
      <c r="J30" s="747"/>
      <c r="K30" s="734"/>
      <c r="L30" s="952">
        <v>0.34360000000000002</v>
      </c>
      <c r="M30" s="735"/>
      <c r="N30" s="220"/>
      <c r="O30" s="491"/>
      <c r="P30" s="492"/>
    </row>
    <row r="31" spans="1:16" ht="16.2" thickBot="1" x14ac:dyDescent="0.35">
      <c r="E31" s="746"/>
      <c r="F31" s="680" t="s">
        <v>1</v>
      </c>
      <c r="G31" s="785">
        <v>0.29126796923271076</v>
      </c>
      <c r="H31" s="950">
        <v>0.30980000000000002</v>
      </c>
      <c r="I31" s="53"/>
      <c r="J31" s="748"/>
      <c r="K31" s="499"/>
      <c r="L31" s="951">
        <v>0.38219999999999998</v>
      </c>
      <c r="M31" s="490"/>
      <c r="N31" s="959">
        <v>0.37051263167188714</v>
      </c>
      <c r="O31" s="492"/>
      <c r="P31" s="831"/>
    </row>
    <row r="32" spans="1:16" x14ac:dyDescent="0.3">
      <c r="A32" s="497"/>
      <c r="B32" s="2"/>
      <c r="E32" s="746"/>
      <c r="F32" s="42"/>
      <c r="G32" s="786">
        <f>SUM(G29:G31)</f>
        <v>1</v>
      </c>
      <c r="H32" s="786">
        <f>SUM(H29:H31)</f>
        <v>1</v>
      </c>
      <c r="I32" s="53"/>
      <c r="J32" s="745"/>
      <c r="K32" s="492"/>
      <c r="N32" s="831">
        <v>0.32497731319146606</v>
      </c>
      <c r="P32" s="858"/>
    </row>
    <row r="33" spans="1:16" ht="16.2" thickBot="1" x14ac:dyDescent="0.35">
      <c r="A33" s="498"/>
      <c r="E33" s="749"/>
      <c r="F33" s="750"/>
      <c r="G33" s="784" t="s">
        <v>1010</v>
      </c>
      <c r="H33" s="783" t="s">
        <v>550</v>
      </c>
      <c r="I33" s="751"/>
      <c r="J33" s="752"/>
      <c r="K33" s="492"/>
      <c r="N33" s="831">
        <v>0.30451005513664681</v>
      </c>
      <c r="P33" s="858"/>
    </row>
    <row r="34" spans="1:16" x14ac:dyDescent="0.3">
      <c r="C34" s="51"/>
      <c r="D34" s="42"/>
      <c r="F34" s="500"/>
      <c r="G34" s="500"/>
      <c r="H34" s="42"/>
      <c r="I34" s="42"/>
      <c r="J34" s="491"/>
      <c r="K34" s="492"/>
    </row>
    <row r="35" spans="1:16" x14ac:dyDescent="0.3">
      <c r="C35" s="51"/>
      <c r="D35" s="51"/>
      <c r="F35" s="292"/>
      <c r="G35" s="292"/>
      <c r="H35" s="539"/>
      <c r="I35" s="42"/>
      <c r="J35" s="491"/>
      <c r="K35" s="48"/>
    </row>
    <row r="36" spans="1:16" x14ac:dyDescent="0.3">
      <c r="C36" s="42"/>
      <c r="D36" s="42"/>
      <c r="E36" s="488"/>
      <c r="F36" s="42"/>
      <c r="G36" s="42"/>
      <c r="H36" s="42"/>
      <c r="I36" s="42"/>
      <c r="J36" s="493"/>
      <c r="K36" s="48"/>
    </row>
    <row r="37" spans="1:16" x14ac:dyDescent="0.3">
      <c r="C37" s="51"/>
      <c r="D37" s="51"/>
      <c r="E37" s="489"/>
      <c r="F37" s="467"/>
      <c r="G37" s="467"/>
      <c r="H37" s="830"/>
      <c r="I37" s="830"/>
      <c r="J37" s="831"/>
      <c r="K37" s="42"/>
    </row>
    <row r="38" spans="1:16" ht="16.2" thickBot="1" x14ac:dyDescent="0.35">
      <c r="C38" s="51"/>
      <c r="D38" s="42"/>
      <c r="E38" s="42"/>
      <c r="F38" s="495"/>
      <c r="G38" s="495"/>
      <c r="H38" s="42"/>
      <c r="I38" s="491"/>
      <c r="J38" s="492"/>
      <c r="K38" s="42"/>
    </row>
    <row r="39" spans="1:16" x14ac:dyDescent="0.3">
      <c r="A39" s="1006" t="s">
        <v>593</v>
      </c>
      <c r="B39" s="1007"/>
      <c r="C39" s="825" t="s">
        <v>595</v>
      </c>
      <c r="D39" s="42"/>
      <c r="E39" s="486"/>
      <c r="F39" s="494"/>
      <c r="G39" s="494"/>
      <c r="H39" s="42"/>
      <c r="I39" s="491"/>
      <c r="J39" s="492"/>
      <c r="K39" s="42"/>
    </row>
    <row r="40" spans="1:16" x14ac:dyDescent="0.3">
      <c r="A40" s="117" t="str">
        <f>A11</f>
        <v>ITE</v>
      </c>
      <c r="B40" s="969">
        <v>0</v>
      </c>
      <c r="D40" s="42"/>
      <c r="E40" s="487"/>
      <c r="F40" s="494"/>
      <c r="G40" s="494"/>
      <c r="H40" s="42"/>
      <c r="I40" s="491"/>
      <c r="J40" s="492"/>
      <c r="K40" s="42"/>
    </row>
    <row r="41" spans="1:16" x14ac:dyDescent="0.3">
      <c r="A41" s="117" t="str">
        <f t="shared" ref="A41:A46" si="11">A12</f>
        <v>MTI</v>
      </c>
      <c r="B41" s="969">
        <v>11100</v>
      </c>
      <c r="D41" s="51"/>
      <c r="E41" s="488"/>
      <c r="F41" s="494"/>
      <c r="G41" s="494"/>
      <c r="H41" s="42"/>
      <c r="I41" s="491"/>
      <c r="J41" s="492"/>
      <c r="K41" s="42"/>
    </row>
    <row r="42" spans="1:16" x14ac:dyDescent="0.3">
      <c r="A42" s="117" t="str">
        <f t="shared" si="11"/>
        <v>NTI</v>
      </c>
      <c r="B42" s="969">
        <v>17400</v>
      </c>
      <c r="D42" s="42" t="s">
        <v>1032</v>
      </c>
      <c r="E42" s="488"/>
      <c r="F42" s="494" t="s">
        <v>1033</v>
      </c>
      <c r="G42" s="494"/>
      <c r="H42" s="42"/>
      <c r="I42" s="491"/>
      <c r="J42" s="492"/>
      <c r="K42" s="42"/>
    </row>
    <row r="43" spans="1:16" x14ac:dyDescent="0.3">
      <c r="A43" s="117" t="str">
        <f t="shared" si="11"/>
        <v>DFM</v>
      </c>
      <c r="B43" s="970">
        <v>0</v>
      </c>
      <c r="D43" s="857">
        <v>9000</v>
      </c>
      <c r="E43" s="42" t="s">
        <v>1</v>
      </c>
      <c r="F43" s="972">
        <f>12*D43</f>
        <v>108000</v>
      </c>
      <c r="G43" s="495"/>
      <c r="H43" s="42"/>
      <c r="I43" s="491"/>
      <c r="J43" s="48"/>
      <c r="K43" s="42"/>
    </row>
    <row r="44" spans="1:16" x14ac:dyDescent="0.3">
      <c r="A44" s="117" t="str">
        <f t="shared" si="11"/>
        <v>CXI</v>
      </c>
      <c r="B44" s="970">
        <v>21000</v>
      </c>
      <c r="D44" s="195">
        <f>B44-D43</f>
        <v>12000</v>
      </c>
      <c r="E44" s="1" t="s">
        <v>519</v>
      </c>
      <c r="F44" s="972">
        <f t="shared" ref="F44:F45" si="12">12*D44</f>
        <v>144000</v>
      </c>
      <c r="G44" s="495"/>
      <c r="H44" s="42"/>
      <c r="I44" s="491"/>
      <c r="J44" s="48"/>
      <c r="K44" s="42"/>
    </row>
    <row r="45" spans="1:16" x14ac:dyDescent="0.3">
      <c r="A45" s="117" t="str">
        <f t="shared" si="11"/>
        <v>KCH</v>
      </c>
      <c r="B45" s="971">
        <v>7800</v>
      </c>
      <c r="D45" s="962">
        <f>B45</f>
        <v>7800</v>
      </c>
      <c r="E45" s="42" t="s">
        <v>496</v>
      </c>
      <c r="F45" s="972">
        <f t="shared" si="12"/>
        <v>93600</v>
      </c>
      <c r="G45" s="495"/>
      <c r="H45" s="42"/>
      <c r="I45" s="491"/>
      <c r="J45" s="492"/>
      <c r="K45" s="42"/>
    </row>
    <row r="46" spans="1:16" x14ac:dyDescent="0.3">
      <c r="A46" s="117" t="str">
        <f t="shared" si="11"/>
        <v>KFY</v>
      </c>
      <c r="B46" s="970">
        <v>0</v>
      </c>
      <c r="C46" s="42"/>
      <c r="D46" s="42"/>
      <c r="E46" s="488"/>
      <c r="F46" s="494"/>
      <c r="G46" s="494"/>
      <c r="H46" s="42"/>
      <c r="I46" s="491"/>
      <c r="J46" s="492"/>
      <c r="K46" s="42"/>
    </row>
    <row r="47" spans="1:16" x14ac:dyDescent="0.3">
      <c r="C47" s="42"/>
      <c r="D47" s="42"/>
      <c r="E47" s="487"/>
      <c r="F47" s="494"/>
      <c r="G47" s="494"/>
      <c r="H47" s="42"/>
      <c r="I47" s="491"/>
      <c r="J47" s="492"/>
      <c r="K47" s="42"/>
    </row>
    <row r="48" spans="1:16" x14ac:dyDescent="0.3">
      <c r="C48" s="42"/>
      <c r="D48" s="51"/>
      <c r="E48" s="488"/>
      <c r="F48" s="494"/>
      <c r="G48" s="494"/>
      <c r="H48" s="42"/>
      <c r="I48" s="491"/>
      <c r="J48" s="492"/>
      <c r="K48" s="42"/>
    </row>
    <row r="49" spans="3:11" hidden="1" x14ac:dyDescent="0.3">
      <c r="C49" s="42"/>
      <c r="D49" s="42"/>
      <c r="E49" s="488"/>
      <c r="F49" s="494"/>
      <c r="G49" s="494"/>
      <c r="H49" s="42"/>
      <c r="I49" s="491"/>
      <c r="J49" s="492"/>
      <c r="K49" s="42"/>
    </row>
    <row r="50" spans="3:11" x14ac:dyDescent="0.3">
      <c r="C50" s="42"/>
      <c r="D50" s="42"/>
      <c r="E50" s="489"/>
      <c r="F50" s="42"/>
      <c r="G50" s="42"/>
      <c r="H50" s="42"/>
      <c r="I50" s="491"/>
      <c r="J50" s="42"/>
      <c r="K50" s="42"/>
    </row>
    <row r="51" spans="3:11" x14ac:dyDescent="0.3">
      <c r="C51" s="42"/>
      <c r="D51" s="42"/>
      <c r="E51" s="42"/>
      <c r="F51" s="496"/>
      <c r="G51" s="496"/>
      <c r="H51" s="42"/>
      <c r="I51" s="42"/>
      <c r="J51" s="42"/>
      <c r="K51" s="42"/>
    </row>
    <row r="52" spans="3:11" x14ac:dyDescent="0.3">
      <c r="C52" s="42"/>
      <c r="D52" s="42"/>
      <c r="E52" s="42"/>
      <c r="F52" s="42"/>
      <c r="G52" s="42"/>
      <c r="H52" s="42"/>
      <c r="I52" s="42"/>
      <c r="J52" s="42"/>
    </row>
    <row r="53" spans="3:11" x14ac:dyDescent="0.3">
      <c r="E53" s="42"/>
      <c r="F53" s="42"/>
      <c r="G53" s="42"/>
      <c r="H53" s="42"/>
      <c r="I53" s="42"/>
      <c r="J53" s="42"/>
    </row>
    <row r="54" spans="3:11" x14ac:dyDescent="0.3">
      <c r="E54" s="42"/>
      <c r="F54" s="42"/>
      <c r="G54" s="42"/>
      <c r="H54" s="42"/>
      <c r="I54" s="42"/>
    </row>
  </sheetData>
  <mergeCells count="3">
    <mergeCell ref="F25:I25"/>
    <mergeCell ref="A39:B39"/>
    <mergeCell ref="D15:D17"/>
  </mergeCells>
  <conditionalFormatting sqref="F38:G42 F46:G51 G43:G4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{89B468E4-1435-40B8-BDCF-E6D69F28003F}</x14:id>
        </ext>
      </extLst>
    </cfRule>
  </conditionalFormatting>
  <conditionalFormatting sqref="J38:J4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{E8493E7E-D5D4-4A92-9641-EC08BE64C41E}</x14:id>
        </ext>
      </extLst>
    </cfRule>
  </conditionalFormatting>
  <printOptions horizontalCentered="1"/>
  <pageMargins left="0" right="0" top="1.3779527559055118" bottom="0" header="0.70866141732283472" footer="0.31496062992125984"/>
  <pageSetup paperSize="9" scale="86" orientation="landscape" r:id="rId1"/>
  <headerFooter>
    <oddHeader>&amp;R&amp;Z&amp;F
List: &amp;A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B468E4-1435-40B8-BDCF-E6D69F28003F}">
            <x14:dataBar minLength="0" maxLength="100" negativeBarColorSameAsPositive="1" axisPosition="none">
              <x14:cfvo type="min"/>
              <x14:cfvo type="max"/>
            </x14:dataBar>
          </x14:cfRule>
          <xm:sqref>F38:G42 F46:G51 G43:G45</xm:sqref>
        </x14:conditionalFormatting>
        <x14:conditionalFormatting xmlns:xm="http://schemas.microsoft.com/office/excel/2006/main">
          <x14:cfRule type="dataBar" id="{E8493E7E-D5D4-4A92-9641-EC08BE64C41E}">
            <x14:dataBar minLength="0" maxLength="100" negativeBarColorSameAsPositive="1" axisPosition="none">
              <x14:cfvo type="min"/>
              <x14:cfvo type="max"/>
            </x14:dataBar>
          </x14:cfRule>
          <xm:sqref>J38:J49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48"/>
  <sheetViews>
    <sheetView workbookViewId="0">
      <selection activeCell="B23" sqref="B23"/>
    </sheetView>
  </sheetViews>
  <sheetFormatPr defaultColWidth="9.109375" defaultRowHeight="13.2" x14ac:dyDescent="0.25"/>
  <cols>
    <col min="1" max="1" width="38.109375" style="40" customWidth="1"/>
    <col min="2" max="2" width="19.5546875" style="40" customWidth="1"/>
    <col min="3" max="3" width="19" style="40" customWidth="1"/>
    <col min="4" max="4" width="19.6640625" style="40" customWidth="1"/>
    <col min="5" max="5" width="19" style="40" customWidth="1"/>
    <col min="6" max="6" width="18.6640625" style="40" customWidth="1"/>
    <col min="7" max="7" width="5.44140625" style="40" customWidth="1"/>
    <col min="8" max="8" width="18.5546875" style="40" customWidth="1"/>
    <col min="9" max="9" width="23.109375" style="40" customWidth="1"/>
    <col min="10" max="11" width="13.109375" style="40" bestFit="1" customWidth="1"/>
    <col min="12" max="12" width="12.88671875" style="40" customWidth="1"/>
    <col min="13" max="13" width="13" style="40" customWidth="1"/>
    <col min="14" max="14" width="14.33203125" style="40" customWidth="1"/>
    <col min="15" max="16384" width="9.109375" style="40"/>
  </cols>
  <sheetData>
    <row r="1" spans="1:9" ht="17.399999999999999" x14ac:dyDescent="0.3">
      <c r="A1" s="8" t="s">
        <v>574</v>
      </c>
      <c r="B1" s="49"/>
    </row>
    <row r="2" spans="1:9" ht="9" customHeight="1" x14ac:dyDescent="0.3">
      <c r="B2" s="49"/>
    </row>
    <row r="3" spans="1:9" ht="41.25" customHeight="1" thickBot="1" x14ac:dyDescent="0.35">
      <c r="B3" s="15" t="s">
        <v>959</v>
      </c>
      <c r="C3" s="299" t="s">
        <v>279</v>
      </c>
      <c r="D3" s="299" t="s">
        <v>245</v>
      </c>
    </row>
    <row r="4" spans="1:9" ht="18" thickBot="1" x14ac:dyDescent="0.35">
      <c r="A4" s="12" t="s">
        <v>112</v>
      </c>
      <c r="B4" s="294">
        <f>'0_PRIDEL'!H21</f>
        <v>22764954.465354815</v>
      </c>
      <c r="C4" s="300">
        <f>'0_PRIDEL'!H19</f>
        <v>22397173.012968801</v>
      </c>
      <c r="D4" s="313">
        <f>'0_PRIDEL'!H20</f>
        <v>367781.45238601399</v>
      </c>
    </row>
    <row r="5" spans="1:9" ht="16.8" x14ac:dyDescent="0.3">
      <c r="B5" s="49"/>
      <c r="I5" s="910"/>
    </row>
    <row r="6" spans="1:9" ht="16.2" thickBot="1" x14ac:dyDescent="0.35">
      <c r="B6" s="39" t="s">
        <v>110</v>
      </c>
      <c r="C6" s="39" t="s">
        <v>3</v>
      </c>
      <c r="D6" s="39" t="s">
        <v>2</v>
      </c>
      <c r="E6" s="39" t="s">
        <v>1</v>
      </c>
      <c r="F6" s="1"/>
    </row>
    <row r="7" spans="1:9" ht="17.399999999999999" thickBot="1" x14ac:dyDescent="0.35">
      <c r="A7" s="341" t="s">
        <v>269</v>
      </c>
      <c r="B7" s="62">
        <v>5847638.2400000002</v>
      </c>
      <c r="C7" s="62">
        <v>2526725.92</v>
      </c>
      <c r="D7" s="62">
        <v>7694719.6600000001</v>
      </c>
      <c r="E7" s="297">
        <v>4557142.58</v>
      </c>
      <c r="F7" s="300">
        <f>SUM(B7:E7)</f>
        <v>20626226.399999999</v>
      </c>
      <c r="G7" s="40" t="s">
        <v>1042</v>
      </c>
    </row>
    <row r="8" spans="1:9" ht="15.6" x14ac:dyDescent="0.3">
      <c r="A8" s="308" t="s">
        <v>247</v>
      </c>
      <c r="B8" s="541">
        <v>564950.43999999994</v>
      </c>
      <c r="C8" s="196"/>
      <c r="D8" s="196"/>
      <c r="E8" s="196"/>
      <c r="F8" s="298">
        <f>SUM(B8:E8)</f>
        <v>564950.43999999994</v>
      </c>
      <c r="G8" s="543"/>
    </row>
    <row r="9" spans="1:9" ht="15.6" x14ac:dyDescent="0.3">
      <c r="A9" s="309" t="s">
        <v>302</v>
      </c>
      <c r="B9" s="436">
        <v>4683.83</v>
      </c>
      <c r="F9" s="62">
        <f>SUM(B9:E9)</f>
        <v>4683.83</v>
      </c>
      <c r="G9" s="543"/>
    </row>
    <row r="10" spans="1:9" ht="15.6" x14ac:dyDescent="0.3">
      <c r="A10" s="342" t="s">
        <v>248</v>
      </c>
      <c r="B10" s="542">
        <v>4213944.29</v>
      </c>
      <c r="C10" s="343"/>
      <c r="D10" s="343"/>
      <c r="E10" s="344"/>
      <c r="F10" s="62">
        <f t="shared" ref="F10:F20" si="0">SUM(B10:E10)</f>
        <v>4213944.29</v>
      </c>
      <c r="G10" s="543"/>
    </row>
    <row r="11" spans="1:9" ht="15.6" x14ac:dyDescent="0.3">
      <c r="A11" s="310" t="s">
        <v>243</v>
      </c>
      <c r="B11" s="295">
        <f>SUM(B8:B10)</f>
        <v>4783578.5599999996</v>
      </c>
      <c r="C11" s="295"/>
      <c r="D11" s="295"/>
      <c r="E11" s="296"/>
      <c r="F11" s="62">
        <f t="shared" si="0"/>
        <v>4783578.5599999996</v>
      </c>
      <c r="G11" s="543"/>
    </row>
    <row r="12" spans="1:9" ht="15.6" x14ac:dyDescent="0.3">
      <c r="A12" s="309" t="s">
        <v>242</v>
      </c>
      <c r="B12" s="196"/>
      <c r="C12" s="393">
        <v>844</v>
      </c>
      <c r="D12" s="393">
        <v>2036</v>
      </c>
      <c r="E12" s="393">
        <v>1207</v>
      </c>
      <c r="F12" s="62">
        <f>SUM(B12:E12)</f>
        <v>4087</v>
      </c>
      <c r="G12" s="543"/>
    </row>
    <row r="13" spans="1:9" ht="15.6" x14ac:dyDescent="0.3">
      <c r="A13" s="310" t="s">
        <v>244</v>
      </c>
      <c r="B13" s="295">
        <f>B12/$F$12*$B$11</f>
        <v>0</v>
      </c>
      <c r="C13" s="295">
        <f>C12/$F$12*$B$11</f>
        <v>987849.35273794946</v>
      </c>
      <c r="D13" s="295">
        <f>D12/$F$12*$B$11</f>
        <v>2383010.9978370438</v>
      </c>
      <c r="E13" s="296">
        <f>E12/$F$12*$B$11</f>
        <v>1412718.2094250061</v>
      </c>
      <c r="F13" s="62">
        <f t="shared" si="0"/>
        <v>4783578.5599999996</v>
      </c>
    </row>
    <row r="14" spans="1:9" ht="15.6" x14ac:dyDescent="0.3">
      <c r="A14" s="55"/>
      <c r="B14" s="196"/>
      <c r="C14" s="196"/>
      <c r="D14" s="196"/>
      <c r="E14" s="196"/>
      <c r="F14" s="96"/>
    </row>
    <row r="15" spans="1:9" ht="15.6" x14ac:dyDescent="0.3">
      <c r="A15" s="311" t="s">
        <v>246</v>
      </c>
      <c r="B15" s="394">
        <v>1064059.68</v>
      </c>
      <c r="C15" s="305"/>
      <c r="D15" s="305"/>
      <c r="E15" s="306"/>
      <c r="F15" s="62">
        <f t="shared" si="0"/>
        <v>1064059.68</v>
      </c>
      <c r="G15" s="545"/>
    </row>
    <row r="16" spans="1:9" ht="15.6" x14ac:dyDescent="0.3">
      <c r="A16" s="310" t="s">
        <v>249</v>
      </c>
      <c r="B16" s="295">
        <f>B15</f>
        <v>1064059.68</v>
      </c>
      <c r="C16" s="301"/>
      <c r="D16" s="301"/>
      <c r="E16" s="307"/>
      <c r="F16" s="62">
        <f t="shared" si="0"/>
        <v>1064059.68</v>
      </c>
    </row>
    <row r="17" spans="1:9" ht="15.6" x14ac:dyDescent="0.3">
      <c r="A17" s="312" t="s">
        <v>303</v>
      </c>
      <c r="B17" s="544">
        <f>2.25+3.2</f>
        <v>5.45</v>
      </c>
      <c r="C17" s="395">
        <v>17.989999999999998</v>
      </c>
      <c r="D17" s="544">
        <v>50.76</v>
      </c>
      <c r="E17" s="395">
        <v>39.65</v>
      </c>
      <c r="F17" s="357">
        <f t="shared" si="0"/>
        <v>113.85</v>
      </c>
      <c r="G17" s="546"/>
    </row>
    <row r="18" spans="1:9" ht="16.2" thickBot="1" x14ac:dyDescent="0.35">
      <c r="A18" s="310" t="s">
        <v>250</v>
      </c>
      <c r="B18" s="290">
        <f>$B$16*B17/$F$17</f>
        <v>50936.541554677213</v>
      </c>
      <c r="C18" s="290">
        <f>$B$16*C17/$F$17</f>
        <v>168137.3179025033</v>
      </c>
      <c r="D18" s="290">
        <f>$B$16*D17/$F$17</f>
        <v>474410.79803952569</v>
      </c>
      <c r="E18" s="290">
        <f>$B$16*E17/$F$17</f>
        <v>370575.02250329382</v>
      </c>
      <c r="F18" s="302">
        <f t="shared" si="0"/>
        <v>1064059.6800000002</v>
      </c>
    </row>
    <row r="19" spans="1:9" ht="17.399999999999999" thickBot="1" x14ac:dyDescent="0.35">
      <c r="A19" s="40" t="s">
        <v>960</v>
      </c>
      <c r="B19" s="303">
        <f>B7-B11-B16+B18</f>
        <v>50936.541554677911</v>
      </c>
      <c r="C19" s="304">
        <f>C7+C13+C18</f>
        <v>3682712.5906404527</v>
      </c>
      <c r="D19" s="304">
        <f>D7+D13+D18</f>
        <v>10552141.45587657</v>
      </c>
      <c r="E19" s="304">
        <f>E7+E13+E18</f>
        <v>6340435.8119283002</v>
      </c>
      <c r="F19" s="300">
        <f>SUM(B19:E19)</f>
        <v>20626226.399999999</v>
      </c>
      <c r="G19" s="40" t="s">
        <v>964</v>
      </c>
      <c r="I19" s="910"/>
    </row>
    <row r="20" spans="1:9" ht="17.399999999999999" thickBot="1" x14ac:dyDescent="0.35">
      <c r="A20" s="356" t="s">
        <v>278</v>
      </c>
      <c r="B20" s="363">
        <f>B19/$F$19</f>
        <v>2.4695036584432097E-3</v>
      </c>
      <c r="C20" s="363">
        <f>C19/$F$19</f>
        <v>0.17854514535147606</v>
      </c>
      <c r="D20" s="363">
        <f>D19/$F$19</f>
        <v>0.5115885596929437</v>
      </c>
      <c r="E20" s="363">
        <f>E19/$F$19</f>
        <v>0.30739679129713715</v>
      </c>
      <c r="F20" s="364">
        <f t="shared" si="0"/>
        <v>1</v>
      </c>
    </row>
    <row r="21" spans="1:9" ht="17.399999999999999" thickBot="1" x14ac:dyDescent="0.35">
      <c r="A21" s="360" t="s">
        <v>245</v>
      </c>
      <c r="B21" s="362">
        <f>B20*$F$21</f>
        <v>908.23764217481869</v>
      </c>
      <c r="C21" s="362">
        <f>C20*$F$21</f>
        <v>65665.592873837842</v>
      </c>
      <c r="D21" s="362">
        <f>D20*$F$21</f>
        <v>188152.78350793984</v>
      </c>
      <c r="E21" s="362">
        <f>E20*$F$21</f>
        <v>113054.83836206152</v>
      </c>
      <c r="F21" s="361">
        <f>D4</f>
        <v>367781.45238601399</v>
      </c>
      <c r="G21" s="40" t="s">
        <v>965</v>
      </c>
    </row>
    <row r="22" spans="1:9" ht="18" thickBot="1" x14ac:dyDescent="0.35">
      <c r="A22" s="244" t="s">
        <v>961</v>
      </c>
      <c r="B22" s="314">
        <f>B19+B21</f>
        <v>51844.779196852731</v>
      </c>
      <c r="C22" s="314">
        <f>C19+C21</f>
        <v>3748378.1835142905</v>
      </c>
      <c r="D22" s="314">
        <f>D19+D21</f>
        <v>10740294.23938451</v>
      </c>
      <c r="E22" s="314">
        <f>E19+E21</f>
        <v>6453490.6502903616</v>
      </c>
      <c r="F22" s="905">
        <f>SUM(B22:E22)</f>
        <v>20994007.852386016</v>
      </c>
    </row>
    <row r="23" spans="1:9" ht="17.399999999999999" x14ac:dyDescent="0.3">
      <c r="A23" s="901" t="s">
        <v>997</v>
      </c>
      <c r="B23" s="900">
        <f>$F$23*B24</f>
        <v>4373.3600954090271</v>
      </c>
      <c r="C23" s="900">
        <f t="shared" ref="C23:E23" si="1">$F$23*C24</f>
        <v>316193.98952476046</v>
      </c>
      <c r="D23" s="900">
        <f t="shared" si="1"/>
        <v>905996.22502253961</v>
      </c>
      <c r="E23" s="900">
        <f t="shared" si="1"/>
        <v>544383.42535729113</v>
      </c>
      <c r="F23" s="902">
        <v>1770947</v>
      </c>
      <c r="G23" s="40" t="s">
        <v>1014</v>
      </c>
    </row>
    <row r="24" spans="1:9" ht="17.399999999999999" thickBot="1" x14ac:dyDescent="0.35">
      <c r="A24" s="356" t="s">
        <v>962</v>
      </c>
      <c r="B24" s="974">
        <f>B20</f>
        <v>2.4695036584432097E-3</v>
      </c>
      <c r="C24" s="974">
        <f t="shared" ref="C24:E24" si="2">C20</f>
        <v>0.17854514535147606</v>
      </c>
      <c r="D24" s="974">
        <f t="shared" si="2"/>
        <v>0.5115885596929437</v>
      </c>
      <c r="E24" s="974">
        <f t="shared" si="2"/>
        <v>0.30739679129713715</v>
      </c>
      <c r="F24" s="973">
        <f>SUM(B24:E24)</f>
        <v>1</v>
      </c>
    </row>
    <row r="25" spans="1:9" ht="18" thickBot="1" x14ac:dyDescent="0.35">
      <c r="A25" s="244" t="s">
        <v>963</v>
      </c>
      <c r="B25" s="903">
        <f>B19+B21+B23</f>
        <v>56218.13929226176</v>
      </c>
      <c r="C25" s="903">
        <f t="shared" ref="C25:E25" si="3">C19+C21+C23</f>
        <v>4064572.1730390508</v>
      </c>
      <c r="D25" s="903">
        <f t="shared" si="3"/>
        <v>11646290.464407049</v>
      </c>
      <c r="E25" s="903">
        <f t="shared" si="3"/>
        <v>6997874.0756476531</v>
      </c>
      <c r="F25" s="904">
        <f>SUM(B25:E25)</f>
        <v>22764954.852386013</v>
      </c>
    </row>
    <row r="26" spans="1:9" ht="17.399999999999999" x14ac:dyDescent="0.3">
      <c r="A26" s="244"/>
      <c r="B26" s="898"/>
      <c r="C26" s="898"/>
      <c r="D26" s="898"/>
      <c r="E26" s="898"/>
      <c r="F26" s="906"/>
    </row>
    <row r="27" spans="1:9" ht="17.399999999999999" x14ac:dyDescent="0.3">
      <c r="A27" s="244"/>
      <c r="B27" s="898"/>
      <c r="C27" s="898"/>
      <c r="D27" s="898"/>
      <c r="E27" s="898"/>
      <c r="F27" s="899"/>
    </row>
    <row r="28" spans="1:9" ht="17.399999999999999" x14ac:dyDescent="0.3">
      <c r="A28" s="244"/>
      <c r="B28" s="898"/>
      <c r="C28" s="898"/>
      <c r="D28" s="898"/>
      <c r="E28" s="898"/>
      <c r="F28" s="899"/>
    </row>
    <row r="29" spans="1:9" ht="16.8" x14ac:dyDescent="0.3">
      <c r="B29" s="49"/>
    </row>
    <row r="30" spans="1:9" ht="66.75" customHeight="1" x14ac:dyDescent="0.3">
      <c r="C30" s="1"/>
      <c r="D30" s="349"/>
      <c r="E30" s="349"/>
      <c r="F30" s="849" t="s">
        <v>1001</v>
      </c>
      <c r="H30" s="849" t="s">
        <v>559</v>
      </c>
      <c r="I30" s="850" t="s">
        <v>560</v>
      </c>
    </row>
    <row r="31" spans="1:9" ht="16.8" x14ac:dyDescent="0.3">
      <c r="A31" s="12"/>
      <c r="D31" s="349"/>
      <c r="E31" s="4" t="s">
        <v>3</v>
      </c>
      <c r="F31" s="291">
        <v>4064572</v>
      </c>
      <c r="H31" s="291">
        <v>0</v>
      </c>
      <c r="I31" s="291">
        <f t="shared" ref="I31:I33" si="4">F31+H31</f>
        <v>4064572</v>
      </c>
    </row>
    <row r="32" spans="1:9" ht="15.6" x14ac:dyDescent="0.3">
      <c r="A32" s="12"/>
      <c r="D32" s="348"/>
      <c r="E32" s="37" t="s">
        <v>2</v>
      </c>
      <c r="F32" s="291">
        <v>11646290</v>
      </c>
      <c r="H32" s="291">
        <v>0</v>
      </c>
      <c r="I32" s="291">
        <f t="shared" si="4"/>
        <v>11646290</v>
      </c>
    </row>
    <row r="33" spans="1:9" ht="16.8" x14ac:dyDescent="0.3">
      <c r="D33" s="349"/>
      <c r="E33" s="4" t="s">
        <v>1</v>
      </c>
      <c r="F33" s="291">
        <v>6997874</v>
      </c>
      <c r="H33" s="291">
        <v>0</v>
      </c>
      <c r="I33" s="291">
        <f t="shared" si="4"/>
        <v>6997874</v>
      </c>
    </row>
    <row r="34" spans="1:9" ht="17.399999999999999" thickBot="1" x14ac:dyDescent="0.35">
      <c r="D34" s="349"/>
      <c r="E34" s="37" t="s">
        <v>9</v>
      </c>
      <c r="F34" s="291">
        <v>56218</v>
      </c>
      <c r="H34" s="291">
        <f>'0_PRIDEL'!H22</f>
        <v>25000</v>
      </c>
      <c r="I34" s="291">
        <f>F34+H34</f>
        <v>81218</v>
      </c>
    </row>
    <row r="35" spans="1:9" ht="18" thickBot="1" x14ac:dyDescent="0.35">
      <c r="C35" s="32"/>
      <c r="D35" s="348"/>
      <c r="E35" s="348"/>
      <c r="F35" s="294">
        <f>SUM(F31:F34)</f>
        <v>22764954</v>
      </c>
      <c r="H35" s="294">
        <f>SUM(H31:H34)</f>
        <v>25000</v>
      </c>
      <c r="I35" s="294">
        <f>SUM(I31:I34)</f>
        <v>22789954</v>
      </c>
    </row>
    <row r="36" spans="1:9" ht="16.8" x14ac:dyDescent="0.3">
      <c r="B36" s="49"/>
      <c r="D36" s="349"/>
      <c r="E36" s="349"/>
      <c r="F36" s="687">
        <f>22397173+367781</f>
        <v>22764954</v>
      </c>
    </row>
    <row r="37" spans="1:9" ht="15.6" x14ac:dyDescent="0.3">
      <c r="A37" s="345"/>
      <c r="B37" s="48"/>
      <c r="C37" s="48"/>
      <c r="D37" s="28"/>
      <c r="E37" s="28"/>
      <c r="F37" s="392">
        <f>F36-F35</f>
        <v>0</v>
      </c>
      <c r="G37" s="345"/>
    </row>
    <row r="38" spans="1:9" s="1" customFormat="1" ht="15.6" x14ac:dyDescent="0.3">
      <c r="A38" s="341"/>
      <c r="B38" s="28"/>
      <c r="C38" s="28"/>
      <c r="D38" s="28"/>
      <c r="E38" s="28"/>
      <c r="F38" s="347"/>
      <c r="G38" s="346"/>
    </row>
    <row r="39" spans="1:9" s="1" customFormat="1" ht="15.6" x14ac:dyDescent="0.3">
      <c r="A39" s="346"/>
      <c r="B39" s="28"/>
      <c r="C39" s="28"/>
      <c r="D39" s="28"/>
      <c r="E39" s="28"/>
      <c r="F39" s="946"/>
      <c r="G39" s="346"/>
      <c r="I39" s="3"/>
    </row>
    <row r="40" spans="1:9" s="1" customFormat="1" ht="16.8" x14ac:dyDescent="0.3">
      <c r="A40" s="346"/>
      <c r="B40" s="28"/>
      <c r="C40" s="28"/>
      <c r="D40" s="28"/>
      <c r="E40" s="28"/>
      <c r="F40" s="349"/>
      <c r="G40" s="346"/>
    </row>
    <row r="41" spans="1:9" s="1" customFormat="1" ht="15.6" x14ac:dyDescent="0.3">
      <c r="A41" s="833"/>
      <c r="B41" s="28"/>
      <c r="C41" s="28"/>
      <c r="D41" s="28"/>
      <c r="E41" s="28"/>
      <c r="F41" s="346"/>
      <c r="G41" s="350"/>
      <c r="H41" s="3"/>
    </row>
    <row r="42" spans="1:9" s="1" customFormat="1" ht="17.399999999999999" x14ac:dyDescent="0.3">
      <c r="A42" s="346"/>
      <c r="B42" s="28"/>
      <c r="C42" s="28"/>
      <c r="D42" s="28"/>
      <c r="E42" s="28"/>
      <c r="F42" s="351"/>
      <c r="G42" s="346"/>
    </row>
    <row r="43" spans="1:9" s="1" customFormat="1" ht="15.6" x14ac:dyDescent="0.3">
      <c r="A43" s="53"/>
      <c r="B43" s="28"/>
      <c r="C43" s="28"/>
      <c r="D43" s="28"/>
      <c r="E43" s="28"/>
      <c r="F43" s="346"/>
      <c r="G43" s="346"/>
    </row>
    <row r="44" spans="1:9" ht="15.6" x14ac:dyDescent="0.3">
      <c r="A44" s="833"/>
      <c r="B44" s="28"/>
      <c r="C44" s="28"/>
      <c r="D44" s="28"/>
      <c r="E44" s="28"/>
    </row>
    <row r="45" spans="1:9" ht="15.6" x14ac:dyDescent="0.3">
      <c r="A45" s="81"/>
      <c r="B45" s="28"/>
      <c r="C45" s="28"/>
      <c r="D45" s="28"/>
      <c r="E45" s="28"/>
    </row>
    <row r="46" spans="1:9" ht="15.6" x14ac:dyDescent="0.3">
      <c r="A46" s="81"/>
      <c r="B46" s="28"/>
      <c r="C46" s="28"/>
      <c r="D46" s="28"/>
      <c r="E46" s="28"/>
    </row>
    <row r="47" spans="1:9" ht="15.6" x14ac:dyDescent="0.3">
      <c r="A47" s="833"/>
      <c r="B47" s="28"/>
      <c r="C47" s="28"/>
      <c r="D47" s="28"/>
      <c r="E47" s="28"/>
    </row>
    <row r="48" spans="1:9" ht="15.6" x14ac:dyDescent="0.3">
      <c r="B48" s="28"/>
      <c r="C48" s="28"/>
      <c r="D48" s="28"/>
      <c r="E48" s="28"/>
    </row>
  </sheetData>
  <printOptions horizontalCentered="1" gridLines="1"/>
  <pageMargins left="0" right="0" top="0.78740157480314965" bottom="0" header="0.39370078740157483" footer="0.31496062992125984"/>
  <pageSetup paperSize="9" orientation="landscape" r:id="rId1"/>
  <headerFooter>
    <oddHeader>&amp;R&amp;Z&amp;F
List: 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Q33"/>
  <sheetViews>
    <sheetView zoomScaleNormal="100" workbookViewId="0">
      <selection activeCell="K5" sqref="K5"/>
    </sheetView>
  </sheetViews>
  <sheetFormatPr defaultColWidth="9.109375" defaultRowHeight="15.6" x14ac:dyDescent="0.3"/>
  <cols>
    <col min="1" max="1" width="13.88671875" style="1" customWidth="1"/>
    <col min="2" max="2" width="14.109375" style="1" bestFit="1" customWidth="1"/>
    <col min="3" max="4" width="12.88671875" style="1" customWidth="1"/>
    <col min="5" max="5" width="12.33203125" style="1" customWidth="1"/>
    <col min="6" max="6" width="12.44140625" style="1" customWidth="1"/>
    <col min="7" max="7" width="11" style="1" customWidth="1"/>
    <col min="8" max="8" width="14.6640625" style="1" customWidth="1"/>
    <col min="9" max="9" width="5.5546875" style="1" customWidth="1"/>
    <col min="10" max="10" width="17.44140625" style="1" bestFit="1" customWidth="1"/>
    <col min="11" max="11" width="18.6640625" style="1" customWidth="1"/>
    <col min="12" max="12" width="13.33203125" style="1" customWidth="1"/>
    <col min="13" max="13" width="16.33203125" style="1" customWidth="1"/>
    <col min="14" max="14" width="7.44140625" style="1" customWidth="1"/>
    <col min="15" max="15" width="14.6640625" style="1" customWidth="1"/>
    <col min="16" max="21" width="11.33203125" style="1" customWidth="1"/>
    <col min="22" max="22" width="19" style="1" customWidth="1"/>
    <col min="23" max="16384" width="9.109375" style="1"/>
  </cols>
  <sheetData>
    <row r="1" spans="1:17" ht="17.399999999999999" x14ac:dyDescent="0.3">
      <c r="A1" s="8" t="s">
        <v>575</v>
      </c>
    </row>
    <row r="2" spans="1:17" ht="17.399999999999999" x14ac:dyDescent="0.3">
      <c r="A2" s="8" t="s">
        <v>319</v>
      </c>
      <c r="I2" s="221"/>
      <c r="P2" s="373"/>
      <c r="Q2" s="27"/>
    </row>
    <row r="3" spans="1:17" x14ac:dyDescent="0.3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7" s="17" customFormat="1" ht="55.2" x14ac:dyDescent="0.25">
      <c r="A4" s="450"/>
      <c r="B4" s="442">
        <v>106</v>
      </c>
      <c r="C4" s="442">
        <v>117</v>
      </c>
      <c r="D4" s="442" t="s">
        <v>115</v>
      </c>
      <c r="E4" s="442" t="s">
        <v>158</v>
      </c>
      <c r="F4" s="442" t="s">
        <v>170</v>
      </c>
      <c r="G4" s="451" t="s">
        <v>166</v>
      </c>
      <c r="H4" s="452" t="s">
        <v>424</v>
      </c>
      <c r="J4" s="442" t="s">
        <v>262</v>
      </c>
      <c r="K4" s="95" t="s">
        <v>409</v>
      </c>
      <c r="L4" s="376"/>
      <c r="M4" s="442" t="s">
        <v>281</v>
      </c>
    </row>
    <row r="5" spans="1:17" x14ac:dyDescent="0.3">
      <c r="A5" s="50" t="s">
        <v>93</v>
      </c>
      <c r="B5" s="282">
        <f>'10_Celkem_106'!N11</f>
        <v>8111700.9902775194</v>
      </c>
      <c r="C5" s="282">
        <f>'12_Celkem_117'!L11</f>
        <v>7222093.7765690479</v>
      </c>
      <c r="D5" s="282">
        <f>'11_Celkem_115'!M9</f>
        <v>106949</v>
      </c>
      <c r="E5" s="377">
        <f>B5+C5</f>
        <v>15333794.766846567</v>
      </c>
      <c r="F5" s="282">
        <f>-'13_CeloškolskáRežie'!I31</f>
        <v>-4064572</v>
      </c>
      <c r="G5" s="282">
        <f>'8_Výpočet_20%_FRIM'!D6*-1</f>
        <v>-81944</v>
      </c>
      <c r="H5" s="378">
        <f>SUM(E5:G5)</f>
        <v>11187278.766846567</v>
      </c>
      <c r="I5" s="121">
        <f>H5/SUM($H$5:$H$7)</f>
        <v>0.23632771033076436</v>
      </c>
      <c r="J5" s="378">
        <f>F5+G5</f>
        <v>-4146516</v>
      </c>
      <c r="K5" s="715">
        <f>'9_DFM'!B9</f>
        <v>6735090.3200000003</v>
      </c>
      <c r="L5" s="50" t="s">
        <v>93</v>
      </c>
      <c r="M5" s="275">
        <f>$K$5*I5</f>
        <v>1591688.474196495</v>
      </c>
      <c r="N5" s="315"/>
    </row>
    <row r="6" spans="1:17" x14ac:dyDescent="0.3">
      <c r="A6" s="50" t="s">
        <v>94</v>
      </c>
      <c r="B6" s="282">
        <f>'10_Celkem_106'!N12</f>
        <v>22055964.781484608</v>
      </c>
      <c r="C6" s="282">
        <f>'12_Celkem_117'!L12</f>
        <v>8951885.2862444781</v>
      </c>
      <c r="D6" s="282">
        <f>'11_Celkem_115'!M10</f>
        <v>1329635</v>
      </c>
      <c r="E6" s="377">
        <f>B6+C6</f>
        <v>31007850.067729086</v>
      </c>
      <c r="F6" s="282">
        <f>-'13_CeloškolskáRežie'!I32</f>
        <v>-11646290</v>
      </c>
      <c r="G6" s="282">
        <f>'8_Výpočet_20%_FRIM'!D7*-1</f>
        <v>-304201</v>
      </c>
      <c r="H6" s="378">
        <f>SUM(E6:G6)</f>
        <v>19057359.067729086</v>
      </c>
      <c r="I6" s="121">
        <f t="shared" ref="I6:I7" si="0">H6/SUM($H$5:$H$7)</f>
        <v>0.40258065677013211</v>
      </c>
      <c r="J6" s="378">
        <f>F6+G6</f>
        <v>-11950491</v>
      </c>
      <c r="K6" s="282"/>
      <c r="L6" s="50" t="s">
        <v>94</v>
      </c>
      <c r="M6" s="275">
        <f t="shared" ref="M6:M7" si="1">$K$5*I6</f>
        <v>2711417.0844317595</v>
      </c>
      <c r="N6" s="315"/>
    </row>
    <row r="7" spans="1:17" ht="16.2" thickBot="1" x14ac:dyDescent="0.35">
      <c r="A7" s="50" t="s">
        <v>95</v>
      </c>
      <c r="B7" s="282">
        <f>'10_Celkem_106'!N13</f>
        <v>17193667.893562444</v>
      </c>
      <c r="C7" s="282">
        <f>'12_Celkem_117'!L13</f>
        <v>7017797.18082707</v>
      </c>
      <c r="D7" s="282">
        <f>'11_Celkem_115'!M11</f>
        <v>2754315</v>
      </c>
      <c r="E7" s="377">
        <f>B7+C7</f>
        <v>24211465.074389514</v>
      </c>
      <c r="F7" s="282">
        <f>-'13_CeloškolskáRežie'!I33</f>
        <v>-6997874</v>
      </c>
      <c r="G7" s="282">
        <f>'8_Výpočet_20%_FRIM'!D8*-1</f>
        <v>-120239</v>
      </c>
      <c r="H7" s="379">
        <f>SUM(E7:G7)</f>
        <v>17093352.074389514</v>
      </c>
      <c r="I7" s="121">
        <f t="shared" si="0"/>
        <v>0.3610916328991034</v>
      </c>
      <c r="J7" s="378">
        <f>F7+G7</f>
        <v>-7118113</v>
      </c>
      <c r="K7" s="282"/>
      <c r="L7" s="50" t="s">
        <v>95</v>
      </c>
      <c r="M7" s="275">
        <f t="shared" si="1"/>
        <v>2431984.7613717448</v>
      </c>
      <c r="N7" s="315"/>
    </row>
    <row r="8" spans="1:17" ht="16.2" thickBot="1" x14ac:dyDescent="0.35">
      <c r="A8" s="107" t="s">
        <v>399</v>
      </c>
      <c r="B8" s="884">
        <f>SUM(B5:B7)</f>
        <v>47361333.665324569</v>
      </c>
      <c r="C8" s="884">
        <f t="shared" ref="C8:G8" si="2">SUM(C5:C7)</f>
        <v>23191776.243640594</v>
      </c>
      <c r="D8" s="884">
        <f>SUM(D5:D7)</f>
        <v>4190899</v>
      </c>
      <c r="E8" s="884">
        <f>SUM(E5:E7)</f>
        <v>70553109.90896517</v>
      </c>
      <c r="F8" s="884">
        <f t="shared" si="2"/>
        <v>-22708736</v>
      </c>
      <c r="G8" s="885">
        <f t="shared" si="2"/>
        <v>-506384</v>
      </c>
      <c r="H8" s="886">
        <f>SUM(H5:H7)</f>
        <v>47337989.90896517</v>
      </c>
      <c r="J8" s="891">
        <f>SUM(J5:J7)</f>
        <v>-23215120</v>
      </c>
      <c r="K8" s="372"/>
      <c r="L8" s="42"/>
      <c r="M8" s="27"/>
    </row>
    <row r="9" spans="1:17" ht="18" thickBot="1" x14ac:dyDescent="0.35">
      <c r="A9" s="883" t="s">
        <v>76</v>
      </c>
      <c r="B9" s="889">
        <f>'10_Celkem_106'!N14</f>
        <v>1185344</v>
      </c>
      <c r="C9" s="889">
        <f>'12_Celkem_117'!L14</f>
        <v>300000</v>
      </c>
      <c r="D9" s="889">
        <f>'11_Celkem_115'!M13+'11_Celkem_115'!M14</f>
        <v>537667</v>
      </c>
      <c r="E9" s="446">
        <f>SUM(B9:C9)</f>
        <v>1485344</v>
      </c>
      <c r="F9" s="890">
        <f>-'13_CeloškolskáRežie'!I34</f>
        <v>-81218</v>
      </c>
      <c r="G9" s="889">
        <f>'8_Výpočet_20%_FRIM'!D5*-1</f>
        <v>-24924</v>
      </c>
      <c r="H9" s="889">
        <f>SUM(E9:G9)</f>
        <v>1379202</v>
      </c>
      <c r="J9" s="889">
        <f>F9+G9</f>
        <v>-106142</v>
      </c>
      <c r="K9" s="282"/>
      <c r="L9" s="52" t="s">
        <v>410</v>
      </c>
      <c r="M9" s="374">
        <f>SUM(M5:M7)</f>
        <v>6735090.3199999994</v>
      </c>
    </row>
    <row r="10" spans="1:17" ht="17.399999999999999" x14ac:dyDescent="0.3">
      <c r="A10" s="911" t="s">
        <v>904</v>
      </c>
      <c r="B10" s="912">
        <f>'10_Celkem_106'!N15</f>
        <v>562956.27328540594</v>
      </c>
      <c r="C10" s="912"/>
      <c r="D10" s="912"/>
      <c r="E10" s="913">
        <f>SUM(B10:C10)</f>
        <v>562956.27328540594</v>
      </c>
      <c r="F10" s="914"/>
      <c r="G10" s="912"/>
      <c r="H10" s="912">
        <f>SUM(E10:G10)</f>
        <v>562956.27328540594</v>
      </c>
      <c r="J10" s="912">
        <f>F10+G10</f>
        <v>0</v>
      </c>
      <c r="K10" s="282"/>
      <c r="L10" s="833"/>
      <c r="M10" s="882"/>
    </row>
    <row r="11" spans="1:17" ht="16.2" thickBot="1" x14ac:dyDescent="0.35">
      <c r="B11" s="887">
        <f>B8+B9+B10</f>
        <v>49109633.938609973</v>
      </c>
      <c r="C11" s="887">
        <f>C8+C9+C10</f>
        <v>23491776.243640594</v>
      </c>
      <c r="D11" s="887">
        <f>D8+D9</f>
        <v>4728566</v>
      </c>
      <c r="E11" s="887">
        <f>E8+E9+E10</f>
        <v>72601410.182250574</v>
      </c>
      <c r="F11" s="887">
        <f t="shared" ref="F11:G11" si="3">F8+F9</f>
        <v>-22789954</v>
      </c>
      <c r="G11" s="888">
        <f t="shared" si="3"/>
        <v>-531308</v>
      </c>
      <c r="H11" s="681">
        <f>H8+H9+H10</f>
        <v>49280148.182250574</v>
      </c>
      <c r="J11" s="681">
        <f>J8+J9</f>
        <v>-23321262</v>
      </c>
      <c r="K11" s="372"/>
      <c r="L11" s="709" t="s">
        <v>335</v>
      </c>
      <c r="M11" s="689">
        <f>M9-K5</f>
        <v>0</v>
      </c>
    </row>
    <row r="12" spans="1:17" x14ac:dyDescent="0.3">
      <c r="B12" s="685"/>
      <c r="C12" s="686"/>
      <c r="D12" s="686"/>
    </row>
    <row r="13" spans="1:17" x14ac:dyDescent="0.3">
      <c r="B13" s="271">
        <f>'0_PRIDEL'!B12</f>
        <v>49109633.93860998</v>
      </c>
      <c r="C13" s="271">
        <f>'0_PRIDEL'!B20</f>
        <v>23491776.243640598</v>
      </c>
      <c r="D13" s="271">
        <f>'0_PRIDEL'!B21</f>
        <v>4728566.0009407401</v>
      </c>
      <c r="E13" s="271">
        <f>'0_PRIDEL'!B12+'0_PRIDEL'!B20</f>
        <v>72601410.182250574</v>
      </c>
      <c r="F13" s="271">
        <f>'0_PRIDEL'!B23</f>
        <v>-22789954.465354815</v>
      </c>
      <c r="G13" s="271">
        <f>'0_PRIDEL'!B24</f>
        <v>-531308.23142507602</v>
      </c>
      <c r="H13" s="271">
        <f>'0_PRIDEL'!B25</f>
        <v>49280147.485470682</v>
      </c>
      <c r="M13" s="271"/>
    </row>
    <row r="14" spans="1:17" x14ac:dyDescent="0.3">
      <c r="B14" s="292">
        <f>B13-B11</f>
        <v>0</v>
      </c>
      <c r="C14" s="292">
        <f>C13-C11</f>
        <v>0</v>
      </c>
      <c r="D14" s="292">
        <f t="shared" ref="D14:G14" si="4">D13-D11</f>
        <v>9.4074010848999023E-4</v>
      </c>
      <c r="E14" s="292">
        <f t="shared" si="4"/>
        <v>0</v>
      </c>
      <c r="F14" s="918">
        <f>F13-F11</f>
        <v>-0.46535481512546539</v>
      </c>
      <c r="G14" s="292">
        <f t="shared" si="4"/>
        <v>-0.23142507602460682</v>
      </c>
      <c r="H14" s="292">
        <f>H13-H11</f>
        <v>-0.69677989184856415</v>
      </c>
      <c r="M14" s="292"/>
    </row>
    <row r="15" spans="1:17" x14ac:dyDescent="0.3">
      <c r="B15" s="292"/>
      <c r="C15" s="292"/>
      <c r="D15" s="292"/>
      <c r="H15" s="292"/>
    </row>
    <row r="16" spans="1:17" ht="17.399999999999999" x14ac:dyDescent="0.3">
      <c r="A16" s="8" t="s">
        <v>576</v>
      </c>
      <c r="B16" s="292"/>
      <c r="C16" s="292"/>
      <c r="D16" s="292"/>
      <c r="H16" s="292"/>
    </row>
    <row r="17" spans="1:13" s="17" customFormat="1" ht="41.4" x14ac:dyDescent="0.25">
      <c r="A17" s="376" t="s">
        <v>280</v>
      </c>
      <c r="B17" s="443">
        <v>106</v>
      </c>
      <c r="C17" s="443">
        <v>117</v>
      </c>
      <c r="D17" s="443" t="str">
        <f>D4</f>
        <v>115 (SGS)</v>
      </c>
      <c r="E17" s="443" t="s">
        <v>158</v>
      </c>
      <c r="F17" s="443" t="s">
        <v>170</v>
      </c>
      <c r="G17" s="444" t="s">
        <v>166</v>
      </c>
      <c r="H17" s="443" t="s">
        <v>425</v>
      </c>
      <c r="J17" s="837" t="s">
        <v>426</v>
      </c>
    </row>
    <row r="18" spans="1:13" x14ac:dyDescent="0.3">
      <c r="A18" s="50" t="s">
        <v>93</v>
      </c>
      <c r="B18" s="684">
        <f>B5-M5</f>
        <v>6520012.516081024</v>
      </c>
      <c r="C18" s="378">
        <f>C5</f>
        <v>7222093.7765690479</v>
      </c>
      <c r="D18" s="378">
        <f>D5</f>
        <v>106949</v>
      </c>
      <c r="E18" s="378">
        <f>C18+B18</f>
        <v>13742106.292650072</v>
      </c>
      <c r="F18" s="378">
        <f t="shared" ref="F18:G20" si="5">F5</f>
        <v>-4064572</v>
      </c>
      <c r="G18" s="378">
        <f t="shared" si="5"/>
        <v>-81944</v>
      </c>
      <c r="H18" s="378">
        <f>SUM(E18:G18)</f>
        <v>9595590.2926500719</v>
      </c>
      <c r="J18" s="838">
        <f>H18+D18</f>
        <v>9702539.2926500719</v>
      </c>
      <c r="K18" s="353"/>
      <c r="L18" s="353"/>
      <c r="M18" s="353"/>
    </row>
    <row r="19" spans="1:13" x14ac:dyDescent="0.3">
      <c r="A19" s="50" t="s">
        <v>94</v>
      </c>
      <c r="B19" s="684">
        <f>B6-M6</f>
        <v>19344547.697052848</v>
      </c>
      <c r="C19" s="378">
        <f>C6</f>
        <v>8951885.2862444781</v>
      </c>
      <c r="D19" s="378">
        <f>D6</f>
        <v>1329635</v>
      </c>
      <c r="E19" s="378">
        <f>C19+B19</f>
        <v>28296432.983297326</v>
      </c>
      <c r="F19" s="378">
        <f t="shared" si="5"/>
        <v>-11646290</v>
      </c>
      <c r="G19" s="378">
        <f t="shared" si="5"/>
        <v>-304201</v>
      </c>
      <c r="H19" s="378">
        <f>SUM(E19:G19)</f>
        <v>16345941.983297326</v>
      </c>
      <c r="J19" s="838">
        <f t="shared" ref="J19:J24" si="6">H19+D19</f>
        <v>17675576.983297326</v>
      </c>
      <c r="K19" s="353"/>
      <c r="L19" s="353"/>
      <c r="M19" s="353"/>
    </row>
    <row r="20" spans="1:13" ht="16.2" thickBot="1" x14ac:dyDescent="0.35">
      <c r="A20" s="50" t="s">
        <v>95</v>
      </c>
      <c r="B20" s="684">
        <f>B7-M7</f>
        <v>14761683.132190699</v>
      </c>
      <c r="C20" s="378">
        <f>C7</f>
        <v>7017797.18082707</v>
      </c>
      <c r="D20" s="378">
        <f>D7</f>
        <v>2754315</v>
      </c>
      <c r="E20" s="378">
        <f>C20+B20</f>
        <v>21779480.313017771</v>
      </c>
      <c r="F20" s="378">
        <f t="shared" si="5"/>
        <v>-6997874</v>
      </c>
      <c r="G20" s="378">
        <f t="shared" si="5"/>
        <v>-120239</v>
      </c>
      <c r="H20" s="379">
        <f>SUM(E20:G20)</f>
        <v>14661367.313017771</v>
      </c>
      <c r="J20" s="838">
        <f t="shared" si="6"/>
        <v>17415682.313017771</v>
      </c>
      <c r="K20" s="353"/>
      <c r="L20" s="353"/>
      <c r="M20" s="353"/>
    </row>
    <row r="21" spans="1:13" ht="16.2" thickBot="1" x14ac:dyDescent="0.35">
      <c r="A21" s="107" t="s">
        <v>399</v>
      </c>
      <c r="B21" s="682">
        <f>SUM(B18:B20)</f>
        <v>40626243.345324568</v>
      </c>
      <c r="C21" s="683">
        <f>SUM(C18:C20)</f>
        <v>23191776.243640594</v>
      </c>
      <c r="D21" s="683">
        <f>SUM(D18:D20)</f>
        <v>4190899</v>
      </c>
      <c r="E21" s="683">
        <f>SUM(E18:E20)</f>
        <v>63818019.58896517</v>
      </c>
      <c r="F21" s="683">
        <f t="shared" ref="F21:G21" si="7">SUM(F18:F20)</f>
        <v>-22708736</v>
      </c>
      <c r="G21" s="683">
        <f t="shared" si="7"/>
        <v>-506384</v>
      </c>
      <c r="H21" s="449">
        <f>SUM(H18:H20)</f>
        <v>40602899.58896517</v>
      </c>
      <c r="J21" s="838">
        <f t="shared" si="6"/>
        <v>44793798.58896517</v>
      </c>
    </row>
    <row r="22" spans="1:13" x14ac:dyDescent="0.3">
      <c r="A22" s="445" t="s">
        <v>76</v>
      </c>
      <c r="B22" s="375">
        <f>M9+B9</f>
        <v>7920434.3199999994</v>
      </c>
      <c r="C22" s="282">
        <f>C9</f>
        <v>300000</v>
      </c>
      <c r="D22" s="282">
        <f>D9</f>
        <v>537667</v>
      </c>
      <c r="E22" s="282">
        <f>B22+C22</f>
        <v>8220434.3199999994</v>
      </c>
      <c r="F22" s="282">
        <f>F9</f>
        <v>-81218</v>
      </c>
      <c r="G22" s="282">
        <f>G9</f>
        <v>-24924</v>
      </c>
      <c r="H22" s="380">
        <f>SUM(E22:G22)</f>
        <v>8114292.3199999994</v>
      </c>
      <c r="J22" s="838">
        <f t="shared" si="6"/>
        <v>8651959.3200000003</v>
      </c>
    </row>
    <row r="23" spans="1:13" ht="16.2" thickBot="1" x14ac:dyDescent="0.35">
      <c r="A23" s="445" t="str">
        <f>A10</f>
        <v>mimo FM</v>
      </c>
      <c r="B23" s="375">
        <f>B10</f>
        <v>562956.27328540594</v>
      </c>
      <c r="C23" s="282">
        <f>C10</f>
        <v>0</v>
      </c>
      <c r="D23" s="282"/>
      <c r="E23" s="282">
        <f>B23+C23</f>
        <v>562956.27328540594</v>
      </c>
      <c r="F23" s="282"/>
      <c r="G23" s="282"/>
      <c r="H23" s="380">
        <f>SUM(E23:G23)</f>
        <v>562956.27328540594</v>
      </c>
      <c r="J23" s="838">
        <f t="shared" si="6"/>
        <v>562956.27328540594</v>
      </c>
    </row>
    <row r="24" spans="1:13" ht="16.2" thickBot="1" x14ac:dyDescent="0.35">
      <c r="B24" s="446">
        <f>B21+B22+B23</f>
        <v>49109633.938609973</v>
      </c>
      <c r="C24" s="446">
        <f>C21+C22+C23</f>
        <v>23491776.243640594</v>
      </c>
      <c r="D24" s="446">
        <f>D21+D22</f>
        <v>4728566</v>
      </c>
      <c r="E24" s="446">
        <f>E21+E22+E23</f>
        <v>72601410.182250574</v>
      </c>
      <c r="F24" s="446">
        <f>F21+F22</f>
        <v>-22789954</v>
      </c>
      <c r="G24" s="447">
        <f t="shared" ref="G24" si="8">G21+G22</f>
        <v>-531308</v>
      </c>
      <c r="H24" s="448">
        <f>H21+H22+H23</f>
        <v>49280148.182250574</v>
      </c>
      <c r="J24" s="838">
        <f t="shared" si="6"/>
        <v>54008714.182250574</v>
      </c>
    </row>
    <row r="26" spans="1:13" x14ac:dyDescent="0.3">
      <c r="B26" s="292">
        <f t="shared" ref="B26:H26" si="9">B24-B11</f>
        <v>0</v>
      </c>
      <c r="C26" s="292">
        <f t="shared" si="9"/>
        <v>0</v>
      </c>
      <c r="D26" s="292">
        <f t="shared" si="9"/>
        <v>0</v>
      </c>
      <c r="E26" s="292">
        <f t="shared" si="9"/>
        <v>0</v>
      </c>
      <c r="F26" s="292">
        <f t="shared" si="9"/>
        <v>0</v>
      </c>
      <c r="G26" s="292">
        <f t="shared" si="9"/>
        <v>0</v>
      </c>
      <c r="H26" s="292">
        <f t="shared" si="9"/>
        <v>0</v>
      </c>
    </row>
    <row r="27" spans="1:13" x14ac:dyDescent="0.3">
      <c r="B27" s="292"/>
      <c r="C27" s="292"/>
      <c r="D27" s="292"/>
      <c r="H27" s="292"/>
    </row>
    <row r="28" spans="1:13" x14ac:dyDescent="0.3">
      <c r="B28" s="14"/>
      <c r="C28" s="14"/>
      <c r="D28" s="282"/>
      <c r="E28" s="14"/>
      <c r="F28" s="282"/>
      <c r="G28" s="282"/>
      <c r="H28" s="282"/>
    </row>
    <row r="29" spans="1:13" x14ac:dyDescent="0.3">
      <c r="B29" s="282"/>
      <c r="C29" s="282"/>
      <c r="D29" s="282"/>
      <c r="E29" s="282"/>
      <c r="F29" s="282"/>
      <c r="G29" s="282"/>
      <c r="H29" s="282"/>
      <c r="L29" s="353"/>
    </row>
    <row r="30" spans="1:13" x14ac:dyDescent="0.3">
      <c r="B30" s="282"/>
      <c r="C30" s="282"/>
      <c r="D30" s="282"/>
      <c r="E30" s="282"/>
      <c r="F30" s="282"/>
      <c r="G30" s="282"/>
      <c r="H30" s="282"/>
    </row>
    <row r="31" spans="1:13" x14ac:dyDescent="0.3">
      <c r="B31" s="282"/>
      <c r="C31" s="282"/>
      <c r="D31" s="282"/>
      <c r="E31" s="282"/>
      <c r="F31" s="282"/>
      <c r="G31" s="282"/>
      <c r="H31" s="282"/>
    </row>
    <row r="32" spans="1:13" x14ac:dyDescent="0.3">
      <c r="B32" s="282"/>
      <c r="C32" s="282"/>
      <c r="D32" s="282"/>
      <c r="E32" s="282"/>
      <c r="F32" s="282"/>
      <c r="G32" s="282"/>
      <c r="H32" s="282"/>
    </row>
    <row r="33" spans="2:8" x14ac:dyDescent="0.3">
      <c r="B33" s="282"/>
      <c r="C33" s="282"/>
      <c r="D33" s="282"/>
      <c r="E33" s="282"/>
      <c r="F33" s="282"/>
      <c r="G33" s="282"/>
      <c r="H33" s="282"/>
    </row>
  </sheetData>
  <printOptions horizontalCentered="1" gridLines="1"/>
  <pageMargins left="0" right="0" top="0.78740157480314965" bottom="0.78740157480314965" header="0.31496062992125984" footer="0.31496062992125984"/>
  <pageSetup paperSize="9" scale="93" orientation="landscape" r:id="rId1"/>
  <headerFooter>
    <oddHeader>&amp;RSoubor: &amp;F, List: &amp;A</oddHead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U39"/>
  <sheetViews>
    <sheetView workbookViewId="0">
      <selection activeCell="S7" sqref="S7"/>
    </sheetView>
  </sheetViews>
  <sheetFormatPr defaultRowHeight="13.2" x14ac:dyDescent="0.25"/>
  <cols>
    <col min="1" max="1" width="2.6640625" customWidth="1"/>
    <col min="2" max="2" width="38.77734375" bestFit="1" customWidth="1"/>
    <col min="3" max="6" width="14.6640625" customWidth="1"/>
    <col min="7" max="7" width="24.44140625" customWidth="1"/>
    <col min="8" max="8" width="3.44140625" customWidth="1"/>
    <col min="9" max="9" width="3.5546875" customWidth="1"/>
    <col min="10" max="10" width="2.109375" customWidth="1"/>
    <col min="12" max="12" width="21.109375" customWidth="1"/>
    <col min="13" max="13" width="11.88671875" bestFit="1" customWidth="1"/>
    <col min="14" max="14" width="16.88671875" bestFit="1" customWidth="1"/>
    <col min="15" max="15" width="16.88671875" customWidth="1"/>
    <col min="16" max="16" width="16.88671875" bestFit="1" customWidth="1"/>
    <col min="17" max="17" width="15.88671875" bestFit="1" customWidth="1"/>
    <col min="18" max="18" width="16.88671875" bestFit="1" customWidth="1"/>
    <col min="19" max="21" width="14.33203125" bestFit="1" customWidth="1"/>
  </cols>
  <sheetData>
    <row r="1" spans="1:21" ht="45" customHeight="1" x14ac:dyDescent="0.35">
      <c r="A1" s="1009" t="s">
        <v>270</v>
      </c>
      <c r="B1" s="1010"/>
      <c r="C1" s="1010"/>
      <c r="D1" s="1010"/>
      <c r="E1" s="1010"/>
      <c r="F1" s="1010"/>
      <c r="G1" s="1010"/>
      <c r="H1" s="1010"/>
      <c r="I1" s="1010"/>
      <c r="J1" s="1011"/>
    </row>
    <row r="2" spans="1:21" ht="20.25" customHeight="1" x14ac:dyDescent="0.35">
      <c r="A2" s="1009" t="s">
        <v>577</v>
      </c>
      <c r="B2" s="1010"/>
      <c r="C2" s="1010"/>
      <c r="D2" s="1010"/>
      <c r="E2" s="1010"/>
      <c r="F2" s="1010"/>
      <c r="G2" s="1010"/>
      <c r="H2" s="1010"/>
      <c r="I2" s="1010"/>
      <c r="J2" s="1011"/>
    </row>
    <row r="3" spans="1:21" ht="13.5" customHeight="1" x14ac:dyDescent="0.3">
      <c r="A3" s="1012" t="s">
        <v>1040</v>
      </c>
      <c r="B3" s="1013"/>
      <c r="C3" s="1013"/>
      <c r="D3" s="1013"/>
      <c r="E3" s="1013"/>
      <c r="F3" s="1013"/>
      <c r="G3" s="1013"/>
      <c r="H3" s="1013"/>
      <c r="I3" s="1013"/>
      <c r="J3" s="1013"/>
    </row>
    <row r="4" spans="1:21" x14ac:dyDescent="0.25">
      <c r="D4" s="352"/>
      <c r="L4" s="688"/>
      <c r="M4" s="688"/>
    </row>
    <row r="5" spans="1:21" x14ac:dyDescent="0.25">
      <c r="L5" s="719"/>
      <c r="M5" s="719"/>
      <c r="N5" s="719"/>
      <c r="O5" s="719"/>
      <c r="P5" s="719"/>
      <c r="Q5" s="719"/>
      <c r="R5" s="719"/>
      <c r="S5" s="719"/>
      <c r="T5" s="719"/>
      <c r="U5" s="719"/>
    </row>
    <row r="6" spans="1:21" ht="15.6" x14ac:dyDescent="0.3">
      <c r="B6" s="453"/>
      <c r="C6" s="454">
        <v>106</v>
      </c>
      <c r="D6" s="454">
        <v>117</v>
      </c>
      <c r="E6" s="454" t="s">
        <v>170</v>
      </c>
      <c r="F6" s="455" t="s">
        <v>166</v>
      </c>
      <c r="G6" s="456" t="s">
        <v>168</v>
      </c>
      <c r="M6" s="688"/>
      <c r="N6" s="824"/>
      <c r="O6" s="824"/>
      <c r="P6" s="824"/>
      <c r="Q6" s="824"/>
      <c r="R6" s="824"/>
    </row>
    <row r="7" spans="1:21" ht="15.6" x14ac:dyDescent="0.3">
      <c r="B7" s="461" t="s">
        <v>93</v>
      </c>
      <c r="C7" s="378">
        <f>'14_rozpočítání DF'!B18</f>
        <v>6520012.516081024</v>
      </c>
      <c r="D7" s="378">
        <f>'12_Celkem_117'!L11</f>
        <v>7222093.7765690479</v>
      </c>
      <c r="E7" s="378">
        <f>-'13_CeloškolskáRežie'!F31</f>
        <v>-4064572</v>
      </c>
      <c r="F7" s="378">
        <f>-'8_Výpočet_20%_FRIM'!D6</f>
        <v>-81944</v>
      </c>
      <c r="G7" s="457">
        <f>SUM(C7:F7)</f>
        <v>9595590.2926500719</v>
      </c>
      <c r="L7" s="688"/>
      <c r="M7" s="841"/>
      <c r="N7" s="688"/>
      <c r="O7" s="688"/>
      <c r="P7" s="688"/>
      <c r="Q7" s="688"/>
      <c r="R7" s="688"/>
      <c r="S7" s="688"/>
      <c r="T7" s="688"/>
      <c r="U7" s="716"/>
    </row>
    <row r="8" spans="1:21" ht="15.6" x14ac:dyDescent="0.3">
      <c r="B8" s="461" t="s">
        <v>94</v>
      </c>
      <c r="C8" s="378">
        <f>'14_rozpočítání DF'!B19</f>
        <v>19344547.697052848</v>
      </c>
      <c r="D8" s="378">
        <f>'12_Celkem_117'!L12</f>
        <v>8951885.2862444781</v>
      </c>
      <c r="E8" s="378">
        <f>-'13_CeloškolskáRežie'!F32</f>
        <v>-11646290</v>
      </c>
      <c r="F8" s="378">
        <f>-'8_Výpočet_20%_FRIM'!D7</f>
        <v>-304201</v>
      </c>
      <c r="G8" s="457">
        <f>SUM(C8:F8)</f>
        <v>16345941.983297326</v>
      </c>
      <c r="L8" s="688"/>
      <c r="M8" s="841"/>
      <c r="N8" s="688"/>
      <c r="O8" s="688"/>
      <c r="P8" s="688"/>
      <c r="Q8" s="688"/>
      <c r="R8" s="688"/>
      <c r="S8" s="688"/>
      <c r="T8" s="688"/>
      <c r="U8" s="716"/>
    </row>
    <row r="9" spans="1:21" ht="16.2" thickBot="1" x14ac:dyDescent="0.35">
      <c r="B9" s="461" t="s">
        <v>95</v>
      </c>
      <c r="C9" s="378">
        <f>'14_rozpočítání DF'!B20</f>
        <v>14761683.132190699</v>
      </c>
      <c r="D9" s="378">
        <f>'12_Celkem_117'!L13</f>
        <v>7017797.18082707</v>
      </c>
      <c r="E9" s="378">
        <f>-'13_CeloškolskáRežie'!F33</f>
        <v>-6997874</v>
      </c>
      <c r="F9" s="378">
        <f>-'8_Výpočet_20%_FRIM'!D8</f>
        <v>-120239</v>
      </c>
      <c r="G9" s="458">
        <f>SUM(C9:F9)</f>
        <v>14661367.313017771</v>
      </c>
      <c r="L9" s="688"/>
      <c r="M9" s="841"/>
      <c r="N9" s="688"/>
      <c r="O9" s="688"/>
      <c r="P9" s="688"/>
      <c r="Q9" s="688"/>
      <c r="R9" s="688"/>
      <c r="S9" s="688"/>
      <c r="T9" s="688"/>
      <c r="U9" s="716"/>
    </row>
    <row r="10" spans="1:21" ht="18" thickBot="1" x14ac:dyDescent="0.35">
      <c r="B10" s="42"/>
      <c r="C10" s="283">
        <f>SUM(C7:C9)</f>
        <v>40626243.345324568</v>
      </c>
      <c r="D10" s="283">
        <f>SUM(D7:D9)</f>
        <v>23191776.243640594</v>
      </c>
      <c r="E10" s="283">
        <f>SUM(E7:E9)</f>
        <v>-22708736</v>
      </c>
      <c r="F10" s="284">
        <f>SUM(F7:F9)</f>
        <v>-506384</v>
      </c>
      <c r="G10" s="459">
        <f>SUM(G7:G9)</f>
        <v>40602899.58896517</v>
      </c>
      <c r="L10" s="688"/>
      <c r="M10" s="841"/>
      <c r="N10" s="688"/>
      <c r="O10" s="688"/>
      <c r="P10" s="688"/>
      <c r="Q10" s="688"/>
      <c r="R10" s="688"/>
      <c r="S10" s="688"/>
      <c r="T10" s="688"/>
      <c r="U10" s="716"/>
    </row>
    <row r="11" spans="1:21" ht="15.6" x14ac:dyDescent="0.3">
      <c r="B11" s="461" t="s">
        <v>76</v>
      </c>
      <c r="C11" s="282">
        <f>'14_rozpočítání DF'!B22</f>
        <v>7920434.3199999994</v>
      </c>
      <c r="D11" s="282">
        <f>'14_rozpočítání DF'!C9</f>
        <v>300000</v>
      </c>
      <c r="E11" s="14">
        <f>-'13_CeloškolskáRežie'!I34</f>
        <v>-81218</v>
      </c>
      <c r="F11" s="282">
        <f>-'8_Výpočet_20%_FRIM'!D5</f>
        <v>-24924</v>
      </c>
      <c r="G11" s="460">
        <f>SUM(C11:F11)</f>
        <v>8114292.3199999994</v>
      </c>
      <c r="L11" s="688"/>
      <c r="M11" s="841"/>
      <c r="N11" s="688"/>
      <c r="O11" s="688"/>
      <c r="P11" s="688"/>
      <c r="Q11" s="688"/>
      <c r="R11" s="688"/>
      <c r="S11" s="688"/>
      <c r="T11" s="688"/>
      <c r="U11" s="716"/>
    </row>
    <row r="12" spans="1:21" ht="16.2" thickBot="1" x14ac:dyDescent="0.35">
      <c r="B12" s="461" t="s">
        <v>1041</v>
      </c>
      <c r="C12" s="282">
        <f>'14_rozpočítání DF'!B10</f>
        <v>562956.27328540594</v>
      </c>
      <c r="D12" s="282"/>
      <c r="E12" s="14"/>
      <c r="F12" s="282"/>
      <c r="G12" s="460">
        <f>SUM(C12:F12)</f>
        <v>562956.27328540594</v>
      </c>
      <c r="L12" s="688"/>
      <c r="M12" s="841"/>
      <c r="N12" s="688"/>
      <c r="O12" s="688"/>
      <c r="P12" s="688"/>
      <c r="Q12" s="688"/>
      <c r="R12" s="688"/>
      <c r="S12" s="688"/>
      <c r="T12" s="688"/>
      <c r="U12" s="716"/>
    </row>
    <row r="13" spans="1:21" ht="18" thickBot="1" x14ac:dyDescent="0.35">
      <c r="B13" s="1"/>
      <c r="C13" s="283">
        <f>C10+C11+C12</f>
        <v>49109633.938609973</v>
      </c>
      <c r="D13" s="283">
        <f>D10+D11</f>
        <v>23491776.243640594</v>
      </c>
      <c r="E13" s="283">
        <f>E10+E11</f>
        <v>-22789954</v>
      </c>
      <c r="F13" s="284">
        <f>F10+F11</f>
        <v>-531308</v>
      </c>
      <c r="G13" s="71">
        <f>G10+G11+G12</f>
        <v>49280148.182250574</v>
      </c>
      <c r="L13" s="688"/>
      <c r="M13" s="841"/>
      <c r="N13" s="839"/>
      <c r="O13" s="839"/>
      <c r="P13" s="839"/>
      <c r="Q13" s="839"/>
      <c r="R13" s="839"/>
    </row>
    <row r="14" spans="1:21" x14ac:dyDescent="0.25">
      <c r="C14" s="355"/>
      <c r="D14" s="355"/>
      <c r="E14" s="355"/>
      <c r="L14" s="688"/>
      <c r="M14" s="841"/>
    </row>
    <row r="15" spans="1:21" x14ac:dyDescent="0.25">
      <c r="G15" s="365"/>
      <c r="L15" s="688"/>
      <c r="M15" s="841"/>
    </row>
    <row r="16" spans="1:21" x14ac:dyDescent="0.25">
      <c r="B16" t="s">
        <v>396</v>
      </c>
      <c r="G16" s="365"/>
      <c r="M16" s="824"/>
    </row>
    <row r="17" spans="2:18" ht="15.6" x14ac:dyDescent="0.3">
      <c r="C17" s="454" t="s">
        <v>115</v>
      </c>
      <c r="G17" s="365"/>
      <c r="M17" s="824"/>
    </row>
    <row r="18" spans="2:18" ht="15.6" x14ac:dyDescent="0.3">
      <c r="B18" s="461" t="s">
        <v>93</v>
      </c>
      <c r="C18" s="378">
        <f>'11_Celkem_115'!M9</f>
        <v>106949</v>
      </c>
      <c r="G18" s="365"/>
      <c r="M18" s="824"/>
      <c r="N18" s="839"/>
    </row>
    <row r="19" spans="2:18" ht="15.6" x14ac:dyDescent="0.3">
      <c r="B19" s="461" t="s">
        <v>94</v>
      </c>
      <c r="C19" s="378">
        <f>'11_Celkem_115'!M10</f>
        <v>1329635</v>
      </c>
      <c r="G19" s="365"/>
      <c r="M19" s="824"/>
      <c r="N19" s="839"/>
    </row>
    <row r="20" spans="2:18" ht="15.6" x14ac:dyDescent="0.3">
      <c r="B20" s="461" t="s">
        <v>95</v>
      </c>
      <c r="C20" s="378">
        <f>'11_Celkem_115'!M11</f>
        <v>2754315</v>
      </c>
      <c r="G20" s="365"/>
      <c r="M20" s="824"/>
      <c r="N20" s="839"/>
    </row>
    <row r="21" spans="2:18" ht="15.6" x14ac:dyDescent="0.3">
      <c r="B21" s="42"/>
      <c r="C21" s="283">
        <f>SUM(C18:C20)</f>
        <v>4190899</v>
      </c>
      <c r="G21" s="365"/>
      <c r="M21" s="824"/>
      <c r="N21" s="839"/>
    </row>
    <row r="22" spans="2:18" ht="15.6" x14ac:dyDescent="0.3">
      <c r="B22" s="461" t="s">
        <v>76</v>
      </c>
      <c r="C22" s="282">
        <f>'11_Celkem_115'!M13+'11_Celkem_115'!M14</f>
        <v>537667</v>
      </c>
      <c r="G22" s="365"/>
      <c r="M22" s="824"/>
      <c r="N22" s="839"/>
    </row>
    <row r="23" spans="2:18" ht="15.6" x14ac:dyDescent="0.3">
      <c r="C23" s="283">
        <f>C21+C22</f>
        <v>4728566</v>
      </c>
      <c r="G23" s="365"/>
      <c r="M23" s="824"/>
      <c r="N23" s="839"/>
    </row>
    <row r="24" spans="2:18" x14ac:dyDescent="0.25">
      <c r="G24" s="365"/>
      <c r="M24" s="824"/>
    </row>
    <row r="25" spans="2:18" x14ac:dyDescent="0.25">
      <c r="G25" s="365"/>
      <c r="M25" s="824"/>
    </row>
    <row r="26" spans="2:18" x14ac:dyDescent="0.25">
      <c r="G26" s="365"/>
      <c r="M26" s="824"/>
    </row>
    <row r="27" spans="2:18" ht="15" customHeight="1" x14ac:dyDescent="0.25">
      <c r="M27" s="824"/>
    </row>
    <row r="28" spans="2:18" x14ac:dyDescent="0.25">
      <c r="M28" s="842"/>
      <c r="N28" s="842"/>
      <c r="O28" s="842"/>
      <c r="P28" s="844"/>
      <c r="Q28" s="844"/>
      <c r="R28" s="844"/>
    </row>
    <row r="29" spans="2:18" ht="15.6" x14ac:dyDescent="0.3">
      <c r="B29" s="243"/>
      <c r="C29" s="245"/>
      <c r="D29" s="245"/>
      <c r="E29" s="245"/>
      <c r="F29" s="245"/>
      <c r="G29" s="325" t="s">
        <v>271</v>
      </c>
      <c r="H29" s="245"/>
      <c r="I29" s="245"/>
      <c r="M29" s="843"/>
      <c r="N29" s="840"/>
      <c r="O29" s="840"/>
      <c r="P29" s="840"/>
      <c r="Q29" s="840"/>
      <c r="R29" s="840"/>
    </row>
    <row r="30" spans="2:18" ht="15.6" x14ac:dyDescent="0.3">
      <c r="B30" s="243"/>
      <c r="C30" s="53"/>
      <c r="D30" s="53"/>
      <c r="E30" s="53"/>
      <c r="F30" s="53"/>
      <c r="G30" s="243" t="s">
        <v>272</v>
      </c>
      <c r="H30" s="53"/>
      <c r="I30" s="53"/>
      <c r="M30" s="843"/>
      <c r="N30" s="840"/>
      <c r="O30" s="840"/>
      <c r="P30" s="840"/>
      <c r="Q30" s="840"/>
      <c r="R30" s="840"/>
    </row>
    <row r="31" spans="2:18" ht="15.6" x14ac:dyDescent="0.3">
      <c r="B31" s="243"/>
      <c r="C31" s="53"/>
      <c r="D31" s="53"/>
      <c r="E31" s="53"/>
      <c r="F31" s="53"/>
      <c r="G31" s="53"/>
      <c r="H31" s="53"/>
      <c r="I31" s="53"/>
      <c r="M31" s="843"/>
      <c r="N31" s="840"/>
      <c r="O31" s="840"/>
      <c r="P31" s="840"/>
      <c r="Q31" s="840"/>
      <c r="R31" s="840"/>
    </row>
    <row r="32" spans="2:18" ht="15.6" x14ac:dyDescent="0.3">
      <c r="B32" s="1014" t="s">
        <v>1036</v>
      </c>
      <c r="C32" s="1014"/>
      <c r="D32" s="1014"/>
      <c r="E32" s="1014"/>
      <c r="F32" s="53"/>
      <c r="G32" s="53"/>
      <c r="H32" s="53"/>
      <c r="I32" s="53"/>
      <c r="M32" s="843"/>
      <c r="N32" s="840"/>
      <c r="O32" s="840"/>
      <c r="P32" s="840"/>
      <c r="Q32" s="840"/>
      <c r="R32" s="840"/>
    </row>
    <row r="33" spans="2:13" x14ac:dyDescent="0.25">
      <c r="M33" s="843"/>
    </row>
    <row r="34" spans="2:13" x14ac:dyDescent="0.25">
      <c r="M34" s="843"/>
    </row>
    <row r="35" spans="2:13" x14ac:dyDescent="0.25">
      <c r="B35" t="s">
        <v>1038</v>
      </c>
      <c r="C35" t="s">
        <v>1039</v>
      </c>
      <c r="D35" t="s">
        <v>519</v>
      </c>
      <c r="M35" s="843"/>
    </row>
    <row r="36" spans="2:13" x14ac:dyDescent="0.25">
      <c r="C36" s="839">
        <f>-'3_DSP'!N12-'3_DSP'!N13</f>
        <v>-375304.18219027063</v>
      </c>
      <c r="D36" s="839">
        <f>-'3_DSP'!N11</f>
        <v>-187652.09109513534</v>
      </c>
      <c r="G36" s="963">
        <f>SUM(C36:D36)+G12</f>
        <v>0</v>
      </c>
      <c r="M36" s="843"/>
    </row>
    <row r="37" spans="2:13" x14ac:dyDescent="0.25">
      <c r="M37" s="843"/>
    </row>
    <row r="38" spans="2:13" x14ac:dyDescent="0.25">
      <c r="B38" t="s">
        <v>1037</v>
      </c>
      <c r="C38" t="s">
        <v>1039</v>
      </c>
      <c r="D38" t="s">
        <v>519</v>
      </c>
      <c r="E38" t="s">
        <v>1</v>
      </c>
      <c r="M38" s="843"/>
    </row>
    <row r="39" spans="2:13" x14ac:dyDescent="0.25">
      <c r="C39" s="716">
        <f>'12_Celkem_117'!F45</f>
        <v>93600</v>
      </c>
      <c r="D39" s="716">
        <f>'12_Celkem_117'!F44</f>
        <v>144000</v>
      </c>
      <c r="E39" s="716">
        <f>'12_Celkem_117'!F43</f>
        <v>108000</v>
      </c>
      <c r="F39" s="716">
        <f>SUM(C39:E39)</f>
        <v>345600</v>
      </c>
      <c r="G39" s="963">
        <f>F39-SUM('12_Celkem_117'!C15:C17)</f>
        <v>0</v>
      </c>
      <c r="M39" s="843"/>
    </row>
  </sheetData>
  <mergeCells count="4">
    <mergeCell ref="A1:J1"/>
    <mergeCell ref="A2:J2"/>
    <mergeCell ref="A3:J3"/>
    <mergeCell ref="B32:E32"/>
  </mergeCells>
  <conditionalFormatting sqref="N29:R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{16101A39-B470-417E-973B-9CB051FEA67B}</x14:id>
        </ext>
      </extLst>
    </cfRule>
  </conditionalFormatting>
  <printOptions horizontalCentered="1"/>
  <pageMargins left="0.39370078740157483" right="0.39370078740157483" top="0.78740157480314965" bottom="0.78740157480314965" header="0.31496062992125984" footer="0.31496062992125984"/>
  <pageSetup paperSize="9" scale="7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101A39-B470-417E-973B-9CB051FEA6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N29:R32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E4:N34"/>
  <sheetViews>
    <sheetView workbookViewId="0">
      <selection activeCell="F30" sqref="F30"/>
    </sheetView>
  </sheetViews>
  <sheetFormatPr defaultRowHeight="13.2" x14ac:dyDescent="0.25"/>
  <cols>
    <col min="5" max="5" width="12.109375" customWidth="1"/>
    <col min="6" max="8" width="16.88671875" bestFit="1" customWidth="1"/>
    <col min="9" max="9" width="16.6640625" customWidth="1"/>
    <col min="10" max="10" width="12" bestFit="1" customWidth="1"/>
    <col min="11" max="11" width="16.88671875" bestFit="1" customWidth="1"/>
    <col min="14" max="14" width="16.88671875" bestFit="1" customWidth="1"/>
  </cols>
  <sheetData>
    <row r="4" spans="5:14" x14ac:dyDescent="0.25">
      <c r="F4">
        <v>2022</v>
      </c>
      <c r="I4">
        <v>2021</v>
      </c>
      <c r="N4">
        <v>2020</v>
      </c>
    </row>
    <row r="5" spans="5:14" x14ac:dyDescent="0.25">
      <c r="F5" t="s">
        <v>168</v>
      </c>
      <c r="I5" s="824" t="s">
        <v>168</v>
      </c>
      <c r="N5" s="824" t="s">
        <v>168</v>
      </c>
    </row>
    <row r="6" spans="5:14" ht="15.6" x14ac:dyDescent="0.3">
      <c r="E6" s="461" t="s">
        <v>93</v>
      </c>
      <c r="F6" s="688">
        <v>9033065.0054021403</v>
      </c>
      <c r="H6" s="461" t="s">
        <v>93</v>
      </c>
      <c r="I6" s="688">
        <v>7438333.508995302</v>
      </c>
      <c r="M6" s="461" t="s">
        <v>93</v>
      </c>
      <c r="N6" s="688">
        <v>7449760.4622714967</v>
      </c>
    </row>
    <row r="7" spans="5:14" ht="15.6" x14ac:dyDescent="0.3">
      <c r="E7" s="461" t="s">
        <v>94</v>
      </c>
      <c r="F7" s="688">
        <v>16466462.173462093</v>
      </c>
      <c r="H7" s="461" t="s">
        <v>94</v>
      </c>
      <c r="I7" s="688">
        <v>16919253.761767309</v>
      </c>
      <c r="M7" s="461" t="s">
        <v>94</v>
      </c>
      <c r="N7" s="688">
        <v>16694695.767024584</v>
      </c>
    </row>
    <row r="8" spans="5:14" ht="15.6" x14ac:dyDescent="0.3">
      <c r="E8" s="461" t="s">
        <v>95</v>
      </c>
      <c r="F8" s="688">
        <v>14814260.473343421</v>
      </c>
      <c r="H8" s="461" t="s">
        <v>95</v>
      </c>
      <c r="I8" s="688">
        <v>16109354.223483901</v>
      </c>
      <c r="M8" s="461" t="s">
        <v>95</v>
      </c>
      <c r="N8" s="688">
        <v>14522520.895034913</v>
      </c>
    </row>
    <row r="9" spans="5:14" ht="15.6" x14ac:dyDescent="0.3">
      <c r="E9" s="42"/>
      <c r="F9" s="688">
        <v>40313787.652207658</v>
      </c>
      <c r="H9" s="42"/>
      <c r="I9" s="688">
        <v>40466941.494246513</v>
      </c>
      <c r="M9" s="42"/>
      <c r="N9" s="688">
        <v>38666977.124330997</v>
      </c>
    </row>
    <row r="10" spans="5:14" ht="15.6" x14ac:dyDescent="0.3">
      <c r="E10" s="461" t="s">
        <v>76</v>
      </c>
      <c r="F10" s="688">
        <v>8114292.3200000003</v>
      </c>
      <c r="H10" s="461" t="s">
        <v>76</v>
      </c>
      <c r="I10" s="688">
        <v>7948530.5999999987</v>
      </c>
      <c r="M10" s="461" t="s">
        <v>76</v>
      </c>
      <c r="N10" s="688">
        <v>6760786.5999999996</v>
      </c>
    </row>
    <row r="11" spans="5:14" ht="15.6" x14ac:dyDescent="0.3">
      <c r="E11" s="881" t="s">
        <v>1012</v>
      </c>
      <c r="F11" s="688">
        <v>852068.21004291624</v>
      </c>
      <c r="H11" s="1"/>
    </row>
    <row r="12" spans="5:14" ht="15.6" x14ac:dyDescent="0.3">
      <c r="F12" s="688">
        <v>49280148.182250574</v>
      </c>
      <c r="I12" s="688">
        <v>48415472.094246514</v>
      </c>
      <c r="M12" s="1"/>
      <c r="N12" s="839">
        <v>45427763.724330999</v>
      </c>
    </row>
    <row r="20" spans="5:8" x14ac:dyDescent="0.25">
      <c r="F20">
        <v>2020</v>
      </c>
      <c r="G20">
        <v>2021</v>
      </c>
      <c r="H20">
        <v>2022</v>
      </c>
    </row>
    <row r="21" spans="5:8" ht="15.6" x14ac:dyDescent="0.3">
      <c r="E21" s="461" t="s">
        <v>93</v>
      </c>
      <c r="F21" s="688">
        <v>7449760.4622714967</v>
      </c>
      <c r="G21" s="688">
        <v>7438333.508995302</v>
      </c>
      <c r="H21" s="688">
        <v>9033065.0054021403</v>
      </c>
    </row>
    <row r="22" spans="5:8" ht="15.6" x14ac:dyDescent="0.3">
      <c r="E22" s="461" t="s">
        <v>94</v>
      </c>
      <c r="F22" s="688">
        <v>16694695.767024584</v>
      </c>
      <c r="G22" s="688">
        <v>16919253.761767309</v>
      </c>
      <c r="H22" s="688">
        <v>16466462.173462093</v>
      </c>
    </row>
    <row r="23" spans="5:8" ht="15.6" x14ac:dyDescent="0.3">
      <c r="E23" s="461" t="s">
        <v>95</v>
      </c>
      <c r="F23" s="688">
        <v>14522520.895034913</v>
      </c>
      <c r="G23" s="688">
        <v>16109354.223483901</v>
      </c>
      <c r="H23" s="688">
        <v>14814260.473343421</v>
      </c>
    </row>
    <row r="24" spans="5:8" ht="15.6" x14ac:dyDescent="0.3">
      <c r="E24" s="461" t="s">
        <v>76</v>
      </c>
      <c r="F24" s="688">
        <v>6760786.5999999996</v>
      </c>
      <c r="G24" s="688">
        <v>7948530.5999999987</v>
      </c>
      <c r="H24" s="688">
        <v>8114292.3200000003</v>
      </c>
    </row>
    <row r="30" spans="5:8" x14ac:dyDescent="0.25">
      <c r="F30">
        <v>2021</v>
      </c>
      <c r="G30">
        <v>2022</v>
      </c>
    </row>
    <row r="31" spans="5:8" ht="15.6" x14ac:dyDescent="0.3">
      <c r="E31" s="461" t="s">
        <v>93</v>
      </c>
      <c r="F31" s="958">
        <f t="shared" ref="F31:G34" si="0">G21/F21</f>
        <v>0.99846613145025731</v>
      </c>
      <c r="G31" s="958">
        <f t="shared" si="0"/>
        <v>1.2143936534276532</v>
      </c>
    </row>
    <row r="32" spans="5:8" ht="15.6" x14ac:dyDescent="0.3">
      <c r="E32" s="461" t="s">
        <v>94</v>
      </c>
      <c r="F32" s="958">
        <f t="shared" si="0"/>
        <v>1.0134508587563646</v>
      </c>
      <c r="G32" s="958">
        <f t="shared" si="0"/>
        <v>0.9732380875255624</v>
      </c>
    </row>
    <row r="33" spans="5:7" ht="15.6" x14ac:dyDescent="0.3">
      <c r="E33" s="461" t="s">
        <v>95</v>
      </c>
      <c r="F33" s="958">
        <f t="shared" si="0"/>
        <v>1.1092670714621942</v>
      </c>
      <c r="G33" s="958">
        <f t="shared" si="0"/>
        <v>0.91960610387146879</v>
      </c>
    </row>
    <row r="34" spans="5:7" ht="15.6" x14ac:dyDescent="0.3">
      <c r="E34" s="461" t="s">
        <v>76</v>
      </c>
      <c r="F34" s="958">
        <f t="shared" si="0"/>
        <v>1.1756813327017301</v>
      </c>
      <c r="G34" s="958">
        <f t="shared" si="0"/>
        <v>1.0208543853375871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1"/>
  <sheetViews>
    <sheetView workbookViewId="0">
      <selection activeCell="J4" sqref="J4"/>
    </sheetView>
  </sheetViews>
  <sheetFormatPr defaultColWidth="9.109375" defaultRowHeight="15.6" x14ac:dyDescent="0.3"/>
  <cols>
    <col min="1" max="1" width="44.109375" style="1" bestFit="1" customWidth="1"/>
    <col min="2" max="2" width="16.6640625" style="1" bestFit="1" customWidth="1"/>
    <col min="3" max="3" width="5.6640625" style="27" customWidth="1"/>
    <col min="4" max="4" width="9.6640625" style="1" customWidth="1"/>
    <col min="5" max="5" width="42.44140625" style="1" customWidth="1"/>
    <col min="6" max="6" width="20.5546875" style="1" bestFit="1" customWidth="1"/>
    <col min="7" max="7" width="20.5546875" style="1" customWidth="1"/>
    <col min="8" max="8" width="22" style="1" customWidth="1"/>
    <col min="9" max="9" width="3.109375" style="1" customWidth="1"/>
    <col min="10" max="10" width="23.33203125" style="1" bestFit="1" customWidth="1"/>
    <col min="11" max="12" width="9.109375" style="1"/>
    <col min="13" max="13" width="17.33203125" style="1" bestFit="1" customWidth="1"/>
    <col min="14" max="14" width="21.33203125" style="1" customWidth="1"/>
    <col min="15" max="16384" width="9.109375" style="1"/>
  </cols>
  <sheetData>
    <row r="1" spans="1:14" ht="17.399999999999999" x14ac:dyDescent="0.3">
      <c r="A1" s="8" t="s">
        <v>561</v>
      </c>
    </row>
    <row r="2" spans="1:14" x14ac:dyDescent="0.3">
      <c r="I2" s="27"/>
      <c r="J2" s="27"/>
    </row>
    <row r="3" spans="1:14" x14ac:dyDescent="0.3">
      <c r="E3" s="993" t="s">
        <v>562</v>
      </c>
      <c r="F3" s="993"/>
      <c r="G3" s="993"/>
      <c r="H3" s="993"/>
      <c r="I3" s="993"/>
      <c r="J3" s="993"/>
    </row>
    <row r="4" spans="1:14" ht="31.2" x14ac:dyDescent="0.3">
      <c r="A4" s="382" t="s">
        <v>226</v>
      </c>
      <c r="B4" s="191" t="s">
        <v>114</v>
      </c>
      <c r="E4" s="193" t="s">
        <v>175</v>
      </c>
      <c r="F4" s="251" t="s">
        <v>99</v>
      </c>
      <c r="G4" s="737" t="s">
        <v>503</v>
      </c>
      <c r="H4" s="12" t="s">
        <v>180</v>
      </c>
      <c r="J4" s="720">
        <v>2021</v>
      </c>
    </row>
    <row r="5" spans="1:14" x14ac:dyDescent="0.3">
      <c r="A5" s="196" t="s">
        <v>16</v>
      </c>
      <c r="B5" s="253">
        <f t="shared" ref="B5:B11" si="0">H5</f>
        <v>45317462.202949695</v>
      </c>
      <c r="E5" s="933" t="s">
        <v>16</v>
      </c>
      <c r="F5" s="934">
        <v>45317.462202949697</v>
      </c>
      <c r="G5" s="803"/>
      <c r="H5" s="195">
        <f>F5*1000-G5</f>
        <v>45317462.202949695</v>
      </c>
      <c r="I5" s="27"/>
      <c r="J5" s="721">
        <v>42222172.105530404</v>
      </c>
    </row>
    <row r="6" spans="1:14" x14ac:dyDescent="0.3">
      <c r="A6" s="196" t="s">
        <v>549</v>
      </c>
      <c r="B6" s="829">
        <f>H6</f>
        <v>0</v>
      </c>
      <c r="E6" s="935" t="s">
        <v>549</v>
      </c>
      <c r="F6" s="936">
        <v>0</v>
      </c>
      <c r="G6" s="803"/>
      <c r="H6" s="828">
        <f>F6*1000-G6</f>
        <v>0</v>
      </c>
      <c r="I6" s="27"/>
      <c r="J6" s="721">
        <v>-585000</v>
      </c>
      <c r="K6" s="42"/>
      <c r="L6" s="42"/>
      <c r="M6" s="42"/>
      <c r="N6" s="42"/>
    </row>
    <row r="7" spans="1:14" x14ac:dyDescent="0.3">
      <c r="A7" s="196" t="s">
        <v>956</v>
      </c>
      <c r="B7" s="253">
        <f>H7</f>
        <v>661154.19469560403</v>
      </c>
      <c r="E7" s="935" t="s">
        <v>956</v>
      </c>
      <c r="F7" s="930">
        <v>661.15419469560402</v>
      </c>
      <c r="G7" s="803"/>
      <c r="H7" s="195">
        <f>F7*1000-G7</f>
        <v>661154.19469560403</v>
      </c>
      <c r="I7" s="27"/>
      <c r="J7" s="721"/>
      <c r="K7" s="42"/>
      <c r="L7" s="42"/>
      <c r="M7" s="42"/>
      <c r="N7" s="42"/>
    </row>
    <row r="8" spans="1:14" x14ac:dyDescent="0.3">
      <c r="A8" s="196" t="s">
        <v>548</v>
      </c>
      <c r="B8" s="829">
        <f t="shared" si="0"/>
        <v>-41206.755981269802</v>
      </c>
      <c r="E8" s="935" t="s">
        <v>548</v>
      </c>
      <c r="F8" s="936">
        <v>-41.206755981269801</v>
      </c>
      <c r="G8" s="803"/>
      <c r="H8" s="828">
        <f>F8*1000-G8</f>
        <v>-41206.755981269802</v>
      </c>
      <c r="I8" s="27"/>
      <c r="J8" s="721">
        <v>-34954.153144361298</v>
      </c>
      <c r="K8" s="42"/>
      <c r="L8" s="42"/>
      <c r="M8" s="42"/>
      <c r="N8" s="42"/>
    </row>
    <row r="9" spans="1:14" x14ac:dyDescent="0.3">
      <c r="A9" s="196" t="s">
        <v>156</v>
      </c>
      <c r="B9" s="253">
        <f t="shared" si="0"/>
        <v>4692379.5209513903</v>
      </c>
      <c r="E9" s="935" t="s">
        <v>176</v>
      </c>
      <c r="F9" s="930">
        <v>4692.3795209513901</v>
      </c>
      <c r="G9" s="798"/>
      <c r="H9" s="195">
        <f>F9*1000</f>
        <v>4692379.5209513903</v>
      </c>
      <c r="I9" s="27"/>
      <c r="J9" s="721">
        <v>5738639.7174735703</v>
      </c>
      <c r="K9" s="42"/>
      <c r="L9" s="42"/>
      <c r="M9" s="42"/>
      <c r="N9" s="42"/>
    </row>
    <row r="10" spans="1:14" x14ac:dyDescent="0.3">
      <c r="A10" s="12" t="s">
        <v>157</v>
      </c>
      <c r="B10" s="829">
        <f t="shared" si="0"/>
        <v>-9962622.6950223409</v>
      </c>
      <c r="E10" s="935" t="s">
        <v>177</v>
      </c>
      <c r="F10" s="936">
        <v>-9962.6226950223408</v>
      </c>
      <c r="G10" s="798"/>
      <c r="H10" s="828">
        <f t="shared" ref="H10" si="1">F10*1000</f>
        <v>-9962622.6950223409</v>
      </c>
      <c r="I10" s="27"/>
      <c r="J10" s="721">
        <v>-9396780.3780397102</v>
      </c>
      <c r="K10" s="42"/>
      <c r="L10" s="42"/>
      <c r="M10" s="42"/>
      <c r="N10" s="42"/>
    </row>
    <row r="11" spans="1:14" ht="16.2" thickBot="1" x14ac:dyDescent="0.35">
      <c r="A11" s="192" t="s">
        <v>111</v>
      </c>
      <c r="B11" s="253">
        <f t="shared" si="0"/>
        <v>8442467.4710168894</v>
      </c>
      <c r="E11" s="935" t="s">
        <v>111</v>
      </c>
      <c r="F11" s="930">
        <v>8442.4674710168892</v>
      </c>
      <c r="G11" s="804">
        <v>0</v>
      </c>
      <c r="H11" s="804">
        <f t="shared" ref="H11:H12" si="2">F11*1000-G11</f>
        <v>8442467.4710168894</v>
      </c>
      <c r="I11" s="27"/>
      <c r="J11" s="721">
        <v>7520891.6734275604</v>
      </c>
      <c r="K11" s="42"/>
      <c r="L11" s="42"/>
      <c r="M11" s="42"/>
      <c r="N11" s="42"/>
    </row>
    <row r="12" spans="1:14" ht="16.2" thickBot="1" x14ac:dyDescent="0.35">
      <c r="A12" s="192" t="s">
        <v>136</v>
      </c>
      <c r="B12" s="169">
        <f>SUM(B5:B11)</f>
        <v>49109633.93860998</v>
      </c>
      <c r="E12" s="935" t="s">
        <v>393</v>
      </c>
      <c r="F12" s="926">
        <v>15647.4760946796</v>
      </c>
      <c r="G12" s="804">
        <v>0</v>
      </c>
      <c r="H12" s="804">
        <f t="shared" si="2"/>
        <v>15647476.0946796</v>
      </c>
      <c r="I12" s="27"/>
      <c r="J12" s="721">
        <v>20863301.4595728</v>
      </c>
      <c r="K12" s="42"/>
      <c r="L12" s="42"/>
      <c r="M12" s="42"/>
      <c r="N12" s="42"/>
    </row>
    <row r="13" spans="1:14" x14ac:dyDescent="0.3">
      <c r="A13" s="192"/>
      <c r="B13" s="105"/>
      <c r="E13" s="935" t="s">
        <v>398</v>
      </c>
      <c r="F13" s="926">
        <v>7844.3001489609996</v>
      </c>
      <c r="G13" s="804">
        <v>0</v>
      </c>
      <c r="H13" s="804">
        <f>F13*1000-G13</f>
        <v>7844300.1489609992</v>
      </c>
      <c r="I13" s="27"/>
      <c r="J13" s="721">
        <v>0</v>
      </c>
      <c r="K13" s="42"/>
      <c r="L13" s="42"/>
      <c r="M13" s="42"/>
      <c r="N13" s="370"/>
    </row>
    <row r="14" spans="1:14" x14ac:dyDescent="0.3">
      <c r="A14" s="110"/>
      <c r="B14" s="105"/>
      <c r="E14" s="937" t="s">
        <v>178</v>
      </c>
      <c r="F14" s="928">
        <v>4728.5660009407402</v>
      </c>
      <c r="G14" s="804">
        <v>0</v>
      </c>
      <c r="H14" s="804">
        <f>F14*1000-G14</f>
        <v>4728566.0009407401</v>
      </c>
      <c r="I14" s="27"/>
      <c r="J14" s="721">
        <v>4623000.4894172195</v>
      </c>
      <c r="K14" s="369"/>
      <c r="L14" s="42"/>
      <c r="M14" s="42"/>
      <c r="N14" s="370"/>
    </row>
    <row r="15" spans="1:14" ht="16.2" thickBot="1" x14ac:dyDescent="0.35">
      <c r="A15" s="42"/>
      <c r="B15" s="105"/>
      <c r="E15" s="194" t="s">
        <v>7</v>
      </c>
      <c r="F15" s="932">
        <f>SUM(F5:F14)</f>
        <v>77329.97618319132</v>
      </c>
      <c r="G15" s="800"/>
      <c r="H15" s="252">
        <f>F15*1000</f>
        <v>77329976.183191314</v>
      </c>
      <c r="I15" s="27"/>
      <c r="J15" s="722">
        <f>SUM(J5:J14)</f>
        <v>70951270.914237484</v>
      </c>
      <c r="K15" s="369"/>
      <c r="L15" s="42"/>
      <c r="M15" s="42"/>
      <c r="N15" s="371"/>
    </row>
    <row r="16" spans="1:14" ht="21" thickBot="1" x14ac:dyDescent="0.4">
      <c r="A16" s="293" t="s">
        <v>169</v>
      </c>
      <c r="C16" s="85"/>
      <c r="E16" s="15" t="s">
        <v>229</v>
      </c>
      <c r="F16" s="288"/>
      <c r="G16" s="288"/>
      <c r="H16" s="195"/>
      <c r="I16" s="27"/>
      <c r="J16" s="723">
        <f>H15-J15</f>
        <v>6378705.26895383</v>
      </c>
      <c r="K16" s="42"/>
      <c r="L16" s="42"/>
      <c r="M16" s="42"/>
      <c r="N16" s="42"/>
    </row>
    <row r="17" spans="1:12" ht="16.2" thickBot="1" x14ac:dyDescent="0.35">
      <c r="A17" s="198" t="s">
        <v>167</v>
      </c>
      <c r="B17" s="279">
        <f>B12</f>
        <v>49109633.93860998</v>
      </c>
      <c r="C17" s="122"/>
      <c r="E17" s="929">
        <f>SUM(F5:F11)</f>
        <v>49109.633938609972</v>
      </c>
      <c r="G17" s="27"/>
      <c r="I17" s="27"/>
      <c r="J17" s="649"/>
      <c r="K17" s="42"/>
      <c r="L17" s="42"/>
    </row>
    <row r="18" spans="1:12" ht="16.2" thickBot="1" x14ac:dyDescent="0.35">
      <c r="A18" s="123" t="s">
        <v>153</v>
      </c>
      <c r="B18" s="169">
        <v>0</v>
      </c>
      <c r="C18" s="122"/>
      <c r="E18" s="922" t="s">
        <v>175</v>
      </c>
      <c r="F18" s="923" t="s">
        <v>99</v>
      </c>
      <c r="G18" s="797"/>
      <c r="H18" s="195"/>
      <c r="I18" s="27"/>
      <c r="J18" s="720">
        <v>2021</v>
      </c>
    </row>
    <row r="19" spans="1:12" ht="16.2" thickBot="1" x14ac:dyDescent="0.35">
      <c r="A19" s="198" t="s">
        <v>234</v>
      </c>
      <c r="B19" s="199">
        <f>B17-B18</f>
        <v>49109633.93860998</v>
      </c>
      <c r="E19" s="924" t="s">
        <v>170</v>
      </c>
      <c r="F19" s="930">
        <v>22397.1730129688</v>
      </c>
      <c r="G19" s="798"/>
      <c r="H19" s="195">
        <f>F19*1000</f>
        <v>22397173.012968801</v>
      </c>
      <c r="I19" s="27"/>
      <c r="J19" s="724">
        <v>19050830.259985399</v>
      </c>
    </row>
    <row r="20" spans="1:12" ht="16.2" thickBot="1" x14ac:dyDescent="0.35">
      <c r="A20" s="198" t="s">
        <v>154</v>
      </c>
      <c r="B20" s="200">
        <f>H12+H13</f>
        <v>23491776.243640598</v>
      </c>
      <c r="C20" s="122"/>
      <c r="E20" s="924" t="s">
        <v>957</v>
      </c>
      <c r="F20" s="930">
        <v>367.781452386014</v>
      </c>
      <c r="G20" s="873"/>
      <c r="H20" s="195">
        <f>F20*1000</f>
        <v>367781.45238601399</v>
      </c>
      <c r="I20" s="27"/>
      <c r="J20" s="724">
        <v>305719.73336496</v>
      </c>
    </row>
    <row r="21" spans="1:12" ht="16.2" thickBot="1" x14ac:dyDescent="0.35">
      <c r="A21" s="198" t="s">
        <v>155</v>
      </c>
      <c r="B21" s="169">
        <f>H14</f>
        <v>4728566.0009407401</v>
      </c>
      <c r="C21" s="122"/>
      <c r="E21" s="924" t="s">
        <v>1000</v>
      </c>
      <c r="F21" s="926">
        <f>SUM(F19:F20)</f>
        <v>22764.954465354815</v>
      </c>
      <c r="G21" s="799"/>
      <c r="H21" s="195">
        <f>F21*1000</f>
        <v>22764954.465354815</v>
      </c>
      <c r="I21" s="27"/>
      <c r="J21" s="724">
        <v>19356549.993350361</v>
      </c>
    </row>
    <row r="22" spans="1:12" ht="16.2" thickBot="1" x14ac:dyDescent="0.35">
      <c r="A22" s="198" t="s">
        <v>1003</v>
      </c>
      <c r="B22" s="201">
        <f>SUM(B19:B20)</f>
        <v>72601410.182250574</v>
      </c>
      <c r="C22" s="122"/>
      <c r="D22" s="221"/>
      <c r="E22" s="927" t="s">
        <v>1002</v>
      </c>
      <c r="F22" s="931">
        <v>25</v>
      </c>
      <c r="G22" s="288"/>
      <c r="H22" s="195">
        <f>F22*1000</f>
        <v>25000</v>
      </c>
      <c r="I22" s="27"/>
      <c r="J22" s="724">
        <v>25000</v>
      </c>
    </row>
    <row r="23" spans="1:12" ht="16.2" thickBot="1" x14ac:dyDescent="0.35">
      <c r="A23" s="280" t="s">
        <v>134</v>
      </c>
      <c r="B23" s="281">
        <f>-H21-H22</f>
        <v>-22789954.465354815</v>
      </c>
      <c r="C23" s="122"/>
      <c r="D23" s="221"/>
      <c r="E23" s="922" t="s">
        <v>175</v>
      </c>
      <c r="F23" s="923" t="s">
        <v>99</v>
      </c>
      <c r="G23" s="797"/>
      <c r="H23" s="195"/>
      <c r="I23" s="27"/>
      <c r="J23" s="724"/>
    </row>
    <row r="24" spans="1:12" ht="31.8" thickBot="1" x14ac:dyDescent="0.35">
      <c r="A24" s="381" t="s">
        <v>216</v>
      </c>
      <c r="B24" s="281">
        <f>-H26</f>
        <v>-531308.23142507602</v>
      </c>
      <c r="C24" s="122"/>
      <c r="E24" s="924" t="s">
        <v>179</v>
      </c>
      <c r="F24" s="925">
        <v>3332471</v>
      </c>
      <c r="G24" s="801"/>
      <c r="H24" s="197"/>
      <c r="I24" s="27"/>
      <c r="J24" s="724"/>
    </row>
    <row r="25" spans="1:12" ht="18" thickBot="1" x14ac:dyDescent="0.35">
      <c r="A25" s="198" t="s">
        <v>551</v>
      </c>
      <c r="B25" s="216">
        <f>SUM(B22:B24)</f>
        <v>49280147.485470682</v>
      </c>
      <c r="C25" s="122"/>
      <c r="D25" s="221"/>
      <c r="E25" s="924" t="s">
        <v>227</v>
      </c>
      <c r="F25" s="926">
        <v>3973.41</v>
      </c>
      <c r="G25" s="802"/>
      <c r="H25" s="250">
        <f>F25</f>
        <v>3973.41</v>
      </c>
      <c r="I25" s="27"/>
      <c r="J25" s="724">
        <v>3567.36</v>
      </c>
    </row>
    <row r="26" spans="1:12" x14ac:dyDescent="0.3">
      <c r="B26" s="689">
        <f>B25-ROZPOČET!G13</f>
        <v>-0.69677989184856415</v>
      </c>
      <c r="E26" s="927" t="s">
        <v>228</v>
      </c>
      <c r="F26" s="928">
        <v>531.30823142507597</v>
      </c>
      <c r="G26" s="802"/>
      <c r="H26" s="195">
        <f>F26*1000</f>
        <v>531308.23142507602</v>
      </c>
      <c r="I26" s="27"/>
      <c r="J26" s="724">
        <v>426715.94882107503</v>
      </c>
    </row>
    <row r="27" spans="1:12" x14ac:dyDescent="0.3">
      <c r="A27" s="198"/>
      <c r="B27" s="14"/>
    </row>
    <row r="28" spans="1:12" x14ac:dyDescent="0.3">
      <c r="B28" s="14"/>
      <c r="F28" s="915">
        <f>F5+F6+F7+F8+F9+F10+F11+F12+F13-F19-F20</f>
        <v>49836.455716895762</v>
      </c>
      <c r="H28" s="915">
        <f>H5+H6+H7+H8+H9+H10+H11+H12+H13-H19-H20</f>
        <v>49836455.716895759</v>
      </c>
    </row>
    <row r="31" spans="1:12" x14ac:dyDescent="0.3">
      <c r="B31" s="14"/>
    </row>
  </sheetData>
  <mergeCells count="1">
    <mergeCell ref="E3:J3"/>
  </mergeCells>
  <printOptions horizontalCentered="1" gridLines="1"/>
  <pageMargins left="0" right="0" top="1.1811023622047245" bottom="0" header="0.70866141732283472" footer="0"/>
  <pageSetup paperSize="9" orientation="landscape" r:id="rId1"/>
  <headerFooter>
    <oddHeader>&amp;R&amp;Z&amp;F
List: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N42"/>
  <sheetViews>
    <sheetView workbookViewId="0">
      <selection activeCell="C8" sqref="C8"/>
    </sheetView>
  </sheetViews>
  <sheetFormatPr defaultColWidth="9.109375" defaultRowHeight="15.6" x14ac:dyDescent="0.3"/>
  <cols>
    <col min="1" max="1" width="16" style="2" customWidth="1"/>
    <col min="2" max="2" width="24.109375" style="3" customWidth="1"/>
    <col min="3" max="3" width="12.88671875" style="3" customWidth="1"/>
    <col min="4" max="4" width="13.109375" style="3" customWidth="1"/>
    <col min="5" max="5" width="16.5546875" style="3" customWidth="1"/>
    <col min="6" max="6" width="16.5546875" style="5" customWidth="1"/>
    <col min="7" max="8" width="16.5546875" style="1" customWidth="1"/>
    <col min="9" max="9" width="11" style="1" customWidth="1"/>
    <col min="10" max="10" width="13.6640625" style="1" customWidth="1"/>
    <col min="11" max="11" width="11" style="1" customWidth="1"/>
    <col min="12" max="12" width="10.109375" style="1" bestFit="1" customWidth="1"/>
    <col min="13" max="13" width="10.6640625" style="1" customWidth="1"/>
    <col min="14" max="16384" width="9.109375" style="1"/>
  </cols>
  <sheetData>
    <row r="1" spans="1:14" ht="24" customHeight="1" x14ac:dyDescent="0.3">
      <c r="A1" s="8" t="s">
        <v>563</v>
      </c>
    </row>
    <row r="2" spans="1:14" ht="16.8" x14ac:dyDescent="0.3">
      <c r="A2" s="49"/>
    </row>
    <row r="3" spans="1:14" ht="16.8" x14ac:dyDescent="0.3">
      <c r="A3" s="49"/>
      <c r="B3" s="15" t="s">
        <v>418</v>
      </c>
      <c r="C3" s="727">
        <f>'10_Celkem_106'!D7</f>
        <v>48289129.217880979</v>
      </c>
    </row>
    <row r="4" spans="1:14" x14ac:dyDescent="0.3">
      <c r="A4" s="1"/>
    </row>
    <row r="5" spans="1:14" s="2" customFormat="1" ht="46.8" x14ac:dyDescent="0.3">
      <c r="B5" s="10" t="s">
        <v>215</v>
      </c>
      <c r="C5" s="10" t="s">
        <v>100</v>
      </c>
      <c r="D5" s="10" t="s">
        <v>8</v>
      </c>
      <c r="E5" s="4" t="s">
        <v>6</v>
      </c>
      <c r="F5" s="6" t="s">
        <v>5</v>
      </c>
      <c r="G5" s="12" t="s">
        <v>101</v>
      </c>
      <c r="J5" s="175"/>
      <c r="M5" s="720"/>
      <c r="N5" s="19"/>
    </row>
    <row r="6" spans="1:14" x14ac:dyDescent="0.3">
      <c r="A6" s="2" t="s">
        <v>30</v>
      </c>
      <c r="B6" s="145">
        <f>B31</f>
        <v>348.66666666666669</v>
      </c>
      <c r="C6" s="26">
        <v>0.8</v>
      </c>
      <c r="D6" s="176">
        <f>B6*C6</f>
        <v>278.93333333333334</v>
      </c>
      <c r="E6" s="176">
        <f>D6/$D$9*100</f>
        <v>54.603588907014689</v>
      </c>
      <c r="F6" s="615">
        <f>$C$3*E6/100</f>
        <v>26367597.604908846</v>
      </c>
      <c r="G6" s="12"/>
      <c r="H6" s="593">
        <f>F6/$F$9</f>
        <v>0.54603588907014688</v>
      </c>
      <c r="I6" s="593"/>
      <c r="M6" s="845"/>
      <c r="N6" s="847"/>
    </row>
    <row r="7" spans="1:14" x14ac:dyDescent="0.3">
      <c r="A7" s="2" t="s">
        <v>91</v>
      </c>
      <c r="B7" s="145">
        <f>B32</f>
        <v>115.33333333333333</v>
      </c>
      <c r="C7" s="26">
        <v>1.2</v>
      </c>
      <c r="D7" s="176">
        <f>B7*C7</f>
        <v>138.39999999999998</v>
      </c>
      <c r="E7" s="176">
        <f>D7/$D$9*100</f>
        <v>27.092985318107665</v>
      </c>
      <c r="F7" s="615">
        <f>$C$3*E7/100</f>
        <v>13082966.689242532</v>
      </c>
      <c r="G7" s="192">
        <f>SUM(F6:F7)</f>
        <v>39450564.294151381</v>
      </c>
      <c r="H7" s="593">
        <f>F7/$F$9</f>
        <v>0.27092985318107665</v>
      </c>
      <c r="I7" s="593">
        <f>G7/$F$9</f>
        <v>0.81696574225122354</v>
      </c>
      <c r="M7" s="845"/>
      <c r="N7" s="847"/>
    </row>
    <row r="8" spans="1:14" ht="16.2" thickBot="1" x14ac:dyDescent="0.35">
      <c r="A8" s="2" t="s">
        <v>37</v>
      </c>
      <c r="B8" s="145">
        <f>B33</f>
        <v>62.333333333333336</v>
      </c>
      <c r="C8" s="26">
        <v>1.5</v>
      </c>
      <c r="D8" s="176">
        <f>B8*C8</f>
        <v>93.5</v>
      </c>
      <c r="E8" s="176">
        <f>D8/$D$9*100</f>
        <v>18.303425774877653</v>
      </c>
      <c r="F8" s="177">
        <f>$C$3*E8/100</f>
        <v>8838564.9237296022</v>
      </c>
      <c r="H8" s="593">
        <f>F8/$F$9</f>
        <v>0.18303425774877652</v>
      </c>
      <c r="I8" s="593">
        <f>F8/$F$9</f>
        <v>0.18303425774877652</v>
      </c>
      <c r="M8" s="845"/>
      <c r="N8" s="847"/>
    </row>
    <row r="9" spans="1:14" s="9" customFormat="1" ht="18.600000000000001" thickBot="1" x14ac:dyDescent="0.4">
      <c r="A9" s="8"/>
      <c r="B9" s="178">
        <f>SUM(B6:B8)</f>
        <v>526.33333333333337</v>
      </c>
      <c r="C9" s="11"/>
      <c r="D9" s="179">
        <f>SUM(D6:D8)</f>
        <v>510.83333333333331</v>
      </c>
      <c r="E9" s="11">
        <f>SUM(E6:E8)</f>
        <v>100.00000000000001</v>
      </c>
      <c r="F9" s="180">
        <f>SUM(F6:F8)</f>
        <v>48289129.217880979</v>
      </c>
      <c r="M9" s="845"/>
      <c r="N9" s="79"/>
    </row>
    <row r="10" spans="1:14" x14ac:dyDescent="0.3">
      <c r="B10" s="18"/>
      <c r="C10" s="669" t="s">
        <v>1031</v>
      </c>
      <c r="F10" s="728">
        <f>F9-C3</f>
        <v>0</v>
      </c>
      <c r="M10" s="27"/>
      <c r="N10" s="27"/>
    </row>
    <row r="11" spans="1:14" hidden="1" x14ac:dyDescent="0.3">
      <c r="M11" s="27"/>
      <c r="N11" s="27"/>
    </row>
    <row r="12" spans="1:14" hidden="1" x14ac:dyDescent="0.3">
      <c r="B12" s="181"/>
      <c r="F12" s="182" t="e">
        <f>'10_Celkem_106'!#REF!</f>
        <v>#REF!</v>
      </c>
      <c r="M12" s="27"/>
      <c r="N12" s="27"/>
    </row>
    <row r="13" spans="1:14" hidden="1" x14ac:dyDescent="0.3">
      <c r="B13" s="18"/>
      <c r="E13" s="12"/>
      <c r="F13" s="183"/>
      <c r="M13" s="27"/>
      <c r="N13" s="27"/>
    </row>
    <row r="14" spans="1:14" hidden="1" x14ac:dyDescent="0.3">
      <c r="F14" s="5" t="e">
        <f>SUM(F12:F13)</f>
        <v>#REF!</v>
      </c>
      <c r="M14" s="27"/>
      <c r="N14" s="27"/>
    </row>
    <row r="15" spans="1:14" hidden="1" x14ac:dyDescent="0.3">
      <c r="E15" s="12" t="s">
        <v>12</v>
      </c>
      <c r="F15" s="184">
        <v>0</v>
      </c>
      <c r="M15" s="27"/>
      <c r="N15" s="27"/>
    </row>
    <row r="16" spans="1:14" hidden="1" x14ac:dyDescent="0.3">
      <c r="F16" s="185" t="e">
        <f>SUM(F14:F15)</f>
        <v>#REF!</v>
      </c>
      <c r="M16" s="27"/>
      <c r="N16" s="27"/>
    </row>
    <row r="17" spans="1:14" hidden="1" x14ac:dyDescent="0.3">
      <c r="M17" s="27"/>
      <c r="N17" s="27"/>
    </row>
    <row r="18" spans="1:14" hidden="1" x14ac:dyDescent="0.3">
      <c r="E18" s="3" t="s">
        <v>26</v>
      </c>
      <c r="F18" s="186">
        <v>0</v>
      </c>
      <c r="M18" s="27"/>
      <c r="N18" s="27"/>
    </row>
    <row r="19" spans="1:14" hidden="1" x14ac:dyDescent="0.3">
      <c r="B19" s="181"/>
      <c r="E19" s="3" t="s">
        <v>27</v>
      </c>
      <c r="F19" s="13">
        <f>-F15</f>
        <v>0</v>
      </c>
      <c r="M19" s="27"/>
      <c r="N19" s="27"/>
    </row>
    <row r="20" spans="1:14" hidden="1" x14ac:dyDescent="0.3">
      <c r="E20" s="3" t="s">
        <v>12</v>
      </c>
      <c r="F20" s="6">
        <f>SUM(F18:F19)</f>
        <v>0</v>
      </c>
      <c r="M20" s="27"/>
      <c r="N20" s="27"/>
    </row>
    <row r="21" spans="1:14" hidden="1" x14ac:dyDescent="0.3">
      <c r="M21" s="27"/>
      <c r="N21" s="27"/>
    </row>
    <row r="22" spans="1:14" hidden="1" x14ac:dyDescent="0.3">
      <c r="M22" s="27"/>
      <c r="N22" s="27"/>
    </row>
    <row r="23" spans="1:14" x14ac:dyDescent="0.3">
      <c r="A23" s="1" t="s">
        <v>55</v>
      </c>
      <c r="M23" s="27"/>
      <c r="N23" s="27"/>
    </row>
    <row r="24" spans="1:14" x14ac:dyDescent="0.3">
      <c r="A24" s="1" t="s">
        <v>56</v>
      </c>
      <c r="E24" s="40"/>
      <c r="F24" s="40"/>
    </row>
    <row r="25" spans="1:14" x14ac:dyDescent="0.3">
      <c r="A25" s="1" t="s">
        <v>57</v>
      </c>
      <c r="E25" s="40"/>
      <c r="F25" s="40"/>
    </row>
    <row r="26" spans="1:14" x14ac:dyDescent="0.3">
      <c r="A26" s="1"/>
      <c r="E26" s="40"/>
      <c r="F26" s="40"/>
    </row>
    <row r="27" spans="1:14" x14ac:dyDescent="0.3">
      <c r="A27" s="995" t="s">
        <v>361</v>
      </c>
      <c r="B27" s="996"/>
      <c r="C27" s="996"/>
      <c r="D27" s="592" t="s">
        <v>362</v>
      </c>
      <c r="E27" s="577"/>
      <c r="F27" s="578"/>
      <c r="G27" s="578"/>
      <c r="H27" s="579"/>
      <c r="J27" s="27"/>
      <c r="K27" s="27"/>
      <c r="L27" s="27"/>
    </row>
    <row r="28" spans="1:14" x14ac:dyDescent="0.3">
      <c r="A28" s="580"/>
      <c r="B28" s="53"/>
      <c r="C28" s="53"/>
      <c r="D28" s="808" t="s">
        <v>585</v>
      </c>
      <c r="E28" s="808" t="s">
        <v>507</v>
      </c>
      <c r="F28" s="808" t="s">
        <v>391</v>
      </c>
      <c r="G28" s="808" t="s">
        <v>342</v>
      </c>
      <c r="H28" s="581"/>
    </row>
    <row r="29" spans="1:14" x14ac:dyDescent="0.3">
      <c r="A29" s="580"/>
      <c r="B29" s="53"/>
      <c r="C29" s="53"/>
      <c r="D29" s="809">
        <v>44500</v>
      </c>
      <c r="E29" s="809">
        <v>44135</v>
      </c>
      <c r="F29" s="809">
        <v>43769</v>
      </c>
      <c r="G29" s="809">
        <v>43404</v>
      </c>
      <c r="H29" s="581"/>
    </row>
    <row r="30" spans="1:14" x14ac:dyDescent="0.3">
      <c r="A30" s="582"/>
      <c r="B30" s="97" t="s">
        <v>75</v>
      </c>
      <c r="C30" s="55"/>
      <c r="D30" s="653">
        <v>2021</v>
      </c>
      <c r="E30" s="653">
        <v>2020</v>
      </c>
      <c r="F30" s="653">
        <v>2019</v>
      </c>
      <c r="G30" s="653">
        <v>2018</v>
      </c>
      <c r="H30" s="581"/>
    </row>
    <row r="31" spans="1:14" x14ac:dyDescent="0.3">
      <c r="A31" s="583" t="s">
        <v>30</v>
      </c>
      <c r="B31" s="584">
        <f>AVERAGE(D31:F31)</f>
        <v>348.66666666666669</v>
      </c>
      <c r="C31" s="585"/>
      <c r="D31" s="807">
        <v>359</v>
      </c>
      <c r="E31" s="807">
        <v>344</v>
      </c>
      <c r="F31" s="654">
        <v>343</v>
      </c>
      <c r="G31" s="654">
        <v>343</v>
      </c>
      <c r="H31" s="581"/>
    </row>
    <row r="32" spans="1:14" x14ac:dyDescent="0.3">
      <c r="A32" s="583" t="s">
        <v>91</v>
      </c>
      <c r="B32" s="584">
        <f>AVERAGE(D32:F32)</f>
        <v>115.33333333333333</v>
      </c>
      <c r="C32" s="585"/>
      <c r="D32" s="807">
        <v>126</v>
      </c>
      <c r="E32" s="807">
        <v>118</v>
      </c>
      <c r="F32" s="654">
        <v>102</v>
      </c>
      <c r="G32" s="654">
        <v>102</v>
      </c>
      <c r="H32" s="581"/>
    </row>
    <row r="33" spans="1:8" x14ac:dyDescent="0.3">
      <c r="A33" s="583" t="s">
        <v>37</v>
      </c>
      <c r="B33" s="584">
        <f>AVERAGE(D33:F33)</f>
        <v>62.333333333333336</v>
      </c>
      <c r="C33" s="585"/>
      <c r="D33" s="807">
        <v>75</v>
      </c>
      <c r="E33" s="807">
        <v>56</v>
      </c>
      <c r="F33" s="654">
        <v>56</v>
      </c>
      <c r="G33" s="654">
        <v>58</v>
      </c>
      <c r="H33" s="581"/>
    </row>
    <row r="34" spans="1:8" x14ac:dyDescent="0.3">
      <c r="A34" s="582"/>
      <c r="B34" s="190">
        <f>SUM(B31:B33)</f>
        <v>526.33333333333337</v>
      </c>
      <c r="C34" s="243"/>
      <c r="D34" s="97">
        <f>SUM(D31:D33)</f>
        <v>560</v>
      </c>
      <c r="E34" s="97">
        <f>SUM(E31:E33)</f>
        <v>518</v>
      </c>
      <c r="F34" s="97">
        <f>SUM(F31:F33)</f>
        <v>501</v>
      </c>
      <c r="G34" s="97">
        <f>SUM(G31:G33)</f>
        <v>503</v>
      </c>
      <c r="H34" s="581"/>
    </row>
    <row r="35" spans="1:8" x14ac:dyDescent="0.3">
      <c r="A35" s="582"/>
      <c r="B35" s="243"/>
      <c r="C35" s="55"/>
      <c r="D35" s="243"/>
      <c r="E35" s="325"/>
      <c r="F35" s="53"/>
      <c r="G35" s="53"/>
      <c r="H35" s="581"/>
    </row>
    <row r="36" spans="1:8" x14ac:dyDescent="0.3">
      <c r="A36" s="582"/>
      <c r="B36" s="243"/>
      <c r="C36" s="243"/>
      <c r="D36" s="994" t="s">
        <v>181</v>
      </c>
      <c r="E36" s="994"/>
      <c r="F36" s="994"/>
      <c r="G36" s="53"/>
      <c r="H36" s="581"/>
    </row>
    <row r="37" spans="1:8" x14ac:dyDescent="0.3">
      <c r="A37" s="580"/>
      <c r="B37" s="53"/>
      <c r="C37" s="53"/>
      <c r="D37" s="586">
        <f t="shared" ref="D37:F40" si="0">D31/E31</f>
        <v>1.0436046511627908</v>
      </c>
      <c r="E37" s="586">
        <f t="shared" si="0"/>
        <v>1.0029154518950438</v>
      </c>
      <c r="F37" s="586">
        <f>F31/G31</f>
        <v>1</v>
      </c>
      <c r="G37" s="53"/>
      <c r="H37" s="581"/>
    </row>
    <row r="38" spans="1:8" x14ac:dyDescent="0.3">
      <c r="A38" s="587"/>
      <c r="B38" s="243"/>
      <c r="C38" s="243"/>
      <c r="D38" s="586">
        <f t="shared" si="0"/>
        <v>1.0677966101694916</v>
      </c>
      <c r="E38" s="586">
        <f>E32/F32</f>
        <v>1.1568627450980393</v>
      </c>
      <c r="F38" s="586">
        <f t="shared" si="0"/>
        <v>1</v>
      </c>
      <c r="G38" s="53"/>
      <c r="H38" s="581"/>
    </row>
    <row r="39" spans="1:8" x14ac:dyDescent="0.3">
      <c r="A39" s="582"/>
      <c r="B39" s="243"/>
      <c r="C39" s="243"/>
      <c r="D39" s="586">
        <f>D33/E33</f>
        <v>1.3392857142857142</v>
      </c>
      <c r="E39" s="586">
        <f t="shared" si="0"/>
        <v>1</v>
      </c>
      <c r="F39" s="586">
        <f t="shared" si="0"/>
        <v>0.96551724137931039</v>
      </c>
      <c r="G39" s="53"/>
      <c r="H39" s="581"/>
    </row>
    <row r="40" spans="1:8" x14ac:dyDescent="0.3">
      <c r="A40" s="582"/>
      <c r="B40" s="243"/>
      <c r="C40" s="243"/>
      <c r="D40" s="586">
        <f>D34/E34</f>
        <v>1.0810810810810811</v>
      </c>
      <c r="E40" s="586">
        <f t="shared" si="0"/>
        <v>1.0339321357285429</v>
      </c>
      <c r="F40" s="586">
        <f t="shared" si="0"/>
        <v>0.99602385685884687</v>
      </c>
      <c r="G40" s="53"/>
      <c r="H40" s="581"/>
    </row>
    <row r="41" spans="1:8" x14ac:dyDescent="0.3">
      <c r="A41" s="588"/>
      <c r="B41" s="589"/>
      <c r="C41" s="589"/>
      <c r="D41" s="589"/>
      <c r="E41" s="589"/>
      <c r="F41" s="183"/>
      <c r="G41" s="590"/>
      <c r="H41" s="591"/>
    </row>
    <row r="42" spans="1:8" x14ac:dyDescent="0.3">
      <c r="D42" s="1"/>
      <c r="E42" s="1"/>
      <c r="F42" s="1"/>
    </row>
  </sheetData>
  <mergeCells count="2">
    <mergeCell ref="D36:F36"/>
    <mergeCell ref="A27:C27"/>
  </mergeCells>
  <phoneticPr fontId="0" type="noConversion"/>
  <printOptions gridLines="1"/>
  <pageMargins left="0.59055118110236227" right="0.39370078740157483" top="0.98425196850393704" bottom="0.98425196850393704" header="0.51181102362204722" footer="0.51181102362204722"/>
  <pageSetup paperSize="9" orientation="landscape" r:id="rId1"/>
  <headerFooter alignWithMargins="0">
    <oddHeader>&amp;C&amp;Z&amp;F&amp;RList: 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27"/>
  <sheetViews>
    <sheetView zoomScaleNormal="100" workbookViewId="0"/>
  </sheetViews>
  <sheetFormatPr defaultColWidth="9.109375" defaultRowHeight="15.6" x14ac:dyDescent="0.3"/>
  <cols>
    <col min="1" max="1" width="11.88671875" style="1" customWidth="1"/>
    <col min="2" max="2" width="13.33203125" style="1" customWidth="1"/>
    <col min="3" max="5" width="13.33203125" style="3" customWidth="1"/>
    <col min="6" max="6" width="15.6640625" style="14" bestFit="1" customWidth="1"/>
    <col min="7" max="7" width="12.6640625" style="14" bestFit="1" customWidth="1"/>
    <col min="8" max="8" width="13.88671875" style="3" customWidth="1"/>
    <col min="9" max="9" width="13.5546875" style="1" customWidth="1"/>
    <col min="10" max="10" width="14.33203125" style="1" bestFit="1" customWidth="1"/>
    <col min="11" max="11" width="7.88671875" style="1" bestFit="1" customWidth="1"/>
    <col min="12" max="12" width="5.6640625" style="1" customWidth="1"/>
    <col min="13" max="30" width="6.33203125" style="1" customWidth="1"/>
    <col min="31" max="16384" width="9.109375" style="1"/>
  </cols>
  <sheetData>
    <row r="1" spans="1:12" ht="17.399999999999999" x14ac:dyDescent="0.3">
      <c r="A1" s="8" t="s">
        <v>564</v>
      </c>
      <c r="I1" s="25"/>
    </row>
    <row r="2" spans="1:12" x14ac:dyDescent="0.3">
      <c r="A2" s="12"/>
      <c r="B2" s="3"/>
    </row>
    <row r="3" spans="1:12" x14ac:dyDescent="0.3">
      <c r="A3" s="12" t="s">
        <v>252</v>
      </c>
      <c r="B3" s="182">
        <v>8000</v>
      </c>
      <c r="C3" s="182">
        <v>8000</v>
      </c>
      <c r="D3" s="182">
        <v>12000</v>
      </c>
      <c r="E3" s="182">
        <v>14000</v>
      </c>
      <c r="F3" s="668" t="s">
        <v>1005</v>
      </c>
      <c r="G3" s="40"/>
      <c r="H3" s="40"/>
      <c r="I3" s="40"/>
    </row>
    <row r="4" spans="1:12" s="4" customFormat="1" ht="78" x14ac:dyDescent="0.3">
      <c r="A4" s="2" t="s">
        <v>4</v>
      </c>
      <c r="B4" s="131" t="s">
        <v>217</v>
      </c>
      <c r="C4" s="131" t="s">
        <v>218</v>
      </c>
      <c r="D4" s="131" t="s">
        <v>219</v>
      </c>
      <c r="E4" s="131" t="s">
        <v>220</v>
      </c>
      <c r="F4" s="131" t="s">
        <v>221</v>
      </c>
      <c r="G4" s="131" t="s">
        <v>222</v>
      </c>
      <c r="H4" s="131" t="s">
        <v>223</v>
      </c>
      <c r="I4" s="131" t="s">
        <v>224</v>
      </c>
      <c r="J4" s="202" t="s">
        <v>36</v>
      </c>
      <c r="L4" s="175"/>
    </row>
    <row r="5" spans="1:12" x14ac:dyDescent="0.3">
      <c r="A5" s="2" t="s">
        <v>93</v>
      </c>
      <c r="B5" s="768">
        <f>MAX(M21:N21)+O21+P21</f>
        <v>16</v>
      </c>
      <c r="C5" s="768">
        <f>V21+MAX(W21:X21)</f>
        <v>1</v>
      </c>
      <c r="D5" s="768">
        <f>MAX(Q21:R21)+MAX(S21:T21)+U21</f>
        <v>16</v>
      </c>
      <c r="E5" s="768">
        <f>MAX(Y21:Z21)+MAX(AA21:AB21)+AC21+AD21</f>
        <v>3</v>
      </c>
      <c r="F5" s="5">
        <f>B5*$B$3</f>
        <v>128000</v>
      </c>
      <c r="G5" s="5">
        <f>C5*$C$3</f>
        <v>8000</v>
      </c>
      <c r="H5" s="5">
        <f>D5*$D$3</f>
        <v>192000</v>
      </c>
      <c r="I5" s="5">
        <f>E5*$E$3</f>
        <v>42000</v>
      </c>
      <c r="J5" s="6">
        <f>SUM(F5:I5)</f>
        <v>370000</v>
      </c>
      <c r="L5" s="767">
        <v>388000</v>
      </c>
    </row>
    <row r="6" spans="1:12" x14ac:dyDescent="0.3">
      <c r="A6" s="2" t="s">
        <v>94</v>
      </c>
      <c r="B6" s="768">
        <f>MAX(M22:N22)+O22+P22</f>
        <v>20</v>
      </c>
      <c r="C6" s="768">
        <f>V22+MAX(W22:X22)</f>
        <v>9</v>
      </c>
      <c r="D6" s="768">
        <f>MAX(Q22:R22)+MAX(S22:T22)+U22</f>
        <v>65</v>
      </c>
      <c r="E6" s="768">
        <f>MAX(Y22:Z22)+MAX(AA22:AB22)+AC22+AD22</f>
        <v>31</v>
      </c>
      <c r="F6" s="5">
        <f t="shared" ref="F6:F7" si="0">B6*$B$3</f>
        <v>160000</v>
      </c>
      <c r="G6" s="5">
        <f t="shared" ref="G6:G7" si="1">C6*$C$3</f>
        <v>72000</v>
      </c>
      <c r="H6" s="5">
        <f t="shared" ref="H6:H7" si="2">D6*$D$3</f>
        <v>780000</v>
      </c>
      <c r="I6" s="5">
        <f>E6*$E$3</f>
        <v>434000</v>
      </c>
      <c r="J6" s="6">
        <f>SUM(F6:I6)</f>
        <v>1446000</v>
      </c>
      <c r="L6" s="767">
        <v>1284000</v>
      </c>
    </row>
    <row r="7" spans="1:12" x14ac:dyDescent="0.3">
      <c r="A7" s="2" t="s">
        <v>95</v>
      </c>
      <c r="B7" s="768">
        <f>MAX(M23:N23)+O23+P23</f>
        <v>15</v>
      </c>
      <c r="C7" s="768">
        <f>V23+MAX(W23:X23)</f>
        <v>3</v>
      </c>
      <c r="D7" s="768">
        <f>MAX(Q23:R23)+MAX(S23:T23)+U23</f>
        <v>28</v>
      </c>
      <c r="E7" s="768">
        <f>MAX(Y23:Z23)+MAX(AA23:AB23)+AC23+AD23</f>
        <v>23</v>
      </c>
      <c r="F7" s="5">
        <f t="shared" si="0"/>
        <v>120000</v>
      </c>
      <c r="G7" s="5">
        <f t="shared" si="1"/>
        <v>24000</v>
      </c>
      <c r="H7" s="5">
        <f t="shared" si="2"/>
        <v>336000</v>
      </c>
      <c r="I7" s="5">
        <f>E7*$E$3</f>
        <v>322000</v>
      </c>
      <c r="J7" s="6">
        <f>SUM(F7:I7)</f>
        <v>802000</v>
      </c>
      <c r="L7" s="767">
        <v>154000</v>
      </c>
    </row>
    <row r="8" spans="1:12" s="9" customFormat="1" ht="18" x14ac:dyDescent="0.35">
      <c r="A8" s="8"/>
      <c r="B8" s="203">
        <f t="shared" ref="B8:J8" si="3">SUM(B5:B7)</f>
        <v>51</v>
      </c>
      <c r="C8" s="203">
        <f t="shared" si="3"/>
        <v>13</v>
      </c>
      <c r="D8" s="203">
        <f t="shared" si="3"/>
        <v>109</v>
      </c>
      <c r="E8" s="203">
        <f t="shared" si="3"/>
        <v>57</v>
      </c>
      <c r="F8" s="204">
        <f t="shared" si="3"/>
        <v>408000</v>
      </c>
      <c r="G8" s="204">
        <f t="shared" si="3"/>
        <v>104000</v>
      </c>
      <c r="H8" s="204">
        <f t="shared" si="3"/>
        <v>1308000</v>
      </c>
      <c r="I8" s="204">
        <f t="shared" si="3"/>
        <v>798000</v>
      </c>
      <c r="J8" s="205">
        <f t="shared" si="3"/>
        <v>2618000</v>
      </c>
    </row>
    <row r="9" spans="1:12" ht="18" x14ac:dyDescent="0.35">
      <c r="A9" s="8"/>
      <c r="B9" s="777"/>
      <c r="C9" s="778"/>
      <c r="D9" s="777"/>
      <c r="E9" s="777"/>
      <c r="F9" s="206" t="s">
        <v>59</v>
      </c>
      <c r="G9" s="207">
        <f>F8+H8</f>
        <v>1716000</v>
      </c>
      <c r="H9" s="208"/>
      <c r="I9" s="3"/>
    </row>
    <row r="10" spans="1:12" ht="18.600000000000001" thickBot="1" x14ac:dyDescent="0.4">
      <c r="A10" s="12"/>
      <c r="B10" s="779"/>
      <c r="C10" s="779"/>
      <c r="D10" s="779"/>
      <c r="E10" s="779"/>
      <c r="F10" s="209" t="s">
        <v>102</v>
      </c>
      <c r="G10" s="210">
        <f>G8+I8</f>
        <v>902000</v>
      </c>
      <c r="H10" s="208"/>
      <c r="I10" s="211"/>
      <c r="J10" s="42"/>
      <c r="K10" s="42"/>
      <c r="L10" s="42"/>
    </row>
    <row r="11" spans="1:12" ht="18" thickBot="1" x14ac:dyDescent="0.35">
      <c r="B11" s="780"/>
      <c r="C11" s="780"/>
      <c r="D11" s="780"/>
      <c r="E11" s="780"/>
      <c r="F11" s="212"/>
      <c r="G11" s="213">
        <f>SUM(G9:G10)</f>
        <v>2618000</v>
      </c>
      <c r="H11" s="208"/>
      <c r="I11" s="43"/>
      <c r="J11" s="44"/>
      <c r="K11" s="44"/>
      <c r="L11" s="42"/>
    </row>
    <row r="12" spans="1:12" ht="18" thickBot="1" x14ac:dyDescent="0.35">
      <c r="A12" s="42"/>
      <c r="B12" s="214"/>
      <c r="C12" s="214"/>
      <c r="D12" s="214"/>
      <c r="E12" s="214"/>
      <c r="F12" s="215"/>
      <c r="G12" s="11"/>
      <c r="H12" s="208"/>
      <c r="I12" s="43"/>
      <c r="J12" s="38"/>
      <c r="K12" s="38"/>
      <c r="L12" s="42"/>
    </row>
    <row r="13" spans="1:12" ht="18" thickBot="1" x14ac:dyDescent="0.35">
      <c r="B13" s="214"/>
      <c r="C13" s="214"/>
      <c r="D13" s="214"/>
      <c r="E13" s="214"/>
      <c r="G13" s="2"/>
      <c r="H13" s="14"/>
      <c r="I13" s="12" t="s">
        <v>32</v>
      </c>
      <c r="J13" s="616">
        <f>'1_Bc_Mag_DSP'!F6+'1_Bc_Mag_DSP'!F7</f>
        <v>39450564.294151381</v>
      </c>
      <c r="K13" s="38"/>
      <c r="L13" s="42"/>
    </row>
    <row r="14" spans="1:12" ht="18" thickBot="1" x14ac:dyDescent="0.35">
      <c r="A14" s="42"/>
      <c r="B14" s="38"/>
      <c r="C14" s="38"/>
      <c r="D14" s="1"/>
      <c r="H14" s="14"/>
      <c r="I14" s="192" t="s">
        <v>400</v>
      </c>
      <c r="J14" s="218">
        <f>J8</f>
        <v>2618000</v>
      </c>
      <c r="K14" s="217">
        <f>J14/$J$13</f>
        <v>6.6361534919492232E-2</v>
      </c>
      <c r="L14" s="42"/>
    </row>
    <row r="15" spans="1:12" ht="18" thickBot="1" x14ac:dyDescent="0.35">
      <c r="A15" s="40"/>
      <c r="B15" s="219"/>
      <c r="C15" s="38"/>
      <c r="D15" s="1"/>
      <c r="H15" s="14"/>
      <c r="I15" s="12" t="s">
        <v>401</v>
      </c>
      <c r="J15" s="216">
        <f>J13-J14</f>
        <v>36832564.294151381</v>
      </c>
      <c r="K15" s="217">
        <f>J15/$J$13</f>
        <v>0.93363846508050774</v>
      </c>
      <c r="L15" s="42"/>
    </row>
    <row r="16" spans="1:12" ht="17.399999999999999" x14ac:dyDescent="0.3">
      <c r="A16" s="42"/>
      <c r="B16" s="42"/>
      <c r="C16" s="38"/>
      <c r="I16" s="45"/>
      <c r="J16" s="46"/>
      <c r="K16" s="46"/>
      <c r="L16" s="42"/>
    </row>
    <row r="17" spans="1:30" x14ac:dyDescent="0.3">
      <c r="A17" s="42"/>
      <c r="B17" s="42"/>
      <c r="C17" s="38"/>
      <c r="I17" s="42"/>
      <c r="J17" s="47"/>
      <c r="K17" s="38"/>
      <c r="L17" s="42"/>
    </row>
    <row r="18" spans="1:30" ht="16.2" thickBot="1" x14ac:dyDescent="0.35">
      <c r="A18" s="42"/>
      <c r="B18" s="42"/>
      <c r="C18" s="38"/>
      <c r="I18" s="42"/>
      <c r="J18" s="42"/>
      <c r="K18" s="42"/>
      <c r="L18" s="42"/>
    </row>
    <row r="19" spans="1:30" x14ac:dyDescent="0.3">
      <c r="A19" s="42"/>
      <c r="B19" s="41"/>
      <c r="C19" s="48"/>
      <c r="D19" s="40"/>
      <c r="E19" s="40"/>
      <c r="F19" s="40"/>
      <c r="G19" s="40"/>
      <c r="H19" s="40"/>
      <c r="I19" s="220"/>
      <c r="J19" s="38"/>
      <c r="K19" s="42"/>
      <c r="L19" s="42"/>
      <c r="M19" s="997" t="s">
        <v>427</v>
      </c>
      <c r="N19" s="998"/>
      <c r="O19" s="998"/>
      <c r="P19" s="998"/>
      <c r="Q19" s="997" t="s">
        <v>428</v>
      </c>
      <c r="R19" s="998"/>
      <c r="S19" s="998"/>
      <c r="T19" s="998"/>
      <c r="U19" s="999"/>
      <c r="V19" s="998" t="s">
        <v>429</v>
      </c>
      <c r="W19" s="998"/>
      <c r="X19" s="998"/>
      <c r="Y19" s="997" t="s">
        <v>430</v>
      </c>
      <c r="Z19" s="998"/>
      <c r="AA19" s="998"/>
      <c r="AB19" s="998"/>
      <c r="AC19" s="998"/>
      <c r="AD19" s="999"/>
    </row>
    <row r="20" spans="1:30" ht="16.2" thickBot="1" x14ac:dyDescent="0.35">
      <c r="A20" s="48"/>
      <c r="B20" s="48"/>
      <c r="C20" s="48"/>
      <c r="D20" s="40"/>
      <c r="E20" s="40"/>
      <c r="F20" s="40"/>
      <c r="G20" s="40"/>
      <c r="H20" s="40"/>
      <c r="I20" s="220"/>
      <c r="J20" s="47"/>
      <c r="K20" s="42"/>
      <c r="L20" s="43" t="s">
        <v>164</v>
      </c>
      <c r="M20" s="754" t="s">
        <v>431</v>
      </c>
      <c r="N20" s="755" t="s">
        <v>432</v>
      </c>
      <c r="O20" s="755" t="s">
        <v>433</v>
      </c>
      <c r="P20" s="755" t="s">
        <v>434</v>
      </c>
      <c r="Q20" s="754" t="s">
        <v>435</v>
      </c>
      <c r="R20" s="755" t="s">
        <v>436</v>
      </c>
      <c r="S20" s="755" t="s">
        <v>437</v>
      </c>
      <c r="T20" s="755" t="s">
        <v>438</v>
      </c>
      <c r="U20" s="769" t="s">
        <v>439</v>
      </c>
      <c r="V20" s="756" t="s">
        <v>159</v>
      </c>
      <c r="W20" s="755" t="s">
        <v>440</v>
      </c>
      <c r="X20" s="755" t="s">
        <v>441</v>
      </c>
      <c r="Y20" s="754" t="s">
        <v>442</v>
      </c>
      <c r="Z20" s="755" t="s">
        <v>443</v>
      </c>
      <c r="AA20" s="755" t="s">
        <v>444</v>
      </c>
      <c r="AB20" s="755" t="s">
        <v>445</v>
      </c>
      <c r="AC20" s="755" t="s">
        <v>446</v>
      </c>
      <c r="AD20" s="769" t="s">
        <v>447</v>
      </c>
    </row>
    <row r="21" spans="1:30" x14ac:dyDescent="0.3">
      <c r="B21" s="40"/>
      <c r="C21" s="40"/>
      <c r="D21" s="40"/>
      <c r="E21" s="40"/>
      <c r="F21" s="40"/>
      <c r="G21" s="40"/>
      <c r="H21" s="40"/>
      <c r="I21" s="40"/>
      <c r="L21" s="15" t="s">
        <v>93</v>
      </c>
      <c r="M21" s="816">
        <v>3</v>
      </c>
      <c r="N21" s="815">
        <v>3</v>
      </c>
      <c r="O21" s="815">
        <v>13</v>
      </c>
      <c r="P21" s="815">
        <v>0</v>
      </c>
      <c r="Q21" s="757">
        <v>15</v>
      </c>
      <c r="R21" s="758">
        <v>15</v>
      </c>
      <c r="S21" s="758">
        <v>0</v>
      </c>
      <c r="T21" s="758">
        <v>0</v>
      </c>
      <c r="U21" s="770">
        <v>1</v>
      </c>
      <c r="V21" s="759">
        <v>1</v>
      </c>
      <c r="W21" s="758">
        <v>0</v>
      </c>
      <c r="X21" s="758">
        <v>0</v>
      </c>
      <c r="Y21" s="757">
        <v>3</v>
      </c>
      <c r="Z21" s="758">
        <v>3</v>
      </c>
      <c r="AA21" s="758">
        <v>0</v>
      </c>
      <c r="AB21" s="758">
        <v>0</v>
      </c>
      <c r="AC21" s="758">
        <v>0</v>
      </c>
      <c r="AD21" s="770">
        <v>0</v>
      </c>
    </row>
    <row r="22" spans="1:30" x14ac:dyDescent="0.3">
      <c r="B22" s="40"/>
      <c r="C22" s="40"/>
      <c r="D22" s="40"/>
      <c r="E22" s="40"/>
      <c r="F22" s="40"/>
      <c r="G22" s="40"/>
      <c r="H22" s="40"/>
      <c r="I22" s="40"/>
      <c r="L22" s="15" t="s">
        <v>94</v>
      </c>
      <c r="M22" s="817">
        <v>7</v>
      </c>
      <c r="N22" s="814">
        <v>7</v>
      </c>
      <c r="O22" s="814">
        <v>13</v>
      </c>
      <c r="P22" s="814">
        <v>0</v>
      </c>
      <c r="Q22" s="760">
        <v>65</v>
      </c>
      <c r="R22" s="761">
        <v>59</v>
      </c>
      <c r="S22" s="761">
        <v>0</v>
      </c>
      <c r="T22" s="761">
        <v>0</v>
      </c>
      <c r="U22" s="771">
        <v>0</v>
      </c>
      <c r="V22" s="762">
        <v>9</v>
      </c>
      <c r="W22" s="761">
        <v>0</v>
      </c>
      <c r="X22" s="761">
        <v>0</v>
      </c>
      <c r="Y22" s="760">
        <v>31</v>
      </c>
      <c r="Z22" s="761">
        <v>29</v>
      </c>
      <c r="AA22" s="761">
        <v>0</v>
      </c>
      <c r="AB22" s="761">
        <v>0</v>
      </c>
      <c r="AC22" s="761">
        <v>0</v>
      </c>
      <c r="AD22" s="771">
        <v>0</v>
      </c>
    </row>
    <row r="23" spans="1:30" ht="16.2" thickBot="1" x14ac:dyDescent="0.35">
      <c r="B23" s="40"/>
      <c r="C23" s="40"/>
      <c r="D23" s="40"/>
      <c r="E23" s="40"/>
      <c r="F23" s="40"/>
      <c r="G23" s="40"/>
      <c r="H23" s="40"/>
      <c r="I23" s="40"/>
      <c r="L23" s="15" t="s">
        <v>95</v>
      </c>
      <c r="M23" s="818">
        <v>1</v>
      </c>
      <c r="N23" s="819">
        <v>0</v>
      </c>
      <c r="O23" s="819">
        <v>13</v>
      </c>
      <c r="P23" s="819">
        <v>1</v>
      </c>
      <c r="Q23" s="763">
        <v>21</v>
      </c>
      <c r="R23" s="764">
        <v>22</v>
      </c>
      <c r="S23" s="764">
        <v>3</v>
      </c>
      <c r="T23" s="764">
        <v>3</v>
      </c>
      <c r="U23" s="772">
        <v>3</v>
      </c>
      <c r="V23" s="765">
        <v>2</v>
      </c>
      <c r="W23" s="764">
        <v>0</v>
      </c>
      <c r="X23" s="764">
        <v>1</v>
      </c>
      <c r="Y23" s="763">
        <v>13</v>
      </c>
      <c r="Z23" s="764">
        <v>12</v>
      </c>
      <c r="AA23" s="764">
        <v>9</v>
      </c>
      <c r="AB23" s="764">
        <v>8</v>
      </c>
      <c r="AC23" s="764">
        <v>1</v>
      </c>
      <c r="AD23" s="772">
        <v>0</v>
      </c>
    </row>
    <row r="24" spans="1:30" x14ac:dyDescent="0.3">
      <c r="B24" s="40"/>
      <c r="C24" s="40"/>
      <c r="D24" s="40"/>
      <c r="E24" s="40"/>
      <c r="F24" s="40"/>
      <c r="G24" s="40"/>
      <c r="H24" s="40"/>
      <c r="I24" s="40"/>
      <c r="L24" s="42"/>
    </row>
    <row r="25" spans="1:30" x14ac:dyDescent="0.3">
      <c r="L25" s="766" t="s">
        <v>553</v>
      </c>
      <c r="M25" s="810"/>
      <c r="N25" s="811"/>
      <c r="O25" s="40"/>
      <c r="P25" s="220"/>
      <c r="Q25" s="42"/>
      <c r="R25" s="42"/>
    </row>
    <row r="26" spans="1:30" x14ac:dyDescent="0.3">
      <c r="L26" s="1000" t="s">
        <v>448</v>
      </c>
      <c r="M26" s="1001"/>
      <c r="N26" s="1001"/>
      <c r="O26" s="1001"/>
      <c r="P26" s="1001"/>
      <c r="Q26" s="1001"/>
      <c r="R26" s="1001"/>
    </row>
    <row r="27" spans="1:30" x14ac:dyDescent="0.3">
      <c r="L27" s="40"/>
      <c r="M27" s="40"/>
      <c r="N27" s="40"/>
      <c r="O27" s="40"/>
      <c r="P27" s="40"/>
    </row>
  </sheetData>
  <mergeCells count="5">
    <mergeCell ref="M19:P19"/>
    <mergeCell ref="Q19:U19"/>
    <mergeCell ref="V19:X19"/>
    <mergeCell ref="Y19:AD19"/>
    <mergeCell ref="L26:R26"/>
  </mergeCells>
  <phoneticPr fontId="0" type="noConversion"/>
  <printOptions gridLines="1"/>
  <pageMargins left="0.39370078740157483" right="0" top="0.98425196850393704" bottom="0.98425196850393704" header="0.51181102362204722" footer="0.51181102362204722"/>
  <pageSetup paperSize="9" scale="92" orientation="landscape" r:id="rId1"/>
  <headerFooter alignWithMargins="0">
    <oddHeader>&amp;L&amp;Z&amp;F&amp;RList: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AA22"/>
  <sheetViews>
    <sheetView workbookViewId="0">
      <selection activeCell="K11" sqref="K11:K13"/>
    </sheetView>
  </sheetViews>
  <sheetFormatPr defaultColWidth="9.109375" defaultRowHeight="15.6" x14ac:dyDescent="0.3"/>
  <cols>
    <col min="1" max="1" width="20.109375" style="2" customWidth="1"/>
    <col min="2" max="2" width="15.44140625" style="3" bestFit="1" customWidth="1"/>
    <col min="3" max="3" width="15.109375" style="3" customWidth="1"/>
    <col min="4" max="4" width="14.44140625" style="3" customWidth="1"/>
    <col min="5" max="5" width="14.109375" style="3" customWidth="1"/>
    <col min="6" max="6" width="11.5546875" style="3" customWidth="1"/>
    <col min="7" max="7" width="12.109375" style="3" customWidth="1"/>
    <col min="8" max="8" width="13.33203125" style="3" customWidth="1"/>
    <col min="9" max="9" width="15.33203125" style="3" customWidth="1"/>
    <col min="10" max="10" width="11.33203125" style="3" customWidth="1"/>
    <col min="11" max="11" width="16.6640625" style="5" customWidth="1"/>
    <col min="12" max="12" width="18" style="1" customWidth="1"/>
    <col min="13" max="13" width="3" style="1" customWidth="1"/>
    <col min="14" max="14" width="24.6640625" style="1" bestFit="1" customWidth="1"/>
    <col min="15" max="15" width="9.109375" style="1" customWidth="1"/>
    <col min="16" max="16" width="36.44140625" style="1" customWidth="1"/>
    <col min="17" max="17" width="4.88671875" style="1" bestFit="1" customWidth="1"/>
    <col min="18" max="18" width="5.88671875" style="1" customWidth="1"/>
    <col min="19" max="19" width="6" style="1" customWidth="1"/>
    <col min="20" max="21" width="6.33203125" style="1" customWidth="1"/>
    <col min="22" max="22" width="1.5546875" style="1" customWidth="1"/>
    <col min="23" max="23" width="6.5546875" style="1" bestFit="1" customWidth="1"/>
    <col min="24" max="24" width="5.88671875" style="1" bestFit="1" customWidth="1"/>
    <col min="25" max="16384" width="9.109375" style="1"/>
  </cols>
  <sheetData>
    <row r="1" spans="1:27" ht="16.8" x14ac:dyDescent="0.3">
      <c r="A1" s="49" t="s">
        <v>1025</v>
      </c>
      <c r="L1" s="221"/>
    </row>
    <row r="2" spans="1:27" ht="16.8" x14ac:dyDescent="0.3">
      <c r="A2" s="61" t="s">
        <v>35</v>
      </c>
    </row>
    <row r="3" spans="1:27" ht="16.2" thickBot="1" x14ac:dyDescent="0.35">
      <c r="A3" s="1"/>
    </row>
    <row r="4" spans="1:27" ht="18" thickBot="1" x14ac:dyDescent="0.35">
      <c r="C4" s="1002" t="s">
        <v>34</v>
      </c>
      <c r="D4" s="1002"/>
      <c r="E4" s="1002"/>
      <c r="J4" s="15" t="s">
        <v>369</v>
      </c>
      <c r="K4" s="228">
        <f>'1_Bc_Mag_DSP'!F8</f>
        <v>8838564.9237296022</v>
      </c>
    </row>
    <row r="5" spans="1:27" ht="18" x14ac:dyDescent="0.35">
      <c r="C5" s="222">
        <v>5</v>
      </c>
      <c r="D5" s="222">
        <v>2</v>
      </c>
      <c r="E5" s="222">
        <v>1</v>
      </c>
      <c r="F5" s="57" t="s">
        <v>1026</v>
      </c>
      <c r="G5" s="40"/>
      <c r="H5" s="40"/>
    </row>
    <row r="6" spans="1:27" s="92" customFormat="1" ht="78" x14ac:dyDescent="0.25">
      <c r="A6" s="223" t="s">
        <v>4</v>
      </c>
      <c r="B6" s="224" t="s">
        <v>1022</v>
      </c>
      <c r="C6" s="224" t="s">
        <v>33</v>
      </c>
      <c r="D6" s="224" t="s">
        <v>1023</v>
      </c>
      <c r="E6" s="224" t="s">
        <v>1024</v>
      </c>
      <c r="F6" s="224" t="s">
        <v>141</v>
      </c>
      <c r="G6" s="224" t="s">
        <v>142</v>
      </c>
      <c r="H6" s="224" t="s">
        <v>143</v>
      </c>
      <c r="I6" s="224" t="s">
        <v>144</v>
      </c>
      <c r="J6" s="223" t="s">
        <v>6</v>
      </c>
      <c r="K6" s="225" t="s">
        <v>5</v>
      </c>
      <c r="L6" s="224" t="s">
        <v>901</v>
      </c>
      <c r="N6" s="224" t="s">
        <v>902</v>
      </c>
    </row>
    <row r="7" spans="1:27" ht="23.1" customHeight="1" x14ac:dyDescent="0.3">
      <c r="A7" s="226" t="s">
        <v>93</v>
      </c>
      <c r="B7" s="875">
        <v>4</v>
      </c>
      <c r="C7" s="875">
        <v>3</v>
      </c>
      <c r="D7" s="875">
        <v>0</v>
      </c>
      <c r="E7" s="875">
        <v>4</v>
      </c>
      <c r="F7" s="823">
        <f>C7*$C$5</f>
        <v>15</v>
      </c>
      <c r="G7" s="823">
        <f>D7*$D$5</f>
        <v>0</v>
      </c>
      <c r="H7" s="823">
        <f>E7*$E$5</f>
        <v>4</v>
      </c>
      <c r="I7" s="39">
        <f>SUM(F7:H7)</f>
        <v>19</v>
      </c>
      <c r="J7" s="867">
        <f>I7/$I$14</f>
        <v>8.8785046728971959E-2</v>
      </c>
      <c r="K7" s="227">
        <f>$K$4*J7</f>
        <v>784732.39977038524</v>
      </c>
      <c r="L7" s="227"/>
      <c r="N7" s="227">
        <f>K7</f>
        <v>784732.39977038524</v>
      </c>
    </row>
    <row r="8" spans="1:27" ht="23.1" customHeight="1" x14ac:dyDescent="0.3">
      <c r="A8" s="226" t="s">
        <v>94</v>
      </c>
      <c r="B8" s="875">
        <v>15</v>
      </c>
      <c r="C8" s="875">
        <v>11</v>
      </c>
      <c r="D8" s="875">
        <v>5</v>
      </c>
      <c r="E8" s="875">
        <v>10</v>
      </c>
      <c r="F8" s="823">
        <f>C8*$C$5</f>
        <v>55</v>
      </c>
      <c r="G8" s="823">
        <f>D8*$D$5</f>
        <v>10</v>
      </c>
      <c r="H8" s="823">
        <f>E8*$E$5</f>
        <v>10</v>
      </c>
      <c r="I8" s="39">
        <f>SUM(F8:H8)</f>
        <v>75</v>
      </c>
      <c r="J8" s="867">
        <f t="shared" ref="J8:J10" si="0">I8/$I$14</f>
        <v>0.35046728971962615</v>
      </c>
      <c r="K8" s="227">
        <f>$K$4*J8</f>
        <v>3097627.8938304679</v>
      </c>
      <c r="L8" s="227"/>
      <c r="N8" s="227">
        <f>K8</f>
        <v>3097627.8938304679</v>
      </c>
    </row>
    <row r="9" spans="1:27" ht="23.1" customHeight="1" x14ac:dyDescent="0.3">
      <c r="A9" s="226" t="s">
        <v>95</v>
      </c>
      <c r="B9" s="875">
        <v>31</v>
      </c>
      <c r="C9" s="875">
        <v>10</v>
      </c>
      <c r="D9" s="875">
        <v>6</v>
      </c>
      <c r="E9" s="875">
        <v>25</v>
      </c>
      <c r="F9" s="823">
        <f>C9*$C$5</f>
        <v>50</v>
      </c>
      <c r="G9" s="823">
        <f>D9*$D$5</f>
        <v>12</v>
      </c>
      <c r="H9" s="823">
        <f>E9*$E$5</f>
        <v>25</v>
      </c>
      <c r="I9" s="39">
        <f>SUM(F9:H9)</f>
        <v>87</v>
      </c>
      <c r="J9" s="867">
        <f t="shared" si="0"/>
        <v>0.40654205607476634</v>
      </c>
      <c r="K9" s="227">
        <f>$K$4*J9</f>
        <v>3593248.356843343</v>
      </c>
      <c r="L9" s="227"/>
      <c r="N9" s="227">
        <f>K9</f>
        <v>3593248.356843343</v>
      </c>
    </row>
    <row r="10" spans="1:27" ht="23.1" customHeight="1" x14ac:dyDescent="0.3">
      <c r="A10" s="226" t="s">
        <v>76</v>
      </c>
      <c r="B10" s="875">
        <v>0</v>
      </c>
      <c r="C10" s="875">
        <v>0</v>
      </c>
      <c r="D10" s="875">
        <v>0</v>
      </c>
      <c r="E10" s="875">
        <v>0</v>
      </c>
      <c r="F10" s="823">
        <f>C10*$C$5</f>
        <v>0</v>
      </c>
      <c r="G10" s="823">
        <f>D10*$D$5</f>
        <v>0</v>
      </c>
      <c r="H10" s="823">
        <f>E10*$E$5</f>
        <v>0</v>
      </c>
      <c r="I10" s="39">
        <f>SUM(F10:H10)</f>
        <v>0</v>
      </c>
      <c r="J10" s="867">
        <f t="shared" si="0"/>
        <v>0</v>
      </c>
      <c r="K10" s="227">
        <f>$K$4*J10</f>
        <v>0</v>
      </c>
      <c r="L10" s="227">
        <v>800000</v>
      </c>
      <c r="N10" s="227">
        <f>L10</f>
        <v>800000</v>
      </c>
      <c r="P10" s="221" t="s">
        <v>504</v>
      </c>
    </row>
    <row r="11" spans="1:27" ht="23.1" customHeight="1" x14ac:dyDescent="0.3">
      <c r="A11" s="862" t="s">
        <v>519</v>
      </c>
      <c r="B11" s="875">
        <v>7</v>
      </c>
      <c r="C11" s="875">
        <v>0</v>
      </c>
      <c r="D11" s="875">
        <v>4</v>
      </c>
      <c r="E11" s="875">
        <v>3</v>
      </c>
      <c r="F11" s="863">
        <f t="shared" ref="F11:F13" si="1">C11*$C$5</f>
        <v>0</v>
      </c>
      <c r="G11" s="863">
        <f t="shared" ref="G11:G12" si="2">D11*$D$5</f>
        <v>8</v>
      </c>
      <c r="H11" s="863">
        <f t="shared" ref="H11:H13" si="3">E11*$E$5</f>
        <v>3</v>
      </c>
      <c r="I11" s="864">
        <f t="shared" ref="I11:I13" si="4">SUM(F11:H11)</f>
        <v>11</v>
      </c>
      <c r="J11" s="865">
        <f t="shared" ref="J11:J13" si="5">I11/$I$14</f>
        <v>5.1401869158878503E-2</v>
      </c>
      <c r="K11" s="866">
        <f>$K$4*J11</f>
        <v>454318.757761802</v>
      </c>
      <c r="L11" s="227"/>
      <c r="N11" s="878">
        <f>K11/SUM($K$11:$K$13)*(SUM($K$11:$K$13)-$L$10)</f>
        <v>187652.09109513534</v>
      </c>
      <c r="P11" s="537" t="str">
        <f>"Převod 106 na "&amp;A11</f>
        <v>Převod 106 na CXI</v>
      </c>
    </row>
    <row r="12" spans="1:27" ht="23.1" customHeight="1" x14ac:dyDescent="0.3">
      <c r="A12" s="862" t="s">
        <v>496</v>
      </c>
      <c r="B12" s="875">
        <v>11</v>
      </c>
      <c r="C12" s="875">
        <v>1</v>
      </c>
      <c r="D12" s="875">
        <v>2</v>
      </c>
      <c r="E12" s="875">
        <v>9</v>
      </c>
      <c r="F12" s="863">
        <f t="shared" si="1"/>
        <v>5</v>
      </c>
      <c r="G12" s="863">
        <f t="shared" si="2"/>
        <v>4</v>
      </c>
      <c r="H12" s="863">
        <f t="shared" si="3"/>
        <v>9</v>
      </c>
      <c r="I12" s="864">
        <f t="shared" si="4"/>
        <v>18</v>
      </c>
      <c r="J12" s="865">
        <f t="shared" si="5"/>
        <v>8.4112149532710276E-2</v>
      </c>
      <c r="K12" s="866">
        <f t="shared" ref="K12:K13" si="6">$K$4*J12</f>
        <v>743430.69451931235</v>
      </c>
      <c r="L12" s="227"/>
      <c r="N12" s="878">
        <f>K12/SUM($K$11:$K$13)*(SUM($K$11:$K$13)-$L$10)</f>
        <v>307067.058155676</v>
      </c>
      <c r="P12" s="537" t="str">
        <f t="shared" ref="P12:P13" si="7">"Převod 106 na "&amp;A12</f>
        <v>Převod 106 na KCH</v>
      </c>
    </row>
    <row r="13" spans="1:27" ht="23.1" customHeight="1" thickBot="1" x14ac:dyDescent="0.35">
      <c r="A13" s="862" t="s">
        <v>594</v>
      </c>
      <c r="B13" s="875">
        <v>0</v>
      </c>
      <c r="C13" s="875">
        <v>0</v>
      </c>
      <c r="D13" s="875">
        <v>1</v>
      </c>
      <c r="E13" s="875">
        <v>2</v>
      </c>
      <c r="F13" s="863">
        <f t="shared" si="1"/>
        <v>0</v>
      </c>
      <c r="G13" s="863">
        <f>D13*$D$5</f>
        <v>2</v>
      </c>
      <c r="H13" s="863">
        <f t="shared" si="3"/>
        <v>2</v>
      </c>
      <c r="I13" s="864">
        <f t="shared" si="4"/>
        <v>4</v>
      </c>
      <c r="J13" s="865">
        <f t="shared" si="5"/>
        <v>1.8691588785046728E-2</v>
      </c>
      <c r="K13" s="866">
        <f t="shared" si="6"/>
        <v>165206.82100429162</v>
      </c>
      <c r="L13" s="227"/>
      <c r="N13" s="878">
        <f>K13/SUM($K$11:$K$13)*(SUM($K$11:$K$13)-$L$10)</f>
        <v>68237.124034594657</v>
      </c>
      <c r="P13" s="537" t="str">
        <f t="shared" si="7"/>
        <v>Převod 106 na KFY</v>
      </c>
    </row>
    <row r="14" spans="1:27" s="9" customFormat="1" ht="18.600000000000001" thickBot="1" x14ac:dyDescent="0.4">
      <c r="A14" s="8"/>
      <c r="B14" s="203">
        <f>SUM(B7:B13)</f>
        <v>68</v>
      </c>
      <c r="C14" s="203">
        <f t="shared" ref="C14:I14" si="8">SUM(C7:C13)</f>
        <v>25</v>
      </c>
      <c r="D14" s="203">
        <f t="shared" si="8"/>
        <v>18</v>
      </c>
      <c r="E14" s="203">
        <f>SUM(E7:E13)</f>
        <v>53</v>
      </c>
      <c r="F14" s="203">
        <f t="shared" si="8"/>
        <v>125</v>
      </c>
      <c r="G14" s="203">
        <f t="shared" si="8"/>
        <v>36</v>
      </c>
      <c r="H14" s="203">
        <f t="shared" si="8"/>
        <v>53</v>
      </c>
      <c r="I14" s="203">
        <f t="shared" si="8"/>
        <v>214</v>
      </c>
      <c r="J14" s="805">
        <f t="shared" ref="J14" si="9">SUM(J7:J10)</f>
        <v>0.84579439252336441</v>
      </c>
      <c r="K14" s="59">
        <f>SUM(K7:K13)</f>
        <v>8838564.9237296022</v>
      </c>
      <c r="L14" s="59">
        <f>SUM(L7:L13)</f>
        <v>800000</v>
      </c>
      <c r="N14" s="59">
        <f>SUM(N7:N13)</f>
        <v>8838564.9237296022</v>
      </c>
    </row>
    <row r="15" spans="1:27" ht="16.2" thickBot="1" x14ac:dyDescent="0.35">
      <c r="D15" s="41"/>
      <c r="J15" s="3" t="s">
        <v>335</v>
      </c>
      <c r="K15" s="614">
        <f>K4-K14</f>
        <v>0</v>
      </c>
      <c r="N15" s="614">
        <f>K4-N14</f>
        <v>0</v>
      </c>
    </row>
    <row r="16" spans="1:27" ht="18" thickBot="1" x14ac:dyDescent="0.35">
      <c r="N16" s="59">
        <f>SUM(N11:N13)</f>
        <v>562956.27328540594</v>
      </c>
      <c r="O16"/>
      <c r="P16" s="537" t="s">
        <v>903</v>
      </c>
      <c r="Q16"/>
      <c r="R16"/>
      <c r="S16"/>
      <c r="T16"/>
      <c r="U16"/>
      <c r="V16"/>
      <c r="W16"/>
      <c r="X16"/>
      <c r="Y16"/>
      <c r="Z16"/>
      <c r="AA16"/>
    </row>
    <row r="17" spans="2:27" x14ac:dyDescent="0.3"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x14ac:dyDescent="0.3"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x14ac:dyDescent="0.3">
      <c r="B19" s="876" t="s">
        <v>900</v>
      </c>
      <c r="C19" s="938" t="s">
        <v>1027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x14ac:dyDescent="0.3"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x14ac:dyDescent="0.3"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x14ac:dyDescent="0.3"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</sheetData>
  <mergeCells count="1">
    <mergeCell ref="C4:E4"/>
  </mergeCells>
  <phoneticPr fontId="0" type="noConversion"/>
  <printOptions gridLines="1"/>
  <pageMargins left="0.19685039370078741" right="0" top="0.98425196850393704" bottom="0.98425196850393704" header="0.51181102362204722" footer="0.51181102362204722"/>
  <pageSetup paperSize="9" scale="97" orientation="landscape" r:id="rId1"/>
  <headerFooter alignWithMargins="0">
    <oddHeader>&amp;L&amp;Z&amp;F&amp;RList: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X28"/>
  <sheetViews>
    <sheetView workbookViewId="0">
      <selection activeCell="D6" sqref="D6"/>
    </sheetView>
  </sheetViews>
  <sheetFormatPr defaultColWidth="9.109375" defaultRowHeight="13.2" x14ac:dyDescent="0.25"/>
  <cols>
    <col min="1" max="1" width="12" style="40" customWidth="1"/>
    <col min="2" max="2" width="10.88671875" style="40" customWidth="1"/>
    <col min="3" max="3" width="11.33203125" style="40" customWidth="1"/>
    <col min="4" max="4" width="26.88671875" style="40" customWidth="1"/>
    <col min="5" max="5" width="16.88671875" style="40" customWidth="1"/>
    <col min="6" max="6" width="12.109375" style="40" customWidth="1"/>
    <col min="7" max="7" width="11.5546875" style="40" customWidth="1"/>
    <col min="8" max="8" width="11.44140625" style="40" bestFit="1" customWidth="1"/>
    <col min="9" max="9" width="13.88671875" style="40" customWidth="1"/>
    <col min="10" max="10" width="2.88671875" style="40" customWidth="1"/>
    <col min="11" max="11" width="9.88671875" style="40" customWidth="1"/>
    <col min="12" max="12" width="10" style="40" customWidth="1"/>
    <col min="13" max="15" width="2.6640625" style="40" customWidth="1"/>
    <col min="16" max="16" width="9.109375" style="40"/>
    <col min="17" max="17" width="5.5546875" style="40" bestFit="1" customWidth="1"/>
    <col min="18" max="18" width="5.88671875" style="40" customWidth="1"/>
    <col min="19" max="16384" width="9.109375" style="40"/>
  </cols>
  <sheetData>
    <row r="1" spans="1:24" ht="16.8" x14ac:dyDescent="0.3">
      <c r="A1" s="49" t="s">
        <v>261</v>
      </c>
      <c r="B1" s="3"/>
      <c r="C1" s="3"/>
      <c r="D1" s="3"/>
      <c r="E1" s="3"/>
      <c r="F1" s="4">
        <v>2022</v>
      </c>
      <c r="G1" s="3"/>
      <c r="H1" s="3"/>
      <c r="I1" s="5"/>
      <c r="J1" s="5"/>
      <c r="K1" s="5"/>
      <c r="L1" s="221"/>
    </row>
    <row r="2" spans="1:24" ht="16.8" x14ac:dyDescent="0.3">
      <c r="A2" s="61" t="s">
        <v>397</v>
      </c>
      <c r="B2" s="3"/>
      <c r="C2" s="3"/>
      <c r="D2" s="3"/>
      <c r="E2" s="3"/>
      <c r="F2" s="851" t="s">
        <v>580</v>
      </c>
      <c r="H2" s="3"/>
      <c r="I2" s="5"/>
      <c r="J2" s="5"/>
      <c r="K2" s="5"/>
      <c r="L2" s="1"/>
      <c r="N2" s="316"/>
    </row>
    <row r="3" spans="1:24" ht="15.6" x14ac:dyDescent="0.3">
      <c r="A3" s="1"/>
      <c r="B3" s="3"/>
      <c r="C3" s="3"/>
      <c r="D3" s="3"/>
      <c r="E3" s="3"/>
      <c r="F3" s="3"/>
      <c r="G3" s="3"/>
      <c r="H3" s="3"/>
      <c r="I3" s="5"/>
      <c r="J3" s="5"/>
      <c r="K3" s="5"/>
      <c r="L3" s="1"/>
    </row>
    <row r="4" spans="1:24" ht="15.6" x14ac:dyDescent="0.3">
      <c r="A4" s="2"/>
      <c r="B4" s="3"/>
      <c r="C4" s="3"/>
      <c r="D4" s="1002" t="s">
        <v>235</v>
      </c>
      <c r="E4" s="1002"/>
      <c r="F4" s="3"/>
      <c r="G4" s="3"/>
      <c r="H4" s="3"/>
      <c r="I4" s="5"/>
      <c r="J4" s="5"/>
      <c r="K4" s="5"/>
      <c r="L4" s="1"/>
    </row>
    <row r="5" spans="1:24" ht="15.6" x14ac:dyDescent="0.3">
      <c r="A5" s="2"/>
      <c r="B5" s="3"/>
      <c r="C5" s="3"/>
      <c r="D5" s="229">
        <v>40000</v>
      </c>
      <c r="E5" s="318">
        <v>50000</v>
      </c>
      <c r="F5" s="316" t="s">
        <v>1006</v>
      </c>
      <c r="H5" s="3"/>
      <c r="I5" s="5"/>
      <c r="J5" s="5"/>
      <c r="K5" s="5"/>
      <c r="L5" s="1"/>
    </row>
    <row r="6" spans="1:24" s="286" customFormat="1" ht="46.8" x14ac:dyDescent="0.25">
      <c r="A6" s="223" t="s">
        <v>4</v>
      </c>
      <c r="B6" s="224" t="s">
        <v>171</v>
      </c>
      <c r="C6" s="224" t="s">
        <v>172</v>
      </c>
      <c r="D6" s="224" t="s">
        <v>173</v>
      </c>
      <c r="E6" s="224" t="s">
        <v>174</v>
      </c>
      <c r="F6" s="224" t="s">
        <v>240</v>
      </c>
      <c r="G6" s="224" t="s">
        <v>241</v>
      </c>
      <c r="H6" s="223" t="s">
        <v>6</v>
      </c>
      <c r="I6" s="225" t="s">
        <v>5</v>
      </c>
      <c r="J6" s="230"/>
      <c r="K6" s="287" t="s">
        <v>238</v>
      </c>
      <c r="L6" s="234" t="s">
        <v>239</v>
      </c>
    </row>
    <row r="7" spans="1:24" ht="15.6" x14ac:dyDescent="0.3">
      <c r="A7" s="226" t="s">
        <v>93</v>
      </c>
      <c r="B7" s="26">
        <v>2</v>
      </c>
      <c r="C7" s="26">
        <v>3</v>
      </c>
      <c r="D7" s="189">
        <v>1</v>
      </c>
      <c r="E7" s="189">
        <v>1</v>
      </c>
      <c r="F7" s="5">
        <f>D7*$D$5</f>
        <v>40000</v>
      </c>
      <c r="G7" s="5">
        <f>E7*$E$5</f>
        <v>50000</v>
      </c>
      <c r="H7" s="188">
        <f>(F7+G7)/$H$10</f>
        <v>0.52941176470588236</v>
      </c>
      <c r="I7" s="227">
        <f>F7+G7</f>
        <v>90000</v>
      </c>
      <c r="J7" s="116"/>
      <c r="K7" s="231">
        <f>H7*$I$15</f>
        <v>45000</v>
      </c>
      <c r="L7" s="1">
        <f>H7*$I$16</f>
        <v>45000</v>
      </c>
    </row>
    <row r="8" spans="1:24" ht="15.6" x14ac:dyDescent="0.3">
      <c r="A8" s="226" t="s">
        <v>94</v>
      </c>
      <c r="B8" s="26">
        <v>9</v>
      </c>
      <c r="C8" s="26">
        <v>3</v>
      </c>
      <c r="D8" s="189">
        <v>1</v>
      </c>
      <c r="E8" s="189">
        <v>0</v>
      </c>
      <c r="F8" s="5">
        <f>D8*$D$5</f>
        <v>40000</v>
      </c>
      <c r="G8" s="5">
        <f>E8*$E$5</f>
        <v>0</v>
      </c>
      <c r="H8" s="188">
        <f>(F8+G8)/$H$10</f>
        <v>0.23529411764705882</v>
      </c>
      <c r="I8" s="227">
        <f>F8+G8</f>
        <v>40000</v>
      </c>
      <c r="J8" s="116"/>
      <c r="K8" s="231">
        <f>H8*$I$15</f>
        <v>20000</v>
      </c>
      <c r="L8" s="231">
        <f>H8*$I$16</f>
        <v>20000</v>
      </c>
    </row>
    <row r="9" spans="1:24" ht="16.2" thickBot="1" x14ac:dyDescent="0.35">
      <c r="A9" s="226" t="s">
        <v>95</v>
      </c>
      <c r="B9" s="26">
        <v>12</v>
      </c>
      <c r="C9" s="26">
        <v>4</v>
      </c>
      <c r="D9" s="189">
        <v>1</v>
      </c>
      <c r="E9" s="189">
        <v>0</v>
      </c>
      <c r="F9" s="5">
        <f>D9*$D$5</f>
        <v>40000</v>
      </c>
      <c r="G9" s="5">
        <f>E9*$E$5</f>
        <v>0</v>
      </c>
      <c r="H9" s="188">
        <f>(F9+G9)/$H$10</f>
        <v>0.23529411764705882</v>
      </c>
      <c r="I9" s="227">
        <f>F9+G9</f>
        <v>40000</v>
      </c>
      <c r="J9" s="116"/>
      <c r="K9" s="231">
        <f>H9*$I$15</f>
        <v>20000</v>
      </c>
      <c r="L9" s="231">
        <f>H9*$I$16</f>
        <v>20000</v>
      </c>
    </row>
    <row r="10" spans="1:24" ht="18" thickBot="1" x14ac:dyDescent="0.35">
      <c r="A10" s="8"/>
      <c r="B10" s="203">
        <f t="shared" ref="B10:G10" si="0">SUM(B7:B9)</f>
        <v>23</v>
      </c>
      <c r="C10" s="203">
        <f t="shared" si="0"/>
        <v>10</v>
      </c>
      <c r="D10" s="203">
        <f t="shared" si="0"/>
        <v>3</v>
      </c>
      <c r="E10" s="203">
        <f t="shared" si="0"/>
        <v>1</v>
      </c>
      <c r="F10" s="204">
        <f t="shared" si="0"/>
        <v>120000</v>
      </c>
      <c r="G10" s="204">
        <f t="shared" si="0"/>
        <v>50000</v>
      </c>
      <c r="H10" s="232">
        <f>F10+G10</f>
        <v>170000</v>
      </c>
      <c r="I10" s="289">
        <f>SUM(I7:I9)</f>
        <v>170000</v>
      </c>
      <c r="J10" s="60"/>
      <c r="K10" s="60"/>
      <c r="L10" s="233"/>
    </row>
    <row r="11" spans="1:24" ht="15.6" x14ac:dyDescent="0.3">
      <c r="A11" s="2"/>
      <c r="B11" s="3"/>
      <c r="C11" s="3"/>
      <c r="D11" s="3"/>
      <c r="E11" s="41"/>
      <c r="F11" s="3"/>
      <c r="G11" s="3"/>
      <c r="H11" s="3"/>
      <c r="I11" s="5"/>
      <c r="J11" s="5"/>
      <c r="K11" s="5"/>
      <c r="L11" s="1"/>
    </row>
    <row r="12" spans="1:24" s="383" customFormat="1" ht="15.6" x14ac:dyDescent="0.3">
      <c r="C12" s="384"/>
      <c r="D12" s="385"/>
      <c r="E12" s="385"/>
    </row>
    <row r="13" spans="1:24" s="383" customFormat="1" ht="15.6" x14ac:dyDescent="0.3">
      <c r="D13" s="385"/>
      <c r="E13" s="385"/>
    </row>
    <row r="14" spans="1:24" s="386" customFormat="1" ht="15.6" x14ac:dyDescent="0.3">
      <c r="H14" s="387" t="s">
        <v>182</v>
      </c>
      <c r="I14" s="571">
        <v>0.5</v>
      </c>
    </row>
    <row r="15" spans="1:24" s="386" customFormat="1" ht="15.6" x14ac:dyDescent="0.3">
      <c r="G15" s="388"/>
      <c r="H15" s="389" t="s">
        <v>183</v>
      </c>
      <c r="I15" s="390">
        <f>I10*I14</f>
        <v>85000</v>
      </c>
      <c r="P15" s="1" t="s">
        <v>212</v>
      </c>
    </row>
    <row r="16" spans="1:24" s="386" customFormat="1" ht="16.8" thickBot="1" x14ac:dyDescent="0.4">
      <c r="G16" s="388"/>
      <c r="H16" s="389" t="s">
        <v>184</v>
      </c>
      <c r="I16" s="390">
        <f>I10*(1-I14)</f>
        <v>85000</v>
      </c>
      <c r="P16" s="513" t="s">
        <v>282</v>
      </c>
      <c r="Q16" s="400"/>
      <c r="R16" s="468"/>
      <c r="S16" s="400"/>
      <c r="T16" s="400"/>
      <c r="U16" s="400"/>
      <c r="V16" s="400"/>
      <c r="W16" s="400"/>
      <c r="X16" s="400"/>
    </row>
    <row r="17" spans="1:24" s="383" customFormat="1" ht="18.600000000000001" thickBot="1" x14ac:dyDescent="0.4">
      <c r="I17" s="391">
        <f>SUM(I15:I16)</f>
        <v>170000</v>
      </c>
      <c r="P17" s="401"/>
      <c r="Q17" s="512">
        <v>2021</v>
      </c>
      <c r="R17" s="469">
        <v>0</v>
      </c>
      <c r="S17" s="512"/>
      <c r="T17" s="401"/>
      <c r="U17" s="401"/>
      <c r="V17" s="401"/>
      <c r="W17" s="401"/>
      <c r="X17" s="401"/>
    </row>
    <row r="18" spans="1:24" x14ac:dyDescent="0.25">
      <c r="A18" s="813" t="s">
        <v>509</v>
      </c>
      <c r="P18" s="402"/>
      <c r="Q18" s="512">
        <v>2020</v>
      </c>
      <c r="R18" s="469">
        <v>1</v>
      </c>
      <c r="S18" s="512" t="s">
        <v>508</v>
      </c>
      <c r="T18" s="402"/>
      <c r="U18" s="402"/>
      <c r="V18" s="402"/>
      <c r="W18" s="402"/>
      <c r="X18" s="402"/>
    </row>
    <row r="19" spans="1:24" x14ac:dyDescent="0.25">
      <c r="A19" s="40" t="s">
        <v>578</v>
      </c>
      <c r="P19" s="402"/>
      <c r="Q19" s="657">
        <v>2019</v>
      </c>
      <c r="R19" s="656">
        <v>0</v>
      </c>
      <c r="S19" s="657"/>
      <c r="T19" s="655"/>
      <c r="U19" s="655"/>
      <c r="V19" s="655"/>
      <c r="W19" s="655"/>
      <c r="X19" s="402"/>
    </row>
    <row r="20" spans="1:24" x14ac:dyDescent="0.25">
      <c r="P20" s="402"/>
      <c r="Q20" s="401">
        <v>2018</v>
      </c>
      <c r="R20" s="552">
        <v>0</v>
      </c>
      <c r="S20" s="512"/>
      <c r="T20" s="402"/>
      <c r="U20" s="402"/>
      <c r="V20" s="402"/>
      <c r="W20" s="402"/>
      <c r="X20" s="402"/>
    </row>
    <row r="21" spans="1:24" x14ac:dyDescent="0.25">
      <c r="P21" s="402"/>
      <c r="Q21" s="402"/>
      <c r="R21" s="469"/>
      <c r="S21" s="402"/>
      <c r="T21" s="402"/>
      <c r="U21" s="402"/>
      <c r="V21" s="402"/>
      <c r="W21" s="402"/>
      <c r="X21" s="402"/>
    </row>
    <row r="22" spans="1:24" x14ac:dyDescent="0.25">
      <c r="P22" s="402"/>
      <c r="Q22" s="402"/>
      <c r="R22" s="469"/>
      <c r="S22" s="402"/>
      <c r="T22" s="402"/>
      <c r="U22" s="402"/>
      <c r="V22" s="402"/>
      <c r="W22" s="402"/>
      <c r="X22" s="402"/>
    </row>
    <row r="23" spans="1:24" ht="16.2" x14ac:dyDescent="0.35">
      <c r="P23" s="513" t="s">
        <v>283</v>
      </c>
      <c r="Q23" s="402"/>
      <c r="R23" s="469"/>
      <c r="S23" s="402"/>
      <c r="T23" s="402"/>
      <c r="U23" s="402"/>
      <c r="V23" s="402"/>
      <c r="W23" s="402"/>
      <c r="X23" s="402"/>
    </row>
    <row r="24" spans="1:24" x14ac:dyDescent="0.25">
      <c r="P24" s="402"/>
      <c r="Q24" s="512">
        <v>2021</v>
      </c>
      <c r="R24" s="469">
        <v>2</v>
      </c>
      <c r="S24" s="512" t="s">
        <v>579</v>
      </c>
      <c r="T24" s="512"/>
      <c r="U24" s="512"/>
      <c r="V24" s="512"/>
      <c r="W24" s="402"/>
      <c r="X24" s="402"/>
    </row>
    <row r="25" spans="1:24" ht="15.6" x14ac:dyDescent="0.3">
      <c r="D25" s="1"/>
      <c r="P25" s="402"/>
      <c r="Q25" s="512">
        <v>2020</v>
      </c>
      <c r="R25" s="469">
        <v>0</v>
      </c>
      <c r="S25" s="512"/>
      <c r="T25" s="512"/>
      <c r="U25" s="512"/>
      <c r="V25" s="512"/>
      <c r="W25" s="402"/>
      <c r="X25" s="402"/>
    </row>
    <row r="26" spans="1:24" ht="15.6" x14ac:dyDescent="0.3">
      <c r="D26" s="1"/>
      <c r="P26" s="402"/>
      <c r="Q26" s="657">
        <v>2019</v>
      </c>
      <c r="R26" s="656">
        <v>1</v>
      </c>
      <c r="S26" s="812" t="s">
        <v>392</v>
      </c>
      <c r="T26" s="657"/>
      <c r="U26" s="657"/>
      <c r="V26" s="657"/>
      <c r="W26" s="655"/>
      <c r="X26" s="402"/>
    </row>
    <row r="27" spans="1:24" x14ac:dyDescent="0.25">
      <c r="P27" s="401"/>
      <c r="Q27" s="401">
        <v>2018</v>
      </c>
      <c r="R27" s="552">
        <v>2</v>
      </c>
      <c r="S27" s="852" t="s">
        <v>320</v>
      </c>
      <c r="T27" s="853"/>
      <c r="U27" s="853"/>
      <c r="V27" s="853"/>
      <c r="W27" s="852"/>
      <c r="X27" s="402"/>
    </row>
    <row r="28" spans="1:24" x14ac:dyDescent="0.25">
      <c r="P28" s="401"/>
      <c r="Q28" s="401"/>
      <c r="R28" s="552"/>
      <c r="S28" s="401"/>
      <c r="T28" s="401"/>
      <c r="U28" s="401"/>
      <c r="V28" s="401"/>
      <c r="W28" s="401"/>
      <c r="X28" s="402"/>
    </row>
  </sheetData>
  <mergeCells count="1">
    <mergeCell ref="D4:E4"/>
  </mergeCells>
  <printOptions horizontalCentered="1" gridLines="1"/>
  <pageMargins left="0" right="0" top="1.3779527559055118" bottom="0.78740157480314965" header="0.9055118110236221" footer="0.31496062992125984"/>
  <pageSetup paperSize="9" orientation="landscape" r:id="rId1"/>
  <headerFooter>
    <oddHeader>&amp;R&amp;Z&amp;F
List: 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  <pageSetUpPr fitToPage="1"/>
  </sheetPr>
  <dimension ref="A1:AF28"/>
  <sheetViews>
    <sheetView workbookViewId="0">
      <selection activeCell="O6" sqref="O6"/>
    </sheetView>
  </sheetViews>
  <sheetFormatPr defaultColWidth="9.109375" defaultRowHeight="13.2" x14ac:dyDescent="0.25"/>
  <cols>
    <col min="1" max="1" width="21.88671875" style="40" customWidth="1"/>
    <col min="2" max="2" width="16" style="40" customWidth="1"/>
    <col min="3" max="3" width="17" style="40" customWidth="1"/>
    <col min="4" max="4" width="16" style="40" customWidth="1"/>
    <col min="5" max="6" width="11.33203125" style="40" bestFit="1" customWidth="1"/>
    <col min="7" max="8" width="4.44140625" style="40" bestFit="1" customWidth="1"/>
    <col min="9" max="9" width="14" style="40" customWidth="1"/>
    <col min="10" max="10" width="21.44140625" style="40" customWidth="1"/>
    <col min="11" max="11" width="18.5546875" style="40" customWidth="1"/>
    <col min="12" max="12" width="8.6640625" style="40" customWidth="1"/>
    <col min="13" max="13" width="7.6640625" style="40" customWidth="1"/>
    <col min="14" max="14" width="3.44140625" style="40" customWidth="1"/>
    <col min="15" max="15" width="11" style="40" customWidth="1"/>
    <col min="16" max="16" width="12.33203125" style="40" bestFit="1" customWidth="1"/>
    <col min="17" max="17" width="9.5546875" style="40" customWidth="1"/>
    <col min="18" max="18" width="9" style="40" customWidth="1"/>
    <col min="19" max="19" width="13.33203125" style="40" customWidth="1"/>
    <col min="20" max="21" width="10.109375" style="40" bestFit="1" customWidth="1"/>
    <col min="22" max="22" width="9.109375" style="40"/>
    <col min="23" max="23" width="11.88671875" style="40" customWidth="1"/>
    <col min="24" max="16384" width="9.109375" style="40"/>
  </cols>
  <sheetData>
    <row r="1" spans="1:32" ht="16.8" x14ac:dyDescent="0.3">
      <c r="A1" s="553" t="s">
        <v>260</v>
      </c>
      <c r="B1" s="402"/>
      <c r="C1" s="402"/>
    </row>
    <row r="3" spans="1:32" ht="17.399999999999999" x14ac:dyDescent="0.3">
      <c r="A3" s="658" t="s">
        <v>581</v>
      </c>
      <c r="O3" s="851" t="s">
        <v>583</v>
      </c>
      <c r="V3" s="40" t="s">
        <v>315</v>
      </c>
    </row>
    <row r="4" spans="1:32" ht="17.399999999999999" thickBot="1" x14ac:dyDescent="0.35">
      <c r="A4" s="49" t="s">
        <v>255</v>
      </c>
      <c r="C4" s="509" t="s">
        <v>276</v>
      </c>
      <c r="E4" s="49"/>
      <c r="F4" s="49"/>
      <c r="G4" s="49"/>
      <c r="H4" s="49"/>
      <c r="J4" s="187" t="s">
        <v>275</v>
      </c>
      <c r="K4" s="617">
        <v>0.01</v>
      </c>
      <c r="O4" s="1003" t="s">
        <v>276</v>
      </c>
      <c r="P4" s="1003"/>
      <c r="Q4" s="1003"/>
      <c r="R4" s="1003"/>
      <c r="S4" s="1003"/>
      <c r="T4" s="1003"/>
      <c r="U4" s="1003"/>
      <c r="V4" s="659" t="s">
        <v>582</v>
      </c>
      <c r="W4" s="660"/>
      <c r="X4" s="660"/>
    </row>
    <row r="5" spans="1:32" s="1" customFormat="1" ht="17.399999999999999" thickBot="1" x14ac:dyDescent="0.35">
      <c r="A5" s="223" t="s">
        <v>4</v>
      </c>
      <c r="B5" s="224">
        <v>111</v>
      </c>
      <c r="C5" s="224">
        <v>113</v>
      </c>
      <c r="D5" s="224">
        <v>114</v>
      </c>
      <c r="E5" s="224">
        <v>115</v>
      </c>
      <c r="F5" s="224">
        <v>117</v>
      </c>
      <c r="G5" s="224">
        <v>121</v>
      </c>
      <c r="H5" s="597">
        <v>131</v>
      </c>
      <c r="I5" s="598"/>
      <c r="J5" s="15" t="s">
        <v>273</v>
      </c>
      <c r="K5" s="321">
        <f>('0_PRIDEL'!B19+'0_PRIDEL'!B20)*K4</f>
        <v>726014.10182250571</v>
      </c>
      <c r="O5" s="224">
        <v>111</v>
      </c>
      <c r="P5" s="224">
        <v>113</v>
      </c>
      <c r="Q5" s="224">
        <v>114</v>
      </c>
      <c r="R5" s="224">
        <v>115</v>
      </c>
      <c r="S5" s="224">
        <v>117</v>
      </c>
      <c r="T5" s="224">
        <v>121</v>
      </c>
      <c r="U5" s="224">
        <v>131</v>
      </c>
      <c r="V5" s="224" t="s">
        <v>7</v>
      </c>
      <c r="W5" s="320"/>
      <c r="X5" s="320"/>
      <c r="Y5" s="320"/>
      <c r="Z5" s="320"/>
      <c r="AA5" s="320"/>
      <c r="AB5" s="320"/>
      <c r="AC5" s="320"/>
      <c r="AD5" s="320"/>
      <c r="AE5" s="320"/>
      <c r="AF5" s="320"/>
    </row>
    <row r="6" spans="1:32" s="1" customFormat="1" ht="15.6" x14ac:dyDescent="0.3">
      <c r="A6" s="226" t="s">
        <v>93</v>
      </c>
      <c r="B6" s="319">
        <f>O6</f>
        <v>4</v>
      </c>
      <c r="C6" s="319">
        <f t="shared" ref="B6:D8" si="0">P6</f>
        <v>2</v>
      </c>
      <c r="D6" s="319">
        <f>Q6</f>
        <v>7.1</v>
      </c>
      <c r="E6" s="618"/>
      <c r="F6" s="618"/>
      <c r="G6" s="618"/>
      <c r="H6" s="619"/>
      <c r="I6" s="599"/>
      <c r="J6" s="12" t="s">
        <v>182</v>
      </c>
      <c r="K6" s="121">
        <v>0.4</v>
      </c>
      <c r="O6" s="563">
        <v>4</v>
      </c>
      <c r="P6" s="563">
        <v>2</v>
      </c>
      <c r="Q6" s="563">
        <v>7.1</v>
      </c>
      <c r="R6" s="563">
        <v>0</v>
      </c>
      <c r="S6" s="563">
        <v>1.9</v>
      </c>
      <c r="T6" s="563">
        <v>0</v>
      </c>
      <c r="U6" s="563">
        <v>1</v>
      </c>
      <c r="V6" s="190">
        <f>SUM(O6:U6)</f>
        <v>16</v>
      </c>
      <c r="W6" s="226" t="s">
        <v>93</v>
      </c>
    </row>
    <row r="7" spans="1:32" s="1" customFormat="1" ht="15.6" x14ac:dyDescent="0.3">
      <c r="A7" s="226" t="s">
        <v>94</v>
      </c>
      <c r="B7" s="319">
        <f t="shared" si="0"/>
        <v>2</v>
      </c>
      <c r="C7" s="319">
        <f t="shared" si="0"/>
        <v>6.6</v>
      </c>
      <c r="D7" s="319">
        <f t="shared" si="0"/>
        <v>21.25</v>
      </c>
      <c r="E7" s="618"/>
      <c r="F7" s="618"/>
      <c r="G7" s="618"/>
      <c r="H7" s="619"/>
      <c r="I7" s="599"/>
      <c r="J7" s="254" t="s">
        <v>183</v>
      </c>
      <c r="K7" s="14">
        <f>K6*SUM(I24:I26)</f>
        <v>290405.64072900231</v>
      </c>
      <c r="O7" s="563">
        <v>2</v>
      </c>
      <c r="P7" s="563">
        <v>6.6</v>
      </c>
      <c r="Q7" s="563">
        <v>21.25</v>
      </c>
      <c r="R7" s="563">
        <v>3</v>
      </c>
      <c r="S7" s="563">
        <v>2.2999999999999998</v>
      </c>
      <c r="T7" s="563">
        <v>5.3</v>
      </c>
      <c r="U7" s="563">
        <v>2.75</v>
      </c>
      <c r="V7" s="190">
        <f>SUM(O7:U7)</f>
        <v>43.199999999999996</v>
      </c>
      <c r="W7" s="226" t="s">
        <v>94</v>
      </c>
    </row>
    <row r="8" spans="1:32" s="1" customFormat="1" ht="15.6" x14ac:dyDescent="0.3">
      <c r="A8" s="226" t="s">
        <v>95</v>
      </c>
      <c r="B8" s="319">
        <f t="shared" si="0"/>
        <v>0.7</v>
      </c>
      <c r="C8" s="319">
        <f t="shared" si="0"/>
        <v>8.6</v>
      </c>
      <c r="D8" s="319">
        <f t="shared" si="0"/>
        <v>16.25</v>
      </c>
      <c r="E8" s="618"/>
      <c r="F8" s="618"/>
      <c r="G8" s="618"/>
      <c r="H8" s="619"/>
      <c r="I8" s="599"/>
      <c r="J8" s="254" t="s">
        <v>184</v>
      </c>
      <c r="K8" s="14">
        <f>(1-K6)*SUM(I24:I26)</f>
        <v>435608.4610935034</v>
      </c>
      <c r="O8" s="563">
        <v>0.7</v>
      </c>
      <c r="P8" s="563">
        <v>8.6</v>
      </c>
      <c r="Q8" s="563">
        <v>16.25</v>
      </c>
      <c r="R8" s="563">
        <v>0.5</v>
      </c>
      <c r="S8" s="563">
        <v>3.75</v>
      </c>
      <c r="T8" s="563">
        <v>0.3</v>
      </c>
      <c r="U8" s="563">
        <v>3.2</v>
      </c>
      <c r="V8" s="190">
        <f>SUM(O8:U8)</f>
        <v>33.299999999999997</v>
      </c>
      <c r="W8" s="226" t="s">
        <v>95</v>
      </c>
    </row>
    <row r="9" spans="1:32" s="1" customFormat="1" ht="15.6" x14ac:dyDescent="0.3">
      <c r="A9" s="277"/>
      <c r="B9" s="27"/>
      <c r="O9" s="65">
        <f t="shared" ref="O9:U9" si="1">SUM(O6:O8)</f>
        <v>6.7</v>
      </c>
      <c r="P9" s="65">
        <f t="shared" si="1"/>
        <v>17.2</v>
      </c>
      <c r="Q9" s="65">
        <f t="shared" si="1"/>
        <v>44.6</v>
      </c>
      <c r="R9" s="65">
        <f t="shared" si="1"/>
        <v>3.5</v>
      </c>
      <c r="S9" s="65">
        <f t="shared" si="1"/>
        <v>7.9499999999999993</v>
      </c>
      <c r="T9" s="65">
        <f t="shared" si="1"/>
        <v>5.6</v>
      </c>
      <c r="U9" s="65">
        <f t="shared" si="1"/>
        <v>6.95</v>
      </c>
    </row>
    <row r="10" spans="1:32" s="1" customFormat="1" ht="16.8" x14ac:dyDescent="0.3">
      <c r="B10" s="49" t="s">
        <v>554</v>
      </c>
      <c r="C10" s="49"/>
      <c r="D10" s="49"/>
      <c r="E10" s="49"/>
      <c r="F10" s="49"/>
      <c r="G10" s="49"/>
      <c r="H10" s="49"/>
      <c r="I10" s="40"/>
      <c r="J10" s="40"/>
      <c r="K10" s="40"/>
      <c r="O10" s="1003" t="s">
        <v>274</v>
      </c>
      <c r="P10" s="1003"/>
      <c r="Q10" s="1003"/>
      <c r="R10" s="1003"/>
      <c r="S10" s="1003"/>
      <c r="T10" s="1003"/>
      <c r="U10" s="1003"/>
      <c r="V10" s="4"/>
    </row>
    <row r="11" spans="1:32" s="1" customFormat="1" ht="15.6" x14ac:dyDescent="0.3">
      <c r="B11" s="229">
        <v>40000</v>
      </c>
      <c r="C11" s="229">
        <v>35000</v>
      </c>
      <c r="D11" s="229">
        <v>30000</v>
      </c>
      <c r="E11" s="640">
        <v>20000</v>
      </c>
      <c r="F11" s="640">
        <v>17000</v>
      </c>
      <c r="G11" s="229"/>
      <c r="H11" s="229"/>
      <c r="I11" s="40"/>
      <c r="J11" s="40"/>
      <c r="K11" s="2" t="s">
        <v>268</v>
      </c>
      <c r="O11" s="224">
        <v>111</v>
      </c>
      <c r="P11" s="224">
        <v>113</v>
      </c>
      <c r="Q11" s="224">
        <v>114</v>
      </c>
      <c r="R11" s="224">
        <v>115</v>
      </c>
      <c r="S11" s="224">
        <v>117</v>
      </c>
      <c r="T11" s="224">
        <v>121</v>
      </c>
      <c r="U11" s="224">
        <v>131</v>
      </c>
      <c r="V11" s="224" t="s">
        <v>7</v>
      </c>
      <c r="W11" s="368"/>
    </row>
    <row r="12" spans="1:32" s="1" customFormat="1" ht="15.6" x14ac:dyDescent="0.3">
      <c r="A12" s="223" t="s">
        <v>4</v>
      </c>
      <c r="B12" s="224">
        <v>111</v>
      </c>
      <c r="C12" s="224">
        <v>113</v>
      </c>
      <c r="D12" s="224">
        <v>114</v>
      </c>
      <c r="E12" s="224">
        <v>115</v>
      </c>
      <c r="F12" s="224">
        <v>117</v>
      </c>
      <c r="G12" s="358"/>
      <c r="H12" s="358"/>
      <c r="I12" s="600"/>
      <c r="J12" s="2">
        <v>111</v>
      </c>
      <c r="K12" s="1" t="s">
        <v>263</v>
      </c>
      <c r="O12" s="563">
        <v>4</v>
      </c>
      <c r="P12" s="563">
        <v>2</v>
      </c>
      <c r="Q12" s="563">
        <v>8</v>
      </c>
      <c r="R12" s="563">
        <v>0</v>
      </c>
      <c r="S12" s="563">
        <v>2</v>
      </c>
      <c r="T12" s="563">
        <v>0</v>
      </c>
      <c r="U12" s="563">
        <v>1</v>
      </c>
      <c r="V12" s="190">
        <f>SUM(O12:U12)</f>
        <v>17</v>
      </c>
      <c r="W12" s="226" t="s">
        <v>93</v>
      </c>
    </row>
    <row r="13" spans="1:32" ht="15.6" x14ac:dyDescent="0.3">
      <c r="A13" s="226" t="s">
        <v>93</v>
      </c>
      <c r="B13" s="322">
        <f>B6*B$11</f>
        <v>160000</v>
      </c>
      <c r="C13" s="323">
        <f t="shared" ref="B13:D15" si="2">C6*C$11</f>
        <v>70000</v>
      </c>
      <c r="D13" s="323">
        <f t="shared" si="2"/>
        <v>213000</v>
      </c>
      <c r="E13" s="620"/>
      <c r="F13" s="621"/>
      <c r="G13" s="622"/>
      <c r="H13" s="623"/>
      <c r="I13" s="587"/>
      <c r="J13" s="2">
        <v>113</v>
      </c>
      <c r="K13" s="1" t="s">
        <v>264</v>
      </c>
      <c r="O13" s="563">
        <v>3</v>
      </c>
      <c r="P13" s="563">
        <v>8</v>
      </c>
      <c r="Q13" s="563">
        <v>27</v>
      </c>
      <c r="R13" s="563">
        <v>4</v>
      </c>
      <c r="S13" s="563">
        <v>4</v>
      </c>
      <c r="T13" s="563">
        <v>7</v>
      </c>
      <c r="U13" s="563">
        <v>3</v>
      </c>
      <c r="V13" s="190">
        <f>SUM(O13:U13)</f>
        <v>56</v>
      </c>
      <c r="W13" s="226" t="s">
        <v>94</v>
      </c>
    </row>
    <row r="14" spans="1:32" ht="15.6" x14ac:dyDescent="0.3">
      <c r="A14" s="226" t="s">
        <v>94</v>
      </c>
      <c r="B14" s="324">
        <f t="shared" si="2"/>
        <v>80000</v>
      </c>
      <c r="C14" s="325">
        <f t="shared" si="2"/>
        <v>231000</v>
      </c>
      <c r="D14" s="325">
        <f t="shared" si="2"/>
        <v>637500</v>
      </c>
      <c r="E14" s="624"/>
      <c r="F14" s="625"/>
      <c r="G14" s="622"/>
      <c r="H14" s="623"/>
      <c r="I14" s="587"/>
      <c r="J14" s="2">
        <v>114</v>
      </c>
      <c r="K14" s="1" t="s">
        <v>265</v>
      </c>
      <c r="O14" s="563">
        <v>3</v>
      </c>
      <c r="P14" s="563">
        <v>11</v>
      </c>
      <c r="Q14" s="563">
        <v>25</v>
      </c>
      <c r="R14" s="563">
        <v>1</v>
      </c>
      <c r="S14" s="563">
        <v>4</v>
      </c>
      <c r="T14" s="563">
        <v>1</v>
      </c>
      <c r="U14" s="563">
        <v>4</v>
      </c>
      <c r="V14" s="190">
        <f>SUM(O14:U14)</f>
        <v>49</v>
      </c>
      <c r="W14" s="226" t="s">
        <v>95</v>
      </c>
    </row>
    <row r="15" spans="1:32" ht="15.6" x14ac:dyDescent="0.3">
      <c r="A15" s="226" t="s">
        <v>95</v>
      </c>
      <c r="B15" s="326">
        <f t="shared" si="2"/>
        <v>28000</v>
      </c>
      <c r="C15" s="183">
        <f t="shared" si="2"/>
        <v>301000</v>
      </c>
      <c r="D15" s="183">
        <f t="shared" si="2"/>
        <v>487500</v>
      </c>
      <c r="E15" s="626"/>
      <c r="F15" s="627"/>
      <c r="G15" s="622"/>
      <c r="H15" s="623"/>
      <c r="I15" s="587"/>
      <c r="J15" s="2">
        <v>115</v>
      </c>
      <c r="K15" s="1" t="s">
        <v>266</v>
      </c>
      <c r="O15" s="562">
        <f t="shared" ref="O15:U15" si="3">SUM(O12:O14)</f>
        <v>10</v>
      </c>
      <c r="P15" s="562">
        <f t="shared" si="3"/>
        <v>21</v>
      </c>
      <c r="Q15" s="562">
        <f t="shared" si="3"/>
        <v>60</v>
      </c>
      <c r="R15" s="562">
        <f t="shared" si="3"/>
        <v>5</v>
      </c>
      <c r="S15" s="562">
        <f t="shared" si="3"/>
        <v>10</v>
      </c>
      <c r="T15" s="562">
        <f t="shared" si="3"/>
        <v>8</v>
      </c>
      <c r="U15" s="562">
        <f t="shared" si="3"/>
        <v>8</v>
      </c>
      <c r="V15" s="4"/>
    </row>
    <row r="16" spans="1:32" ht="15.6" x14ac:dyDescent="0.3">
      <c r="B16" s="14"/>
      <c r="C16" s="14"/>
      <c r="D16" s="14"/>
      <c r="E16" s="14"/>
      <c r="F16" s="1"/>
      <c r="G16" s="1"/>
      <c r="H16" s="1"/>
      <c r="I16" s="580"/>
      <c r="J16" s="2">
        <v>117</v>
      </c>
      <c r="K16" s="1" t="s">
        <v>267</v>
      </c>
      <c r="O16" s="48"/>
      <c r="P16" s="502"/>
      <c r="Q16" s="38"/>
      <c r="R16" s="38"/>
      <c r="S16" s="38"/>
      <c r="T16" s="38"/>
      <c r="U16" s="38"/>
      <c r="V16" s="47"/>
      <c r="W16" s="503"/>
      <c r="X16" s="48"/>
      <c r="Y16" s="48"/>
      <c r="Z16" s="48"/>
    </row>
    <row r="17" spans="1:26" ht="15.6" x14ac:dyDescent="0.3">
      <c r="A17" s="223" t="s">
        <v>4</v>
      </c>
      <c r="B17" s="224">
        <v>111</v>
      </c>
      <c r="C17" s="224">
        <v>113</v>
      </c>
      <c r="D17" s="224">
        <v>114</v>
      </c>
      <c r="E17" s="224">
        <v>115</v>
      </c>
      <c r="F17" s="224">
        <v>117</v>
      </c>
      <c r="G17" s="358"/>
      <c r="H17" s="358"/>
      <c r="I17" s="580"/>
      <c r="J17" s="2">
        <v>121</v>
      </c>
      <c r="K17" s="1" t="s">
        <v>321</v>
      </c>
      <c r="O17" s="854" t="s">
        <v>584</v>
      </c>
      <c r="P17" s="855"/>
      <c r="Q17" s="855"/>
      <c r="R17" s="855"/>
      <c r="S17" s="855"/>
      <c r="T17" s="855"/>
      <c r="U17" s="855"/>
      <c r="V17" s="504"/>
      <c r="W17" s="503"/>
      <c r="X17" s="48"/>
      <c r="Y17" s="48"/>
      <c r="Z17" s="48"/>
    </row>
    <row r="18" spans="1:26" ht="15.6" x14ac:dyDescent="0.3">
      <c r="A18" s="226" t="s">
        <v>93</v>
      </c>
      <c r="B18" s="327">
        <f>B13/SUM($B$13:$F$15)</f>
        <v>7.2463768115942032E-2</v>
      </c>
      <c r="C18" s="328">
        <f t="shared" ref="B18:D20" si="4">C13/SUM($B$13:$F$15)</f>
        <v>3.170289855072464E-2</v>
      </c>
      <c r="D18" s="328">
        <f t="shared" si="4"/>
        <v>9.6467391304347824E-2</v>
      </c>
      <c r="E18" s="628"/>
      <c r="F18" s="629"/>
      <c r="G18" s="622"/>
      <c r="H18" s="623"/>
      <c r="I18" s="587"/>
      <c r="J18" s="2">
        <v>131</v>
      </c>
      <c r="K18" s="1" t="s">
        <v>322</v>
      </c>
      <c r="O18" s="501"/>
      <c r="P18" s="501"/>
      <c r="Q18" s="501"/>
      <c r="R18" s="505"/>
      <c r="S18" s="505"/>
      <c r="T18" s="505"/>
      <c r="U18" s="505"/>
      <c r="V18" s="506"/>
      <c r="W18" s="507"/>
      <c r="X18" s="48"/>
      <c r="Y18" s="48"/>
      <c r="Z18" s="48"/>
    </row>
    <row r="19" spans="1:26" ht="15.6" x14ac:dyDescent="0.3">
      <c r="A19" s="226" t="s">
        <v>94</v>
      </c>
      <c r="B19" s="329">
        <f t="shared" si="4"/>
        <v>3.6231884057971016E-2</v>
      </c>
      <c r="C19" s="330">
        <f t="shared" si="4"/>
        <v>0.10461956521739131</v>
      </c>
      <c r="D19" s="330">
        <f t="shared" si="4"/>
        <v>0.28872282608695654</v>
      </c>
      <c r="E19" s="630"/>
      <c r="F19" s="631"/>
      <c r="G19" s="622"/>
      <c r="H19" s="623"/>
      <c r="I19" s="587"/>
      <c r="J19" s="1"/>
      <c r="K19" s="1"/>
      <c r="O19" s="501"/>
      <c r="P19" s="501"/>
      <c r="Q19" s="501"/>
      <c r="R19" s="505"/>
      <c r="S19" s="505"/>
      <c r="T19" s="505"/>
      <c r="U19" s="505"/>
      <c r="V19" s="506"/>
      <c r="W19" s="507"/>
      <c r="X19" s="48"/>
      <c r="Y19" s="48"/>
      <c r="Z19" s="48"/>
    </row>
    <row r="20" spans="1:26" ht="15.6" x14ac:dyDescent="0.3">
      <c r="A20" s="226" t="s">
        <v>95</v>
      </c>
      <c r="B20" s="331">
        <f t="shared" si="4"/>
        <v>1.2681159420289856E-2</v>
      </c>
      <c r="C20" s="332">
        <f t="shared" si="4"/>
        <v>0.13632246376811594</v>
      </c>
      <c r="D20" s="332">
        <f t="shared" si="4"/>
        <v>0.22078804347826086</v>
      </c>
      <c r="E20" s="632"/>
      <c r="F20" s="633"/>
      <c r="G20" s="622"/>
      <c r="H20" s="623"/>
      <c r="I20" s="587"/>
      <c r="J20" s="1"/>
      <c r="K20" s="1"/>
      <c r="O20" s="501"/>
      <c r="P20" s="501"/>
      <c r="Q20" s="501"/>
      <c r="R20" s="505"/>
      <c r="S20" s="505"/>
      <c r="T20" s="505"/>
      <c r="U20" s="505"/>
      <c r="V20" s="506"/>
      <c r="W20" s="507"/>
      <c r="X20" s="48"/>
      <c r="Y20" s="48"/>
      <c r="Z20" s="48"/>
    </row>
    <row r="21" spans="1:26" ht="15.6" x14ac:dyDescent="0.3">
      <c r="B21" s="1"/>
      <c r="C21" s="1"/>
      <c r="D21" s="1"/>
      <c r="E21" s="1"/>
      <c r="F21" s="1"/>
      <c r="G21" s="1"/>
      <c r="H21" s="1"/>
      <c r="I21" s="53"/>
      <c r="J21" s="1"/>
      <c r="K21" s="1"/>
      <c r="O21" s="508"/>
      <c r="P21" s="508"/>
      <c r="Q21" s="50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6.8" x14ac:dyDescent="0.3">
      <c r="B22" s="334" t="s">
        <v>256</v>
      </c>
      <c r="C22" s="334"/>
      <c r="D22" s="334"/>
      <c r="E22" s="334"/>
      <c r="F22" s="334"/>
      <c r="G22" s="359"/>
      <c r="H22" s="359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51" customHeight="1" thickBot="1" x14ac:dyDescent="0.3">
      <c r="A23" s="223" t="s">
        <v>4</v>
      </c>
      <c r="B23" s="224">
        <v>111</v>
      </c>
      <c r="C23" s="224">
        <v>113</v>
      </c>
      <c r="D23" s="224">
        <v>114</v>
      </c>
      <c r="E23" s="224">
        <v>115</v>
      </c>
      <c r="F23" s="224">
        <v>117</v>
      </c>
      <c r="G23" s="224"/>
      <c r="H23" s="224"/>
      <c r="I23" s="224" t="s">
        <v>257</v>
      </c>
      <c r="J23" s="693" t="s">
        <v>258</v>
      </c>
      <c r="K23" s="693" t="s">
        <v>259</v>
      </c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6" x14ac:dyDescent="0.3">
      <c r="A24" s="226" t="s">
        <v>93</v>
      </c>
      <c r="B24" s="335">
        <f t="shared" ref="B24:D26" si="5">B18*$K$5</f>
        <v>52609.717523369982</v>
      </c>
      <c r="C24" s="336">
        <f t="shared" si="5"/>
        <v>23016.751416474366</v>
      </c>
      <c r="D24" s="336">
        <f t="shared" si="5"/>
        <v>70036.68645298628</v>
      </c>
      <c r="E24" s="634"/>
      <c r="F24" s="635"/>
      <c r="G24" s="622"/>
      <c r="H24" s="622"/>
      <c r="I24" s="691">
        <f>SUM(B24:F24)</f>
        <v>145663.15539283061</v>
      </c>
      <c r="J24" s="694">
        <f>I24*$K$6</f>
        <v>58265.262157132245</v>
      </c>
      <c r="K24" s="695">
        <f>I24*(1-$K$6)</f>
        <v>87397.893235698357</v>
      </c>
      <c r="L24" s="354"/>
      <c r="O24"/>
      <c r="P24"/>
      <c r="Q24"/>
    </row>
    <row r="25" spans="1:26" ht="15.6" x14ac:dyDescent="0.3">
      <c r="A25" s="226" t="s">
        <v>94</v>
      </c>
      <c r="B25" s="337">
        <f t="shared" si="5"/>
        <v>26304.858761684991</v>
      </c>
      <c r="C25" s="231">
        <f t="shared" si="5"/>
        <v>75955.279674365418</v>
      </c>
      <c r="D25" s="231">
        <f t="shared" si="5"/>
        <v>209616.84325717727</v>
      </c>
      <c r="E25" s="636"/>
      <c r="F25" s="637"/>
      <c r="G25" s="622"/>
      <c r="H25" s="622"/>
      <c r="I25" s="116">
        <f>SUM(B25:F25)</f>
        <v>311876.98169322766</v>
      </c>
      <c r="J25" s="696">
        <f>I25*$K$6</f>
        <v>124750.79267729107</v>
      </c>
      <c r="K25" s="697">
        <f>I25*(1-$K$6)</f>
        <v>187126.1890159366</v>
      </c>
      <c r="L25" s="354"/>
    </row>
    <row r="26" spans="1:26" ht="16.2" thickBot="1" x14ac:dyDescent="0.35">
      <c r="A26" s="226" t="s">
        <v>95</v>
      </c>
      <c r="B26" s="338">
        <f t="shared" si="5"/>
        <v>9206.7005665897468</v>
      </c>
      <c r="C26" s="339">
        <f t="shared" si="5"/>
        <v>98972.031090839766</v>
      </c>
      <c r="D26" s="339">
        <f t="shared" si="5"/>
        <v>160295.2330790179</v>
      </c>
      <c r="E26" s="638"/>
      <c r="F26" s="639"/>
      <c r="G26" s="622"/>
      <c r="H26" s="622"/>
      <c r="I26" s="692">
        <f>SUM(B26:F26)</f>
        <v>268473.96473644744</v>
      </c>
      <c r="J26" s="698">
        <f>I26*$K$6</f>
        <v>107389.58589457898</v>
      </c>
      <c r="K26" s="699">
        <f>I26*(1-$K$6)</f>
        <v>161084.37884186846</v>
      </c>
      <c r="L26" s="354"/>
    </row>
    <row r="27" spans="1:26" ht="17.399999999999999" thickBot="1" x14ac:dyDescent="0.35">
      <c r="B27" s="12"/>
      <c r="C27" s="12"/>
      <c r="D27" s="12"/>
      <c r="E27" s="12"/>
      <c r="F27" s="12"/>
      <c r="G27" s="12"/>
      <c r="H27" s="12"/>
      <c r="I27" s="340">
        <f>SUM(I24:I26)</f>
        <v>726014.10182250571</v>
      </c>
      <c r="J27" s="690">
        <f>SUM(J24:J26)</f>
        <v>290405.64072900231</v>
      </c>
      <c r="K27" s="690">
        <f>SUM(K24:K26)</f>
        <v>435608.4610935034</v>
      </c>
    </row>
    <row r="28" spans="1:26" x14ac:dyDescent="0.25">
      <c r="I28" s="642" t="s">
        <v>335</v>
      </c>
      <c r="J28" s="641">
        <f>J27-K7</f>
        <v>0</v>
      </c>
      <c r="K28" s="641">
        <f>K27-K8</f>
        <v>0</v>
      </c>
    </row>
  </sheetData>
  <mergeCells count="2">
    <mergeCell ref="O4:U4"/>
    <mergeCell ref="O10:U10"/>
  </mergeCells>
  <printOptions horizontalCentered="1" gridLines="1"/>
  <pageMargins left="0" right="0" top="1.3779527559055118" bottom="0" header="0.70866141732283472" footer="0.31496062992125984"/>
  <pageSetup paperSize="9" scale="82" orientation="landscape" r:id="rId1"/>
  <headerFooter>
    <oddHeader>&amp;R&amp;Z&amp;F
List: 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413"/>
  <sheetViews>
    <sheetView zoomScaleNormal="100" workbookViewId="0"/>
  </sheetViews>
  <sheetFormatPr defaultColWidth="9.109375" defaultRowHeight="15.6" x14ac:dyDescent="0.3"/>
  <cols>
    <col min="1" max="1" width="45.6640625" style="1" customWidth="1"/>
    <col min="2" max="2" width="17.109375" style="1" customWidth="1"/>
    <col min="3" max="3" width="19.44140625" style="1" bestFit="1" customWidth="1"/>
    <col min="4" max="4" width="13.88671875" style="1" customWidth="1"/>
    <col min="5" max="5" width="13.6640625" style="1" customWidth="1"/>
    <col min="6" max="6" width="21.88671875" style="1" bestFit="1" customWidth="1"/>
    <col min="7" max="7" width="12.88671875" style="1" customWidth="1"/>
    <col min="8" max="8" width="17.6640625" style="1" customWidth="1"/>
    <col min="9" max="9" width="13.88671875" style="24" bestFit="1" customWidth="1"/>
    <col min="10" max="10" width="14.5546875" style="1" bestFit="1" customWidth="1"/>
    <col min="11" max="11" width="15.44140625" style="1" customWidth="1"/>
    <col min="12" max="12" width="14.6640625" style="1" customWidth="1"/>
    <col min="13" max="13" width="9.109375" style="1"/>
    <col min="14" max="14" width="15.44140625" style="1" customWidth="1"/>
    <col min="15" max="15" width="12" style="1" customWidth="1"/>
    <col min="16" max="16384" width="9.109375" style="1"/>
  </cols>
  <sheetData>
    <row r="1" spans="1:12" x14ac:dyDescent="0.3">
      <c r="A1" s="859" t="s">
        <v>596</v>
      </c>
      <c r="B1" s="119"/>
      <c r="C1" s="13"/>
      <c r="D1" s="27"/>
      <c r="H1" s="122"/>
      <c r="I1" s="20"/>
      <c r="J1" s="27"/>
      <c r="K1" s="22"/>
      <c r="L1" s="27"/>
    </row>
    <row r="2" spans="1:12" x14ac:dyDescent="0.3">
      <c r="A2" s="27" t="s">
        <v>160</v>
      </c>
      <c r="B2" s="26"/>
      <c r="C2" s="123" t="s">
        <v>149</v>
      </c>
      <c r="D2" s="124" t="s">
        <v>24</v>
      </c>
      <c r="E2" s="125">
        <v>1.2</v>
      </c>
      <c r="F2" s="126">
        <v>1</v>
      </c>
      <c r="G2" s="126">
        <v>0.8</v>
      </c>
      <c r="H2" s="122"/>
      <c r="I2" s="20"/>
      <c r="J2" s="27"/>
      <c r="K2" s="22"/>
      <c r="L2" s="27"/>
    </row>
    <row r="3" spans="1:12" x14ac:dyDescent="0.3">
      <c r="A3" s="127" t="s">
        <v>161</v>
      </c>
      <c r="B3" s="26"/>
      <c r="C3" s="123" t="s">
        <v>150</v>
      </c>
      <c r="D3" s="124" t="s">
        <v>25</v>
      </c>
      <c r="E3" s="125">
        <v>1.2</v>
      </c>
      <c r="F3" s="128">
        <v>1</v>
      </c>
      <c r="G3" s="128">
        <v>0.8</v>
      </c>
      <c r="H3" s="122"/>
      <c r="I3" s="20"/>
      <c r="J3" s="27"/>
      <c r="K3" s="22"/>
      <c r="L3" s="27"/>
    </row>
    <row r="4" spans="1:12" x14ac:dyDescent="0.3">
      <c r="A4" s="27"/>
      <c r="B4" s="26"/>
      <c r="C4" s="129"/>
      <c r="D4" s="124"/>
      <c r="E4" s="125"/>
      <c r="F4" s="125"/>
      <c r="G4" s="125"/>
      <c r="H4" s="122" t="s">
        <v>96</v>
      </c>
      <c r="I4" s="20"/>
      <c r="J4" s="27"/>
      <c r="K4" s="22"/>
      <c r="L4" s="27"/>
    </row>
    <row r="5" spans="1:12" ht="63.75" customHeight="1" x14ac:dyDescent="0.3">
      <c r="A5" s="130" t="s">
        <v>3</v>
      </c>
      <c r="B5" s="131" t="s">
        <v>42</v>
      </c>
      <c r="C5" s="132" t="s">
        <v>43</v>
      </c>
      <c r="D5" s="133" t="s">
        <v>41</v>
      </c>
      <c r="E5" s="134" t="s">
        <v>64</v>
      </c>
      <c r="F5" s="134" t="s">
        <v>65</v>
      </c>
      <c r="G5" s="134" t="s">
        <v>66</v>
      </c>
      <c r="H5" s="134" t="s">
        <v>63</v>
      </c>
      <c r="I5" s="135"/>
      <c r="J5" s="118"/>
      <c r="K5" s="22"/>
      <c r="L5" s="118"/>
    </row>
    <row r="6" spans="1:12" x14ac:dyDescent="0.3">
      <c r="A6" s="19" t="s">
        <v>18</v>
      </c>
      <c r="B6" s="85"/>
      <c r="C6" s="13"/>
      <c r="D6" s="26"/>
      <c r="E6" s="122"/>
      <c r="F6" s="122"/>
      <c r="G6" s="122"/>
      <c r="H6" s="122"/>
      <c r="I6" s="22"/>
      <c r="J6" s="27"/>
      <c r="K6" s="22"/>
      <c r="L6" s="27"/>
    </row>
    <row r="7" spans="1:12" ht="15.75" customHeight="1" x14ac:dyDescent="0.3">
      <c r="A7" s="27" t="s">
        <v>597</v>
      </c>
      <c r="B7" s="26">
        <v>14</v>
      </c>
      <c r="C7" s="13">
        <v>28</v>
      </c>
      <c r="D7" s="860">
        <v>5</v>
      </c>
      <c r="E7" s="122">
        <v>16.8</v>
      </c>
      <c r="F7" s="136">
        <v>56</v>
      </c>
      <c r="G7" s="136">
        <v>67.2</v>
      </c>
      <c r="H7" s="125">
        <v>140</v>
      </c>
      <c r="I7" s="13" t="s">
        <v>30</v>
      </c>
      <c r="J7" s="27"/>
      <c r="K7" s="13"/>
      <c r="L7" s="27"/>
    </row>
    <row r="8" spans="1:12" ht="15.75" customHeight="1" x14ac:dyDescent="0.3">
      <c r="A8" s="127" t="s">
        <v>598</v>
      </c>
      <c r="B8" s="26">
        <v>28</v>
      </c>
      <c r="C8" s="13">
        <v>28</v>
      </c>
      <c r="D8" s="860">
        <v>5</v>
      </c>
      <c r="E8" s="122">
        <v>33.6</v>
      </c>
      <c r="F8" s="136">
        <v>56</v>
      </c>
      <c r="G8" s="136">
        <v>67.2</v>
      </c>
      <c r="H8" s="125">
        <v>156.80000000000001</v>
      </c>
      <c r="I8" s="13" t="s">
        <v>30</v>
      </c>
      <c r="J8" s="27"/>
      <c r="K8" s="13"/>
      <c r="L8" s="27"/>
    </row>
    <row r="9" spans="1:12" ht="15.75" customHeight="1" thickBot="1" x14ac:dyDescent="0.35">
      <c r="A9" s="127" t="s">
        <v>599</v>
      </c>
      <c r="B9" s="26">
        <v>14</v>
      </c>
      <c r="C9" s="13">
        <v>14</v>
      </c>
      <c r="D9" s="860">
        <v>3</v>
      </c>
      <c r="E9" s="122">
        <v>16.8</v>
      </c>
      <c r="F9" s="136">
        <v>28</v>
      </c>
      <c r="G9" s="136">
        <v>11.200000000000001</v>
      </c>
      <c r="H9" s="125">
        <v>56</v>
      </c>
      <c r="I9" s="13" t="s">
        <v>30</v>
      </c>
      <c r="J9" s="27"/>
      <c r="K9" s="13"/>
      <c r="L9" s="27"/>
    </row>
    <row r="10" spans="1:12" ht="15.75" customHeight="1" thickBot="1" x14ac:dyDescent="0.35">
      <c r="A10" s="19" t="s">
        <v>19</v>
      </c>
      <c r="B10" s="85"/>
      <c r="C10" s="13"/>
      <c r="D10" s="26"/>
      <c r="E10" s="122"/>
      <c r="G10" s="122"/>
      <c r="H10" s="137">
        <v>352.8</v>
      </c>
      <c r="I10" s="13"/>
      <c r="J10" s="27"/>
      <c r="K10" s="22"/>
      <c r="L10" s="27"/>
    </row>
    <row r="11" spans="1:12" ht="15.75" customHeight="1" x14ac:dyDescent="0.3">
      <c r="A11" s="27" t="s">
        <v>600</v>
      </c>
      <c r="B11" s="26">
        <v>28</v>
      </c>
      <c r="C11" s="13">
        <v>28</v>
      </c>
      <c r="D11" s="860">
        <v>4</v>
      </c>
      <c r="E11" s="122">
        <v>33.6</v>
      </c>
      <c r="F11" s="136">
        <v>56</v>
      </c>
      <c r="G11" s="136">
        <v>44.800000000000004</v>
      </c>
      <c r="H11" s="125">
        <v>134.4</v>
      </c>
      <c r="I11" s="13" t="s">
        <v>30</v>
      </c>
      <c r="J11" s="27"/>
      <c r="K11" s="13"/>
      <c r="L11" s="27"/>
    </row>
    <row r="12" spans="1:12" ht="15.75" customHeight="1" x14ac:dyDescent="0.3">
      <c r="A12" s="27" t="s">
        <v>601</v>
      </c>
      <c r="B12" s="26">
        <v>28</v>
      </c>
      <c r="C12" s="13">
        <v>28</v>
      </c>
      <c r="D12" s="860">
        <v>2</v>
      </c>
      <c r="E12" s="122">
        <v>33.6</v>
      </c>
      <c r="F12" s="136">
        <v>56</v>
      </c>
      <c r="G12" s="136">
        <v>0</v>
      </c>
      <c r="H12" s="125">
        <v>89.6</v>
      </c>
      <c r="I12" s="13" t="s">
        <v>30</v>
      </c>
      <c r="J12" s="27"/>
      <c r="K12" s="13"/>
      <c r="L12" s="27"/>
    </row>
    <row r="13" spans="1:12" x14ac:dyDescent="0.3">
      <c r="A13" s="127" t="s">
        <v>602</v>
      </c>
      <c r="B13" s="26">
        <v>28</v>
      </c>
      <c r="C13" s="13">
        <v>28</v>
      </c>
      <c r="D13" s="860">
        <v>2</v>
      </c>
      <c r="E13" s="122">
        <v>33.6</v>
      </c>
      <c r="F13" s="136">
        <v>56</v>
      </c>
      <c r="G13" s="136">
        <v>0</v>
      </c>
      <c r="H13" s="125">
        <v>89.6</v>
      </c>
      <c r="I13" s="13" t="s">
        <v>30</v>
      </c>
      <c r="J13" s="27"/>
      <c r="K13" s="13"/>
      <c r="L13" s="27"/>
    </row>
    <row r="14" spans="1:12" x14ac:dyDescent="0.3">
      <c r="A14" s="127" t="s">
        <v>603</v>
      </c>
      <c r="B14" s="26">
        <v>28</v>
      </c>
      <c r="C14" s="13">
        <v>28</v>
      </c>
      <c r="D14" s="860">
        <v>1</v>
      </c>
      <c r="E14" s="122">
        <v>33.6</v>
      </c>
      <c r="F14" s="136">
        <v>28</v>
      </c>
      <c r="G14" s="136">
        <v>0</v>
      </c>
      <c r="H14" s="125">
        <v>61.6</v>
      </c>
      <c r="I14" s="13" t="s">
        <v>30</v>
      </c>
      <c r="J14" s="27"/>
      <c r="K14" s="13"/>
      <c r="L14" s="27"/>
    </row>
    <row r="15" spans="1:12" x14ac:dyDescent="0.3">
      <c r="A15" s="127" t="s">
        <v>604</v>
      </c>
      <c r="B15" s="26">
        <v>14</v>
      </c>
      <c r="C15" s="13">
        <v>14</v>
      </c>
      <c r="D15" s="860">
        <v>2</v>
      </c>
      <c r="E15" s="122">
        <v>16.8</v>
      </c>
      <c r="F15" s="136">
        <v>28</v>
      </c>
      <c r="G15" s="136">
        <v>0</v>
      </c>
      <c r="H15" s="125">
        <v>44.8</v>
      </c>
      <c r="I15" s="13" t="s">
        <v>30</v>
      </c>
      <c r="J15" s="27"/>
      <c r="K15" s="13"/>
      <c r="L15" s="27"/>
    </row>
    <row r="16" spans="1:12" x14ac:dyDescent="0.3">
      <c r="A16" s="127" t="s">
        <v>520</v>
      </c>
      <c r="B16" s="26">
        <v>28</v>
      </c>
      <c r="C16" s="13">
        <v>28</v>
      </c>
      <c r="D16" s="860">
        <v>1</v>
      </c>
      <c r="E16" s="122">
        <v>33.6</v>
      </c>
      <c r="F16" s="136">
        <v>28</v>
      </c>
      <c r="G16" s="136">
        <v>0</v>
      </c>
      <c r="H16" s="125">
        <v>61.6</v>
      </c>
      <c r="I16" s="13" t="s">
        <v>30</v>
      </c>
      <c r="J16" s="27"/>
      <c r="K16" s="13"/>
      <c r="L16" s="27"/>
    </row>
    <row r="17" spans="1:13" x14ac:dyDescent="0.3">
      <c r="A17" s="127" t="s">
        <v>605</v>
      </c>
      <c r="B17" s="139">
        <v>14</v>
      </c>
      <c r="C17" s="139">
        <v>14</v>
      </c>
      <c r="D17" s="860">
        <v>7</v>
      </c>
      <c r="E17" s="122">
        <v>16.8</v>
      </c>
      <c r="F17" s="136">
        <v>28</v>
      </c>
      <c r="G17" s="136">
        <v>56</v>
      </c>
      <c r="H17" s="125">
        <v>100.8</v>
      </c>
      <c r="I17" s="13" t="s">
        <v>30</v>
      </c>
      <c r="J17" s="27"/>
      <c r="K17" s="13"/>
      <c r="L17" s="27"/>
    </row>
    <row r="18" spans="1:13" ht="16.2" thickBot="1" x14ac:dyDescent="0.35">
      <c r="A18" s="127" t="s">
        <v>606</v>
      </c>
      <c r="B18" s="139">
        <v>7</v>
      </c>
      <c r="C18" s="139">
        <v>0</v>
      </c>
      <c r="D18" s="860">
        <v>1</v>
      </c>
      <c r="E18" s="122">
        <v>8.4</v>
      </c>
      <c r="F18" s="136">
        <v>0</v>
      </c>
      <c r="G18" s="136">
        <v>0</v>
      </c>
      <c r="H18" s="125">
        <v>8.4</v>
      </c>
      <c r="I18" s="13" t="s">
        <v>30</v>
      </c>
      <c r="J18" s="27"/>
      <c r="K18" s="13"/>
      <c r="L18" s="27"/>
    </row>
    <row r="19" spans="1:13" ht="16.2" thickBot="1" x14ac:dyDescent="0.35">
      <c r="A19" s="19" t="s">
        <v>20</v>
      </c>
      <c r="B19" s="26"/>
      <c r="C19" s="13"/>
      <c r="D19" s="26"/>
      <c r="E19" s="125"/>
      <c r="G19" s="125"/>
      <c r="H19" s="137">
        <v>590.80000000000007</v>
      </c>
      <c r="I19" s="13"/>
      <c r="J19" s="27"/>
      <c r="K19" s="13"/>
      <c r="L19" s="27"/>
    </row>
    <row r="20" spans="1:13" x14ac:dyDescent="0.3">
      <c r="A20" s="27" t="s">
        <v>607</v>
      </c>
      <c r="B20" s="26">
        <v>28</v>
      </c>
      <c r="C20" s="13">
        <v>28</v>
      </c>
      <c r="D20" s="860">
        <v>1</v>
      </c>
      <c r="E20" s="122">
        <v>33.6</v>
      </c>
      <c r="F20" s="136">
        <v>28</v>
      </c>
      <c r="G20" s="136">
        <v>0</v>
      </c>
      <c r="H20" s="125">
        <v>61.6</v>
      </c>
      <c r="I20" s="13" t="s">
        <v>30</v>
      </c>
      <c r="J20" s="27"/>
      <c r="K20" s="13"/>
      <c r="L20" s="27"/>
    </row>
    <row r="21" spans="1:13" x14ac:dyDescent="0.3">
      <c r="A21" s="27" t="s">
        <v>608</v>
      </c>
      <c r="B21" s="26">
        <v>0</v>
      </c>
      <c r="C21" s="13">
        <v>20</v>
      </c>
      <c r="D21" s="860">
        <v>2</v>
      </c>
      <c r="E21" s="122">
        <v>0</v>
      </c>
      <c r="F21" s="136">
        <v>40</v>
      </c>
      <c r="G21" s="136">
        <v>0</v>
      </c>
      <c r="H21" s="125">
        <v>40</v>
      </c>
      <c r="I21" s="13" t="s">
        <v>30</v>
      </c>
      <c r="J21" s="27"/>
      <c r="K21" s="13"/>
      <c r="L21" s="27"/>
      <c r="M21" s="27"/>
    </row>
    <row r="22" spans="1:13" s="27" customFormat="1" x14ac:dyDescent="0.3">
      <c r="A22" s="27" t="s">
        <v>609</v>
      </c>
      <c r="B22" s="26">
        <v>28</v>
      </c>
      <c r="C22" s="13">
        <v>28</v>
      </c>
      <c r="D22" s="860">
        <v>1</v>
      </c>
      <c r="E22" s="122">
        <v>33.6</v>
      </c>
      <c r="F22" s="122">
        <v>28</v>
      </c>
      <c r="G22" s="122">
        <v>0</v>
      </c>
      <c r="H22" s="125">
        <v>61.6</v>
      </c>
      <c r="I22" s="13" t="s">
        <v>30</v>
      </c>
      <c r="K22" s="13"/>
    </row>
    <row r="23" spans="1:13" x14ac:dyDescent="0.3">
      <c r="A23" s="27" t="s">
        <v>610</v>
      </c>
      <c r="B23" s="26">
        <v>20</v>
      </c>
      <c r="C23" s="13">
        <v>20</v>
      </c>
      <c r="D23" s="860">
        <v>2</v>
      </c>
      <c r="E23" s="122">
        <v>24</v>
      </c>
      <c r="F23" s="136">
        <v>40</v>
      </c>
      <c r="G23" s="136">
        <v>0</v>
      </c>
      <c r="H23" s="125">
        <v>64</v>
      </c>
      <c r="I23" s="13" t="s">
        <v>30</v>
      </c>
      <c r="J23" s="27"/>
      <c r="K23" s="13"/>
      <c r="L23" s="27"/>
    </row>
    <row r="24" spans="1:13" x14ac:dyDescent="0.3">
      <c r="A24" s="27" t="s">
        <v>611</v>
      </c>
      <c r="B24" s="26">
        <v>28</v>
      </c>
      <c r="C24" s="13">
        <v>28</v>
      </c>
      <c r="D24" s="860">
        <v>1</v>
      </c>
      <c r="E24" s="122">
        <v>33.6</v>
      </c>
      <c r="F24" s="136">
        <v>28</v>
      </c>
      <c r="G24" s="136">
        <v>0</v>
      </c>
      <c r="H24" s="125">
        <v>61.6</v>
      </c>
      <c r="I24" s="13" t="s">
        <v>30</v>
      </c>
      <c r="J24" s="27"/>
      <c r="K24" s="13"/>
      <c r="L24" s="27"/>
    </row>
    <row r="25" spans="1:13" x14ac:dyDescent="0.3">
      <c r="A25" s="27" t="s">
        <v>612</v>
      </c>
      <c r="B25" s="26">
        <v>28</v>
      </c>
      <c r="C25" s="13">
        <v>28</v>
      </c>
      <c r="D25" s="860">
        <v>1</v>
      </c>
      <c r="E25" s="122">
        <v>33.6</v>
      </c>
      <c r="F25" s="136">
        <v>28</v>
      </c>
      <c r="G25" s="136">
        <v>0</v>
      </c>
      <c r="H25" s="125">
        <v>61.6</v>
      </c>
      <c r="I25" s="13" t="s">
        <v>30</v>
      </c>
      <c r="J25" s="27"/>
      <c r="K25" s="13"/>
      <c r="L25" s="27"/>
    </row>
    <row r="26" spans="1:13" x14ac:dyDescent="0.3">
      <c r="A26" s="27" t="s">
        <v>613</v>
      </c>
      <c r="B26" s="26">
        <v>28</v>
      </c>
      <c r="C26" s="13">
        <v>28</v>
      </c>
      <c r="D26" s="860">
        <v>1</v>
      </c>
      <c r="E26" s="122">
        <v>33.6</v>
      </c>
      <c r="F26" s="136">
        <v>28</v>
      </c>
      <c r="G26" s="136">
        <v>0</v>
      </c>
      <c r="H26" s="125">
        <v>61.6</v>
      </c>
      <c r="I26" s="13" t="s">
        <v>30</v>
      </c>
      <c r="J26" s="27"/>
      <c r="K26" s="13"/>
      <c r="L26" s="27"/>
    </row>
    <row r="27" spans="1:13" x14ac:dyDescent="0.3">
      <c r="A27" s="27" t="s">
        <v>614</v>
      </c>
      <c r="B27" s="26">
        <v>28</v>
      </c>
      <c r="C27" s="13">
        <v>28</v>
      </c>
      <c r="D27" s="860">
        <v>2</v>
      </c>
      <c r="E27" s="122">
        <v>33.6</v>
      </c>
      <c r="F27" s="136">
        <v>56</v>
      </c>
      <c r="G27" s="136">
        <v>0</v>
      </c>
      <c r="H27" s="125">
        <v>89.6</v>
      </c>
      <c r="I27" s="13" t="s">
        <v>30</v>
      </c>
      <c r="J27" s="27"/>
      <c r="K27" s="13"/>
      <c r="L27" s="27"/>
    </row>
    <row r="28" spans="1:13" x14ac:dyDescent="0.3">
      <c r="A28" s="27" t="s">
        <v>615</v>
      </c>
      <c r="B28" s="26">
        <v>20</v>
      </c>
      <c r="C28" s="13">
        <v>20</v>
      </c>
      <c r="D28" s="860">
        <v>2</v>
      </c>
      <c r="E28" s="122">
        <v>24</v>
      </c>
      <c r="F28" s="136">
        <v>40</v>
      </c>
      <c r="G28" s="136">
        <v>0</v>
      </c>
      <c r="H28" s="125">
        <v>64</v>
      </c>
      <c r="I28" s="13" t="s">
        <v>30</v>
      </c>
      <c r="J28" s="27"/>
      <c r="K28" s="13"/>
      <c r="L28" s="27"/>
    </row>
    <row r="29" spans="1:13" x14ac:dyDescent="0.3">
      <c r="A29" s="127" t="s">
        <v>616</v>
      </c>
      <c r="B29" s="26">
        <v>0</v>
      </c>
      <c r="C29" s="13">
        <v>20</v>
      </c>
      <c r="D29" s="860">
        <v>3</v>
      </c>
      <c r="E29" s="122">
        <v>0</v>
      </c>
      <c r="F29" s="136">
        <v>40</v>
      </c>
      <c r="G29" s="136">
        <v>16</v>
      </c>
      <c r="H29" s="125">
        <v>56</v>
      </c>
      <c r="I29" s="13" t="s">
        <v>30</v>
      </c>
      <c r="J29" s="27"/>
      <c r="K29" s="13"/>
      <c r="L29" s="27"/>
      <c r="M29" s="27"/>
    </row>
    <row r="30" spans="1:13" x14ac:dyDescent="0.3">
      <c r="A30" s="127" t="s">
        <v>617</v>
      </c>
      <c r="B30" s="26">
        <v>20</v>
      </c>
      <c r="C30" s="13">
        <v>20</v>
      </c>
      <c r="D30" s="860">
        <v>2</v>
      </c>
      <c r="E30" s="122">
        <v>24</v>
      </c>
      <c r="F30" s="136">
        <v>40</v>
      </c>
      <c r="G30" s="136">
        <v>0</v>
      </c>
      <c r="H30" s="125">
        <v>64</v>
      </c>
      <c r="I30" s="13" t="s">
        <v>30</v>
      </c>
      <c r="J30" s="27"/>
      <c r="K30" s="13"/>
      <c r="L30" s="27"/>
    </row>
    <row r="31" spans="1:13" x14ac:dyDescent="0.3">
      <c r="A31" s="127" t="s">
        <v>618</v>
      </c>
      <c r="B31" s="26">
        <v>20</v>
      </c>
      <c r="C31" s="13">
        <v>20</v>
      </c>
      <c r="D31" s="860">
        <v>1</v>
      </c>
      <c r="E31" s="122">
        <v>24</v>
      </c>
      <c r="F31" s="136">
        <v>20</v>
      </c>
      <c r="G31" s="136">
        <v>0</v>
      </c>
      <c r="H31" s="125">
        <v>44</v>
      </c>
      <c r="I31" s="13" t="s">
        <v>30</v>
      </c>
      <c r="J31" s="27"/>
      <c r="K31" s="13"/>
      <c r="L31" s="27"/>
    </row>
    <row r="32" spans="1:13" x14ac:dyDescent="0.3">
      <c r="A32" s="127" t="s">
        <v>619</v>
      </c>
      <c r="B32" s="26">
        <v>20</v>
      </c>
      <c r="C32" s="13">
        <v>20</v>
      </c>
      <c r="D32" s="860">
        <v>1</v>
      </c>
      <c r="E32" s="122">
        <v>24</v>
      </c>
      <c r="F32" s="136">
        <v>20</v>
      </c>
      <c r="G32" s="136">
        <v>0</v>
      </c>
      <c r="H32" s="125">
        <v>44</v>
      </c>
      <c r="I32" s="13" t="s">
        <v>30</v>
      </c>
      <c r="J32" s="27"/>
      <c r="K32" s="13"/>
      <c r="L32" s="27"/>
    </row>
    <row r="33" spans="1:13" x14ac:dyDescent="0.3">
      <c r="A33" s="127" t="s">
        <v>620</v>
      </c>
      <c r="B33" s="26">
        <v>10</v>
      </c>
      <c r="C33" s="13">
        <v>20</v>
      </c>
      <c r="D33" s="860">
        <v>1</v>
      </c>
      <c r="E33" s="122">
        <v>12</v>
      </c>
      <c r="F33" s="136">
        <v>20</v>
      </c>
      <c r="G33" s="136">
        <v>0</v>
      </c>
      <c r="H33" s="125">
        <v>32</v>
      </c>
      <c r="I33" s="13" t="s">
        <v>30</v>
      </c>
      <c r="J33" s="27"/>
      <c r="K33" s="13"/>
      <c r="L33" s="27"/>
    </row>
    <row r="34" spans="1:13" x14ac:dyDescent="0.3">
      <c r="A34" s="127" t="s">
        <v>621</v>
      </c>
      <c r="B34" s="26">
        <v>20</v>
      </c>
      <c r="C34" s="13">
        <v>20</v>
      </c>
      <c r="D34" s="860">
        <v>1</v>
      </c>
      <c r="E34" s="122">
        <v>24</v>
      </c>
      <c r="F34" s="136">
        <v>20</v>
      </c>
      <c r="G34" s="136">
        <v>0</v>
      </c>
      <c r="H34" s="125">
        <v>44</v>
      </c>
      <c r="I34" s="13" t="s">
        <v>30</v>
      </c>
      <c r="J34" s="27"/>
      <c r="K34" s="13"/>
      <c r="L34" s="27"/>
    </row>
    <row r="35" spans="1:13" x14ac:dyDescent="0.3">
      <c r="A35" s="127" t="s">
        <v>622</v>
      </c>
      <c r="B35" s="26">
        <v>40</v>
      </c>
      <c r="C35" s="13">
        <v>20</v>
      </c>
      <c r="D35" s="860">
        <v>3</v>
      </c>
      <c r="E35" s="122">
        <v>48</v>
      </c>
      <c r="F35" s="136">
        <v>40</v>
      </c>
      <c r="G35" s="136">
        <v>16</v>
      </c>
      <c r="H35" s="125">
        <v>104</v>
      </c>
      <c r="I35" s="13" t="s">
        <v>30</v>
      </c>
      <c r="J35" s="27"/>
      <c r="K35" s="13"/>
      <c r="L35" s="27"/>
    </row>
    <row r="36" spans="1:13" x14ac:dyDescent="0.3">
      <c r="A36" s="127" t="s">
        <v>623</v>
      </c>
      <c r="B36" s="26">
        <v>20</v>
      </c>
      <c r="C36" s="13">
        <v>20</v>
      </c>
      <c r="D36" s="860">
        <v>1</v>
      </c>
      <c r="E36" s="122">
        <v>24</v>
      </c>
      <c r="F36" s="136">
        <v>20</v>
      </c>
      <c r="G36" s="136">
        <v>0</v>
      </c>
      <c r="H36" s="125">
        <v>44</v>
      </c>
      <c r="I36" s="13" t="s">
        <v>30</v>
      </c>
      <c r="J36" s="27"/>
      <c r="K36" s="13"/>
      <c r="L36" s="27"/>
    </row>
    <row r="37" spans="1:13" x14ac:dyDescent="0.3">
      <c r="A37" s="127" t="s">
        <v>624</v>
      </c>
      <c r="B37" s="139">
        <v>20</v>
      </c>
      <c r="C37" s="139">
        <v>20</v>
      </c>
      <c r="D37" s="860">
        <v>1</v>
      </c>
      <c r="E37" s="122">
        <v>24</v>
      </c>
      <c r="F37" s="136">
        <v>20</v>
      </c>
      <c r="G37" s="136">
        <v>0</v>
      </c>
      <c r="H37" s="125">
        <v>44</v>
      </c>
      <c r="I37" s="13" t="s">
        <v>30</v>
      </c>
      <c r="J37" s="27"/>
      <c r="K37" s="13"/>
      <c r="L37" s="27"/>
    </row>
    <row r="38" spans="1:13" x14ac:dyDescent="0.3">
      <c r="A38" s="127" t="s">
        <v>625</v>
      </c>
      <c r="B38" s="139">
        <v>11</v>
      </c>
      <c r="C38" s="139">
        <v>3</v>
      </c>
      <c r="D38" s="860">
        <v>1</v>
      </c>
      <c r="E38" s="122">
        <v>13.2</v>
      </c>
      <c r="F38" s="136">
        <v>3</v>
      </c>
      <c r="G38" s="136">
        <v>0</v>
      </c>
      <c r="H38" s="125">
        <v>16.2</v>
      </c>
      <c r="I38" s="13" t="s">
        <v>30</v>
      </c>
      <c r="J38" s="27"/>
      <c r="K38" s="13"/>
      <c r="L38" s="27"/>
    </row>
    <row r="39" spans="1:13" x14ac:dyDescent="0.3">
      <c r="A39" s="27" t="s">
        <v>626</v>
      </c>
      <c r="B39" s="26">
        <v>28</v>
      </c>
      <c r="C39" s="13">
        <v>56</v>
      </c>
      <c r="D39" s="860">
        <v>1</v>
      </c>
      <c r="E39" s="122">
        <v>33.6</v>
      </c>
      <c r="F39" s="136">
        <v>56</v>
      </c>
      <c r="G39" s="136">
        <v>0</v>
      </c>
      <c r="H39" s="125">
        <v>89.6</v>
      </c>
      <c r="I39" s="13" t="s">
        <v>30</v>
      </c>
      <c r="J39" s="27"/>
      <c r="K39" s="140"/>
      <c r="L39" s="27"/>
    </row>
    <row r="40" spans="1:13" ht="16.2" thickBot="1" x14ac:dyDescent="0.35">
      <c r="A40" s="127" t="s">
        <v>627</v>
      </c>
      <c r="B40" s="26">
        <v>14</v>
      </c>
      <c r="C40" s="13">
        <v>14</v>
      </c>
      <c r="D40" s="860">
        <v>1</v>
      </c>
      <c r="E40" s="122">
        <v>16.8</v>
      </c>
      <c r="F40" s="136">
        <v>14</v>
      </c>
      <c r="G40" s="136">
        <v>0</v>
      </c>
      <c r="H40" s="125">
        <v>30.8</v>
      </c>
      <c r="I40" s="13" t="s">
        <v>30</v>
      </c>
      <c r="J40" s="27"/>
      <c r="K40" s="22"/>
      <c r="L40" s="27"/>
    </row>
    <row r="41" spans="1:13" ht="16.2" thickBot="1" x14ac:dyDescent="0.35">
      <c r="A41" s="141"/>
      <c r="B41" s="91"/>
      <c r="C41" s="140"/>
      <c r="D41" s="26"/>
      <c r="E41" s="122"/>
      <c r="F41" s="122"/>
      <c r="G41" s="122"/>
      <c r="H41" s="137">
        <v>1178.1999999999998</v>
      </c>
      <c r="I41" s="23"/>
      <c r="J41" s="27"/>
      <c r="K41" s="13"/>
      <c r="L41" s="27"/>
    </row>
    <row r="42" spans="1:13" ht="16.2" thickBot="1" x14ac:dyDescent="0.35">
      <c r="A42" s="19" t="s">
        <v>21</v>
      </c>
      <c r="B42" s="85"/>
      <c r="C42" s="13"/>
      <c r="D42" s="26"/>
      <c r="E42" s="125"/>
      <c r="F42" s="125"/>
      <c r="G42" s="142" t="s">
        <v>151</v>
      </c>
      <c r="H42" s="137">
        <v>2121.8000000000002</v>
      </c>
      <c r="I42" s="21"/>
      <c r="J42" s="27"/>
      <c r="K42" s="13"/>
      <c r="L42" s="27"/>
    </row>
    <row r="43" spans="1:13" s="27" customFormat="1" x14ac:dyDescent="0.3">
      <c r="A43" s="127" t="s">
        <v>628</v>
      </c>
      <c r="B43" s="26">
        <v>28</v>
      </c>
      <c r="C43" s="13">
        <v>28</v>
      </c>
      <c r="D43" s="860">
        <v>1</v>
      </c>
      <c r="E43" s="122">
        <v>33.6</v>
      </c>
      <c r="F43" s="143">
        <v>28</v>
      </c>
      <c r="G43" s="143">
        <v>0</v>
      </c>
      <c r="H43" s="125">
        <v>61.6</v>
      </c>
      <c r="I43" s="20" t="s">
        <v>140</v>
      </c>
      <c r="K43" s="13"/>
    </row>
    <row r="44" spans="1:13" s="27" customFormat="1" x14ac:dyDescent="0.3">
      <c r="A44" s="127" t="s">
        <v>629</v>
      </c>
      <c r="B44" s="26">
        <v>28</v>
      </c>
      <c r="C44" s="13">
        <v>28</v>
      </c>
      <c r="D44" s="860">
        <v>1</v>
      </c>
      <c r="E44" s="122">
        <v>33.6</v>
      </c>
      <c r="F44" s="143">
        <v>28</v>
      </c>
      <c r="G44" s="143">
        <v>0</v>
      </c>
      <c r="H44" s="125">
        <v>61.6</v>
      </c>
      <c r="I44" s="20" t="s">
        <v>140</v>
      </c>
      <c r="K44" s="13"/>
    </row>
    <row r="45" spans="1:13" s="27" customFormat="1" x14ac:dyDescent="0.3">
      <c r="A45" s="127" t="s">
        <v>630</v>
      </c>
      <c r="B45" s="26">
        <v>28</v>
      </c>
      <c r="C45" s="13">
        <v>28</v>
      </c>
      <c r="D45" s="860">
        <v>1</v>
      </c>
      <c r="E45" s="122">
        <v>33.6</v>
      </c>
      <c r="F45" s="143">
        <v>28</v>
      </c>
      <c r="G45" s="143">
        <v>0</v>
      </c>
      <c r="H45" s="125">
        <v>61.6</v>
      </c>
      <c r="I45" s="20" t="s">
        <v>140</v>
      </c>
      <c r="K45" s="13"/>
    </row>
    <row r="46" spans="1:13" s="27" customFormat="1" x14ac:dyDescent="0.3">
      <c r="A46" s="127" t="s">
        <v>521</v>
      </c>
      <c r="B46" s="26">
        <v>28</v>
      </c>
      <c r="C46" s="13">
        <v>28</v>
      </c>
      <c r="D46" s="860">
        <v>1</v>
      </c>
      <c r="E46" s="122">
        <v>33.6</v>
      </c>
      <c r="F46" s="143">
        <v>28</v>
      </c>
      <c r="G46" s="143">
        <v>0</v>
      </c>
      <c r="H46" s="125">
        <v>61.6</v>
      </c>
      <c r="I46" s="20" t="s">
        <v>140</v>
      </c>
      <c r="K46" s="13"/>
    </row>
    <row r="47" spans="1:13" s="27" customFormat="1" x14ac:dyDescent="0.3">
      <c r="A47" s="127" t="s">
        <v>631</v>
      </c>
      <c r="B47" s="26">
        <v>28</v>
      </c>
      <c r="C47" s="13">
        <v>28</v>
      </c>
      <c r="D47" s="860">
        <v>2</v>
      </c>
      <c r="E47" s="122">
        <v>33.6</v>
      </c>
      <c r="F47" s="143">
        <v>56</v>
      </c>
      <c r="G47" s="143">
        <v>0</v>
      </c>
      <c r="H47" s="125">
        <v>89.6</v>
      </c>
      <c r="I47" s="20" t="s">
        <v>140</v>
      </c>
      <c r="K47" s="13"/>
    </row>
    <row r="48" spans="1:13" s="27" customFormat="1" x14ac:dyDescent="0.3">
      <c r="A48" s="27" t="s">
        <v>632</v>
      </c>
      <c r="B48" s="26">
        <v>28</v>
      </c>
      <c r="C48" s="13">
        <v>28</v>
      </c>
      <c r="D48" s="860">
        <v>1</v>
      </c>
      <c r="E48" s="122">
        <v>33.6</v>
      </c>
      <c r="F48" s="143">
        <v>28</v>
      </c>
      <c r="G48" s="143">
        <v>0</v>
      </c>
      <c r="H48" s="125">
        <v>61.6</v>
      </c>
      <c r="I48" s="20" t="s">
        <v>140</v>
      </c>
      <c r="K48" s="13"/>
      <c r="M48" s="1"/>
    </row>
    <row r="49" spans="1:13" s="27" customFormat="1" x14ac:dyDescent="0.3">
      <c r="A49" s="27" t="s">
        <v>633</v>
      </c>
      <c r="B49" s="26">
        <v>28</v>
      </c>
      <c r="C49" s="13">
        <v>28</v>
      </c>
      <c r="D49" s="860">
        <v>1</v>
      </c>
      <c r="E49" s="122">
        <v>33.6</v>
      </c>
      <c r="F49" s="143">
        <v>28</v>
      </c>
      <c r="G49" s="143">
        <v>0</v>
      </c>
      <c r="H49" s="125">
        <v>61.6</v>
      </c>
      <c r="I49" s="20" t="s">
        <v>140</v>
      </c>
      <c r="K49" s="13"/>
      <c r="M49" s="1"/>
    </row>
    <row r="50" spans="1:13" s="27" customFormat="1" x14ac:dyDescent="0.3">
      <c r="A50" s="27" t="s">
        <v>634</v>
      </c>
      <c r="B50" s="26">
        <v>14</v>
      </c>
      <c r="C50" s="13">
        <v>14</v>
      </c>
      <c r="D50" s="860">
        <v>1</v>
      </c>
      <c r="E50" s="122">
        <v>16.8</v>
      </c>
      <c r="F50" s="143">
        <v>14</v>
      </c>
      <c r="G50" s="143">
        <v>0</v>
      </c>
      <c r="H50" s="125">
        <v>30.8</v>
      </c>
      <c r="I50" s="20" t="s">
        <v>140</v>
      </c>
      <c r="K50" s="13"/>
      <c r="M50" s="1"/>
    </row>
    <row r="51" spans="1:13" s="27" customFormat="1" ht="16.2" thickBot="1" x14ac:dyDescent="0.35">
      <c r="A51" s="127" t="s">
        <v>635</v>
      </c>
      <c r="B51" s="26">
        <v>14</v>
      </c>
      <c r="C51" s="13">
        <v>0</v>
      </c>
      <c r="D51" s="860">
        <v>0</v>
      </c>
      <c r="E51" s="122">
        <v>16.8</v>
      </c>
      <c r="F51" s="143">
        <v>0</v>
      </c>
      <c r="G51" s="143">
        <v>0</v>
      </c>
      <c r="H51" s="125">
        <v>16.8</v>
      </c>
      <c r="I51" s="20" t="s">
        <v>140</v>
      </c>
      <c r="K51" s="13"/>
      <c r="M51" s="1"/>
    </row>
    <row r="52" spans="1:13" ht="16.2" thickBot="1" x14ac:dyDescent="0.35">
      <c r="A52" s="19" t="s">
        <v>22</v>
      </c>
      <c r="B52" s="26"/>
      <c r="C52" s="13"/>
      <c r="D52" s="26"/>
      <c r="E52" s="122"/>
      <c r="H52" s="137">
        <v>506.80000000000007</v>
      </c>
      <c r="I52" s="20"/>
      <c r="J52" s="27"/>
      <c r="K52" s="13"/>
      <c r="L52" s="27"/>
    </row>
    <row r="53" spans="1:13" x14ac:dyDescent="0.3">
      <c r="A53" s="27" t="s">
        <v>636</v>
      </c>
      <c r="B53" s="26">
        <v>28</v>
      </c>
      <c r="C53" s="13">
        <v>28</v>
      </c>
      <c r="D53" s="860">
        <v>1</v>
      </c>
      <c r="E53" s="122">
        <v>33.6</v>
      </c>
      <c r="F53" s="143">
        <v>28</v>
      </c>
      <c r="G53" s="143">
        <v>0</v>
      </c>
      <c r="H53" s="125">
        <v>61.6</v>
      </c>
      <c r="I53" s="20" t="s">
        <v>140</v>
      </c>
      <c r="J53" s="27"/>
      <c r="K53" s="13"/>
      <c r="L53" s="27"/>
    </row>
    <row r="54" spans="1:13" x14ac:dyDescent="0.3">
      <c r="A54" s="27" t="s">
        <v>637</v>
      </c>
      <c r="B54" s="26">
        <v>28</v>
      </c>
      <c r="C54" s="13">
        <v>28</v>
      </c>
      <c r="D54" s="860">
        <v>1</v>
      </c>
      <c r="E54" s="122">
        <v>33.6</v>
      </c>
      <c r="F54" s="143">
        <v>28</v>
      </c>
      <c r="G54" s="143">
        <v>0</v>
      </c>
      <c r="H54" s="125">
        <v>61.6</v>
      </c>
      <c r="I54" s="20" t="s">
        <v>140</v>
      </c>
      <c r="J54" s="27"/>
      <c r="K54" s="13"/>
      <c r="L54" s="27"/>
    </row>
    <row r="55" spans="1:13" x14ac:dyDescent="0.3">
      <c r="A55" s="27" t="s">
        <v>214</v>
      </c>
      <c r="B55" s="26">
        <v>0</v>
      </c>
      <c r="C55" s="13">
        <v>28</v>
      </c>
      <c r="D55" s="860">
        <v>0</v>
      </c>
      <c r="E55" s="122">
        <v>0</v>
      </c>
      <c r="F55" s="143">
        <v>0</v>
      </c>
      <c r="G55" s="143">
        <v>0</v>
      </c>
      <c r="H55" s="125">
        <v>0</v>
      </c>
      <c r="I55" s="20" t="s">
        <v>140</v>
      </c>
      <c r="J55" s="27"/>
      <c r="K55" s="13"/>
      <c r="L55" s="27"/>
    </row>
    <row r="56" spans="1:13" x14ac:dyDescent="0.3">
      <c r="A56" s="27" t="s">
        <v>638</v>
      </c>
      <c r="B56" s="26">
        <v>28</v>
      </c>
      <c r="C56" s="13">
        <v>28</v>
      </c>
      <c r="D56" s="860">
        <v>1</v>
      </c>
      <c r="E56" s="122">
        <v>33.6</v>
      </c>
      <c r="F56" s="143">
        <v>28</v>
      </c>
      <c r="G56" s="143">
        <v>0</v>
      </c>
      <c r="H56" s="125">
        <v>61.6</v>
      </c>
      <c r="I56" s="20" t="s">
        <v>140</v>
      </c>
      <c r="J56" s="27"/>
      <c r="K56" s="13"/>
      <c r="L56" s="27"/>
    </row>
    <row r="57" spans="1:13" x14ac:dyDescent="0.3">
      <c r="A57" s="27" t="s">
        <v>639</v>
      </c>
      <c r="B57" s="26">
        <v>28</v>
      </c>
      <c r="C57" s="13">
        <v>28</v>
      </c>
      <c r="D57" s="860">
        <v>1</v>
      </c>
      <c r="E57" s="122">
        <v>33.6</v>
      </c>
      <c r="F57" s="143">
        <v>28</v>
      </c>
      <c r="G57" s="143">
        <v>0</v>
      </c>
      <c r="H57" s="125">
        <v>61.6</v>
      </c>
      <c r="I57" s="20" t="s">
        <v>140</v>
      </c>
      <c r="J57" s="27"/>
      <c r="K57" s="13"/>
      <c r="L57" s="27"/>
    </row>
    <row r="58" spans="1:13" x14ac:dyDescent="0.3">
      <c r="A58" s="19" t="s">
        <v>640</v>
      </c>
      <c r="B58" s="26">
        <v>28</v>
      </c>
      <c r="C58" s="13">
        <v>28</v>
      </c>
      <c r="D58" s="860">
        <v>1</v>
      </c>
      <c r="E58" s="122">
        <v>33.6</v>
      </c>
      <c r="F58" s="143">
        <v>28</v>
      </c>
      <c r="G58" s="143">
        <v>0</v>
      </c>
      <c r="H58" s="125">
        <v>61.6</v>
      </c>
      <c r="I58" s="20" t="s">
        <v>140</v>
      </c>
      <c r="J58" s="27"/>
      <c r="K58" s="13"/>
      <c r="L58" s="27"/>
      <c r="M58" s="27"/>
    </row>
    <row r="59" spans="1:13" x14ac:dyDescent="0.3">
      <c r="A59" s="19" t="s">
        <v>641</v>
      </c>
      <c r="B59" s="26">
        <v>28</v>
      </c>
      <c r="C59" s="13">
        <v>28</v>
      </c>
      <c r="D59" s="860">
        <v>0</v>
      </c>
      <c r="E59" s="122">
        <v>33.6</v>
      </c>
      <c r="F59" s="143">
        <v>0</v>
      </c>
      <c r="G59" s="143">
        <v>0</v>
      </c>
      <c r="H59" s="125">
        <v>33.6</v>
      </c>
      <c r="I59" s="20" t="s">
        <v>140</v>
      </c>
      <c r="J59" s="27"/>
      <c r="K59" s="13"/>
      <c r="L59" s="27"/>
      <c r="M59" s="27"/>
    </row>
    <row r="60" spans="1:13" x14ac:dyDescent="0.3">
      <c r="A60" s="138" t="s">
        <v>642</v>
      </c>
      <c r="B60" s="26">
        <v>20</v>
      </c>
      <c r="C60" s="13">
        <v>20</v>
      </c>
      <c r="D60" s="860">
        <v>1</v>
      </c>
      <c r="E60" s="122">
        <v>24</v>
      </c>
      <c r="F60" s="143">
        <v>20</v>
      </c>
      <c r="G60" s="143">
        <v>0</v>
      </c>
      <c r="H60" s="125">
        <v>44</v>
      </c>
      <c r="I60" s="20" t="s">
        <v>140</v>
      </c>
      <c r="J60" s="27"/>
      <c r="K60" s="140"/>
      <c r="L60" s="27"/>
    </row>
    <row r="61" spans="1:13" s="27" customFormat="1" x14ac:dyDescent="0.3">
      <c r="A61" s="127" t="s">
        <v>384</v>
      </c>
      <c r="B61" s="26">
        <v>0</v>
      </c>
      <c r="C61" s="13">
        <v>20</v>
      </c>
      <c r="D61" s="860">
        <v>0</v>
      </c>
      <c r="E61" s="122">
        <v>0</v>
      </c>
      <c r="F61" s="143">
        <v>0</v>
      </c>
      <c r="G61" s="143">
        <v>0</v>
      </c>
      <c r="H61" s="125">
        <v>0</v>
      </c>
      <c r="I61" s="20" t="s">
        <v>140</v>
      </c>
      <c r="K61" s="22"/>
      <c r="M61" s="1"/>
    </row>
    <row r="62" spans="1:13" s="27" customFormat="1" x14ac:dyDescent="0.3">
      <c r="A62" s="127" t="s">
        <v>643</v>
      </c>
      <c r="B62" s="26">
        <v>20</v>
      </c>
      <c r="C62" s="13">
        <v>20</v>
      </c>
      <c r="D62" s="860">
        <v>1</v>
      </c>
      <c r="E62" s="122">
        <v>24</v>
      </c>
      <c r="F62" s="143">
        <v>20</v>
      </c>
      <c r="G62" s="143">
        <v>0</v>
      </c>
      <c r="H62" s="125">
        <v>44</v>
      </c>
      <c r="I62" s="20" t="s">
        <v>140</v>
      </c>
      <c r="K62" s="22"/>
      <c r="M62" s="1"/>
    </row>
    <row r="63" spans="1:13" s="27" customFormat="1" x14ac:dyDescent="0.3">
      <c r="A63" s="127" t="s">
        <v>287</v>
      </c>
      <c r="B63" s="26">
        <v>0</v>
      </c>
      <c r="C63" s="13">
        <v>20</v>
      </c>
      <c r="D63" s="860">
        <v>0</v>
      </c>
      <c r="E63" s="122">
        <v>0</v>
      </c>
      <c r="F63" s="143">
        <v>0</v>
      </c>
      <c r="G63" s="143">
        <v>0</v>
      </c>
      <c r="H63" s="125">
        <v>0</v>
      </c>
      <c r="I63" s="20" t="s">
        <v>140</v>
      </c>
      <c r="K63" s="22"/>
    </row>
    <row r="64" spans="1:13" s="27" customFormat="1" ht="16.2" thickBot="1" x14ac:dyDescent="0.35">
      <c r="A64" s="27" t="s">
        <v>644</v>
      </c>
      <c r="B64" s="861">
        <v>0</v>
      </c>
      <c r="C64" s="13">
        <v>14</v>
      </c>
      <c r="D64" s="860">
        <v>1</v>
      </c>
      <c r="E64" s="122">
        <v>0</v>
      </c>
      <c r="F64" s="143">
        <v>14</v>
      </c>
      <c r="G64" s="143">
        <v>0</v>
      </c>
      <c r="H64" s="125">
        <v>14</v>
      </c>
      <c r="I64" s="20" t="s">
        <v>140</v>
      </c>
      <c r="K64" s="22"/>
    </row>
    <row r="65" spans="1:13" s="27" customFormat="1" ht="16.2" thickBot="1" x14ac:dyDescent="0.35">
      <c r="B65" s="91"/>
      <c r="C65" s="91"/>
      <c r="D65" s="26"/>
      <c r="E65" s="122"/>
      <c r="F65" s="122"/>
      <c r="G65" s="122"/>
      <c r="H65" s="137">
        <v>443.6</v>
      </c>
      <c r="I65" s="23"/>
      <c r="K65" s="13"/>
    </row>
    <row r="66" spans="1:13" s="27" customFormat="1" ht="16.2" thickBot="1" x14ac:dyDescent="0.35">
      <c r="A66" s="51"/>
      <c r="B66" s="47"/>
      <c r="C66" s="13"/>
      <c r="D66" s="26"/>
      <c r="E66" s="122"/>
      <c r="F66" s="122"/>
      <c r="G66" s="142" t="s">
        <v>152</v>
      </c>
      <c r="H66" s="137">
        <v>950.40000000000009</v>
      </c>
      <c r="I66" s="21"/>
      <c r="K66" s="13"/>
    </row>
    <row r="67" spans="1:13" s="27" customFormat="1" x14ac:dyDescent="0.3">
      <c r="A67" s="51"/>
      <c r="B67" s="47"/>
      <c r="C67" s="13"/>
      <c r="D67" s="26"/>
      <c r="E67" s="122"/>
      <c r="F67" s="122"/>
      <c r="G67" s="122"/>
      <c r="H67" s="90"/>
      <c r="I67" s="21"/>
      <c r="K67" s="13"/>
    </row>
    <row r="68" spans="1:13" s="27" customFormat="1" ht="62.4" x14ac:dyDescent="0.3">
      <c r="A68" s="130" t="s">
        <v>2</v>
      </c>
      <c r="B68" s="131" t="s">
        <v>42</v>
      </c>
      <c r="C68" s="132" t="s">
        <v>43</v>
      </c>
      <c r="D68" s="133" t="s">
        <v>41</v>
      </c>
      <c r="E68" s="134" t="s">
        <v>23</v>
      </c>
      <c r="F68" s="134" t="s">
        <v>10</v>
      </c>
      <c r="G68" s="134" t="s">
        <v>11</v>
      </c>
      <c r="H68" s="134" t="s">
        <v>7</v>
      </c>
      <c r="I68" s="21"/>
      <c r="K68" s="13"/>
    </row>
    <row r="69" spans="1:13" s="27" customFormat="1" x14ac:dyDescent="0.3">
      <c r="A69" s="19" t="s">
        <v>18</v>
      </c>
      <c r="B69" s="85"/>
      <c r="C69" s="140"/>
      <c r="D69" s="124"/>
      <c r="E69" s="26"/>
      <c r="F69" s="26"/>
      <c r="G69" s="26"/>
      <c r="H69" s="122"/>
      <c r="I69" s="21"/>
      <c r="K69" s="13"/>
    </row>
    <row r="70" spans="1:13" s="27" customFormat="1" x14ac:dyDescent="0.3">
      <c r="A70" s="27" t="s">
        <v>645</v>
      </c>
      <c r="B70" s="26">
        <v>42</v>
      </c>
      <c r="C70" s="13">
        <v>56</v>
      </c>
      <c r="D70" s="860">
        <v>4</v>
      </c>
      <c r="E70" s="122">
        <v>50.4</v>
      </c>
      <c r="F70" s="136">
        <v>112</v>
      </c>
      <c r="G70" s="136">
        <v>89.600000000000009</v>
      </c>
      <c r="H70" s="125">
        <v>252</v>
      </c>
      <c r="I70" s="13" t="s">
        <v>30</v>
      </c>
      <c r="K70" s="13"/>
    </row>
    <row r="71" spans="1:13" s="27" customFormat="1" x14ac:dyDescent="0.3">
      <c r="A71" s="27" t="s">
        <v>646</v>
      </c>
      <c r="B71" s="26">
        <v>28</v>
      </c>
      <c r="C71" s="13">
        <v>28</v>
      </c>
      <c r="D71" s="860">
        <v>4</v>
      </c>
      <c r="E71" s="122">
        <v>33.6</v>
      </c>
      <c r="F71" s="136">
        <v>56</v>
      </c>
      <c r="G71" s="136">
        <v>44.800000000000004</v>
      </c>
      <c r="H71" s="125">
        <v>134.4</v>
      </c>
      <c r="I71" s="13" t="s">
        <v>30</v>
      </c>
      <c r="K71" s="13"/>
    </row>
    <row r="72" spans="1:13" s="27" customFormat="1" x14ac:dyDescent="0.3">
      <c r="A72" s="27" t="s">
        <v>647</v>
      </c>
      <c r="B72" s="26">
        <v>28</v>
      </c>
      <c r="C72" s="13">
        <v>28</v>
      </c>
      <c r="D72" s="860">
        <v>1</v>
      </c>
      <c r="E72" s="122">
        <v>33.6</v>
      </c>
      <c r="F72" s="136">
        <v>28</v>
      </c>
      <c r="G72" s="136">
        <v>0</v>
      </c>
      <c r="H72" s="125">
        <v>61.6</v>
      </c>
      <c r="I72" s="13" t="s">
        <v>30</v>
      </c>
      <c r="K72" s="13"/>
    </row>
    <row r="73" spans="1:13" s="27" customFormat="1" x14ac:dyDescent="0.3">
      <c r="A73" s="27" t="s">
        <v>648</v>
      </c>
      <c r="B73" s="26">
        <v>28</v>
      </c>
      <c r="C73" s="13">
        <v>56</v>
      </c>
      <c r="D73" s="860">
        <v>3</v>
      </c>
      <c r="E73" s="122">
        <v>33.6</v>
      </c>
      <c r="F73" s="136">
        <v>112</v>
      </c>
      <c r="G73" s="136">
        <v>44.800000000000004</v>
      </c>
      <c r="H73" s="125">
        <v>190.4</v>
      </c>
      <c r="I73" s="13" t="s">
        <v>30</v>
      </c>
      <c r="K73" s="13"/>
    </row>
    <row r="74" spans="1:13" s="27" customFormat="1" x14ac:dyDescent="0.3">
      <c r="A74" s="27" t="s">
        <v>649</v>
      </c>
      <c r="B74" s="26">
        <v>0</v>
      </c>
      <c r="C74" s="13">
        <v>28</v>
      </c>
      <c r="D74" s="860">
        <v>2</v>
      </c>
      <c r="E74" s="122">
        <v>0</v>
      </c>
      <c r="F74" s="136">
        <v>56</v>
      </c>
      <c r="G74" s="136">
        <v>0</v>
      </c>
      <c r="H74" s="125">
        <v>56</v>
      </c>
      <c r="I74" s="13" t="s">
        <v>30</v>
      </c>
      <c r="K74" s="13"/>
    </row>
    <row r="75" spans="1:13" s="27" customFormat="1" x14ac:dyDescent="0.3">
      <c r="A75" s="27" t="s">
        <v>650</v>
      </c>
      <c r="B75" s="26">
        <v>28</v>
      </c>
      <c r="C75" s="13">
        <v>0</v>
      </c>
      <c r="D75" s="860">
        <v>0</v>
      </c>
      <c r="E75" s="122">
        <v>33.6</v>
      </c>
      <c r="F75" s="136">
        <v>0</v>
      </c>
      <c r="G75" s="136">
        <v>0</v>
      </c>
      <c r="H75" s="125">
        <v>33.6</v>
      </c>
      <c r="I75" s="13" t="s">
        <v>30</v>
      </c>
      <c r="K75" s="13"/>
    </row>
    <row r="76" spans="1:13" s="27" customFormat="1" x14ac:dyDescent="0.3">
      <c r="A76" s="27" t="s">
        <v>651</v>
      </c>
      <c r="B76" s="26">
        <v>6</v>
      </c>
      <c r="C76" s="13">
        <v>2</v>
      </c>
      <c r="D76" s="860">
        <v>1</v>
      </c>
      <c r="E76" s="122">
        <v>7.1999999999999993</v>
      </c>
      <c r="F76" s="136">
        <v>2</v>
      </c>
      <c r="G76" s="136">
        <v>0</v>
      </c>
      <c r="H76" s="90">
        <v>9.1999999999999993</v>
      </c>
      <c r="I76" s="13" t="s">
        <v>30</v>
      </c>
      <c r="J76" s="13" t="s">
        <v>522</v>
      </c>
      <c r="K76" s="13"/>
      <c r="L76" s="1"/>
      <c r="M76" s="1"/>
    </row>
    <row r="77" spans="1:13" s="27" customFormat="1" x14ac:dyDescent="0.3">
      <c r="A77" s="127" t="s">
        <v>652</v>
      </c>
      <c r="B77" s="26">
        <v>42</v>
      </c>
      <c r="C77" s="13">
        <v>56</v>
      </c>
      <c r="D77" s="860">
        <v>3</v>
      </c>
      <c r="E77" s="122">
        <v>50.4</v>
      </c>
      <c r="F77" s="136">
        <v>112</v>
      </c>
      <c r="G77" s="136">
        <v>44.800000000000004</v>
      </c>
      <c r="H77" s="125">
        <v>207.20000000000002</v>
      </c>
      <c r="I77" s="13" t="s">
        <v>30</v>
      </c>
      <c r="K77" s="13"/>
    </row>
    <row r="78" spans="1:13" s="27" customFormat="1" x14ac:dyDescent="0.3">
      <c r="A78" s="127" t="s">
        <v>653</v>
      </c>
      <c r="B78" s="26">
        <v>28</v>
      </c>
      <c r="C78" s="13">
        <v>28</v>
      </c>
      <c r="D78" s="860">
        <v>6</v>
      </c>
      <c r="E78" s="122">
        <v>33.6</v>
      </c>
      <c r="F78" s="136">
        <v>56</v>
      </c>
      <c r="G78" s="136">
        <v>89.600000000000009</v>
      </c>
      <c r="H78" s="125">
        <v>179.2</v>
      </c>
      <c r="I78" s="13" t="s">
        <v>30</v>
      </c>
      <c r="K78" s="13"/>
    </row>
    <row r="79" spans="1:13" s="27" customFormat="1" x14ac:dyDescent="0.3">
      <c r="A79" s="127" t="s">
        <v>654</v>
      </c>
      <c r="B79" s="26">
        <v>28</v>
      </c>
      <c r="C79" s="13">
        <v>56</v>
      </c>
      <c r="D79" s="860">
        <v>3</v>
      </c>
      <c r="E79" s="122">
        <v>33.6</v>
      </c>
      <c r="F79" s="136">
        <v>112</v>
      </c>
      <c r="G79" s="136">
        <v>44.800000000000004</v>
      </c>
      <c r="H79" s="125">
        <v>190.4</v>
      </c>
      <c r="I79" s="13" t="s">
        <v>30</v>
      </c>
      <c r="K79" s="13"/>
    </row>
    <row r="80" spans="1:13" s="27" customFormat="1" x14ac:dyDescent="0.3">
      <c r="A80" s="127" t="s">
        <v>655</v>
      </c>
      <c r="B80" s="26">
        <v>28</v>
      </c>
      <c r="C80" s="13">
        <v>28</v>
      </c>
      <c r="D80" s="860">
        <v>3</v>
      </c>
      <c r="E80" s="122">
        <v>33.6</v>
      </c>
      <c r="F80" s="136">
        <v>56</v>
      </c>
      <c r="G80" s="136">
        <v>22.400000000000002</v>
      </c>
      <c r="H80" s="125">
        <v>112</v>
      </c>
      <c r="I80" s="13" t="s">
        <v>30</v>
      </c>
      <c r="K80" s="13"/>
    </row>
    <row r="81" spans="1:13" s="27" customFormat="1" x14ac:dyDescent="0.3">
      <c r="A81" s="27" t="s">
        <v>385</v>
      </c>
      <c r="B81" s="26">
        <v>0</v>
      </c>
      <c r="C81" s="13">
        <v>28</v>
      </c>
      <c r="D81" s="860">
        <v>0</v>
      </c>
      <c r="E81" s="122">
        <v>0</v>
      </c>
      <c r="F81" s="136">
        <v>0</v>
      </c>
      <c r="G81" s="136">
        <v>0</v>
      </c>
      <c r="H81" s="125">
        <v>0</v>
      </c>
      <c r="I81" s="13" t="s">
        <v>30</v>
      </c>
      <c r="K81" s="13"/>
    </row>
    <row r="82" spans="1:13" s="27" customFormat="1" x14ac:dyDescent="0.3">
      <c r="A82" s="27" t="s">
        <v>656</v>
      </c>
      <c r="B82" s="26">
        <v>10</v>
      </c>
      <c r="C82" s="13">
        <v>10</v>
      </c>
      <c r="D82" s="860">
        <v>1</v>
      </c>
      <c r="E82" s="122">
        <v>12</v>
      </c>
      <c r="F82" s="136">
        <v>10</v>
      </c>
      <c r="G82" s="136">
        <v>0</v>
      </c>
      <c r="H82" s="125">
        <v>22</v>
      </c>
      <c r="I82" s="13" t="s">
        <v>30</v>
      </c>
      <c r="K82" s="13"/>
    </row>
    <row r="83" spans="1:13" s="27" customFormat="1" x14ac:dyDescent="0.3">
      <c r="A83" s="127" t="s">
        <v>657</v>
      </c>
      <c r="B83" s="26">
        <v>28</v>
      </c>
      <c r="C83" s="13">
        <v>28</v>
      </c>
      <c r="D83" s="860">
        <v>1</v>
      </c>
      <c r="E83" s="122">
        <v>33.6</v>
      </c>
      <c r="F83" s="136">
        <v>28</v>
      </c>
      <c r="G83" s="136">
        <v>0</v>
      </c>
      <c r="H83" s="125">
        <v>61.6</v>
      </c>
      <c r="I83" s="13" t="s">
        <v>30</v>
      </c>
      <c r="K83" s="13"/>
    </row>
    <row r="84" spans="1:13" s="27" customFormat="1" x14ac:dyDescent="0.3">
      <c r="A84" s="127" t="s">
        <v>658</v>
      </c>
      <c r="B84" s="26">
        <v>14</v>
      </c>
      <c r="C84" s="13">
        <v>14</v>
      </c>
      <c r="D84" s="860">
        <v>1</v>
      </c>
      <c r="E84" s="122">
        <v>16.8</v>
      </c>
      <c r="F84" s="136">
        <v>14</v>
      </c>
      <c r="G84" s="136">
        <v>0</v>
      </c>
      <c r="H84" s="125">
        <v>30.8</v>
      </c>
      <c r="I84" s="13" t="s">
        <v>30</v>
      </c>
      <c r="K84" s="13"/>
    </row>
    <row r="85" spans="1:13" s="27" customFormat="1" ht="16.2" thickBot="1" x14ac:dyDescent="0.35">
      <c r="A85" s="127" t="s">
        <v>659</v>
      </c>
      <c r="B85" s="26">
        <v>28</v>
      </c>
      <c r="C85" s="13">
        <v>28</v>
      </c>
      <c r="D85" s="860">
        <v>1</v>
      </c>
      <c r="E85" s="122">
        <v>33.6</v>
      </c>
      <c r="F85" s="136">
        <v>28</v>
      </c>
      <c r="G85" s="136">
        <v>0</v>
      </c>
      <c r="H85" s="125">
        <v>61.6</v>
      </c>
      <c r="I85" s="13" t="s">
        <v>30</v>
      </c>
      <c r="K85" s="13"/>
    </row>
    <row r="86" spans="1:13" s="27" customFormat="1" ht="16.2" thickBot="1" x14ac:dyDescent="0.35">
      <c r="A86" s="19" t="s">
        <v>19</v>
      </c>
      <c r="B86" s="85"/>
      <c r="C86" s="13"/>
      <c r="D86" s="124"/>
      <c r="E86" s="26"/>
      <c r="F86" s="1"/>
      <c r="G86" s="1"/>
      <c r="H86" s="137">
        <v>1602</v>
      </c>
      <c r="I86" s="13"/>
      <c r="K86" s="13"/>
    </row>
    <row r="87" spans="1:13" s="19" customFormat="1" x14ac:dyDescent="0.3">
      <c r="A87" s="27" t="s">
        <v>660</v>
      </c>
      <c r="B87" s="26">
        <v>28</v>
      </c>
      <c r="C87" s="13">
        <v>28</v>
      </c>
      <c r="D87" s="860">
        <v>2</v>
      </c>
      <c r="E87" s="122">
        <v>33.6</v>
      </c>
      <c r="F87" s="136">
        <v>56</v>
      </c>
      <c r="G87" s="136">
        <v>0</v>
      </c>
      <c r="H87" s="125">
        <v>89.6</v>
      </c>
      <c r="I87" s="13" t="s">
        <v>30</v>
      </c>
      <c r="J87" s="27"/>
      <c r="K87" s="13"/>
      <c r="L87" s="27"/>
      <c r="M87" s="27"/>
    </row>
    <row r="88" spans="1:13" x14ac:dyDescent="0.3">
      <c r="A88" s="27" t="s">
        <v>661</v>
      </c>
      <c r="B88" s="26">
        <v>28</v>
      </c>
      <c r="C88" s="13">
        <v>28</v>
      </c>
      <c r="D88" s="860">
        <v>2</v>
      </c>
      <c r="E88" s="122">
        <v>33.6</v>
      </c>
      <c r="F88" s="136">
        <v>56</v>
      </c>
      <c r="G88" s="136">
        <v>0</v>
      </c>
      <c r="H88" s="125">
        <v>89.6</v>
      </c>
      <c r="I88" s="13" t="s">
        <v>30</v>
      </c>
      <c r="J88" s="19"/>
      <c r="K88" s="13"/>
      <c r="L88" s="19"/>
      <c r="M88" s="19"/>
    </row>
    <row r="89" spans="1:13" s="19" customFormat="1" x14ac:dyDescent="0.3">
      <c r="A89" s="27" t="s">
        <v>662</v>
      </c>
      <c r="B89" s="26">
        <v>28</v>
      </c>
      <c r="C89" s="13">
        <v>28</v>
      </c>
      <c r="D89" s="860">
        <v>2</v>
      </c>
      <c r="E89" s="122">
        <v>33.6</v>
      </c>
      <c r="F89" s="136">
        <v>56</v>
      </c>
      <c r="G89" s="136">
        <v>0</v>
      </c>
      <c r="H89" s="125">
        <v>89.6</v>
      </c>
      <c r="I89" s="13" t="s">
        <v>30</v>
      </c>
      <c r="K89" s="13"/>
    </row>
    <row r="90" spans="1:13" s="19" customFormat="1" x14ac:dyDescent="0.3">
      <c r="A90" s="27" t="s">
        <v>663</v>
      </c>
      <c r="B90" s="26">
        <v>0</v>
      </c>
      <c r="C90" s="13">
        <v>112</v>
      </c>
      <c r="D90" s="860">
        <v>1</v>
      </c>
      <c r="E90" s="122">
        <v>0</v>
      </c>
      <c r="F90" s="136">
        <v>112</v>
      </c>
      <c r="G90" s="136">
        <v>0</v>
      </c>
      <c r="H90" s="125">
        <v>112</v>
      </c>
      <c r="I90" s="13" t="s">
        <v>30</v>
      </c>
      <c r="J90" s="27"/>
      <c r="K90" s="13"/>
      <c r="L90" s="1"/>
      <c r="M90" s="1"/>
    </row>
    <row r="91" spans="1:13" s="19" customFormat="1" x14ac:dyDescent="0.3">
      <c r="A91" s="27" t="s">
        <v>664</v>
      </c>
      <c r="B91" s="26">
        <v>0</v>
      </c>
      <c r="C91" s="13">
        <v>4</v>
      </c>
      <c r="D91" s="860">
        <v>1</v>
      </c>
      <c r="E91" s="122">
        <v>0</v>
      </c>
      <c r="F91" s="136">
        <v>4</v>
      </c>
      <c r="G91" s="136">
        <v>0</v>
      </c>
      <c r="H91" s="125">
        <v>4</v>
      </c>
      <c r="I91" s="13" t="s">
        <v>30</v>
      </c>
      <c r="J91" s="13" t="s">
        <v>523</v>
      </c>
      <c r="K91" s="13"/>
      <c r="L91" s="1"/>
      <c r="M91" s="1"/>
    </row>
    <row r="92" spans="1:13" s="27" customFormat="1" x14ac:dyDescent="0.3">
      <c r="A92" s="27" t="s">
        <v>665</v>
      </c>
      <c r="B92" s="26">
        <v>28</v>
      </c>
      <c r="C92" s="13">
        <v>28</v>
      </c>
      <c r="D92" s="860">
        <v>2</v>
      </c>
      <c r="E92" s="122">
        <v>33.6</v>
      </c>
      <c r="F92" s="136">
        <v>56</v>
      </c>
      <c r="G92" s="136">
        <v>0</v>
      </c>
      <c r="H92" s="125">
        <v>89.6</v>
      </c>
      <c r="I92" s="13" t="s">
        <v>30</v>
      </c>
      <c r="J92" s="21"/>
      <c r="K92" s="13"/>
      <c r="M92" s="1"/>
    </row>
    <row r="93" spans="1:13" s="27" customFormat="1" x14ac:dyDescent="0.3">
      <c r="A93" s="27" t="s">
        <v>666</v>
      </c>
      <c r="B93" s="26">
        <v>0</v>
      </c>
      <c r="C93" s="13">
        <v>28</v>
      </c>
      <c r="D93" s="860">
        <v>0</v>
      </c>
      <c r="E93" s="122">
        <v>0</v>
      </c>
      <c r="F93" s="136">
        <v>0</v>
      </c>
      <c r="G93" s="136">
        <v>0</v>
      </c>
      <c r="H93" s="125">
        <v>0</v>
      </c>
      <c r="I93" s="13" t="s">
        <v>30</v>
      </c>
      <c r="K93" s="13"/>
    </row>
    <row r="94" spans="1:13" s="27" customFormat="1" x14ac:dyDescent="0.3">
      <c r="A94" s="27" t="s">
        <v>667</v>
      </c>
      <c r="B94" s="26">
        <v>0</v>
      </c>
      <c r="C94" s="13">
        <v>28</v>
      </c>
      <c r="D94" s="860">
        <v>0</v>
      </c>
      <c r="E94" s="122">
        <v>0</v>
      </c>
      <c r="F94" s="136">
        <v>0</v>
      </c>
      <c r="G94" s="136">
        <v>0</v>
      </c>
      <c r="H94" s="125">
        <v>0</v>
      </c>
      <c r="I94" s="13" t="s">
        <v>30</v>
      </c>
      <c r="K94" s="13"/>
    </row>
    <row r="95" spans="1:13" s="27" customFormat="1" x14ac:dyDescent="0.3">
      <c r="A95" s="27" t="s">
        <v>668</v>
      </c>
      <c r="B95" s="26">
        <v>28</v>
      </c>
      <c r="C95" s="13">
        <v>28</v>
      </c>
      <c r="D95" s="860">
        <v>2</v>
      </c>
      <c r="E95" s="122">
        <v>33.6</v>
      </c>
      <c r="F95" s="136">
        <v>56</v>
      </c>
      <c r="G95" s="136">
        <v>0</v>
      </c>
      <c r="H95" s="125">
        <v>89.6</v>
      </c>
      <c r="I95" s="13" t="s">
        <v>30</v>
      </c>
      <c r="K95" s="13"/>
    </row>
    <row r="96" spans="1:13" s="27" customFormat="1" x14ac:dyDescent="0.3">
      <c r="A96" s="27" t="s">
        <v>669</v>
      </c>
      <c r="B96" s="26">
        <v>0</v>
      </c>
      <c r="C96" s="13">
        <v>28</v>
      </c>
      <c r="D96" s="860">
        <v>0</v>
      </c>
      <c r="E96" s="122">
        <v>0</v>
      </c>
      <c r="F96" s="136">
        <v>0</v>
      </c>
      <c r="G96" s="136">
        <v>0</v>
      </c>
      <c r="H96" s="125">
        <v>0</v>
      </c>
      <c r="I96" s="13" t="s">
        <v>30</v>
      </c>
      <c r="J96" s="19"/>
      <c r="K96" s="13"/>
      <c r="L96" s="19"/>
      <c r="M96" s="19"/>
    </row>
    <row r="97" spans="1:13" s="27" customFormat="1" x14ac:dyDescent="0.3">
      <c r="A97" s="27" t="s">
        <v>670</v>
      </c>
      <c r="B97" s="26">
        <v>28</v>
      </c>
      <c r="C97" s="13">
        <v>56</v>
      </c>
      <c r="D97" s="860">
        <v>2</v>
      </c>
      <c r="E97" s="122">
        <v>33.6</v>
      </c>
      <c r="F97" s="136">
        <v>112</v>
      </c>
      <c r="G97" s="136">
        <v>0</v>
      </c>
      <c r="H97" s="125">
        <v>145.6</v>
      </c>
      <c r="I97" s="13" t="s">
        <v>30</v>
      </c>
      <c r="K97" s="13"/>
      <c r="L97" s="1"/>
      <c r="M97" s="1"/>
    </row>
    <row r="98" spans="1:13" s="27" customFormat="1" x14ac:dyDescent="0.3">
      <c r="A98" s="127" t="s">
        <v>671</v>
      </c>
      <c r="B98" s="26">
        <v>28</v>
      </c>
      <c r="C98" s="13">
        <v>28</v>
      </c>
      <c r="D98" s="860">
        <v>1</v>
      </c>
      <c r="E98" s="122">
        <v>33.6</v>
      </c>
      <c r="F98" s="136">
        <v>28</v>
      </c>
      <c r="G98" s="136">
        <v>0</v>
      </c>
      <c r="H98" s="125">
        <v>61.6</v>
      </c>
      <c r="I98" s="13" t="s">
        <v>30</v>
      </c>
      <c r="K98" s="13"/>
    </row>
    <row r="99" spans="1:13" s="27" customFormat="1" x14ac:dyDescent="0.3">
      <c r="A99" s="127" t="s">
        <v>672</v>
      </c>
      <c r="B99" s="26">
        <v>28</v>
      </c>
      <c r="C99" s="13">
        <v>28</v>
      </c>
      <c r="D99" s="860">
        <v>4</v>
      </c>
      <c r="E99" s="122">
        <v>33.6</v>
      </c>
      <c r="F99" s="136">
        <v>56</v>
      </c>
      <c r="G99" s="136">
        <v>44.800000000000004</v>
      </c>
      <c r="H99" s="125">
        <v>134.4</v>
      </c>
      <c r="I99" s="13" t="s">
        <v>30</v>
      </c>
      <c r="K99" s="13"/>
    </row>
    <row r="100" spans="1:13" s="19" customFormat="1" x14ac:dyDescent="0.3">
      <c r="A100" s="127" t="s">
        <v>673</v>
      </c>
      <c r="B100" s="26">
        <v>28</v>
      </c>
      <c r="C100" s="13">
        <v>28</v>
      </c>
      <c r="D100" s="860">
        <v>2</v>
      </c>
      <c r="E100" s="122">
        <v>33.6</v>
      </c>
      <c r="F100" s="136">
        <v>56</v>
      </c>
      <c r="G100" s="136">
        <v>0</v>
      </c>
      <c r="H100" s="125">
        <v>89.6</v>
      </c>
      <c r="I100" s="13" t="s">
        <v>30</v>
      </c>
      <c r="J100" s="27"/>
      <c r="K100" s="13"/>
      <c r="L100" s="27"/>
      <c r="M100" s="27"/>
    </row>
    <row r="101" spans="1:13" s="27" customFormat="1" x14ac:dyDescent="0.3">
      <c r="A101" s="127" t="s">
        <v>674</v>
      </c>
      <c r="B101" s="26">
        <v>14</v>
      </c>
      <c r="C101" s="13">
        <v>28</v>
      </c>
      <c r="D101" s="860">
        <v>1</v>
      </c>
      <c r="E101" s="122">
        <v>16.8</v>
      </c>
      <c r="F101" s="136">
        <v>28</v>
      </c>
      <c r="G101" s="136">
        <v>0</v>
      </c>
      <c r="H101" s="125">
        <v>44.8</v>
      </c>
      <c r="I101" s="13" t="s">
        <v>30</v>
      </c>
      <c r="K101" s="13"/>
    </row>
    <row r="102" spans="1:13" s="27" customFormat="1" x14ac:dyDescent="0.3">
      <c r="A102" s="127" t="s">
        <v>675</v>
      </c>
      <c r="B102" s="26">
        <v>28</v>
      </c>
      <c r="C102" s="13">
        <v>28</v>
      </c>
      <c r="D102" s="860">
        <v>3</v>
      </c>
      <c r="E102" s="122">
        <v>33.6</v>
      </c>
      <c r="F102" s="136">
        <v>56</v>
      </c>
      <c r="G102" s="136">
        <v>22.400000000000002</v>
      </c>
      <c r="H102" s="125">
        <v>112</v>
      </c>
      <c r="I102" s="13" t="s">
        <v>30</v>
      </c>
      <c r="K102" s="13"/>
    </row>
    <row r="103" spans="1:13" s="27" customFormat="1" x14ac:dyDescent="0.3">
      <c r="A103" s="127" t="s">
        <v>676</v>
      </c>
      <c r="B103" s="26">
        <v>0</v>
      </c>
      <c r="C103" s="13">
        <v>14</v>
      </c>
      <c r="D103" s="860">
        <v>0</v>
      </c>
      <c r="E103" s="122">
        <v>0</v>
      </c>
      <c r="F103" s="136">
        <v>0</v>
      </c>
      <c r="G103" s="136">
        <v>0</v>
      </c>
      <c r="H103" s="125">
        <v>0</v>
      </c>
      <c r="I103" s="13" t="s">
        <v>30</v>
      </c>
      <c r="K103" s="13"/>
    </row>
    <row r="104" spans="1:13" s="27" customFormat="1" x14ac:dyDescent="0.3">
      <c r="A104" s="127" t="s">
        <v>677</v>
      </c>
      <c r="B104" s="26">
        <v>28</v>
      </c>
      <c r="C104" s="13">
        <v>28</v>
      </c>
      <c r="D104" s="860">
        <v>2</v>
      </c>
      <c r="E104" s="122">
        <v>33.6</v>
      </c>
      <c r="F104" s="136">
        <v>56</v>
      </c>
      <c r="G104" s="136">
        <v>0</v>
      </c>
      <c r="H104" s="125">
        <v>89.6</v>
      </c>
      <c r="I104" s="13" t="s">
        <v>30</v>
      </c>
      <c r="K104" s="13"/>
    </row>
    <row r="105" spans="1:13" s="27" customFormat="1" x14ac:dyDescent="0.3">
      <c r="A105" s="127" t="s">
        <v>678</v>
      </c>
      <c r="B105" s="26">
        <v>0</v>
      </c>
      <c r="C105" s="13">
        <v>28</v>
      </c>
      <c r="D105" s="860">
        <v>0</v>
      </c>
      <c r="E105" s="122">
        <v>0</v>
      </c>
      <c r="F105" s="136">
        <v>0</v>
      </c>
      <c r="G105" s="136">
        <v>0</v>
      </c>
      <c r="H105" s="125">
        <v>0</v>
      </c>
      <c r="I105" s="13" t="s">
        <v>30</v>
      </c>
      <c r="K105" s="13"/>
    </row>
    <row r="106" spans="1:13" s="27" customFormat="1" x14ac:dyDescent="0.3">
      <c r="A106" s="127" t="s">
        <v>679</v>
      </c>
      <c r="B106" s="26">
        <v>28</v>
      </c>
      <c r="C106" s="13">
        <v>56</v>
      </c>
      <c r="D106" s="860">
        <v>2</v>
      </c>
      <c r="E106" s="122">
        <v>33.6</v>
      </c>
      <c r="F106" s="136">
        <v>112</v>
      </c>
      <c r="G106" s="136">
        <v>0</v>
      </c>
      <c r="H106" s="125">
        <v>145.6</v>
      </c>
      <c r="I106" s="13" t="s">
        <v>30</v>
      </c>
      <c r="K106" s="13"/>
    </row>
    <row r="107" spans="1:13" s="27" customFormat="1" x14ac:dyDescent="0.3">
      <c r="A107" s="127" t="s">
        <v>680</v>
      </c>
      <c r="B107" s="26">
        <v>28</v>
      </c>
      <c r="C107" s="13">
        <v>28</v>
      </c>
      <c r="D107" s="860">
        <v>2</v>
      </c>
      <c r="E107" s="122">
        <v>33.6</v>
      </c>
      <c r="F107" s="136">
        <v>56</v>
      </c>
      <c r="G107" s="136">
        <v>0</v>
      </c>
      <c r="H107" s="125">
        <v>89.6</v>
      </c>
      <c r="I107" s="13" t="s">
        <v>30</v>
      </c>
      <c r="K107" s="13"/>
    </row>
    <row r="108" spans="1:13" s="27" customFormat="1" x14ac:dyDescent="0.3">
      <c r="A108" s="127" t="s">
        <v>524</v>
      </c>
      <c r="B108" s="26">
        <v>12</v>
      </c>
      <c r="C108" s="13">
        <v>0</v>
      </c>
      <c r="D108" s="860">
        <v>1</v>
      </c>
      <c r="E108" s="122">
        <v>14.399999999999999</v>
      </c>
      <c r="F108" s="136">
        <v>0</v>
      </c>
      <c r="G108" s="136">
        <v>0</v>
      </c>
      <c r="H108" s="125">
        <v>14.399999999999999</v>
      </c>
      <c r="I108" s="13" t="s">
        <v>30</v>
      </c>
      <c r="K108" s="13"/>
    </row>
    <row r="109" spans="1:13" s="27" customFormat="1" x14ac:dyDescent="0.3">
      <c r="A109" s="127" t="s">
        <v>681</v>
      </c>
      <c r="B109" s="26">
        <v>22</v>
      </c>
      <c r="C109" s="13">
        <v>0</v>
      </c>
      <c r="D109" s="860">
        <v>1</v>
      </c>
      <c r="E109" s="122">
        <v>26.4</v>
      </c>
      <c r="F109" s="136">
        <v>0</v>
      </c>
      <c r="G109" s="136">
        <v>0</v>
      </c>
      <c r="H109" s="125">
        <v>26.4</v>
      </c>
      <c r="I109" s="13" t="s">
        <v>30</v>
      </c>
      <c r="K109" s="13"/>
    </row>
    <row r="110" spans="1:13" s="27" customFormat="1" x14ac:dyDescent="0.3">
      <c r="A110" s="127" t="s">
        <v>682</v>
      </c>
      <c r="B110" s="139">
        <v>14</v>
      </c>
      <c r="C110" s="139">
        <v>14</v>
      </c>
      <c r="D110" s="860">
        <v>7</v>
      </c>
      <c r="E110" s="122">
        <v>16.8</v>
      </c>
      <c r="F110" s="136">
        <v>28</v>
      </c>
      <c r="G110" s="136">
        <v>56</v>
      </c>
      <c r="H110" s="125">
        <v>100.8</v>
      </c>
      <c r="I110" s="13" t="s">
        <v>30</v>
      </c>
      <c r="K110" s="13"/>
      <c r="M110" s="1"/>
    </row>
    <row r="111" spans="1:13" s="27" customFormat="1" x14ac:dyDescent="0.3">
      <c r="A111" s="127" t="s">
        <v>606</v>
      </c>
      <c r="B111" s="139">
        <v>7</v>
      </c>
      <c r="C111" s="139">
        <v>0</v>
      </c>
      <c r="D111" s="860">
        <v>1</v>
      </c>
      <c r="E111" s="122">
        <v>8.4</v>
      </c>
      <c r="F111" s="136">
        <v>0</v>
      </c>
      <c r="G111" s="136">
        <v>0</v>
      </c>
      <c r="H111" s="125">
        <v>8.4</v>
      </c>
      <c r="I111" s="13" t="s">
        <v>30</v>
      </c>
      <c r="K111" s="13"/>
      <c r="M111" s="1"/>
    </row>
    <row r="112" spans="1:13" s="27" customFormat="1" x14ac:dyDescent="0.3">
      <c r="A112" s="127" t="s">
        <v>683</v>
      </c>
      <c r="B112" s="26">
        <v>0</v>
      </c>
      <c r="C112" s="13">
        <v>5</v>
      </c>
      <c r="D112" s="860">
        <v>0</v>
      </c>
      <c r="E112" s="122">
        <v>0</v>
      </c>
      <c r="F112" s="136">
        <v>0</v>
      </c>
      <c r="G112" s="136">
        <v>0</v>
      </c>
      <c r="H112" s="125">
        <v>0</v>
      </c>
      <c r="I112" s="13" t="s">
        <v>30</v>
      </c>
      <c r="K112" s="13"/>
    </row>
    <row r="113" spans="1:13" s="27" customFormat="1" x14ac:dyDescent="0.3">
      <c r="A113" s="27" t="s">
        <v>684</v>
      </c>
      <c r="B113" s="26">
        <v>28</v>
      </c>
      <c r="C113" s="13">
        <v>56</v>
      </c>
      <c r="D113" s="860">
        <v>1</v>
      </c>
      <c r="E113" s="122">
        <v>33.6</v>
      </c>
      <c r="F113" s="136">
        <v>56</v>
      </c>
      <c r="G113" s="136">
        <v>0</v>
      </c>
      <c r="H113" s="125">
        <v>89.6</v>
      </c>
      <c r="I113" s="13" t="s">
        <v>30</v>
      </c>
      <c r="K113" s="13"/>
    </row>
    <row r="114" spans="1:13" s="27" customFormat="1" x14ac:dyDescent="0.3">
      <c r="A114" s="127" t="s">
        <v>685</v>
      </c>
      <c r="B114" s="26">
        <v>0</v>
      </c>
      <c r="C114" s="13">
        <v>28</v>
      </c>
      <c r="D114" s="860">
        <v>0</v>
      </c>
      <c r="E114" s="122">
        <v>0</v>
      </c>
      <c r="F114" s="136">
        <v>0</v>
      </c>
      <c r="G114" s="136">
        <v>0</v>
      </c>
      <c r="H114" s="125">
        <v>0</v>
      </c>
      <c r="I114" s="13" t="s">
        <v>30</v>
      </c>
      <c r="K114" s="13"/>
    </row>
    <row r="115" spans="1:13" s="27" customFormat="1" x14ac:dyDescent="0.3">
      <c r="A115" s="127" t="s">
        <v>686</v>
      </c>
      <c r="B115" s="26">
        <v>28</v>
      </c>
      <c r="C115" s="13">
        <v>28</v>
      </c>
      <c r="D115" s="860">
        <v>1</v>
      </c>
      <c r="E115" s="122">
        <v>33.6</v>
      </c>
      <c r="F115" s="136">
        <v>28</v>
      </c>
      <c r="G115" s="136">
        <v>0</v>
      </c>
      <c r="H115" s="125">
        <v>61.6</v>
      </c>
      <c r="I115" s="13" t="s">
        <v>30</v>
      </c>
      <c r="K115" s="13"/>
    </row>
    <row r="116" spans="1:13" s="27" customFormat="1" x14ac:dyDescent="0.3">
      <c r="A116" s="127" t="s">
        <v>687</v>
      </c>
      <c r="B116" s="26">
        <v>0</v>
      </c>
      <c r="C116" s="13">
        <v>28</v>
      </c>
      <c r="D116" s="860">
        <v>0</v>
      </c>
      <c r="E116" s="122">
        <v>0</v>
      </c>
      <c r="F116" s="136">
        <v>0</v>
      </c>
      <c r="G116" s="136">
        <v>0</v>
      </c>
      <c r="H116" s="125">
        <v>0</v>
      </c>
      <c r="I116" s="13" t="s">
        <v>30</v>
      </c>
      <c r="K116" s="13"/>
    </row>
    <row r="117" spans="1:13" s="27" customFormat="1" x14ac:dyDescent="0.3">
      <c r="A117" s="127" t="s">
        <v>688</v>
      </c>
      <c r="B117" s="26">
        <v>28</v>
      </c>
      <c r="C117" s="13">
        <v>28</v>
      </c>
      <c r="D117" s="860">
        <v>2</v>
      </c>
      <c r="E117" s="122">
        <v>33.6</v>
      </c>
      <c r="F117" s="136">
        <v>56</v>
      </c>
      <c r="G117" s="136">
        <v>0</v>
      </c>
      <c r="H117" s="125">
        <v>89.6</v>
      </c>
      <c r="I117" s="13" t="s">
        <v>30</v>
      </c>
      <c r="K117" s="13"/>
    </row>
    <row r="118" spans="1:13" s="27" customFormat="1" ht="16.2" thickBot="1" x14ac:dyDescent="0.35">
      <c r="A118" s="127" t="s">
        <v>689</v>
      </c>
      <c r="B118" s="26">
        <v>28</v>
      </c>
      <c r="C118" s="13">
        <v>28</v>
      </c>
      <c r="D118" s="860">
        <v>1</v>
      </c>
      <c r="E118" s="122">
        <v>33.6</v>
      </c>
      <c r="F118" s="136">
        <v>28</v>
      </c>
      <c r="G118" s="136">
        <v>0</v>
      </c>
      <c r="H118" s="125">
        <v>61.6</v>
      </c>
      <c r="I118" s="13" t="s">
        <v>30</v>
      </c>
      <c r="K118" s="13"/>
    </row>
    <row r="119" spans="1:13" s="27" customFormat="1" ht="16.2" thickBot="1" x14ac:dyDescent="0.35">
      <c r="A119" s="19" t="s">
        <v>20</v>
      </c>
      <c r="B119" s="26"/>
      <c r="C119" s="13"/>
      <c r="D119" s="124"/>
      <c r="E119" s="26"/>
      <c r="F119" s="1"/>
      <c r="G119" s="1"/>
      <c r="H119" s="137">
        <v>1929.1999999999996</v>
      </c>
      <c r="I119" s="13"/>
      <c r="K119" s="13"/>
    </row>
    <row r="120" spans="1:13" s="27" customFormat="1" x14ac:dyDescent="0.3">
      <c r="A120" s="27" t="s">
        <v>690</v>
      </c>
      <c r="B120" s="26">
        <v>28</v>
      </c>
      <c r="C120" s="13">
        <v>28</v>
      </c>
      <c r="D120" s="860">
        <v>1</v>
      </c>
      <c r="E120" s="122">
        <v>33.6</v>
      </c>
      <c r="F120" s="136">
        <v>28</v>
      </c>
      <c r="G120" s="136">
        <v>0</v>
      </c>
      <c r="H120" s="125">
        <v>61.6</v>
      </c>
      <c r="I120" s="13" t="s">
        <v>30</v>
      </c>
      <c r="K120" s="13"/>
    </row>
    <row r="121" spans="1:13" s="27" customFormat="1" x14ac:dyDescent="0.3">
      <c r="A121" s="27" t="s">
        <v>691</v>
      </c>
      <c r="B121" s="26">
        <v>28</v>
      </c>
      <c r="C121" s="13">
        <v>28</v>
      </c>
      <c r="D121" s="860">
        <v>1</v>
      </c>
      <c r="E121" s="122">
        <v>33.6</v>
      </c>
      <c r="F121" s="136">
        <v>28</v>
      </c>
      <c r="G121" s="136">
        <v>0</v>
      </c>
      <c r="H121" s="125">
        <v>61.6</v>
      </c>
      <c r="I121" s="13" t="s">
        <v>30</v>
      </c>
      <c r="K121" s="13"/>
    </row>
    <row r="122" spans="1:13" s="27" customFormat="1" x14ac:dyDescent="0.3">
      <c r="A122" s="27" t="s">
        <v>692</v>
      </c>
      <c r="B122" s="26">
        <v>14</v>
      </c>
      <c r="C122" s="13">
        <v>14</v>
      </c>
      <c r="D122" s="860">
        <v>1</v>
      </c>
      <c r="E122" s="122">
        <v>16.8</v>
      </c>
      <c r="F122" s="136">
        <v>14</v>
      </c>
      <c r="G122" s="136">
        <v>0</v>
      </c>
      <c r="H122" s="125">
        <v>30.8</v>
      </c>
      <c r="I122" s="13" t="s">
        <v>30</v>
      </c>
      <c r="K122" s="13"/>
    </row>
    <row r="123" spans="1:13" s="27" customFormat="1" x14ac:dyDescent="0.3">
      <c r="A123" s="27" t="s">
        <v>693</v>
      </c>
      <c r="B123" s="26">
        <v>28</v>
      </c>
      <c r="C123" s="13">
        <v>28</v>
      </c>
      <c r="D123" s="860">
        <v>1</v>
      </c>
      <c r="E123" s="122">
        <v>33.6</v>
      </c>
      <c r="F123" s="136">
        <v>28</v>
      </c>
      <c r="G123" s="136">
        <v>0</v>
      </c>
      <c r="H123" s="125">
        <v>61.6</v>
      </c>
      <c r="I123" s="13" t="s">
        <v>30</v>
      </c>
      <c r="K123" s="13"/>
    </row>
    <row r="124" spans="1:13" s="27" customFormat="1" x14ac:dyDescent="0.3">
      <c r="A124" s="27" t="s">
        <v>694</v>
      </c>
      <c r="B124" s="26">
        <v>28</v>
      </c>
      <c r="C124" s="13">
        <v>28</v>
      </c>
      <c r="D124" s="860">
        <v>1</v>
      </c>
      <c r="E124" s="122">
        <v>33.6</v>
      </c>
      <c r="F124" s="136">
        <v>28</v>
      </c>
      <c r="G124" s="136">
        <v>0</v>
      </c>
      <c r="H124" s="125">
        <v>61.6</v>
      </c>
      <c r="I124" s="13" t="s">
        <v>30</v>
      </c>
      <c r="K124" s="13"/>
    </row>
    <row r="125" spans="1:13" s="27" customFormat="1" x14ac:dyDescent="0.3">
      <c r="A125" s="27" t="s">
        <v>162</v>
      </c>
      <c r="B125" s="26">
        <v>0</v>
      </c>
      <c r="C125" s="13">
        <v>28</v>
      </c>
      <c r="D125" s="860">
        <v>0</v>
      </c>
      <c r="E125" s="122">
        <v>0</v>
      </c>
      <c r="F125" s="136">
        <v>0</v>
      </c>
      <c r="G125" s="136">
        <v>0</v>
      </c>
      <c r="H125" s="125">
        <v>0</v>
      </c>
      <c r="I125" s="13" t="s">
        <v>30</v>
      </c>
      <c r="K125" s="13"/>
    </row>
    <row r="126" spans="1:13" s="27" customFormat="1" x14ac:dyDescent="0.3">
      <c r="A126" s="27" t="s">
        <v>695</v>
      </c>
      <c r="B126" s="26">
        <v>28</v>
      </c>
      <c r="C126" s="13">
        <v>28</v>
      </c>
      <c r="D126" s="860">
        <v>1</v>
      </c>
      <c r="E126" s="122">
        <v>33.6</v>
      </c>
      <c r="F126" s="136">
        <v>28</v>
      </c>
      <c r="G126" s="136">
        <v>0</v>
      </c>
      <c r="H126" s="125">
        <v>61.6</v>
      </c>
      <c r="I126" s="13" t="s">
        <v>30</v>
      </c>
      <c r="J126" s="127"/>
      <c r="K126" s="13"/>
      <c r="L126" s="127"/>
      <c r="M126" s="127"/>
    </row>
    <row r="127" spans="1:13" s="127" customFormat="1" x14ac:dyDescent="0.3">
      <c r="A127" s="27" t="s">
        <v>696</v>
      </c>
      <c r="B127" s="26">
        <v>0</v>
      </c>
      <c r="C127" s="13">
        <v>28</v>
      </c>
      <c r="D127" s="860">
        <v>0</v>
      </c>
      <c r="E127" s="122">
        <v>0</v>
      </c>
      <c r="F127" s="136">
        <v>0</v>
      </c>
      <c r="G127" s="136">
        <v>0</v>
      </c>
      <c r="H127" s="125">
        <v>0</v>
      </c>
      <c r="I127" s="13" t="s">
        <v>30</v>
      </c>
      <c r="J127" s="27"/>
      <c r="K127" s="13"/>
      <c r="L127" s="27"/>
      <c r="M127" s="27"/>
    </row>
    <row r="128" spans="1:13" s="27" customFormat="1" x14ac:dyDescent="0.3">
      <c r="A128" s="27" t="s">
        <v>697</v>
      </c>
      <c r="B128" s="26">
        <v>20</v>
      </c>
      <c r="C128" s="13">
        <v>20</v>
      </c>
      <c r="D128" s="860">
        <v>2</v>
      </c>
      <c r="E128" s="122">
        <v>24</v>
      </c>
      <c r="F128" s="136">
        <v>40</v>
      </c>
      <c r="G128" s="136">
        <v>0</v>
      </c>
      <c r="H128" s="125">
        <v>64</v>
      </c>
      <c r="I128" s="13" t="s">
        <v>30</v>
      </c>
      <c r="K128" s="13"/>
    </row>
    <row r="129" spans="1:13" s="27" customFormat="1" x14ac:dyDescent="0.3">
      <c r="A129" s="127" t="s">
        <v>698</v>
      </c>
      <c r="B129" s="26">
        <v>0</v>
      </c>
      <c r="C129" s="13">
        <v>20</v>
      </c>
      <c r="D129" s="860">
        <v>1</v>
      </c>
      <c r="E129" s="122">
        <v>0</v>
      </c>
      <c r="F129" s="136">
        <v>20</v>
      </c>
      <c r="G129" s="136">
        <v>0</v>
      </c>
      <c r="H129" s="125">
        <v>20</v>
      </c>
      <c r="I129" s="13" t="s">
        <v>30</v>
      </c>
      <c r="K129" s="13"/>
    </row>
    <row r="130" spans="1:13" s="27" customFormat="1" x14ac:dyDescent="0.3">
      <c r="A130" s="127" t="s">
        <v>699</v>
      </c>
      <c r="B130" s="26">
        <v>20</v>
      </c>
      <c r="C130" s="13">
        <v>20</v>
      </c>
      <c r="D130" s="860">
        <v>1</v>
      </c>
      <c r="E130" s="122">
        <v>24</v>
      </c>
      <c r="F130" s="136">
        <v>20</v>
      </c>
      <c r="G130" s="136">
        <v>0</v>
      </c>
      <c r="H130" s="125">
        <v>44</v>
      </c>
      <c r="I130" s="13" t="s">
        <v>30</v>
      </c>
      <c r="K130" s="13"/>
    </row>
    <row r="131" spans="1:13" s="27" customFormat="1" x14ac:dyDescent="0.3">
      <c r="A131" s="127" t="s">
        <v>700</v>
      </c>
      <c r="B131" s="26">
        <v>20</v>
      </c>
      <c r="C131" s="13">
        <v>20</v>
      </c>
      <c r="D131" s="860">
        <v>1</v>
      </c>
      <c r="E131" s="122">
        <v>24</v>
      </c>
      <c r="F131" s="136">
        <v>20</v>
      </c>
      <c r="G131" s="136">
        <v>0</v>
      </c>
      <c r="H131" s="125">
        <v>44</v>
      </c>
      <c r="I131" s="13" t="s">
        <v>30</v>
      </c>
      <c r="K131" s="13"/>
    </row>
    <row r="132" spans="1:13" s="27" customFormat="1" x14ac:dyDescent="0.3">
      <c r="A132" s="127" t="s">
        <v>701</v>
      </c>
      <c r="B132" s="26">
        <v>20</v>
      </c>
      <c r="C132" s="13">
        <v>20</v>
      </c>
      <c r="D132" s="860">
        <v>4</v>
      </c>
      <c r="E132" s="122">
        <v>24</v>
      </c>
      <c r="F132" s="136">
        <v>40</v>
      </c>
      <c r="G132" s="136">
        <v>32</v>
      </c>
      <c r="H132" s="125">
        <v>96</v>
      </c>
      <c r="I132" s="13" t="s">
        <v>30</v>
      </c>
      <c r="K132" s="22"/>
    </row>
    <row r="133" spans="1:13" s="27" customFormat="1" x14ac:dyDescent="0.3">
      <c r="A133" s="127" t="s">
        <v>702</v>
      </c>
      <c r="B133" s="26">
        <v>20</v>
      </c>
      <c r="C133" s="13">
        <v>20</v>
      </c>
      <c r="D133" s="860">
        <v>1</v>
      </c>
      <c r="E133" s="122">
        <v>24</v>
      </c>
      <c r="F133" s="136">
        <v>20</v>
      </c>
      <c r="G133" s="136">
        <v>0</v>
      </c>
      <c r="H133" s="125">
        <v>44</v>
      </c>
      <c r="I133" s="13" t="s">
        <v>30</v>
      </c>
      <c r="K133" s="22"/>
    </row>
    <row r="134" spans="1:13" s="27" customFormat="1" x14ac:dyDescent="0.3">
      <c r="A134" s="127" t="s">
        <v>703</v>
      </c>
      <c r="B134" s="26">
        <v>20</v>
      </c>
      <c r="C134" s="13">
        <v>20</v>
      </c>
      <c r="D134" s="860">
        <v>1</v>
      </c>
      <c r="E134" s="122">
        <v>24</v>
      </c>
      <c r="F134" s="136">
        <v>20</v>
      </c>
      <c r="G134" s="136">
        <v>0</v>
      </c>
      <c r="H134" s="125">
        <v>44</v>
      </c>
      <c r="I134" s="13" t="s">
        <v>30</v>
      </c>
      <c r="K134" s="22"/>
    </row>
    <row r="135" spans="1:13" s="27" customFormat="1" x14ac:dyDescent="0.3">
      <c r="A135" s="127" t="s">
        <v>386</v>
      </c>
      <c r="B135" s="26">
        <v>0</v>
      </c>
      <c r="C135" s="13">
        <v>20</v>
      </c>
      <c r="D135" s="860">
        <v>0</v>
      </c>
      <c r="E135" s="122">
        <v>0</v>
      </c>
      <c r="F135" s="136">
        <v>0</v>
      </c>
      <c r="G135" s="136">
        <v>0</v>
      </c>
      <c r="H135" s="125">
        <v>0</v>
      </c>
      <c r="I135" s="13" t="s">
        <v>30</v>
      </c>
      <c r="K135" s="13"/>
    </row>
    <row r="136" spans="1:13" s="27" customFormat="1" x14ac:dyDescent="0.3">
      <c r="A136" s="127" t="s">
        <v>704</v>
      </c>
      <c r="B136" s="26">
        <v>20</v>
      </c>
      <c r="C136" s="13">
        <v>20</v>
      </c>
      <c r="D136" s="860">
        <v>3</v>
      </c>
      <c r="E136" s="122">
        <v>24</v>
      </c>
      <c r="F136" s="136">
        <v>40</v>
      </c>
      <c r="G136" s="136">
        <v>16</v>
      </c>
      <c r="H136" s="125">
        <v>80</v>
      </c>
      <c r="I136" s="13" t="s">
        <v>30</v>
      </c>
      <c r="K136" s="13"/>
    </row>
    <row r="137" spans="1:13" s="27" customFormat="1" x14ac:dyDescent="0.3">
      <c r="A137" s="127" t="s">
        <v>705</v>
      </c>
      <c r="B137" s="26">
        <v>0</v>
      </c>
      <c r="C137" s="13">
        <v>20</v>
      </c>
      <c r="D137" s="860">
        <v>0</v>
      </c>
      <c r="E137" s="122">
        <v>0</v>
      </c>
      <c r="F137" s="136">
        <v>0</v>
      </c>
      <c r="G137" s="136">
        <v>0</v>
      </c>
      <c r="H137" s="125">
        <v>0</v>
      </c>
      <c r="I137" s="13" t="s">
        <v>30</v>
      </c>
      <c r="K137" s="13"/>
    </row>
    <row r="138" spans="1:13" s="27" customFormat="1" x14ac:dyDescent="0.3">
      <c r="A138" s="127" t="s">
        <v>706</v>
      </c>
      <c r="B138" s="26">
        <v>20</v>
      </c>
      <c r="C138" s="13">
        <v>20</v>
      </c>
      <c r="D138" s="860">
        <v>1</v>
      </c>
      <c r="E138" s="145">
        <v>24</v>
      </c>
      <c r="F138" s="136">
        <v>20</v>
      </c>
      <c r="G138" s="136">
        <v>0</v>
      </c>
      <c r="H138" s="90">
        <v>44</v>
      </c>
      <c r="I138" s="13" t="s">
        <v>30</v>
      </c>
      <c r="K138" s="13"/>
    </row>
    <row r="139" spans="1:13" s="27" customFormat="1" x14ac:dyDescent="0.3">
      <c r="A139" s="127" t="s">
        <v>707</v>
      </c>
      <c r="B139" s="26">
        <v>20</v>
      </c>
      <c r="C139" s="13">
        <v>20</v>
      </c>
      <c r="D139" s="860">
        <v>1</v>
      </c>
      <c r="E139" s="122">
        <v>24</v>
      </c>
      <c r="F139" s="136">
        <v>20</v>
      </c>
      <c r="G139" s="136">
        <v>0</v>
      </c>
      <c r="H139" s="125">
        <v>44</v>
      </c>
      <c r="I139" s="13" t="s">
        <v>30</v>
      </c>
      <c r="K139" s="13"/>
    </row>
    <row r="140" spans="1:13" s="27" customFormat="1" x14ac:dyDescent="0.3">
      <c r="A140" s="127" t="s">
        <v>708</v>
      </c>
      <c r="B140" s="26">
        <v>20</v>
      </c>
      <c r="C140" s="13">
        <v>20</v>
      </c>
      <c r="D140" s="860">
        <v>1</v>
      </c>
      <c r="E140" s="122">
        <v>24</v>
      </c>
      <c r="F140" s="136">
        <v>20</v>
      </c>
      <c r="G140" s="136">
        <v>0</v>
      </c>
      <c r="H140" s="125">
        <v>44</v>
      </c>
      <c r="I140" s="13" t="s">
        <v>30</v>
      </c>
      <c r="K140" s="13"/>
    </row>
    <row r="141" spans="1:13" s="27" customFormat="1" x14ac:dyDescent="0.3">
      <c r="A141" s="127" t="s">
        <v>709</v>
      </c>
      <c r="B141" s="26">
        <v>20</v>
      </c>
      <c r="C141" s="13">
        <v>20</v>
      </c>
      <c r="D141" s="860">
        <v>3</v>
      </c>
      <c r="E141" s="122">
        <v>24</v>
      </c>
      <c r="F141" s="136">
        <v>40</v>
      </c>
      <c r="G141" s="136">
        <v>16</v>
      </c>
      <c r="H141" s="125">
        <v>80</v>
      </c>
      <c r="I141" s="13" t="s">
        <v>30</v>
      </c>
      <c r="K141" s="13"/>
    </row>
    <row r="142" spans="1:13" s="27" customFormat="1" x14ac:dyDescent="0.3">
      <c r="A142" s="27" t="s">
        <v>710</v>
      </c>
      <c r="B142" s="26">
        <v>20</v>
      </c>
      <c r="C142" s="13">
        <v>0</v>
      </c>
      <c r="D142" s="860">
        <v>1</v>
      </c>
      <c r="E142" s="122">
        <v>24</v>
      </c>
      <c r="F142" s="136">
        <v>0</v>
      </c>
      <c r="G142" s="136">
        <v>0</v>
      </c>
      <c r="H142" s="125">
        <v>24</v>
      </c>
      <c r="I142" s="13" t="s">
        <v>30</v>
      </c>
      <c r="K142" s="13"/>
    </row>
    <row r="143" spans="1:13" s="27" customFormat="1" x14ac:dyDescent="0.3">
      <c r="A143" s="27" t="s">
        <v>711</v>
      </c>
      <c r="B143" s="26">
        <v>14</v>
      </c>
      <c r="C143" s="13">
        <v>0</v>
      </c>
      <c r="D143" s="860">
        <v>1</v>
      </c>
      <c r="E143" s="122">
        <v>16.8</v>
      </c>
      <c r="F143" s="136">
        <v>0</v>
      </c>
      <c r="G143" s="136">
        <v>0</v>
      </c>
      <c r="H143" s="125">
        <v>16.8</v>
      </c>
      <c r="I143" s="13" t="s">
        <v>30</v>
      </c>
      <c r="K143" s="13"/>
    </row>
    <row r="144" spans="1:13" s="27" customFormat="1" x14ac:dyDescent="0.3">
      <c r="A144" s="127" t="s">
        <v>387</v>
      </c>
      <c r="B144" s="26">
        <v>8</v>
      </c>
      <c r="C144" s="13">
        <v>0</v>
      </c>
      <c r="D144" s="860">
        <v>1</v>
      </c>
      <c r="E144" s="122">
        <v>9.6</v>
      </c>
      <c r="F144" s="136">
        <v>0</v>
      </c>
      <c r="G144" s="136">
        <v>0</v>
      </c>
      <c r="H144" s="125">
        <v>9.6</v>
      </c>
      <c r="I144" s="13" t="s">
        <v>30</v>
      </c>
      <c r="J144" s="19"/>
      <c r="K144" s="140"/>
      <c r="L144" s="19"/>
      <c r="M144" s="19"/>
    </row>
    <row r="145" spans="1:13" s="27" customFormat="1" x14ac:dyDescent="0.3">
      <c r="A145" s="127" t="s">
        <v>525</v>
      </c>
      <c r="B145" s="26">
        <v>14</v>
      </c>
      <c r="C145" s="13">
        <v>0</v>
      </c>
      <c r="D145" s="860">
        <v>1</v>
      </c>
      <c r="E145" s="122">
        <v>16.8</v>
      </c>
      <c r="F145" s="136">
        <v>0</v>
      </c>
      <c r="G145" s="136">
        <v>0</v>
      </c>
      <c r="H145" s="125">
        <v>16.8</v>
      </c>
      <c r="I145" s="13" t="s">
        <v>30</v>
      </c>
      <c r="K145" s="13"/>
    </row>
    <row r="146" spans="1:13" s="19" customFormat="1" x14ac:dyDescent="0.3">
      <c r="A146" s="27" t="s">
        <v>712</v>
      </c>
      <c r="B146" s="139">
        <v>28</v>
      </c>
      <c r="C146" s="139">
        <v>28</v>
      </c>
      <c r="D146" s="860">
        <v>1</v>
      </c>
      <c r="E146" s="122">
        <v>33.6</v>
      </c>
      <c r="F146" s="136">
        <v>28</v>
      </c>
      <c r="G146" s="136">
        <v>0</v>
      </c>
      <c r="H146" s="125">
        <v>61.6</v>
      </c>
      <c r="I146" s="13" t="s">
        <v>30</v>
      </c>
      <c r="J146" s="27"/>
      <c r="K146" s="13"/>
      <c r="L146" s="27"/>
      <c r="M146" s="27"/>
    </row>
    <row r="147" spans="1:13" s="27" customFormat="1" x14ac:dyDescent="0.3">
      <c r="A147" s="27" t="s">
        <v>713</v>
      </c>
      <c r="B147" s="139">
        <v>0</v>
      </c>
      <c r="C147" s="139">
        <v>4</v>
      </c>
      <c r="D147" s="860">
        <v>0</v>
      </c>
      <c r="E147" s="122">
        <v>0</v>
      </c>
      <c r="F147" s="136">
        <v>0</v>
      </c>
      <c r="G147" s="136">
        <v>0</v>
      </c>
      <c r="H147" s="125">
        <v>0</v>
      </c>
      <c r="I147" s="13" t="s">
        <v>30</v>
      </c>
      <c r="K147" s="13"/>
    </row>
    <row r="148" spans="1:13" s="27" customFormat="1" x14ac:dyDescent="0.3">
      <c r="A148" s="27" t="s">
        <v>714</v>
      </c>
      <c r="B148" s="146">
        <v>28</v>
      </c>
      <c r="C148" s="147">
        <v>28</v>
      </c>
      <c r="D148" s="860">
        <v>1</v>
      </c>
      <c r="E148" s="122">
        <v>33.6</v>
      </c>
      <c r="F148" s="136">
        <v>28</v>
      </c>
      <c r="G148" s="136">
        <v>0</v>
      </c>
      <c r="H148" s="125">
        <v>61.6</v>
      </c>
      <c r="I148" s="13" t="s">
        <v>30</v>
      </c>
      <c r="K148" s="13"/>
    </row>
    <row r="149" spans="1:13" s="27" customFormat="1" x14ac:dyDescent="0.3">
      <c r="A149" s="27" t="s">
        <v>715</v>
      </c>
      <c r="B149" s="146">
        <v>16</v>
      </c>
      <c r="C149" s="147">
        <v>0</v>
      </c>
      <c r="D149" s="860">
        <v>1</v>
      </c>
      <c r="E149" s="122">
        <v>19.2</v>
      </c>
      <c r="F149" s="136">
        <v>0</v>
      </c>
      <c r="G149" s="136">
        <v>0</v>
      </c>
      <c r="H149" s="125">
        <v>19.2</v>
      </c>
      <c r="I149" s="13" t="s">
        <v>30</v>
      </c>
      <c r="K149" s="13"/>
    </row>
    <row r="150" spans="1:13" s="27" customFormat="1" x14ac:dyDescent="0.3">
      <c r="A150" s="127" t="s">
        <v>716</v>
      </c>
      <c r="B150" s="146">
        <v>0</v>
      </c>
      <c r="C150" s="147">
        <v>14</v>
      </c>
      <c r="D150" s="860">
        <v>0</v>
      </c>
      <c r="E150" s="122">
        <v>0</v>
      </c>
      <c r="F150" s="136">
        <v>0</v>
      </c>
      <c r="G150" s="136">
        <v>0</v>
      </c>
      <c r="H150" s="125">
        <v>0</v>
      </c>
      <c r="I150" s="13" t="s">
        <v>30</v>
      </c>
      <c r="K150" s="13"/>
    </row>
    <row r="151" spans="1:13" s="27" customFormat="1" x14ac:dyDescent="0.3">
      <c r="A151" s="27" t="s">
        <v>717</v>
      </c>
      <c r="B151" s="26">
        <v>28</v>
      </c>
      <c r="C151" s="13">
        <v>14</v>
      </c>
      <c r="D151" s="860">
        <v>1</v>
      </c>
      <c r="E151" s="122">
        <v>33.6</v>
      </c>
      <c r="F151" s="136">
        <v>14</v>
      </c>
      <c r="G151" s="136">
        <v>0</v>
      </c>
      <c r="H151" s="125">
        <v>47.6</v>
      </c>
      <c r="I151" s="13" t="s">
        <v>30</v>
      </c>
      <c r="K151" s="13"/>
    </row>
    <row r="152" spans="1:13" s="27" customFormat="1" ht="16.2" thickBot="1" x14ac:dyDescent="0.35">
      <c r="A152" s="127" t="s">
        <v>718</v>
      </c>
      <c r="B152" s="26">
        <v>28</v>
      </c>
      <c r="C152" s="13">
        <v>28</v>
      </c>
      <c r="D152" s="860">
        <v>1</v>
      </c>
      <c r="E152" s="122">
        <v>33.6</v>
      </c>
      <c r="F152" s="136">
        <v>28</v>
      </c>
      <c r="G152" s="136">
        <v>0</v>
      </c>
      <c r="H152" s="125">
        <v>61.6</v>
      </c>
      <c r="I152" s="13" t="s">
        <v>30</v>
      </c>
      <c r="K152" s="13"/>
    </row>
    <row r="153" spans="1:13" s="27" customFormat="1" ht="16.2" thickBot="1" x14ac:dyDescent="0.35">
      <c r="A153" s="51"/>
      <c r="B153" s="91"/>
      <c r="C153" s="140"/>
      <c r="D153" s="148"/>
      <c r="E153" s="26"/>
      <c r="F153" s="26"/>
      <c r="G153" s="26"/>
      <c r="H153" s="137">
        <v>1305.5999999999995</v>
      </c>
      <c r="I153" s="23"/>
      <c r="K153" s="13"/>
    </row>
    <row r="154" spans="1:13" s="27" customFormat="1" ht="16.2" thickBot="1" x14ac:dyDescent="0.35">
      <c r="A154" s="19" t="s">
        <v>21</v>
      </c>
      <c r="B154" s="85"/>
      <c r="C154" s="13"/>
      <c r="D154" s="26"/>
      <c r="E154" s="26"/>
      <c r="F154" s="26"/>
      <c r="G154" s="142" t="s">
        <v>151</v>
      </c>
      <c r="H154" s="137">
        <v>4836.7999999999993</v>
      </c>
      <c r="I154" s="21"/>
      <c r="K154" s="13"/>
    </row>
    <row r="155" spans="1:13" s="27" customFormat="1" x14ac:dyDescent="0.3">
      <c r="A155" s="27" t="s">
        <v>719</v>
      </c>
      <c r="B155" s="26">
        <v>28</v>
      </c>
      <c r="C155" s="13">
        <v>28</v>
      </c>
      <c r="D155" s="860">
        <v>1</v>
      </c>
      <c r="E155" s="122">
        <v>33.6</v>
      </c>
      <c r="F155" s="143">
        <v>28</v>
      </c>
      <c r="G155" s="143">
        <v>0</v>
      </c>
      <c r="H155" s="125">
        <v>61.6</v>
      </c>
      <c r="I155" s="20" t="s">
        <v>140</v>
      </c>
      <c r="K155" s="13"/>
    </row>
    <row r="156" spans="1:13" x14ac:dyDescent="0.3">
      <c r="A156" s="27" t="s">
        <v>720</v>
      </c>
      <c r="B156" s="26">
        <v>42</v>
      </c>
      <c r="C156" s="13">
        <v>28</v>
      </c>
      <c r="D156" s="860">
        <v>1</v>
      </c>
      <c r="E156" s="122">
        <v>50.4</v>
      </c>
      <c r="F156" s="143">
        <v>28</v>
      </c>
      <c r="G156" s="143">
        <v>0</v>
      </c>
      <c r="H156" s="125">
        <v>78.400000000000006</v>
      </c>
      <c r="I156" s="20" t="s">
        <v>140</v>
      </c>
      <c r="J156" s="27"/>
      <c r="K156" s="13"/>
    </row>
    <row r="157" spans="1:13" s="27" customFormat="1" x14ac:dyDescent="0.3">
      <c r="A157" s="27" t="s">
        <v>721</v>
      </c>
      <c r="B157" s="26">
        <v>28</v>
      </c>
      <c r="C157" s="13">
        <v>28</v>
      </c>
      <c r="D157" s="860">
        <v>2</v>
      </c>
      <c r="E157" s="122">
        <v>33.6</v>
      </c>
      <c r="F157" s="143">
        <v>56</v>
      </c>
      <c r="G157" s="143">
        <v>0</v>
      </c>
      <c r="H157" s="125">
        <v>89.6</v>
      </c>
      <c r="I157" s="20" t="s">
        <v>140</v>
      </c>
      <c r="K157" s="13"/>
    </row>
    <row r="158" spans="1:13" s="27" customFormat="1" x14ac:dyDescent="0.3">
      <c r="A158" s="27" t="s">
        <v>722</v>
      </c>
      <c r="B158" s="26">
        <v>0</v>
      </c>
      <c r="C158" s="13">
        <v>28</v>
      </c>
      <c r="D158" s="860">
        <v>1</v>
      </c>
      <c r="E158" s="122">
        <v>0</v>
      </c>
      <c r="F158" s="143">
        <v>28</v>
      </c>
      <c r="G158" s="143">
        <v>0</v>
      </c>
      <c r="H158" s="125">
        <v>28</v>
      </c>
      <c r="I158" s="20" t="s">
        <v>140</v>
      </c>
      <c r="J158" s="27" t="s">
        <v>526</v>
      </c>
      <c r="K158" s="13"/>
      <c r="L158" s="1"/>
      <c r="M158" s="1"/>
    </row>
    <row r="159" spans="1:13" s="27" customFormat="1" x14ac:dyDescent="0.3">
      <c r="A159" s="27" t="s">
        <v>723</v>
      </c>
      <c r="B159" s="26">
        <v>28</v>
      </c>
      <c r="C159" s="13">
        <v>56</v>
      </c>
      <c r="D159" s="860">
        <v>1</v>
      </c>
      <c r="E159" s="122">
        <v>33.6</v>
      </c>
      <c r="F159" s="143">
        <v>56</v>
      </c>
      <c r="G159" s="143">
        <v>0</v>
      </c>
      <c r="H159" s="125">
        <v>89.6</v>
      </c>
      <c r="I159" s="20" t="s">
        <v>140</v>
      </c>
      <c r="K159" s="13"/>
    </row>
    <row r="160" spans="1:13" s="27" customFormat="1" x14ac:dyDescent="0.3">
      <c r="A160" s="27" t="s">
        <v>724</v>
      </c>
      <c r="B160" s="26">
        <v>28</v>
      </c>
      <c r="C160" s="13">
        <v>28</v>
      </c>
      <c r="D160" s="860">
        <v>1</v>
      </c>
      <c r="E160" s="122">
        <v>33.6</v>
      </c>
      <c r="F160" s="143">
        <v>28</v>
      </c>
      <c r="G160" s="143">
        <v>0</v>
      </c>
      <c r="H160" s="125">
        <v>61.6</v>
      </c>
      <c r="I160" s="20" t="s">
        <v>140</v>
      </c>
      <c r="K160" s="13"/>
    </row>
    <row r="161" spans="1:13" s="27" customFormat="1" x14ac:dyDescent="0.3">
      <c r="A161" s="27" t="s">
        <v>725</v>
      </c>
      <c r="B161" s="26">
        <v>28</v>
      </c>
      <c r="C161" s="13">
        <v>0</v>
      </c>
      <c r="D161" s="860">
        <v>1</v>
      </c>
      <c r="E161" s="122">
        <v>33.6</v>
      </c>
      <c r="F161" s="143">
        <v>0</v>
      </c>
      <c r="G161" s="143">
        <v>0</v>
      </c>
      <c r="H161" s="125">
        <v>33.6</v>
      </c>
      <c r="I161" s="20" t="s">
        <v>140</v>
      </c>
      <c r="K161" s="13"/>
    </row>
    <row r="162" spans="1:13" s="27" customFormat="1" x14ac:dyDescent="0.3">
      <c r="A162" s="27" t="s">
        <v>726</v>
      </c>
      <c r="B162" s="26">
        <v>0</v>
      </c>
      <c r="C162" s="13">
        <v>14</v>
      </c>
      <c r="D162" s="860">
        <v>0</v>
      </c>
      <c r="E162" s="122">
        <v>0</v>
      </c>
      <c r="F162" s="143">
        <v>0</v>
      </c>
      <c r="G162" s="143">
        <v>0</v>
      </c>
      <c r="H162" s="125">
        <v>0</v>
      </c>
      <c r="I162" s="20" t="s">
        <v>140</v>
      </c>
      <c r="K162" s="13"/>
    </row>
    <row r="163" spans="1:13" s="27" customFormat="1" x14ac:dyDescent="0.3">
      <c r="A163" s="127" t="s">
        <v>727</v>
      </c>
      <c r="B163" s="26">
        <v>28</v>
      </c>
      <c r="C163" s="13">
        <v>28</v>
      </c>
      <c r="D163" s="860">
        <v>1</v>
      </c>
      <c r="E163" s="122">
        <v>33.6</v>
      </c>
      <c r="F163" s="143">
        <v>28</v>
      </c>
      <c r="G163" s="143">
        <v>0</v>
      </c>
      <c r="H163" s="125">
        <v>61.6</v>
      </c>
      <c r="I163" s="20" t="s">
        <v>140</v>
      </c>
      <c r="K163" s="22"/>
    </row>
    <row r="164" spans="1:13" s="27" customFormat="1" x14ac:dyDescent="0.3">
      <c r="A164" s="127" t="s">
        <v>728</v>
      </c>
      <c r="B164" s="26">
        <v>0</v>
      </c>
      <c r="C164" s="13">
        <v>28</v>
      </c>
      <c r="D164" s="860">
        <v>0</v>
      </c>
      <c r="E164" s="122">
        <v>0</v>
      </c>
      <c r="F164" s="143">
        <v>0</v>
      </c>
      <c r="G164" s="143">
        <v>0</v>
      </c>
      <c r="H164" s="125">
        <v>0</v>
      </c>
      <c r="I164" s="20" t="s">
        <v>140</v>
      </c>
      <c r="K164" s="13"/>
    </row>
    <row r="165" spans="1:13" s="27" customFormat="1" x14ac:dyDescent="0.3">
      <c r="A165" s="127" t="s">
        <v>527</v>
      </c>
      <c r="B165" s="26">
        <v>28</v>
      </c>
      <c r="C165" s="13">
        <v>28</v>
      </c>
      <c r="D165" s="860">
        <v>1</v>
      </c>
      <c r="E165" s="122">
        <v>33.6</v>
      </c>
      <c r="F165" s="143">
        <v>28</v>
      </c>
      <c r="G165" s="143">
        <v>0</v>
      </c>
      <c r="H165" s="125">
        <v>61.6</v>
      </c>
      <c r="I165" s="20" t="s">
        <v>140</v>
      </c>
      <c r="K165" s="13"/>
    </row>
    <row r="166" spans="1:13" s="27" customFormat="1" x14ac:dyDescent="0.3">
      <c r="A166" s="127" t="s">
        <v>729</v>
      </c>
      <c r="B166" s="26">
        <v>28</v>
      </c>
      <c r="C166" s="13">
        <v>28</v>
      </c>
      <c r="D166" s="860">
        <v>1</v>
      </c>
      <c r="E166" s="122">
        <v>33.6</v>
      </c>
      <c r="F166" s="143">
        <v>28</v>
      </c>
      <c r="G166" s="143">
        <v>0</v>
      </c>
      <c r="H166" s="125">
        <v>61.6</v>
      </c>
      <c r="I166" s="20" t="s">
        <v>140</v>
      </c>
      <c r="K166" s="13"/>
    </row>
    <row r="167" spans="1:13" x14ac:dyDescent="0.3">
      <c r="A167" s="127" t="s">
        <v>730</v>
      </c>
      <c r="B167" s="26">
        <v>0</v>
      </c>
      <c r="C167" s="13">
        <v>56</v>
      </c>
      <c r="D167" s="860">
        <v>1</v>
      </c>
      <c r="E167" s="122">
        <v>0</v>
      </c>
      <c r="F167" s="143">
        <v>56</v>
      </c>
      <c r="G167" s="143">
        <v>0</v>
      </c>
      <c r="H167" s="125">
        <v>56</v>
      </c>
      <c r="I167" s="20" t="s">
        <v>140</v>
      </c>
      <c r="J167" s="27"/>
      <c r="K167" s="13"/>
      <c r="L167" s="27"/>
      <c r="M167" s="27"/>
    </row>
    <row r="168" spans="1:13" s="27" customFormat="1" x14ac:dyDescent="0.3">
      <c r="A168" s="127" t="s">
        <v>731</v>
      </c>
      <c r="B168" s="26">
        <v>28</v>
      </c>
      <c r="C168" s="13">
        <v>28</v>
      </c>
      <c r="D168" s="860">
        <v>1</v>
      </c>
      <c r="E168" s="122">
        <v>33.6</v>
      </c>
      <c r="F168" s="143">
        <v>28</v>
      </c>
      <c r="G168" s="143">
        <v>0</v>
      </c>
      <c r="H168" s="125">
        <v>61.6</v>
      </c>
      <c r="I168" s="20" t="s">
        <v>140</v>
      </c>
      <c r="K168" s="13"/>
    </row>
    <row r="169" spans="1:13" s="27" customFormat="1" x14ac:dyDescent="0.3">
      <c r="A169" s="127" t="s">
        <v>732</v>
      </c>
      <c r="B169" s="26">
        <v>28</v>
      </c>
      <c r="C169" s="13">
        <v>28</v>
      </c>
      <c r="D169" s="860">
        <v>1</v>
      </c>
      <c r="E169" s="122">
        <v>33.6</v>
      </c>
      <c r="F169" s="143">
        <v>28</v>
      </c>
      <c r="G169" s="143">
        <v>0</v>
      </c>
      <c r="H169" s="125">
        <v>61.6</v>
      </c>
      <c r="I169" s="20" t="s">
        <v>140</v>
      </c>
      <c r="K169" s="13"/>
    </row>
    <row r="170" spans="1:13" s="27" customFormat="1" x14ac:dyDescent="0.3">
      <c r="A170" s="127" t="s">
        <v>733</v>
      </c>
      <c r="B170" s="26">
        <v>28</v>
      </c>
      <c r="C170" s="13">
        <v>28</v>
      </c>
      <c r="D170" s="860">
        <v>2</v>
      </c>
      <c r="E170" s="122">
        <v>33.6</v>
      </c>
      <c r="F170" s="143">
        <v>56</v>
      </c>
      <c r="G170" s="143">
        <v>0</v>
      </c>
      <c r="H170" s="125">
        <v>89.6</v>
      </c>
      <c r="I170" s="20" t="s">
        <v>140</v>
      </c>
      <c r="K170" s="13"/>
    </row>
    <row r="171" spans="1:13" s="27" customFormat="1" x14ac:dyDescent="0.3">
      <c r="A171" s="127" t="s">
        <v>734</v>
      </c>
      <c r="B171" s="26">
        <v>28</v>
      </c>
      <c r="C171" s="13">
        <v>28</v>
      </c>
      <c r="D171" s="860">
        <v>1</v>
      </c>
      <c r="E171" s="122">
        <v>33.6</v>
      </c>
      <c r="F171" s="143">
        <v>28</v>
      </c>
      <c r="G171" s="143">
        <v>0</v>
      </c>
      <c r="H171" s="125">
        <v>61.6</v>
      </c>
      <c r="I171" s="20" t="s">
        <v>140</v>
      </c>
      <c r="K171" s="13"/>
    </row>
    <row r="172" spans="1:13" s="27" customFormat="1" x14ac:dyDescent="0.3">
      <c r="A172" s="127" t="s">
        <v>528</v>
      </c>
      <c r="B172" s="26">
        <v>28</v>
      </c>
      <c r="C172" s="13">
        <v>28</v>
      </c>
      <c r="D172" s="860">
        <v>1</v>
      </c>
      <c r="E172" s="122">
        <v>33.6</v>
      </c>
      <c r="F172" s="143">
        <v>28</v>
      </c>
      <c r="G172" s="143">
        <v>0</v>
      </c>
      <c r="H172" s="125">
        <v>61.6</v>
      </c>
      <c r="I172" s="20" t="s">
        <v>140</v>
      </c>
      <c r="K172" s="13"/>
    </row>
    <row r="173" spans="1:13" s="27" customFormat="1" x14ac:dyDescent="0.3">
      <c r="A173" s="127" t="s">
        <v>735</v>
      </c>
      <c r="B173" s="26">
        <v>28</v>
      </c>
      <c r="C173" s="13">
        <v>28</v>
      </c>
      <c r="D173" s="860">
        <v>1</v>
      </c>
      <c r="E173" s="122">
        <v>33.6</v>
      </c>
      <c r="F173" s="143">
        <v>28</v>
      </c>
      <c r="G173" s="143">
        <v>0</v>
      </c>
      <c r="H173" s="125">
        <v>61.6</v>
      </c>
      <c r="I173" s="20" t="s">
        <v>140</v>
      </c>
      <c r="K173" s="13"/>
    </row>
    <row r="174" spans="1:13" s="27" customFormat="1" x14ac:dyDescent="0.3">
      <c r="A174" s="19" t="s">
        <v>736</v>
      </c>
      <c r="B174" s="26">
        <v>0</v>
      </c>
      <c r="C174" s="13">
        <v>28</v>
      </c>
      <c r="D174" s="860">
        <v>1</v>
      </c>
      <c r="E174" s="122">
        <v>0</v>
      </c>
      <c r="F174" s="143">
        <v>28</v>
      </c>
      <c r="G174" s="143">
        <v>0</v>
      </c>
      <c r="H174" s="125">
        <v>28</v>
      </c>
      <c r="I174" s="20" t="s">
        <v>140</v>
      </c>
      <c r="J174" s="27" t="s">
        <v>526</v>
      </c>
      <c r="K174" s="13"/>
      <c r="L174" s="1"/>
      <c r="M174" s="1"/>
    </row>
    <row r="175" spans="1:13" s="27" customFormat="1" x14ac:dyDescent="0.3">
      <c r="A175" s="19" t="s">
        <v>737</v>
      </c>
      <c r="B175" s="26">
        <v>28</v>
      </c>
      <c r="C175" s="13">
        <v>56</v>
      </c>
      <c r="D175" s="860">
        <v>1</v>
      </c>
      <c r="E175" s="122">
        <v>33.6</v>
      </c>
      <c r="F175" s="143">
        <v>56</v>
      </c>
      <c r="G175" s="143">
        <v>0</v>
      </c>
      <c r="H175" s="125">
        <v>89.6</v>
      </c>
      <c r="I175" s="20" t="s">
        <v>140</v>
      </c>
      <c r="K175" s="13"/>
    </row>
    <row r="176" spans="1:13" s="27" customFormat="1" x14ac:dyDescent="0.3">
      <c r="A176" s="19" t="s">
        <v>738</v>
      </c>
      <c r="B176" s="26">
        <v>14</v>
      </c>
      <c r="C176" s="13">
        <v>42</v>
      </c>
      <c r="D176" s="860">
        <v>1</v>
      </c>
      <c r="E176" s="122">
        <v>16.8</v>
      </c>
      <c r="F176" s="143">
        <v>42</v>
      </c>
      <c r="G176" s="143">
        <v>0</v>
      </c>
      <c r="H176" s="125">
        <v>58.8</v>
      </c>
      <c r="I176" s="20" t="s">
        <v>140</v>
      </c>
      <c r="K176" s="13"/>
    </row>
    <row r="177" spans="1:13" s="27" customFormat="1" x14ac:dyDescent="0.3">
      <c r="A177" s="138" t="s">
        <v>739</v>
      </c>
      <c r="B177" s="26">
        <v>28</v>
      </c>
      <c r="C177" s="13">
        <v>28</v>
      </c>
      <c r="D177" s="860">
        <v>1</v>
      </c>
      <c r="E177" s="122">
        <v>33.6</v>
      </c>
      <c r="F177" s="143">
        <v>28</v>
      </c>
      <c r="G177" s="143">
        <v>0</v>
      </c>
      <c r="H177" s="125">
        <v>61.6</v>
      </c>
      <c r="I177" s="20" t="s">
        <v>140</v>
      </c>
      <c r="K177" s="13"/>
      <c r="L177" s="1"/>
      <c r="M177" s="1"/>
    </row>
    <row r="178" spans="1:13" s="27" customFormat="1" x14ac:dyDescent="0.3">
      <c r="A178" s="138" t="s">
        <v>740</v>
      </c>
      <c r="B178" s="26">
        <v>28</v>
      </c>
      <c r="C178" s="13">
        <v>28</v>
      </c>
      <c r="D178" s="860">
        <v>1</v>
      </c>
      <c r="E178" s="122">
        <v>33.6</v>
      </c>
      <c r="F178" s="143">
        <v>28</v>
      </c>
      <c r="G178" s="143">
        <v>0</v>
      </c>
      <c r="H178" s="125">
        <v>61.6</v>
      </c>
      <c r="I178" s="20" t="s">
        <v>140</v>
      </c>
      <c r="K178" s="13"/>
      <c r="L178" s="1"/>
      <c r="M178" s="1"/>
    </row>
    <row r="179" spans="1:13" s="27" customFormat="1" x14ac:dyDescent="0.3">
      <c r="A179" s="138" t="s">
        <v>741</v>
      </c>
      <c r="B179" s="26">
        <v>28</v>
      </c>
      <c r="C179" s="13">
        <v>28</v>
      </c>
      <c r="D179" s="860">
        <v>1</v>
      </c>
      <c r="E179" s="122">
        <v>33.6</v>
      </c>
      <c r="F179" s="143">
        <v>28</v>
      </c>
      <c r="G179" s="143">
        <v>0</v>
      </c>
      <c r="H179" s="125">
        <v>61.6</v>
      </c>
      <c r="I179" s="20" t="s">
        <v>140</v>
      </c>
      <c r="K179" s="13"/>
      <c r="L179" s="1"/>
      <c r="M179" s="1"/>
    </row>
    <row r="180" spans="1:13" s="27" customFormat="1" x14ac:dyDescent="0.3">
      <c r="A180" s="138" t="s">
        <v>742</v>
      </c>
      <c r="B180" s="26">
        <v>28</v>
      </c>
      <c r="C180" s="13">
        <v>28</v>
      </c>
      <c r="D180" s="860">
        <v>1</v>
      </c>
      <c r="E180" s="122">
        <v>33.6</v>
      </c>
      <c r="F180" s="143">
        <v>28</v>
      </c>
      <c r="G180" s="143">
        <v>0</v>
      </c>
      <c r="H180" s="125">
        <v>61.6</v>
      </c>
      <c r="I180" s="20" t="s">
        <v>140</v>
      </c>
      <c r="K180" s="13"/>
      <c r="L180" s="1"/>
      <c r="M180" s="1"/>
    </row>
    <row r="181" spans="1:13" s="27" customFormat="1" x14ac:dyDescent="0.3">
      <c r="A181" s="138" t="s">
        <v>743</v>
      </c>
      <c r="B181" s="26">
        <v>28</v>
      </c>
      <c r="C181" s="13">
        <v>28</v>
      </c>
      <c r="D181" s="860">
        <v>1</v>
      </c>
      <c r="E181" s="122">
        <v>33.6</v>
      </c>
      <c r="F181" s="143">
        <v>28</v>
      </c>
      <c r="G181" s="143">
        <v>0</v>
      </c>
      <c r="H181" s="125">
        <v>61.6</v>
      </c>
      <c r="I181" s="20" t="s">
        <v>140</v>
      </c>
      <c r="K181" s="13"/>
      <c r="L181" s="1"/>
      <c r="M181" s="1"/>
    </row>
    <row r="182" spans="1:13" s="27" customFormat="1" x14ac:dyDescent="0.3">
      <c r="A182" s="138" t="s">
        <v>744</v>
      </c>
      <c r="B182" s="26">
        <v>28</v>
      </c>
      <c r="C182" s="13">
        <v>28</v>
      </c>
      <c r="D182" s="860">
        <v>1</v>
      </c>
      <c r="E182" s="122">
        <v>33.6</v>
      </c>
      <c r="F182" s="143">
        <v>28</v>
      </c>
      <c r="G182" s="143">
        <v>0</v>
      </c>
      <c r="H182" s="125">
        <v>61.6</v>
      </c>
      <c r="I182" s="20" t="s">
        <v>140</v>
      </c>
      <c r="K182" s="13"/>
    </row>
    <row r="183" spans="1:13" s="27" customFormat="1" x14ac:dyDescent="0.3">
      <c r="A183" s="127" t="s">
        <v>146</v>
      </c>
      <c r="B183" s="26">
        <v>0</v>
      </c>
      <c r="C183" s="13">
        <v>28</v>
      </c>
      <c r="D183" s="860">
        <v>0</v>
      </c>
      <c r="E183" s="122">
        <v>0</v>
      </c>
      <c r="F183" s="143">
        <v>0</v>
      </c>
      <c r="G183" s="143">
        <v>0</v>
      </c>
      <c r="H183" s="125">
        <v>0</v>
      </c>
      <c r="I183" s="20" t="s">
        <v>140</v>
      </c>
      <c r="K183" s="13"/>
    </row>
    <row r="184" spans="1:13" s="27" customFormat="1" x14ac:dyDescent="0.3">
      <c r="A184" s="27" t="s">
        <v>745</v>
      </c>
      <c r="B184" s="26">
        <v>0</v>
      </c>
      <c r="C184" s="13">
        <v>28</v>
      </c>
      <c r="D184" s="860">
        <v>0</v>
      </c>
      <c r="E184" s="122">
        <v>0</v>
      </c>
      <c r="F184" s="143">
        <v>0</v>
      </c>
      <c r="G184" s="143">
        <v>0</v>
      </c>
      <c r="H184" s="125">
        <v>0</v>
      </c>
      <c r="I184" s="20" t="s">
        <v>140</v>
      </c>
      <c r="K184" s="13"/>
    </row>
    <row r="185" spans="1:13" s="27" customFormat="1" x14ac:dyDescent="0.3">
      <c r="A185" s="127" t="s">
        <v>746</v>
      </c>
      <c r="B185" s="26">
        <v>0</v>
      </c>
      <c r="C185" s="13">
        <v>28</v>
      </c>
      <c r="D185" s="860">
        <v>0</v>
      </c>
      <c r="E185" s="122">
        <v>0</v>
      </c>
      <c r="F185" s="143">
        <v>0</v>
      </c>
      <c r="G185" s="143">
        <v>0</v>
      </c>
      <c r="H185" s="125">
        <v>0</v>
      </c>
      <c r="I185" s="20" t="s">
        <v>140</v>
      </c>
      <c r="K185" s="13"/>
    </row>
    <row r="186" spans="1:13" s="27" customFormat="1" x14ac:dyDescent="0.3">
      <c r="A186" s="127" t="s">
        <v>747</v>
      </c>
      <c r="B186" s="26">
        <v>0</v>
      </c>
      <c r="C186" s="13">
        <v>28</v>
      </c>
      <c r="D186" s="860">
        <v>0</v>
      </c>
      <c r="E186" s="122">
        <v>0</v>
      </c>
      <c r="F186" s="143">
        <v>0</v>
      </c>
      <c r="G186" s="143">
        <v>0</v>
      </c>
      <c r="H186" s="125">
        <v>0</v>
      </c>
      <c r="I186" s="20" t="s">
        <v>140</v>
      </c>
      <c r="K186" s="13"/>
    </row>
    <row r="187" spans="1:13" s="27" customFormat="1" x14ac:dyDescent="0.3">
      <c r="A187" s="27" t="s">
        <v>748</v>
      </c>
      <c r="B187" s="26">
        <v>28</v>
      </c>
      <c r="C187" s="13">
        <v>28</v>
      </c>
      <c r="D187" s="860">
        <v>1</v>
      </c>
      <c r="E187" s="122">
        <v>33.6</v>
      </c>
      <c r="F187" s="143">
        <v>28</v>
      </c>
      <c r="G187" s="143">
        <v>0</v>
      </c>
      <c r="H187" s="125">
        <v>61.6</v>
      </c>
      <c r="I187" s="20" t="s">
        <v>140</v>
      </c>
      <c r="K187" s="13"/>
    </row>
    <row r="188" spans="1:13" s="27" customFormat="1" x14ac:dyDescent="0.3">
      <c r="A188" s="27" t="s">
        <v>749</v>
      </c>
      <c r="B188" s="26">
        <v>28</v>
      </c>
      <c r="C188" s="13">
        <v>0</v>
      </c>
      <c r="D188" s="860">
        <v>1</v>
      </c>
      <c r="E188" s="122">
        <v>33.6</v>
      </c>
      <c r="F188" s="143">
        <v>0</v>
      </c>
      <c r="G188" s="143">
        <v>0</v>
      </c>
      <c r="H188" s="125">
        <v>33.6</v>
      </c>
      <c r="I188" s="20" t="s">
        <v>140</v>
      </c>
      <c r="K188" s="13"/>
    </row>
    <row r="189" spans="1:13" s="27" customFormat="1" x14ac:dyDescent="0.3">
      <c r="A189" s="144" t="s">
        <v>750</v>
      </c>
      <c r="B189" s="26">
        <v>28</v>
      </c>
      <c r="C189" s="13">
        <v>28</v>
      </c>
      <c r="D189" s="860">
        <v>1</v>
      </c>
      <c r="E189" s="122">
        <v>33.6</v>
      </c>
      <c r="F189" s="143">
        <v>28</v>
      </c>
      <c r="G189" s="143">
        <v>0</v>
      </c>
      <c r="H189" s="125">
        <v>61.6</v>
      </c>
      <c r="I189" s="20" t="s">
        <v>140</v>
      </c>
      <c r="K189" s="13"/>
    </row>
    <row r="190" spans="1:13" s="27" customFormat="1" x14ac:dyDescent="0.3">
      <c r="A190" s="127" t="s">
        <v>751</v>
      </c>
      <c r="B190" s="26">
        <v>0</v>
      </c>
      <c r="C190" s="13">
        <v>28</v>
      </c>
      <c r="D190" s="860">
        <v>1</v>
      </c>
      <c r="E190" s="122">
        <v>0</v>
      </c>
      <c r="F190" s="143">
        <v>28</v>
      </c>
      <c r="G190" s="143">
        <v>0</v>
      </c>
      <c r="H190" s="125">
        <v>28</v>
      </c>
      <c r="I190" s="20" t="s">
        <v>140</v>
      </c>
      <c r="K190" s="13"/>
    </row>
    <row r="191" spans="1:13" s="27" customFormat="1" x14ac:dyDescent="0.3">
      <c r="A191" s="144" t="s">
        <v>752</v>
      </c>
      <c r="B191" s="26">
        <v>28</v>
      </c>
      <c r="C191" s="13">
        <v>28</v>
      </c>
      <c r="D191" s="860">
        <v>1</v>
      </c>
      <c r="E191" s="122">
        <v>33.6</v>
      </c>
      <c r="F191" s="143">
        <v>28</v>
      </c>
      <c r="G191" s="143">
        <v>0</v>
      </c>
      <c r="H191" s="125">
        <v>61.6</v>
      </c>
      <c r="I191" s="20" t="s">
        <v>140</v>
      </c>
      <c r="K191" s="13"/>
    </row>
    <row r="192" spans="1:13" s="27" customFormat="1" x14ac:dyDescent="0.3">
      <c r="A192" s="127" t="s">
        <v>753</v>
      </c>
      <c r="B192" s="26">
        <v>28</v>
      </c>
      <c r="C192" s="13">
        <v>0</v>
      </c>
      <c r="D192" s="860">
        <v>1</v>
      </c>
      <c r="E192" s="122">
        <v>33.6</v>
      </c>
      <c r="F192" s="143">
        <v>0</v>
      </c>
      <c r="G192" s="143">
        <v>0</v>
      </c>
      <c r="H192" s="125">
        <v>33.6</v>
      </c>
      <c r="I192" s="20" t="s">
        <v>140</v>
      </c>
      <c r="K192" s="13"/>
    </row>
    <row r="193" spans="1:11" s="27" customFormat="1" ht="16.2" thickBot="1" x14ac:dyDescent="0.35">
      <c r="A193" s="127" t="s">
        <v>754</v>
      </c>
      <c r="B193" s="26">
        <v>28</v>
      </c>
      <c r="C193" s="13">
        <v>28</v>
      </c>
      <c r="D193" s="860">
        <v>1</v>
      </c>
      <c r="E193" s="122">
        <v>33.6</v>
      </c>
      <c r="F193" s="143">
        <v>28</v>
      </c>
      <c r="G193" s="143">
        <v>0</v>
      </c>
      <c r="H193" s="125">
        <v>61.6</v>
      </c>
      <c r="I193" s="20" t="s">
        <v>140</v>
      </c>
      <c r="K193" s="13"/>
    </row>
    <row r="194" spans="1:11" s="27" customFormat="1" ht="16.2" thickBot="1" x14ac:dyDescent="0.35">
      <c r="A194" s="19" t="s">
        <v>22</v>
      </c>
      <c r="B194" s="26"/>
      <c r="C194" s="13"/>
      <c r="D194" s="26"/>
      <c r="E194" s="122"/>
      <c r="H194" s="137">
        <v>1968.399999999999</v>
      </c>
      <c r="I194" s="20"/>
      <c r="K194" s="13"/>
    </row>
    <row r="195" spans="1:11" s="27" customFormat="1" x14ac:dyDescent="0.3">
      <c r="A195" s="27" t="s">
        <v>529</v>
      </c>
      <c r="B195" s="26">
        <v>28</v>
      </c>
      <c r="C195" s="13">
        <v>28</v>
      </c>
      <c r="D195" s="860">
        <v>1</v>
      </c>
      <c r="E195" s="122">
        <v>33.6</v>
      </c>
      <c r="F195" s="143">
        <v>28</v>
      </c>
      <c r="G195" s="143">
        <v>0</v>
      </c>
      <c r="H195" s="125">
        <v>61.6</v>
      </c>
      <c r="I195" s="20" t="s">
        <v>140</v>
      </c>
      <c r="K195" s="13"/>
    </row>
    <row r="196" spans="1:11" s="27" customFormat="1" x14ac:dyDescent="0.3">
      <c r="A196" s="27" t="s">
        <v>755</v>
      </c>
      <c r="B196" s="26">
        <v>0</v>
      </c>
      <c r="C196" s="13">
        <v>28</v>
      </c>
      <c r="D196" s="860">
        <v>0</v>
      </c>
      <c r="E196" s="122">
        <v>0</v>
      </c>
      <c r="F196" s="143">
        <v>0</v>
      </c>
      <c r="G196" s="143">
        <v>0</v>
      </c>
      <c r="H196" s="125">
        <v>0</v>
      </c>
      <c r="I196" s="20" t="s">
        <v>140</v>
      </c>
      <c r="K196" s="13"/>
    </row>
    <row r="197" spans="1:11" s="27" customFormat="1" x14ac:dyDescent="0.3">
      <c r="A197" s="27" t="s">
        <v>756</v>
      </c>
      <c r="B197" s="26">
        <v>28</v>
      </c>
      <c r="C197" s="13">
        <v>28</v>
      </c>
      <c r="D197" s="860">
        <v>1</v>
      </c>
      <c r="E197" s="122">
        <v>33.6</v>
      </c>
      <c r="F197" s="143">
        <v>28</v>
      </c>
      <c r="G197" s="143">
        <v>0</v>
      </c>
      <c r="H197" s="125">
        <v>61.6</v>
      </c>
      <c r="I197" s="20" t="s">
        <v>140</v>
      </c>
      <c r="K197" s="13"/>
    </row>
    <row r="198" spans="1:11" s="27" customFormat="1" x14ac:dyDescent="0.3">
      <c r="A198" s="27" t="s">
        <v>757</v>
      </c>
      <c r="B198" s="26">
        <v>28</v>
      </c>
      <c r="C198" s="13">
        <v>28</v>
      </c>
      <c r="D198" s="860">
        <v>2</v>
      </c>
      <c r="E198" s="122">
        <v>33.6</v>
      </c>
      <c r="F198" s="143">
        <v>56</v>
      </c>
      <c r="G198" s="143">
        <v>0</v>
      </c>
      <c r="H198" s="125">
        <v>89.6</v>
      </c>
      <c r="I198" s="20" t="s">
        <v>140</v>
      </c>
      <c r="K198" s="13"/>
    </row>
    <row r="199" spans="1:11" s="27" customFormat="1" x14ac:dyDescent="0.3">
      <c r="A199" s="27" t="s">
        <v>530</v>
      </c>
      <c r="B199" s="26">
        <v>0</v>
      </c>
      <c r="C199" s="13">
        <v>28</v>
      </c>
      <c r="D199" s="860">
        <v>0</v>
      </c>
      <c r="E199" s="122">
        <v>0</v>
      </c>
      <c r="F199" s="143">
        <v>0</v>
      </c>
      <c r="G199" s="143">
        <v>0</v>
      </c>
      <c r="H199" s="125">
        <v>0</v>
      </c>
      <c r="I199" s="20" t="s">
        <v>140</v>
      </c>
      <c r="K199" s="13"/>
    </row>
    <row r="200" spans="1:11" s="27" customFormat="1" x14ac:dyDescent="0.3">
      <c r="A200" s="27" t="s">
        <v>758</v>
      </c>
      <c r="B200" s="26">
        <v>28</v>
      </c>
      <c r="C200" s="13">
        <v>28</v>
      </c>
      <c r="D200" s="860">
        <v>1</v>
      </c>
      <c r="E200" s="122">
        <v>33.6</v>
      </c>
      <c r="F200" s="143">
        <v>28</v>
      </c>
      <c r="G200" s="143">
        <v>0</v>
      </c>
      <c r="H200" s="125">
        <v>61.6</v>
      </c>
      <c r="I200" s="20" t="s">
        <v>140</v>
      </c>
      <c r="K200" s="13"/>
    </row>
    <row r="201" spans="1:11" s="27" customFormat="1" x14ac:dyDescent="0.3">
      <c r="A201" s="27" t="s">
        <v>531</v>
      </c>
      <c r="B201" s="26">
        <v>28</v>
      </c>
      <c r="C201" s="13">
        <v>28</v>
      </c>
      <c r="D201" s="860">
        <v>1</v>
      </c>
      <c r="E201" s="122">
        <v>33.6</v>
      </c>
      <c r="F201" s="143">
        <v>28</v>
      </c>
      <c r="G201" s="143">
        <v>0</v>
      </c>
      <c r="H201" s="125">
        <v>61.6</v>
      </c>
      <c r="I201" s="20" t="s">
        <v>140</v>
      </c>
      <c r="K201" s="13"/>
    </row>
    <row r="202" spans="1:11" s="27" customFormat="1" x14ac:dyDescent="0.3">
      <c r="A202" s="27" t="s">
        <v>532</v>
      </c>
      <c r="B202" s="26">
        <v>28</v>
      </c>
      <c r="C202" s="13">
        <v>28</v>
      </c>
      <c r="D202" s="860">
        <v>1</v>
      </c>
      <c r="E202" s="122">
        <v>33.6</v>
      </c>
      <c r="F202" s="143">
        <v>28</v>
      </c>
      <c r="G202" s="143">
        <v>0</v>
      </c>
      <c r="H202" s="125">
        <v>61.6</v>
      </c>
      <c r="I202" s="20" t="s">
        <v>140</v>
      </c>
      <c r="K202" s="13"/>
    </row>
    <row r="203" spans="1:11" s="27" customFormat="1" x14ac:dyDescent="0.3">
      <c r="A203" s="127" t="s">
        <v>759</v>
      </c>
      <c r="B203" s="26">
        <v>0</v>
      </c>
      <c r="C203" s="13">
        <v>20</v>
      </c>
      <c r="D203" s="860">
        <v>0</v>
      </c>
      <c r="E203" s="122">
        <v>0</v>
      </c>
      <c r="F203" s="143">
        <v>0</v>
      </c>
      <c r="G203" s="143">
        <v>0</v>
      </c>
      <c r="H203" s="125">
        <v>0</v>
      </c>
      <c r="I203" s="20" t="s">
        <v>140</v>
      </c>
      <c r="K203" s="13"/>
    </row>
    <row r="204" spans="1:11" s="27" customFormat="1" x14ac:dyDescent="0.3">
      <c r="A204" s="127" t="s">
        <v>760</v>
      </c>
      <c r="B204" s="26">
        <v>20</v>
      </c>
      <c r="C204" s="13">
        <v>20</v>
      </c>
      <c r="D204" s="860">
        <v>1</v>
      </c>
      <c r="E204" s="122">
        <v>24</v>
      </c>
      <c r="F204" s="143">
        <v>20</v>
      </c>
      <c r="G204" s="143">
        <v>0</v>
      </c>
      <c r="H204" s="125">
        <v>44</v>
      </c>
      <c r="I204" s="20" t="s">
        <v>140</v>
      </c>
      <c r="K204" s="13"/>
    </row>
    <row r="205" spans="1:11" s="27" customFormat="1" x14ac:dyDescent="0.3">
      <c r="A205" s="127" t="s">
        <v>761</v>
      </c>
      <c r="B205" s="26">
        <v>0</v>
      </c>
      <c r="C205" s="13">
        <v>30</v>
      </c>
      <c r="D205" s="860">
        <v>1</v>
      </c>
      <c r="E205" s="122">
        <v>0</v>
      </c>
      <c r="F205" s="143">
        <v>30</v>
      </c>
      <c r="G205" s="143">
        <v>0</v>
      </c>
      <c r="H205" s="125">
        <v>30</v>
      </c>
      <c r="I205" s="20" t="s">
        <v>140</v>
      </c>
      <c r="K205" s="13"/>
    </row>
    <row r="206" spans="1:11" s="27" customFormat="1" x14ac:dyDescent="0.3">
      <c r="A206" s="127" t="s">
        <v>762</v>
      </c>
      <c r="B206" s="26">
        <v>20</v>
      </c>
      <c r="C206" s="13">
        <v>20</v>
      </c>
      <c r="D206" s="860">
        <v>1</v>
      </c>
      <c r="E206" s="122">
        <v>24</v>
      </c>
      <c r="F206" s="143">
        <v>20</v>
      </c>
      <c r="G206" s="143">
        <v>0</v>
      </c>
      <c r="H206" s="125">
        <v>44</v>
      </c>
      <c r="I206" s="20" t="s">
        <v>140</v>
      </c>
      <c r="K206" s="13"/>
    </row>
    <row r="207" spans="1:11" s="27" customFormat="1" x14ac:dyDescent="0.3">
      <c r="A207" s="127" t="s">
        <v>533</v>
      </c>
      <c r="B207" s="26">
        <v>20</v>
      </c>
      <c r="C207" s="13">
        <v>20</v>
      </c>
      <c r="D207" s="860">
        <v>1</v>
      </c>
      <c r="E207" s="122">
        <v>24</v>
      </c>
      <c r="F207" s="143">
        <v>20</v>
      </c>
      <c r="G207" s="143">
        <v>0</v>
      </c>
      <c r="H207" s="125">
        <v>44</v>
      </c>
      <c r="I207" s="20" t="s">
        <v>140</v>
      </c>
      <c r="K207" s="13"/>
    </row>
    <row r="208" spans="1:11" s="27" customFormat="1" x14ac:dyDescent="0.3">
      <c r="A208" s="127" t="s">
        <v>763</v>
      </c>
      <c r="B208" s="26">
        <v>20</v>
      </c>
      <c r="C208" s="13">
        <v>20</v>
      </c>
      <c r="D208" s="860">
        <v>1</v>
      </c>
      <c r="E208" s="122">
        <v>24</v>
      </c>
      <c r="F208" s="143">
        <v>20</v>
      </c>
      <c r="G208" s="143">
        <v>0</v>
      </c>
      <c r="H208" s="125">
        <v>44</v>
      </c>
      <c r="I208" s="20" t="s">
        <v>140</v>
      </c>
      <c r="K208" s="13"/>
    </row>
    <row r="209" spans="1:13" s="27" customFormat="1" x14ac:dyDescent="0.3">
      <c r="A209" s="127" t="s">
        <v>764</v>
      </c>
      <c r="B209" s="26">
        <v>20</v>
      </c>
      <c r="C209" s="13">
        <v>20</v>
      </c>
      <c r="D209" s="860">
        <v>1</v>
      </c>
      <c r="E209" s="122">
        <v>24</v>
      </c>
      <c r="F209" s="143">
        <v>20</v>
      </c>
      <c r="G209" s="143">
        <v>0</v>
      </c>
      <c r="H209" s="125">
        <v>44</v>
      </c>
      <c r="I209" s="20" t="s">
        <v>140</v>
      </c>
      <c r="K209" s="13"/>
    </row>
    <row r="210" spans="1:13" s="27" customFormat="1" x14ac:dyDescent="0.3">
      <c r="A210" s="127" t="s">
        <v>765</v>
      </c>
      <c r="B210" s="26">
        <v>0</v>
      </c>
      <c r="C210" s="13">
        <v>20</v>
      </c>
      <c r="D210" s="860">
        <v>0</v>
      </c>
      <c r="E210" s="122">
        <v>0</v>
      </c>
      <c r="F210" s="143">
        <v>0</v>
      </c>
      <c r="G210" s="143">
        <v>0</v>
      </c>
      <c r="H210" s="125">
        <v>0</v>
      </c>
      <c r="I210" s="20" t="s">
        <v>140</v>
      </c>
      <c r="K210" s="13"/>
    </row>
    <row r="211" spans="1:13" s="27" customFormat="1" x14ac:dyDescent="0.3">
      <c r="A211" s="19" t="s">
        <v>766</v>
      </c>
      <c r="B211" s="26">
        <v>28</v>
      </c>
      <c r="C211" s="13">
        <v>28</v>
      </c>
      <c r="D211" s="860">
        <v>1</v>
      </c>
      <c r="E211" s="122">
        <v>33.6</v>
      </c>
      <c r="F211" s="143">
        <v>28</v>
      </c>
      <c r="G211" s="143">
        <v>0</v>
      </c>
      <c r="H211" s="125">
        <v>61.6</v>
      </c>
      <c r="I211" s="20" t="s">
        <v>140</v>
      </c>
      <c r="K211" s="13"/>
    </row>
    <row r="212" spans="1:13" ht="15" customHeight="1" x14ac:dyDescent="0.3">
      <c r="A212" s="19" t="s">
        <v>767</v>
      </c>
      <c r="B212" s="26">
        <v>28</v>
      </c>
      <c r="C212" s="13">
        <v>28</v>
      </c>
      <c r="D212" s="860">
        <v>1</v>
      </c>
      <c r="E212" s="122">
        <v>33.6</v>
      </c>
      <c r="F212" s="143">
        <v>28</v>
      </c>
      <c r="G212" s="143">
        <v>0</v>
      </c>
      <c r="H212" s="125">
        <v>61.6</v>
      </c>
      <c r="I212" s="20" t="s">
        <v>140</v>
      </c>
      <c r="J212" s="27"/>
      <c r="K212" s="13"/>
      <c r="L212" s="27"/>
      <c r="M212" s="27"/>
    </row>
    <row r="213" spans="1:13" s="27" customFormat="1" ht="15" customHeight="1" x14ac:dyDescent="0.3">
      <c r="A213" s="19" t="s">
        <v>768</v>
      </c>
      <c r="B213" s="26">
        <v>28</v>
      </c>
      <c r="C213" s="13">
        <v>28</v>
      </c>
      <c r="D213" s="860">
        <v>1</v>
      </c>
      <c r="E213" s="122">
        <v>33.6</v>
      </c>
      <c r="F213" s="143">
        <v>28</v>
      </c>
      <c r="G213" s="143">
        <v>0</v>
      </c>
      <c r="H213" s="125">
        <v>61.6</v>
      </c>
      <c r="I213" s="20" t="s">
        <v>140</v>
      </c>
      <c r="K213" s="13"/>
    </row>
    <row r="214" spans="1:13" x14ac:dyDescent="0.3">
      <c r="A214" s="27" t="s">
        <v>769</v>
      </c>
      <c r="B214" s="26">
        <v>28</v>
      </c>
      <c r="C214" s="13">
        <v>28</v>
      </c>
      <c r="D214" s="860">
        <v>1</v>
      </c>
      <c r="E214" s="122">
        <v>33.6</v>
      </c>
      <c r="F214" s="143">
        <v>28</v>
      </c>
      <c r="G214" s="143">
        <v>0</v>
      </c>
      <c r="H214" s="125">
        <v>61.6</v>
      </c>
      <c r="I214" s="20" t="s">
        <v>140</v>
      </c>
      <c r="J214" s="27"/>
      <c r="K214" s="13"/>
      <c r="L214" s="27"/>
      <c r="M214" s="27"/>
    </row>
    <row r="215" spans="1:13" x14ac:dyDescent="0.3">
      <c r="A215" s="27" t="s">
        <v>770</v>
      </c>
      <c r="B215" s="26">
        <v>28</v>
      </c>
      <c r="C215" s="13">
        <v>28</v>
      </c>
      <c r="D215" s="860">
        <v>1</v>
      </c>
      <c r="E215" s="122">
        <v>33.6</v>
      </c>
      <c r="F215" s="143">
        <v>28</v>
      </c>
      <c r="G215" s="143">
        <v>0</v>
      </c>
      <c r="H215" s="125">
        <v>61.6</v>
      </c>
      <c r="I215" s="20" t="s">
        <v>140</v>
      </c>
      <c r="J215" s="27"/>
      <c r="K215" s="13"/>
      <c r="L215" s="27"/>
      <c r="M215" s="27"/>
    </row>
    <row r="216" spans="1:13" s="27" customFormat="1" x14ac:dyDescent="0.3">
      <c r="A216" s="27" t="s">
        <v>771</v>
      </c>
      <c r="B216" s="26">
        <v>28</v>
      </c>
      <c r="C216" s="13">
        <v>28</v>
      </c>
      <c r="D216" s="860">
        <v>1</v>
      </c>
      <c r="E216" s="122">
        <v>33.6</v>
      </c>
      <c r="F216" s="143">
        <v>28</v>
      </c>
      <c r="G216" s="143">
        <v>0</v>
      </c>
      <c r="H216" s="125">
        <v>61.6</v>
      </c>
      <c r="I216" s="20" t="s">
        <v>140</v>
      </c>
      <c r="K216" s="13"/>
    </row>
    <row r="217" spans="1:13" x14ac:dyDescent="0.3">
      <c r="A217" s="27" t="s">
        <v>772</v>
      </c>
      <c r="B217" s="26">
        <v>0</v>
      </c>
      <c r="C217" s="13">
        <v>28</v>
      </c>
      <c r="D217" s="860">
        <v>0</v>
      </c>
      <c r="E217" s="122">
        <v>0</v>
      </c>
      <c r="F217" s="143">
        <v>0</v>
      </c>
      <c r="G217" s="143">
        <v>0</v>
      </c>
      <c r="H217" s="125">
        <v>0</v>
      </c>
      <c r="I217" s="20" t="s">
        <v>140</v>
      </c>
      <c r="J217" s="27"/>
      <c r="K217" s="13"/>
    </row>
    <row r="218" spans="1:13" s="27" customFormat="1" ht="16.2" thickBot="1" x14ac:dyDescent="0.35">
      <c r="A218" s="144" t="s">
        <v>534</v>
      </c>
      <c r="B218" s="26">
        <v>28</v>
      </c>
      <c r="C218" s="13">
        <v>28</v>
      </c>
      <c r="D218" s="860">
        <v>1</v>
      </c>
      <c r="E218" s="122">
        <v>33.6</v>
      </c>
      <c r="F218" s="143">
        <v>28</v>
      </c>
      <c r="G218" s="143">
        <v>0</v>
      </c>
      <c r="H218" s="125">
        <v>61.6</v>
      </c>
      <c r="I218" s="20" t="s">
        <v>140</v>
      </c>
      <c r="K218" s="13"/>
      <c r="L218" s="1"/>
      <c r="M218" s="1"/>
    </row>
    <row r="219" spans="1:13" ht="16.2" thickBot="1" x14ac:dyDescent="0.35">
      <c r="A219" s="27"/>
      <c r="B219" s="91"/>
      <c r="C219" s="140"/>
      <c r="D219" s="26"/>
      <c r="E219" s="122"/>
      <c r="F219" s="122"/>
      <c r="G219" s="122"/>
      <c r="H219" s="137">
        <v>1078.8000000000002</v>
      </c>
      <c r="I219" s="23"/>
      <c r="J219" s="27"/>
      <c r="K219" s="13"/>
    </row>
    <row r="220" spans="1:13" ht="16.2" thickBot="1" x14ac:dyDescent="0.35">
      <c r="A220" s="27"/>
      <c r="B220" s="26"/>
      <c r="C220" s="13"/>
      <c r="D220" s="26"/>
      <c r="E220" s="122"/>
      <c r="F220" s="122"/>
      <c r="G220" s="142" t="s">
        <v>152</v>
      </c>
      <c r="H220" s="137">
        <v>3047.1999999999989</v>
      </c>
      <c r="I220" s="21"/>
      <c r="J220" s="27"/>
      <c r="K220" s="13"/>
    </row>
    <row r="221" spans="1:13" x14ac:dyDescent="0.3">
      <c r="A221" s="27"/>
      <c r="B221" s="26"/>
      <c r="C221" s="13"/>
      <c r="D221" s="26"/>
      <c r="E221" s="122"/>
      <c r="F221" s="122"/>
      <c r="G221" s="122"/>
      <c r="H221" s="90"/>
      <c r="I221" s="21"/>
      <c r="J221" s="27"/>
      <c r="K221" s="13"/>
    </row>
    <row r="222" spans="1:13" ht="62.4" x14ac:dyDescent="0.3">
      <c r="A222" s="130" t="s">
        <v>1</v>
      </c>
      <c r="B222" s="131" t="s">
        <v>42</v>
      </c>
      <c r="C222" s="132" t="s">
        <v>43</v>
      </c>
      <c r="D222" s="133" t="s">
        <v>41</v>
      </c>
      <c r="E222" s="134" t="s">
        <v>23</v>
      </c>
      <c r="F222" s="134" t="s">
        <v>10</v>
      </c>
      <c r="G222" s="134" t="s">
        <v>11</v>
      </c>
      <c r="H222" s="134" t="s">
        <v>7</v>
      </c>
      <c r="I222" s="21"/>
      <c r="J222" s="27"/>
      <c r="K222" s="13"/>
    </row>
    <row r="223" spans="1:13" x14ac:dyDescent="0.3">
      <c r="A223" s="19" t="s">
        <v>18</v>
      </c>
      <c r="B223" s="85"/>
      <c r="C223" s="140"/>
      <c r="D223" s="26"/>
      <c r="E223" s="122"/>
      <c r="F223" s="122"/>
      <c r="G223" s="122"/>
      <c r="H223" s="125"/>
      <c r="I223" s="103"/>
      <c r="J223" s="42"/>
      <c r="K223" s="13"/>
    </row>
    <row r="224" spans="1:13" x14ac:dyDescent="0.3">
      <c r="A224" s="27" t="s">
        <v>535</v>
      </c>
      <c r="B224" s="26">
        <v>56</v>
      </c>
      <c r="C224" s="13">
        <v>28</v>
      </c>
      <c r="D224" s="860">
        <v>1</v>
      </c>
      <c r="E224" s="122">
        <v>67.2</v>
      </c>
      <c r="F224" s="136">
        <v>28</v>
      </c>
      <c r="G224" s="136">
        <v>0</v>
      </c>
      <c r="H224" s="90">
        <v>95.2</v>
      </c>
      <c r="I224" s="13" t="s">
        <v>30</v>
      </c>
      <c r="J224" s="27"/>
      <c r="K224" s="13"/>
    </row>
    <row r="225" spans="1:13" x14ac:dyDescent="0.3">
      <c r="A225" s="27" t="s">
        <v>773</v>
      </c>
      <c r="B225" s="26">
        <v>0</v>
      </c>
      <c r="C225" s="13">
        <v>28</v>
      </c>
      <c r="D225" s="860">
        <v>3</v>
      </c>
      <c r="E225" s="122">
        <v>0</v>
      </c>
      <c r="F225" s="136">
        <v>56</v>
      </c>
      <c r="G225" s="136">
        <v>22.400000000000002</v>
      </c>
      <c r="H225" s="125">
        <v>78.400000000000006</v>
      </c>
      <c r="I225" s="13" t="s">
        <v>30</v>
      </c>
      <c r="J225" s="27"/>
      <c r="K225" s="13"/>
      <c r="L225" s="27"/>
      <c r="M225" s="27"/>
    </row>
    <row r="226" spans="1:13" x14ac:dyDescent="0.3">
      <c r="A226" s="27" t="s">
        <v>774</v>
      </c>
      <c r="B226" s="26">
        <v>14</v>
      </c>
      <c r="C226" s="13">
        <v>28</v>
      </c>
      <c r="D226" s="860">
        <v>3</v>
      </c>
      <c r="E226" s="122">
        <v>16.8</v>
      </c>
      <c r="F226" s="136">
        <v>56</v>
      </c>
      <c r="G226" s="136">
        <v>22.400000000000002</v>
      </c>
      <c r="H226" s="90">
        <v>95.2</v>
      </c>
      <c r="I226" s="13" t="s">
        <v>30</v>
      </c>
      <c r="J226" s="27"/>
      <c r="K226" s="13"/>
    </row>
    <row r="227" spans="1:13" x14ac:dyDescent="0.3">
      <c r="A227" s="27" t="s">
        <v>775</v>
      </c>
      <c r="B227" s="26">
        <v>28</v>
      </c>
      <c r="C227" s="13">
        <v>28</v>
      </c>
      <c r="D227" s="860">
        <v>1</v>
      </c>
      <c r="E227" s="122">
        <v>33.6</v>
      </c>
      <c r="F227" s="136">
        <v>28</v>
      </c>
      <c r="G227" s="136">
        <v>0</v>
      </c>
      <c r="H227" s="90">
        <v>61.6</v>
      </c>
      <c r="I227" s="13" t="s">
        <v>30</v>
      </c>
      <c r="J227" s="27"/>
      <c r="K227" s="13"/>
    </row>
    <row r="228" spans="1:13" x14ac:dyDescent="0.3">
      <c r="A228" s="27" t="s">
        <v>776</v>
      </c>
      <c r="B228" s="26">
        <v>36</v>
      </c>
      <c r="C228" s="13">
        <v>12</v>
      </c>
      <c r="D228" s="860">
        <v>1</v>
      </c>
      <c r="E228" s="122">
        <v>43.199999999999996</v>
      </c>
      <c r="F228" s="136">
        <v>12</v>
      </c>
      <c r="G228" s="136">
        <v>0</v>
      </c>
      <c r="H228" s="90">
        <v>55.199999999999996</v>
      </c>
      <c r="I228" s="13" t="s">
        <v>30</v>
      </c>
      <c r="J228" s="27" t="s">
        <v>536</v>
      </c>
      <c r="K228" s="13" t="s">
        <v>522</v>
      </c>
    </row>
    <row r="229" spans="1:13" x14ac:dyDescent="0.3">
      <c r="A229" s="127" t="s">
        <v>777</v>
      </c>
      <c r="B229" s="26">
        <v>28</v>
      </c>
      <c r="C229" s="13">
        <v>28</v>
      </c>
      <c r="D229" s="860">
        <v>5</v>
      </c>
      <c r="E229" s="122">
        <v>33.6</v>
      </c>
      <c r="F229" s="136">
        <v>56</v>
      </c>
      <c r="G229" s="136">
        <v>67.2</v>
      </c>
      <c r="H229" s="90">
        <v>156.80000000000001</v>
      </c>
      <c r="I229" s="13" t="s">
        <v>30</v>
      </c>
      <c r="J229" s="27"/>
      <c r="K229" s="13"/>
    </row>
    <row r="230" spans="1:13" x14ac:dyDescent="0.3">
      <c r="A230" s="127" t="s">
        <v>778</v>
      </c>
      <c r="B230" s="26">
        <v>0</v>
      </c>
      <c r="C230" s="13">
        <v>28</v>
      </c>
      <c r="D230" s="860">
        <v>3</v>
      </c>
      <c r="E230" s="122">
        <v>0</v>
      </c>
      <c r="F230" s="136">
        <v>56</v>
      </c>
      <c r="G230" s="136">
        <v>22.400000000000002</v>
      </c>
      <c r="H230" s="125">
        <v>78.400000000000006</v>
      </c>
      <c r="I230" s="13" t="s">
        <v>30</v>
      </c>
      <c r="J230" s="27"/>
      <c r="K230" s="13"/>
    </row>
    <row r="231" spans="1:13" x14ac:dyDescent="0.3">
      <c r="A231" s="127" t="s">
        <v>779</v>
      </c>
      <c r="B231" s="26">
        <v>28</v>
      </c>
      <c r="C231" s="13">
        <v>0</v>
      </c>
      <c r="D231" s="860">
        <v>1</v>
      </c>
      <c r="E231" s="122">
        <v>33.6</v>
      </c>
      <c r="F231" s="136">
        <v>0</v>
      </c>
      <c r="G231" s="136">
        <v>0</v>
      </c>
      <c r="H231" s="90">
        <v>33.6</v>
      </c>
      <c r="I231" s="13" t="s">
        <v>30</v>
      </c>
      <c r="J231" s="27"/>
      <c r="K231" s="13"/>
    </row>
    <row r="232" spans="1:13" x14ac:dyDescent="0.3">
      <c r="A232" s="127" t="s">
        <v>780</v>
      </c>
      <c r="B232" s="26">
        <v>16</v>
      </c>
      <c r="C232" s="13">
        <v>0</v>
      </c>
      <c r="D232" s="860">
        <v>1</v>
      </c>
      <c r="E232" s="122">
        <v>19.2</v>
      </c>
      <c r="F232" s="136">
        <v>0</v>
      </c>
      <c r="G232" s="136">
        <v>0</v>
      </c>
      <c r="H232" s="125">
        <v>19.2</v>
      </c>
      <c r="I232" s="13" t="s">
        <v>30</v>
      </c>
      <c r="J232" s="27"/>
      <c r="K232" s="13"/>
    </row>
    <row r="233" spans="1:13" x14ac:dyDescent="0.3">
      <c r="A233" s="127" t="s">
        <v>388</v>
      </c>
      <c r="B233" s="26">
        <v>0</v>
      </c>
      <c r="C233" s="13">
        <v>14</v>
      </c>
      <c r="D233" s="860">
        <v>0</v>
      </c>
      <c r="E233" s="122">
        <v>0</v>
      </c>
      <c r="F233" s="136">
        <v>0</v>
      </c>
      <c r="G233" s="136">
        <v>0</v>
      </c>
      <c r="H233" s="90">
        <v>0</v>
      </c>
      <c r="I233" s="13" t="s">
        <v>30</v>
      </c>
      <c r="J233" s="27"/>
      <c r="K233" s="13"/>
    </row>
    <row r="234" spans="1:13" x14ac:dyDescent="0.3">
      <c r="A234" s="27" t="s">
        <v>781</v>
      </c>
      <c r="B234" s="26">
        <v>28</v>
      </c>
      <c r="C234" s="13">
        <v>14</v>
      </c>
      <c r="D234" s="860">
        <v>1</v>
      </c>
      <c r="E234" s="122">
        <v>33.6</v>
      </c>
      <c r="F234" s="136">
        <v>14</v>
      </c>
      <c r="G234" s="136">
        <v>0</v>
      </c>
      <c r="H234" s="90">
        <v>47.6</v>
      </c>
      <c r="I234" s="13" t="s">
        <v>30</v>
      </c>
      <c r="J234" s="27"/>
      <c r="K234" s="13"/>
    </row>
    <row r="235" spans="1:13" x14ac:dyDescent="0.3">
      <c r="A235" s="27" t="s">
        <v>389</v>
      </c>
      <c r="B235" s="26">
        <v>0</v>
      </c>
      <c r="C235" s="13">
        <v>28</v>
      </c>
      <c r="D235" s="860">
        <v>0</v>
      </c>
      <c r="E235" s="122">
        <v>0</v>
      </c>
      <c r="F235" s="136">
        <v>0</v>
      </c>
      <c r="G235" s="136">
        <v>0</v>
      </c>
      <c r="H235" s="90">
        <v>0</v>
      </c>
      <c r="I235" s="13" t="s">
        <v>30</v>
      </c>
      <c r="J235" s="27"/>
      <c r="K235" s="13"/>
    </row>
    <row r="236" spans="1:13" x14ac:dyDescent="0.3">
      <c r="A236" s="27" t="s">
        <v>782</v>
      </c>
      <c r="B236" s="26">
        <v>14</v>
      </c>
      <c r="C236" s="13">
        <v>14</v>
      </c>
      <c r="D236" s="860">
        <v>1</v>
      </c>
      <c r="E236" s="122">
        <v>16.8</v>
      </c>
      <c r="F236" s="136">
        <v>14</v>
      </c>
      <c r="G236" s="136">
        <v>0</v>
      </c>
      <c r="H236" s="90">
        <v>30.8</v>
      </c>
      <c r="I236" s="13" t="s">
        <v>30</v>
      </c>
      <c r="J236" s="27"/>
      <c r="K236" s="13"/>
    </row>
    <row r="237" spans="1:13" x14ac:dyDescent="0.3">
      <c r="A237" s="127" t="s">
        <v>537</v>
      </c>
      <c r="B237" s="26">
        <v>0</v>
      </c>
      <c r="C237" s="13">
        <v>14</v>
      </c>
      <c r="D237" s="860">
        <v>0</v>
      </c>
      <c r="E237" s="122">
        <v>0</v>
      </c>
      <c r="F237" s="136">
        <v>0</v>
      </c>
      <c r="G237" s="136">
        <v>0</v>
      </c>
      <c r="H237" s="90">
        <v>0</v>
      </c>
      <c r="I237" s="13" t="s">
        <v>30</v>
      </c>
      <c r="J237" s="27"/>
      <c r="K237" s="13"/>
    </row>
    <row r="238" spans="1:13" x14ac:dyDescent="0.3">
      <c r="A238" s="127" t="s">
        <v>783</v>
      </c>
      <c r="B238" s="26">
        <v>28</v>
      </c>
      <c r="C238" s="13">
        <v>28</v>
      </c>
      <c r="D238" s="860">
        <v>1</v>
      </c>
      <c r="E238" s="122">
        <v>33.6</v>
      </c>
      <c r="F238" s="136">
        <v>28</v>
      </c>
      <c r="G238" s="136">
        <v>0</v>
      </c>
      <c r="H238" s="90">
        <v>61.6</v>
      </c>
      <c r="I238" s="13" t="s">
        <v>30</v>
      </c>
      <c r="J238" s="27"/>
      <c r="K238" s="13"/>
    </row>
    <row r="239" spans="1:13" s="27" customFormat="1" x14ac:dyDescent="0.3">
      <c r="A239" s="27" t="s">
        <v>784</v>
      </c>
      <c r="B239" s="26">
        <v>28</v>
      </c>
      <c r="C239" s="13">
        <v>28</v>
      </c>
      <c r="D239" s="860">
        <v>1</v>
      </c>
      <c r="E239" s="122">
        <v>33.6</v>
      </c>
      <c r="F239" s="136">
        <v>28</v>
      </c>
      <c r="G239" s="136">
        <v>0</v>
      </c>
      <c r="H239" s="90">
        <v>61.6</v>
      </c>
      <c r="I239" s="13" t="s">
        <v>30</v>
      </c>
      <c r="K239" s="13"/>
      <c r="L239" s="1"/>
      <c r="M239" s="1"/>
    </row>
    <row r="240" spans="1:13" s="27" customFormat="1" x14ac:dyDescent="0.3">
      <c r="A240" s="27" t="s">
        <v>785</v>
      </c>
      <c r="B240" s="26">
        <v>28</v>
      </c>
      <c r="C240" s="13">
        <v>28</v>
      </c>
      <c r="D240" s="860">
        <v>1</v>
      </c>
      <c r="E240" s="122">
        <v>33.6</v>
      </c>
      <c r="F240" s="136">
        <v>28</v>
      </c>
      <c r="G240" s="136">
        <v>0</v>
      </c>
      <c r="H240" s="90">
        <v>61.6</v>
      </c>
      <c r="I240" s="13" t="s">
        <v>30</v>
      </c>
      <c r="K240" s="13"/>
      <c r="L240" s="1"/>
      <c r="M240" s="1"/>
    </row>
    <row r="241" spans="1:13" s="27" customFormat="1" x14ac:dyDescent="0.3">
      <c r="A241" s="27" t="s">
        <v>538</v>
      </c>
      <c r="B241" s="26">
        <v>20</v>
      </c>
      <c r="C241" s="13">
        <v>0</v>
      </c>
      <c r="D241" s="860">
        <v>1</v>
      </c>
      <c r="E241" s="122">
        <v>24</v>
      </c>
      <c r="F241" s="136">
        <v>0</v>
      </c>
      <c r="G241" s="136">
        <v>0</v>
      </c>
      <c r="H241" s="90">
        <v>24</v>
      </c>
      <c r="I241" s="13" t="s">
        <v>30</v>
      </c>
      <c r="K241" s="13"/>
      <c r="L241" s="1"/>
      <c r="M241" s="1"/>
    </row>
    <row r="242" spans="1:13" s="27" customFormat="1" x14ac:dyDescent="0.3">
      <c r="A242" s="27" t="s">
        <v>786</v>
      </c>
      <c r="B242" s="26">
        <v>8</v>
      </c>
      <c r="C242" s="13">
        <v>0</v>
      </c>
      <c r="D242" s="860">
        <v>1</v>
      </c>
      <c r="E242" s="122">
        <v>9.6</v>
      </c>
      <c r="F242" s="136">
        <v>0</v>
      </c>
      <c r="G242" s="136">
        <v>0</v>
      </c>
      <c r="H242" s="90">
        <v>9.6</v>
      </c>
      <c r="I242" s="13" t="s">
        <v>30</v>
      </c>
      <c r="K242" s="13"/>
      <c r="L242" s="1"/>
      <c r="M242" s="1"/>
    </row>
    <row r="243" spans="1:13" s="27" customFormat="1" ht="16.2" thickBot="1" x14ac:dyDescent="0.35">
      <c r="A243" s="127" t="s">
        <v>787</v>
      </c>
      <c r="B243" s="26">
        <v>20</v>
      </c>
      <c r="C243" s="13">
        <v>0</v>
      </c>
      <c r="D243" s="860">
        <v>1</v>
      </c>
      <c r="E243" s="122">
        <v>24</v>
      </c>
      <c r="F243" s="136">
        <v>0</v>
      </c>
      <c r="G243" s="136">
        <v>0</v>
      </c>
      <c r="H243" s="90">
        <v>24</v>
      </c>
      <c r="I243" s="13" t="s">
        <v>30</v>
      </c>
      <c r="K243" s="13"/>
      <c r="L243" s="1"/>
      <c r="M243" s="1"/>
    </row>
    <row r="244" spans="1:13" ht="16.2" thickBot="1" x14ac:dyDescent="0.35">
      <c r="A244" s="19" t="s">
        <v>19</v>
      </c>
      <c r="B244" s="26"/>
      <c r="C244" s="13"/>
      <c r="D244" s="26"/>
      <c r="E244" s="122"/>
      <c r="H244" s="137">
        <v>994.4000000000002</v>
      </c>
      <c r="I244" s="13"/>
      <c r="J244" s="27"/>
      <c r="K244" s="13"/>
    </row>
    <row r="245" spans="1:13" x14ac:dyDescent="0.3">
      <c r="A245" s="27" t="s">
        <v>788</v>
      </c>
      <c r="B245" s="26">
        <v>28</v>
      </c>
      <c r="C245" s="13">
        <v>56</v>
      </c>
      <c r="D245" s="860">
        <v>2</v>
      </c>
      <c r="E245" s="122">
        <v>33.6</v>
      </c>
      <c r="F245" s="136">
        <v>112</v>
      </c>
      <c r="G245" s="136">
        <v>0</v>
      </c>
      <c r="H245" s="125">
        <v>145.6</v>
      </c>
      <c r="I245" s="13" t="s">
        <v>30</v>
      </c>
      <c r="J245" s="27"/>
      <c r="K245" s="13"/>
    </row>
    <row r="246" spans="1:13" x14ac:dyDescent="0.3">
      <c r="A246" s="27" t="s">
        <v>789</v>
      </c>
      <c r="B246" s="26">
        <v>0</v>
      </c>
      <c r="C246" s="13">
        <v>28</v>
      </c>
      <c r="D246" s="860">
        <v>0</v>
      </c>
      <c r="E246" s="122">
        <v>0</v>
      </c>
      <c r="F246" s="136">
        <v>0</v>
      </c>
      <c r="G246" s="136">
        <v>0</v>
      </c>
      <c r="H246" s="90">
        <v>0</v>
      </c>
      <c r="I246" s="13" t="s">
        <v>30</v>
      </c>
      <c r="J246" s="27"/>
      <c r="K246" s="13"/>
    </row>
    <row r="247" spans="1:13" x14ac:dyDescent="0.3">
      <c r="A247" s="27" t="s">
        <v>790</v>
      </c>
      <c r="B247" s="26">
        <v>28</v>
      </c>
      <c r="C247" s="13">
        <v>28</v>
      </c>
      <c r="D247" s="860">
        <v>1</v>
      </c>
      <c r="E247" s="122">
        <v>33.6</v>
      </c>
      <c r="F247" s="136">
        <v>28</v>
      </c>
      <c r="G247" s="136">
        <v>0</v>
      </c>
      <c r="H247" s="125">
        <v>61.6</v>
      </c>
      <c r="I247" s="13" t="s">
        <v>30</v>
      </c>
      <c r="J247" s="27"/>
      <c r="K247" s="13"/>
    </row>
    <row r="248" spans="1:13" x14ac:dyDescent="0.3">
      <c r="A248" s="27" t="s">
        <v>791</v>
      </c>
      <c r="B248" s="26">
        <v>28</v>
      </c>
      <c r="C248" s="13">
        <v>28</v>
      </c>
      <c r="D248" s="860">
        <v>3</v>
      </c>
      <c r="E248" s="122">
        <v>33.6</v>
      </c>
      <c r="F248" s="136">
        <v>56</v>
      </c>
      <c r="G248" s="136">
        <v>22.400000000000002</v>
      </c>
      <c r="H248" s="125">
        <v>112</v>
      </c>
      <c r="I248" s="13" t="s">
        <v>30</v>
      </c>
      <c r="J248" s="27"/>
      <c r="K248" s="13"/>
    </row>
    <row r="249" spans="1:13" x14ac:dyDescent="0.3">
      <c r="A249" s="27" t="s">
        <v>792</v>
      </c>
      <c r="B249" s="26">
        <v>0</v>
      </c>
      <c r="C249" s="13">
        <v>24</v>
      </c>
      <c r="D249" s="860">
        <v>1</v>
      </c>
      <c r="E249" s="122">
        <v>0</v>
      </c>
      <c r="F249" s="136">
        <v>24</v>
      </c>
      <c r="G249" s="136">
        <v>0</v>
      </c>
      <c r="H249" s="125">
        <v>24</v>
      </c>
      <c r="I249" s="13" t="s">
        <v>30</v>
      </c>
      <c r="J249" s="27" t="s">
        <v>539</v>
      </c>
      <c r="K249" s="13" t="s">
        <v>523</v>
      </c>
    </row>
    <row r="250" spans="1:13" x14ac:dyDescent="0.3">
      <c r="A250" s="27" t="s">
        <v>793</v>
      </c>
      <c r="B250" s="26">
        <v>42</v>
      </c>
      <c r="C250" s="13">
        <v>42</v>
      </c>
      <c r="D250" s="860">
        <v>2</v>
      </c>
      <c r="E250" s="122">
        <v>50.4</v>
      </c>
      <c r="F250" s="136">
        <v>84</v>
      </c>
      <c r="G250" s="136">
        <v>0</v>
      </c>
      <c r="H250" s="90">
        <v>134.4</v>
      </c>
      <c r="I250" s="13" t="s">
        <v>30</v>
      </c>
      <c r="J250" s="27"/>
      <c r="K250" s="13"/>
    </row>
    <row r="251" spans="1:13" x14ac:dyDescent="0.3">
      <c r="A251" s="27" t="s">
        <v>794</v>
      </c>
      <c r="B251" s="26">
        <v>28</v>
      </c>
      <c r="C251" s="13">
        <v>28</v>
      </c>
      <c r="D251" s="860">
        <v>1</v>
      </c>
      <c r="E251" s="122">
        <v>33.6</v>
      </c>
      <c r="F251" s="136">
        <v>28</v>
      </c>
      <c r="G251" s="136">
        <v>0</v>
      </c>
      <c r="H251" s="90">
        <v>61.6</v>
      </c>
      <c r="I251" s="13" t="s">
        <v>30</v>
      </c>
      <c r="J251" s="27"/>
      <c r="K251" s="13"/>
    </row>
    <row r="252" spans="1:13" x14ac:dyDescent="0.3">
      <c r="A252" s="127" t="s">
        <v>795</v>
      </c>
      <c r="B252" s="26">
        <v>28</v>
      </c>
      <c r="C252" s="13">
        <v>28</v>
      </c>
      <c r="D252" s="860">
        <v>1</v>
      </c>
      <c r="E252" s="122">
        <v>33.6</v>
      </c>
      <c r="F252" s="136">
        <v>28</v>
      </c>
      <c r="G252" s="136">
        <v>0</v>
      </c>
      <c r="H252" s="125">
        <v>61.6</v>
      </c>
      <c r="I252" s="13" t="s">
        <v>30</v>
      </c>
      <c r="J252" s="27"/>
      <c r="K252" s="13"/>
    </row>
    <row r="253" spans="1:13" x14ac:dyDescent="0.3">
      <c r="A253" s="127" t="s">
        <v>796</v>
      </c>
      <c r="B253" s="26">
        <v>0</v>
      </c>
      <c r="C253" s="13">
        <v>112</v>
      </c>
      <c r="D253" s="860">
        <v>1</v>
      </c>
      <c r="E253" s="122">
        <v>0</v>
      </c>
      <c r="F253" s="136">
        <v>112</v>
      </c>
      <c r="G253" s="136">
        <v>0</v>
      </c>
      <c r="H253" s="125">
        <v>112</v>
      </c>
      <c r="I253" s="13" t="s">
        <v>30</v>
      </c>
      <c r="J253" s="27"/>
      <c r="K253" s="13"/>
      <c r="L253" s="27"/>
      <c r="M253" s="27"/>
    </row>
    <row r="254" spans="1:13" s="19" customFormat="1" x14ac:dyDescent="0.3">
      <c r="A254" s="127" t="s">
        <v>797</v>
      </c>
      <c r="B254" s="26">
        <v>28</v>
      </c>
      <c r="C254" s="13">
        <v>28</v>
      </c>
      <c r="D254" s="860">
        <v>2</v>
      </c>
      <c r="E254" s="122">
        <v>33.6</v>
      </c>
      <c r="F254" s="136">
        <v>56</v>
      </c>
      <c r="G254" s="136">
        <v>0</v>
      </c>
      <c r="H254" s="125">
        <v>89.6</v>
      </c>
      <c r="I254" s="13" t="s">
        <v>30</v>
      </c>
      <c r="J254" s="27"/>
      <c r="K254" s="13"/>
      <c r="L254" s="1"/>
      <c r="M254" s="1"/>
    </row>
    <row r="255" spans="1:13" x14ac:dyDescent="0.3">
      <c r="A255" s="127" t="s">
        <v>798</v>
      </c>
      <c r="B255" s="26">
        <v>28</v>
      </c>
      <c r="C255" s="13">
        <v>28</v>
      </c>
      <c r="D255" s="860">
        <v>2</v>
      </c>
      <c r="E255" s="122">
        <v>33.6</v>
      </c>
      <c r="F255" s="136">
        <v>56</v>
      </c>
      <c r="G255" s="136">
        <v>0</v>
      </c>
      <c r="H255" s="125">
        <v>89.6</v>
      </c>
      <c r="I255" s="13" t="s">
        <v>30</v>
      </c>
      <c r="J255" s="27"/>
      <c r="K255" s="13"/>
    </row>
    <row r="256" spans="1:13" x14ac:dyDescent="0.3">
      <c r="A256" s="127" t="s">
        <v>799</v>
      </c>
      <c r="B256" s="26">
        <v>28</v>
      </c>
      <c r="C256" s="13">
        <v>28</v>
      </c>
      <c r="D256" s="860">
        <v>2</v>
      </c>
      <c r="E256" s="122">
        <v>33.6</v>
      </c>
      <c r="F256" s="136">
        <v>56</v>
      </c>
      <c r="G256" s="136">
        <v>0</v>
      </c>
      <c r="H256" s="90">
        <v>89.6</v>
      </c>
      <c r="I256" s="13" t="s">
        <v>30</v>
      </c>
      <c r="J256" s="27"/>
      <c r="K256" s="13"/>
    </row>
    <row r="257" spans="1:13" x14ac:dyDescent="0.3">
      <c r="A257" s="127" t="s">
        <v>800</v>
      </c>
      <c r="B257" s="26">
        <v>28</v>
      </c>
      <c r="C257" s="13">
        <v>28</v>
      </c>
      <c r="D257" s="860">
        <v>3</v>
      </c>
      <c r="E257" s="122">
        <v>33.6</v>
      </c>
      <c r="F257" s="136">
        <v>56</v>
      </c>
      <c r="G257" s="136">
        <v>22.400000000000002</v>
      </c>
      <c r="H257" s="125">
        <v>112</v>
      </c>
      <c r="I257" s="13" t="s">
        <v>30</v>
      </c>
      <c r="J257" s="19"/>
      <c r="K257" s="13"/>
      <c r="L257" s="19"/>
      <c r="M257" s="19"/>
    </row>
    <row r="258" spans="1:13" s="27" customFormat="1" x14ac:dyDescent="0.3">
      <c r="A258" s="127" t="s">
        <v>801</v>
      </c>
      <c r="B258" s="26">
        <v>28</v>
      </c>
      <c r="C258" s="13">
        <v>28</v>
      </c>
      <c r="D258" s="860">
        <v>1</v>
      </c>
      <c r="E258" s="122">
        <v>33.6</v>
      </c>
      <c r="F258" s="136">
        <v>28</v>
      </c>
      <c r="G258" s="136">
        <v>0</v>
      </c>
      <c r="H258" s="125">
        <v>61.6</v>
      </c>
      <c r="I258" s="13" t="s">
        <v>30</v>
      </c>
      <c r="J258" s="19"/>
      <c r="K258" s="13"/>
      <c r="L258" s="19"/>
      <c r="M258" s="19"/>
    </row>
    <row r="259" spans="1:13" s="27" customFormat="1" x14ac:dyDescent="0.3">
      <c r="A259" s="127" t="s">
        <v>802</v>
      </c>
      <c r="B259" s="26">
        <v>28</v>
      </c>
      <c r="C259" s="13">
        <v>14</v>
      </c>
      <c r="D259" s="860">
        <v>1</v>
      </c>
      <c r="E259" s="122">
        <v>33.6</v>
      </c>
      <c r="F259" s="136">
        <v>14</v>
      </c>
      <c r="G259" s="136">
        <v>0</v>
      </c>
      <c r="H259" s="90">
        <v>47.6</v>
      </c>
      <c r="I259" s="13" t="s">
        <v>30</v>
      </c>
      <c r="K259" s="13"/>
    </row>
    <row r="260" spans="1:13" s="27" customFormat="1" x14ac:dyDescent="0.3">
      <c r="A260" s="127" t="s">
        <v>803</v>
      </c>
      <c r="B260" s="26">
        <v>14</v>
      </c>
      <c r="C260" s="13">
        <v>14</v>
      </c>
      <c r="D260" s="860">
        <v>2</v>
      </c>
      <c r="E260" s="122">
        <v>16.8</v>
      </c>
      <c r="F260" s="136">
        <v>28</v>
      </c>
      <c r="G260" s="136">
        <v>0</v>
      </c>
      <c r="H260" s="90">
        <v>44.8</v>
      </c>
      <c r="I260" s="13" t="s">
        <v>30</v>
      </c>
      <c r="K260" s="13"/>
    </row>
    <row r="261" spans="1:13" x14ac:dyDescent="0.3">
      <c r="A261" s="127" t="s">
        <v>804</v>
      </c>
      <c r="B261" s="26">
        <v>0</v>
      </c>
      <c r="C261" s="13">
        <v>28</v>
      </c>
      <c r="D261" s="860">
        <v>0</v>
      </c>
      <c r="E261" s="122">
        <v>0</v>
      </c>
      <c r="F261" s="136">
        <v>0</v>
      </c>
      <c r="G261" s="136">
        <v>0</v>
      </c>
      <c r="H261" s="90">
        <v>0</v>
      </c>
      <c r="I261" s="13" t="s">
        <v>30</v>
      </c>
      <c r="J261" s="27"/>
      <c r="K261" s="13"/>
    </row>
    <row r="262" spans="1:13" x14ac:dyDescent="0.3">
      <c r="A262" s="127" t="s">
        <v>805</v>
      </c>
      <c r="B262" s="26">
        <v>28</v>
      </c>
      <c r="C262" s="13">
        <v>28</v>
      </c>
      <c r="D262" s="860">
        <v>2</v>
      </c>
      <c r="E262" s="122">
        <v>33.6</v>
      </c>
      <c r="F262" s="136">
        <v>56</v>
      </c>
      <c r="G262" s="136">
        <v>0</v>
      </c>
      <c r="H262" s="90">
        <v>89.6</v>
      </c>
      <c r="I262" s="13" t="s">
        <v>30</v>
      </c>
      <c r="J262" s="27"/>
      <c r="K262" s="13"/>
    </row>
    <row r="263" spans="1:13" s="27" customFormat="1" x14ac:dyDescent="0.3">
      <c r="A263" s="127" t="s">
        <v>806</v>
      </c>
      <c r="B263" s="26">
        <v>14</v>
      </c>
      <c r="C263" s="13">
        <v>28</v>
      </c>
      <c r="D263" s="860">
        <v>1</v>
      </c>
      <c r="E263" s="122">
        <v>16.8</v>
      </c>
      <c r="F263" s="136">
        <v>28</v>
      </c>
      <c r="G263" s="136">
        <v>0</v>
      </c>
      <c r="H263" s="90">
        <v>44.8</v>
      </c>
      <c r="I263" s="13" t="s">
        <v>30</v>
      </c>
      <c r="K263" s="13"/>
    </row>
    <row r="264" spans="1:13" s="27" customFormat="1" x14ac:dyDescent="0.3">
      <c r="A264" s="27" t="s">
        <v>540</v>
      </c>
      <c r="B264" s="26">
        <v>16</v>
      </c>
      <c r="C264" s="13">
        <v>0</v>
      </c>
      <c r="D264" s="860">
        <v>1</v>
      </c>
      <c r="E264" s="122">
        <v>19.2</v>
      </c>
      <c r="F264" s="136">
        <v>0</v>
      </c>
      <c r="G264" s="136">
        <v>0</v>
      </c>
      <c r="H264" s="90">
        <v>19.2</v>
      </c>
      <c r="I264" s="13" t="s">
        <v>30</v>
      </c>
      <c r="K264" s="13"/>
    </row>
    <row r="265" spans="1:13" s="27" customFormat="1" x14ac:dyDescent="0.3">
      <c r="A265" s="27" t="s">
        <v>807</v>
      </c>
      <c r="B265" s="26">
        <v>16</v>
      </c>
      <c r="C265" s="13">
        <v>0</v>
      </c>
      <c r="D265" s="860">
        <v>1</v>
      </c>
      <c r="E265" s="122">
        <v>19.2</v>
      </c>
      <c r="F265" s="136">
        <v>0</v>
      </c>
      <c r="G265" s="136">
        <v>0</v>
      </c>
      <c r="H265" s="90">
        <v>19.2</v>
      </c>
      <c r="I265" s="13" t="s">
        <v>30</v>
      </c>
      <c r="K265" s="13"/>
      <c r="L265" s="1"/>
      <c r="M265" s="1"/>
    </row>
    <row r="266" spans="1:13" s="27" customFormat="1" ht="16.2" thickBot="1" x14ac:dyDescent="0.35">
      <c r="A266" s="127" t="s">
        <v>808</v>
      </c>
      <c r="B266" s="26">
        <v>16</v>
      </c>
      <c r="C266" s="13">
        <v>0</v>
      </c>
      <c r="D266" s="860">
        <v>1</v>
      </c>
      <c r="E266" s="122">
        <v>19.2</v>
      </c>
      <c r="F266" s="136">
        <v>0</v>
      </c>
      <c r="G266" s="136">
        <v>0</v>
      </c>
      <c r="H266" s="125">
        <v>19.2</v>
      </c>
      <c r="I266" s="13" t="s">
        <v>30</v>
      </c>
      <c r="K266" s="13"/>
    </row>
    <row r="267" spans="1:13" ht="16.2" thickBot="1" x14ac:dyDescent="0.35">
      <c r="A267" s="19" t="s">
        <v>20</v>
      </c>
      <c r="B267" s="85"/>
      <c r="C267" s="13"/>
      <c r="D267" s="26"/>
      <c r="E267" s="122"/>
      <c r="H267" s="137">
        <v>1439.6</v>
      </c>
      <c r="I267" s="13"/>
      <c r="J267" s="27"/>
      <c r="K267" s="13"/>
    </row>
    <row r="268" spans="1:13" x14ac:dyDescent="0.3">
      <c r="A268" s="27" t="s">
        <v>809</v>
      </c>
      <c r="B268" s="26">
        <v>28</v>
      </c>
      <c r="C268" s="13">
        <v>28</v>
      </c>
      <c r="D268" s="860">
        <v>1</v>
      </c>
      <c r="E268" s="122">
        <v>33.6</v>
      </c>
      <c r="F268" s="136">
        <v>28</v>
      </c>
      <c r="G268" s="136">
        <v>0</v>
      </c>
      <c r="H268" s="125">
        <v>61.6</v>
      </c>
      <c r="I268" s="13" t="s">
        <v>30</v>
      </c>
      <c r="J268" s="27"/>
      <c r="K268" s="13"/>
    </row>
    <row r="269" spans="1:13" x14ac:dyDescent="0.3">
      <c r="A269" s="27" t="s">
        <v>810</v>
      </c>
      <c r="B269" s="26">
        <v>28</v>
      </c>
      <c r="C269" s="13">
        <v>28</v>
      </c>
      <c r="D269" s="860">
        <v>1</v>
      </c>
      <c r="E269" s="122">
        <v>33.6</v>
      </c>
      <c r="F269" s="136">
        <v>28</v>
      </c>
      <c r="G269" s="136">
        <v>0</v>
      </c>
      <c r="H269" s="125">
        <v>61.6</v>
      </c>
      <c r="I269" s="13" t="s">
        <v>30</v>
      </c>
      <c r="J269" s="27"/>
      <c r="K269" s="13"/>
    </row>
    <row r="270" spans="1:13" x14ac:dyDescent="0.3">
      <c r="A270" s="27" t="s">
        <v>288</v>
      </c>
      <c r="B270" s="26">
        <v>0</v>
      </c>
      <c r="C270" s="13">
        <v>28</v>
      </c>
      <c r="D270" s="860">
        <v>0</v>
      </c>
      <c r="E270" s="122">
        <v>0</v>
      </c>
      <c r="F270" s="136">
        <v>0</v>
      </c>
      <c r="G270" s="136">
        <v>0</v>
      </c>
      <c r="H270" s="125">
        <v>0</v>
      </c>
      <c r="I270" s="13" t="s">
        <v>30</v>
      </c>
      <c r="J270" s="27"/>
      <c r="K270" s="13"/>
    </row>
    <row r="271" spans="1:13" x14ac:dyDescent="0.3">
      <c r="A271" s="27" t="s">
        <v>811</v>
      </c>
      <c r="B271" s="26">
        <v>28</v>
      </c>
      <c r="C271" s="13">
        <v>28</v>
      </c>
      <c r="D271" s="860">
        <v>1</v>
      </c>
      <c r="E271" s="122">
        <v>33.6</v>
      </c>
      <c r="F271" s="136">
        <v>28</v>
      </c>
      <c r="G271" s="136">
        <v>0</v>
      </c>
      <c r="H271" s="125">
        <v>61.6</v>
      </c>
      <c r="I271" s="13" t="s">
        <v>30</v>
      </c>
      <c r="J271" s="27"/>
      <c r="K271" s="13"/>
    </row>
    <row r="272" spans="1:13" x14ac:dyDescent="0.3">
      <c r="A272" s="27" t="s">
        <v>812</v>
      </c>
      <c r="B272" s="26">
        <v>28</v>
      </c>
      <c r="C272" s="13">
        <v>28</v>
      </c>
      <c r="D272" s="860">
        <v>1</v>
      </c>
      <c r="E272" s="122">
        <v>33.6</v>
      </c>
      <c r="F272" s="136">
        <v>28</v>
      </c>
      <c r="G272" s="136">
        <v>0</v>
      </c>
      <c r="H272" s="125">
        <v>61.6</v>
      </c>
      <c r="I272" s="13" t="s">
        <v>30</v>
      </c>
      <c r="J272" s="27"/>
      <c r="K272" s="13"/>
    </row>
    <row r="273" spans="1:13" x14ac:dyDescent="0.3">
      <c r="A273" s="27" t="s">
        <v>813</v>
      </c>
      <c r="B273" s="26">
        <v>28</v>
      </c>
      <c r="C273" s="13">
        <v>28</v>
      </c>
      <c r="D273" s="860">
        <v>1</v>
      </c>
      <c r="E273" s="122">
        <v>33.6</v>
      </c>
      <c r="F273" s="136">
        <v>28</v>
      </c>
      <c r="G273" s="136">
        <v>0</v>
      </c>
      <c r="H273" s="125">
        <v>61.6</v>
      </c>
      <c r="I273" s="13" t="s">
        <v>30</v>
      </c>
      <c r="J273" s="27"/>
      <c r="K273" s="13"/>
    </row>
    <row r="274" spans="1:13" x14ac:dyDescent="0.3">
      <c r="A274" s="27" t="s">
        <v>814</v>
      </c>
      <c r="B274" s="26">
        <v>28</v>
      </c>
      <c r="C274" s="13">
        <v>28</v>
      </c>
      <c r="D274" s="860">
        <v>1</v>
      </c>
      <c r="E274" s="122">
        <v>33.6</v>
      </c>
      <c r="F274" s="136">
        <v>28</v>
      </c>
      <c r="G274" s="136">
        <v>0</v>
      </c>
      <c r="H274" s="90">
        <v>61.6</v>
      </c>
      <c r="I274" s="13" t="s">
        <v>30</v>
      </c>
      <c r="J274" s="27"/>
      <c r="K274" s="13"/>
    </row>
    <row r="275" spans="1:13" x14ac:dyDescent="0.3">
      <c r="A275" s="27" t="s">
        <v>815</v>
      </c>
      <c r="B275" s="26">
        <v>0</v>
      </c>
      <c r="C275" s="13">
        <v>28</v>
      </c>
      <c r="D275" s="860">
        <v>0</v>
      </c>
      <c r="E275" s="122">
        <v>0</v>
      </c>
      <c r="F275" s="136">
        <v>0</v>
      </c>
      <c r="G275" s="136">
        <v>0</v>
      </c>
      <c r="H275" s="90">
        <v>0</v>
      </c>
      <c r="I275" s="13" t="s">
        <v>30</v>
      </c>
      <c r="J275" s="27"/>
      <c r="K275" s="13"/>
    </row>
    <row r="276" spans="1:13" x14ac:dyDescent="0.3">
      <c r="A276" s="27" t="s">
        <v>816</v>
      </c>
      <c r="B276" s="26">
        <v>28</v>
      </c>
      <c r="C276" s="13">
        <v>28</v>
      </c>
      <c r="D276" s="860">
        <v>1</v>
      </c>
      <c r="E276" s="122">
        <v>33.6</v>
      </c>
      <c r="F276" s="136">
        <v>28</v>
      </c>
      <c r="G276" s="136">
        <v>0</v>
      </c>
      <c r="H276" s="125">
        <v>61.6</v>
      </c>
      <c r="I276" s="13" t="s">
        <v>30</v>
      </c>
      <c r="J276" s="27"/>
      <c r="K276" s="13"/>
    </row>
    <row r="277" spans="1:13" x14ac:dyDescent="0.3">
      <c r="A277" s="27" t="s">
        <v>817</v>
      </c>
      <c r="B277" s="26">
        <v>28</v>
      </c>
      <c r="C277" s="13">
        <v>28</v>
      </c>
      <c r="D277" s="860">
        <v>1</v>
      </c>
      <c r="E277" s="122">
        <v>33.6</v>
      </c>
      <c r="F277" s="136">
        <v>28</v>
      </c>
      <c r="G277" s="136">
        <v>0</v>
      </c>
      <c r="H277" s="125">
        <v>61.6</v>
      </c>
      <c r="I277" s="13" t="s">
        <v>30</v>
      </c>
      <c r="J277" s="19"/>
      <c r="K277" s="13"/>
      <c r="L277" s="19"/>
      <c r="M277" s="19"/>
    </row>
    <row r="278" spans="1:13" x14ac:dyDescent="0.3">
      <c r="A278" s="127" t="s">
        <v>818</v>
      </c>
      <c r="B278" s="26">
        <v>20</v>
      </c>
      <c r="C278" s="13">
        <v>20</v>
      </c>
      <c r="D278" s="860">
        <v>1</v>
      </c>
      <c r="E278" s="122">
        <v>24</v>
      </c>
      <c r="F278" s="136">
        <v>20</v>
      </c>
      <c r="G278" s="136">
        <v>0</v>
      </c>
      <c r="H278" s="125">
        <v>44</v>
      </c>
      <c r="I278" s="13" t="s">
        <v>30</v>
      </c>
      <c r="J278" s="27"/>
      <c r="K278" s="13"/>
    </row>
    <row r="279" spans="1:13" x14ac:dyDescent="0.3">
      <c r="A279" s="127" t="s">
        <v>819</v>
      </c>
      <c r="B279" s="26">
        <v>0</v>
      </c>
      <c r="C279" s="13">
        <v>20</v>
      </c>
      <c r="D279" s="860">
        <v>1</v>
      </c>
      <c r="E279" s="122">
        <v>0</v>
      </c>
      <c r="F279" s="136">
        <v>20</v>
      </c>
      <c r="G279" s="136">
        <v>0</v>
      </c>
      <c r="H279" s="125">
        <v>20</v>
      </c>
      <c r="I279" s="13" t="s">
        <v>30</v>
      </c>
      <c r="J279" s="27"/>
      <c r="K279" s="13"/>
      <c r="L279" s="27"/>
      <c r="M279" s="27"/>
    </row>
    <row r="280" spans="1:13" x14ac:dyDescent="0.3">
      <c r="A280" s="127" t="s">
        <v>820</v>
      </c>
      <c r="B280" s="26">
        <v>0</v>
      </c>
      <c r="C280" s="13">
        <v>20</v>
      </c>
      <c r="D280" s="860">
        <v>0</v>
      </c>
      <c r="E280" s="122">
        <v>0</v>
      </c>
      <c r="F280" s="136">
        <v>0</v>
      </c>
      <c r="G280" s="136">
        <v>0</v>
      </c>
      <c r="H280" s="125">
        <v>0</v>
      </c>
      <c r="I280" s="13" t="s">
        <v>30</v>
      </c>
      <c r="J280" s="27"/>
      <c r="K280" s="13"/>
    </row>
    <row r="281" spans="1:13" x14ac:dyDescent="0.3">
      <c r="A281" s="127" t="s">
        <v>345</v>
      </c>
      <c r="B281" s="26">
        <v>20</v>
      </c>
      <c r="C281" s="13">
        <v>20</v>
      </c>
      <c r="D281" s="860">
        <v>1</v>
      </c>
      <c r="E281" s="122">
        <v>24</v>
      </c>
      <c r="F281" s="136">
        <v>20</v>
      </c>
      <c r="G281" s="136">
        <v>0</v>
      </c>
      <c r="H281" s="125">
        <v>44</v>
      </c>
      <c r="I281" s="13" t="s">
        <v>30</v>
      </c>
      <c r="J281" s="27"/>
      <c r="K281" s="13"/>
    </row>
    <row r="282" spans="1:13" x14ac:dyDescent="0.3">
      <c r="A282" s="127" t="s">
        <v>821</v>
      </c>
      <c r="B282" s="26">
        <v>20</v>
      </c>
      <c r="C282" s="13">
        <v>20</v>
      </c>
      <c r="D282" s="860">
        <v>1</v>
      </c>
      <c r="E282" s="122">
        <v>24</v>
      </c>
      <c r="F282" s="136">
        <v>20</v>
      </c>
      <c r="G282" s="136">
        <v>0</v>
      </c>
      <c r="H282" s="125">
        <v>44</v>
      </c>
      <c r="I282" s="13" t="s">
        <v>30</v>
      </c>
      <c r="J282" s="27"/>
      <c r="K282" s="13"/>
    </row>
    <row r="283" spans="1:13" x14ac:dyDescent="0.3">
      <c r="A283" s="127" t="s">
        <v>822</v>
      </c>
      <c r="B283" s="26">
        <v>20</v>
      </c>
      <c r="C283" s="13">
        <v>20</v>
      </c>
      <c r="D283" s="860">
        <v>1</v>
      </c>
      <c r="E283" s="122">
        <v>24</v>
      </c>
      <c r="F283" s="136">
        <v>20</v>
      </c>
      <c r="G283" s="136">
        <v>0</v>
      </c>
      <c r="H283" s="125">
        <v>44</v>
      </c>
      <c r="I283" s="13" t="s">
        <v>30</v>
      </c>
      <c r="J283" s="27"/>
      <c r="K283" s="13"/>
    </row>
    <row r="284" spans="1:13" x14ac:dyDescent="0.3">
      <c r="A284" s="127" t="s">
        <v>823</v>
      </c>
      <c r="B284" s="26">
        <v>0</v>
      </c>
      <c r="C284" s="13">
        <v>20</v>
      </c>
      <c r="D284" s="860">
        <v>0</v>
      </c>
      <c r="E284" s="122">
        <v>0</v>
      </c>
      <c r="F284" s="136">
        <v>0</v>
      </c>
      <c r="G284" s="136">
        <v>0</v>
      </c>
      <c r="H284" s="125">
        <v>0</v>
      </c>
      <c r="I284" s="13" t="s">
        <v>30</v>
      </c>
      <c r="J284" s="27"/>
      <c r="K284" s="13"/>
    </row>
    <row r="285" spans="1:13" x14ac:dyDescent="0.3">
      <c r="A285" s="127" t="s">
        <v>824</v>
      </c>
      <c r="B285" s="26">
        <v>20</v>
      </c>
      <c r="C285" s="13">
        <v>20</v>
      </c>
      <c r="D285" s="860">
        <v>1</v>
      </c>
      <c r="E285" s="145">
        <v>24</v>
      </c>
      <c r="F285" s="136">
        <v>20</v>
      </c>
      <c r="G285" s="136">
        <v>0</v>
      </c>
      <c r="H285" s="90">
        <v>44</v>
      </c>
      <c r="I285" s="13" t="s">
        <v>30</v>
      </c>
      <c r="J285" s="27"/>
      <c r="K285" s="13"/>
    </row>
    <row r="286" spans="1:13" x14ac:dyDescent="0.3">
      <c r="A286" s="127" t="s">
        <v>825</v>
      </c>
      <c r="B286" s="26">
        <v>0</v>
      </c>
      <c r="C286" s="13">
        <v>20</v>
      </c>
      <c r="D286" s="860">
        <v>0</v>
      </c>
      <c r="E286" s="145">
        <v>0</v>
      </c>
      <c r="F286" s="136">
        <v>0</v>
      </c>
      <c r="G286" s="136">
        <v>0</v>
      </c>
      <c r="H286" s="90">
        <v>0</v>
      </c>
      <c r="I286" s="13" t="s">
        <v>30</v>
      </c>
      <c r="J286" s="27"/>
      <c r="K286" s="13"/>
      <c r="L286" s="27"/>
      <c r="M286" s="27"/>
    </row>
    <row r="287" spans="1:13" x14ac:dyDescent="0.3">
      <c r="A287" s="127" t="s">
        <v>826</v>
      </c>
      <c r="B287" s="26">
        <v>0</v>
      </c>
      <c r="C287" s="13">
        <v>20</v>
      </c>
      <c r="D287" s="860">
        <v>0</v>
      </c>
      <c r="E287" s="145">
        <v>0</v>
      </c>
      <c r="F287" s="136">
        <v>0</v>
      </c>
      <c r="G287" s="136">
        <v>0</v>
      </c>
      <c r="H287" s="90">
        <v>0</v>
      </c>
      <c r="I287" s="13" t="s">
        <v>30</v>
      </c>
      <c r="J287" s="27"/>
      <c r="K287" s="13"/>
      <c r="L287" s="27"/>
      <c r="M287" s="27"/>
    </row>
    <row r="288" spans="1:13" x14ac:dyDescent="0.3">
      <c r="A288" s="27" t="s">
        <v>827</v>
      </c>
      <c r="B288" s="26">
        <v>0</v>
      </c>
      <c r="C288" s="13">
        <v>28</v>
      </c>
      <c r="D288" s="860">
        <v>1</v>
      </c>
      <c r="E288" s="122">
        <v>0</v>
      </c>
      <c r="F288" s="136">
        <v>28</v>
      </c>
      <c r="G288" s="136">
        <v>0</v>
      </c>
      <c r="H288" s="90">
        <v>28</v>
      </c>
      <c r="I288" s="13" t="s">
        <v>30</v>
      </c>
      <c r="J288" s="27"/>
      <c r="K288" s="22"/>
    </row>
    <row r="289" spans="1:13" x14ac:dyDescent="0.3">
      <c r="A289" s="27" t="s">
        <v>828</v>
      </c>
      <c r="B289" s="26">
        <v>28</v>
      </c>
      <c r="C289" s="13">
        <v>28</v>
      </c>
      <c r="D289" s="860">
        <v>1</v>
      </c>
      <c r="E289" s="122">
        <v>33.6</v>
      </c>
      <c r="F289" s="136">
        <v>28</v>
      </c>
      <c r="G289" s="136">
        <v>0</v>
      </c>
      <c r="H289" s="90">
        <v>61.6</v>
      </c>
      <c r="I289" s="13" t="s">
        <v>30</v>
      </c>
      <c r="J289" s="27"/>
      <c r="K289" s="13"/>
    </row>
    <row r="290" spans="1:13" x14ac:dyDescent="0.3">
      <c r="A290" s="27" t="s">
        <v>829</v>
      </c>
      <c r="B290" s="26">
        <v>20</v>
      </c>
      <c r="C290" s="13">
        <v>0</v>
      </c>
      <c r="D290" s="860">
        <v>1</v>
      </c>
      <c r="E290" s="122">
        <v>24</v>
      </c>
      <c r="F290" s="136">
        <v>0</v>
      </c>
      <c r="G290" s="136">
        <v>0</v>
      </c>
      <c r="H290" s="90">
        <v>24</v>
      </c>
      <c r="I290" s="13" t="s">
        <v>30</v>
      </c>
      <c r="J290" s="27"/>
      <c r="K290" s="13"/>
    </row>
    <row r="291" spans="1:13" x14ac:dyDescent="0.3">
      <c r="A291" s="27" t="s">
        <v>830</v>
      </c>
      <c r="B291" s="26">
        <v>0</v>
      </c>
      <c r="C291" s="13">
        <v>12</v>
      </c>
      <c r="D291" s="860">
        <v>1</v>
      </c>
      <c r="E291" s="122">
        <v>0</v>
      </c>
      <c r="F291" s="136">
        <v>12</v>
      </c>
      <c r="G291" s="136">
        <v>0</v>
      </c>
      <c r="H291" s="90">
        <v>12</v>
      </c>
      <c r="I291" s="13" t="s">
        <v>30</v>
      </c>
      <c r="J291" s="27"/>
      <c r="K291" s="22"/>
    </row>
    <row r="292" spans="1:13" x14ac:dyDescent="0.3">
      <c r="A292" s="27" t="s">
        <v>831</v>
      </c>
      <c r="B292" s="26">
        <v>10</v>
      </c>
      <c r="C292" s="13">
        <v>0</v>
      </c>
      <c r="D292" s="860">
        <v>1</v>
      </c>
      <c r="E292" s="122">
        <v>12</v>
      </c>
      <c r="F292" s="136">
        <v>0</v>
      </c>
      <c r="G292" s="136">
        <v>0</v>
      </c>
      <c r="H292" s="90">
        <v>12</v>
      </c>
      <c r="I292" s="13" t="s">
        <v>30</v>
      </c>
      <c r="J292" s="27"/>
      <c r="K292" s="13"/>
    </row>
    <row r="293" spans="1:13" x14ac:dyDescent="0.3">
      <c r="A293" s="127" t="s">
        <v>832</v>
      </c>
      <c r="B293" s="26">
        <v>0</v>
      </c>
      <c r="C293" s="13">
        <v>12</v>
      </c>
      <c r="D293" s="860">
        <v>0</v>
      </c>
      <c r="E293" s="122">
        <v>0</v>
      </c>
      <c r="F293" s="136">
        <v>0</v>
      </c>
      <c r="G293" s="136">
        <v>0</v>
      </c>
      <c r="H293" s="90">
        <v>0</v>
      </c>
      <c r="I293" s="13" t="s">
        <v>30</v>
      </c>
      <c r="J293" s="27"/>
      <c r="K293" s="13"/>
    </row>
    <row r="294" spans="1:13" x14ac:dyDescent="0.3">
      <c r="A294" s="127" t="s">
        <v>833</v>
      </c>
      <c r="B294" s="26">
        <v>0</v>
      </c>
      <c r="C294" s="13">
        <v>6</v>
      </c>
      <c r="D294" s="860">
        <v>0</v>
      </c>
      <c r="E294" s="122">
        <v>0</v>
      </c>
      <c r="F294" s="136">
        <v>0</v>
      </c>
      <c r="G294" s="136">
        <v>0</v>
      </c>
      <c r="H294" s="90">
        <v>0</v>
      </c>
      <c r="I294" s="13" t="s">
        <v>30</v>
      </c>
      <c r="J294" s="27"/>
      <c r="K294" s="13"/>
    </row>
    <row r="295" spans="1:13" x14ac:dyDescent="0.3">
      <c r="A295" s="127" t="s">
        <v>834</v>
      </c>
      <c r="B295" s="26">
        <v>28</v>
      </c>
      <c r="C295" s="13">
        <v>28</v>
      </c>
      <c r="D295" s="860">
        <v>1</v>
      </c>
      <c r="E295" s="122">
        <v>33.6</v>
      </c>
      <c r="F295" s="136">
        <v>28</v>
      </c>
      <c r="G295" s="136">
        <v>0</v>
      </c>
      <c r="H295" s="90">
        <v>61.6</v>
      </c>
      <c r="I295" s="13" t="s">
        <v>30</v>
      </c>
      <c r="J295" s="27"/>
      <c r="K295" s="13"/>
    </row>
    <row r="296" spans="1:13" ht="16.2" thickBot="1" x14ac:dyDescent="0.35">
      <c r="A296" s="127" t="s">
        <v>835</v>
      </c>
      <c r="B296" s="26">
        <v>28</v>
      </c>
      <c r="C296" s="13">
        <v>28</v>
      </c>
      <c r="D296" s="860">
        <v>1</v>
      </c>
      <c r="E296" s="122">
        <v>33.6</v>
      </c>
      <c r="F296" s="136">
        <v>28</v>
      </c>
      <c r="G296" s="136">
        <v>0</v>
      </c>
      <c r="H296" s="90">
        <v>61.6</v>
      </c>
      <c r="I296" s="13" t="s">
        <v>30</v>
      </c>
      <c r="J296" s="27"/>
      <c r="K296" s="13"/>
    </row>
    <row r="297" spans="1:13" ht="16.2" thickBot="1" x14ac:dyDescent="0.35">
      <c r="A297" s="27"/>
      <c r="B297" s="91"/>
      <c r="C297" s="140"/>
      <c r="D297" s="27"/>
      <c r="E297" s="122"/>
      <c r="F297" s="122"/>
      <c r="G297" s="122"/>
      <c r="H297" s="137">
        <v>993.60000000000014</v>
      </c>
      <c r="I297" s="150"/>
      <c r="J297" s="27"/>
      <c r="K297" s="13"/>
    </row>
    <row r="298" spans="1:13" ht="16.2" thickBot="1" x14ac:dyDescent="0.35">
      <c r="A298" s="19" t="s">
        <v>21</v>
      </c>
      <c r="B298" s="85"/>
      <c r="C298" s="13"/>
      <c r="D298" s="26"/>
      <c r="E298" s="26"/>
      <c r="F298" s="26"/>
      <c r="G298" s="142" t="s">
        <v>151</v>
      </c>
      <c r="H298" s="137">
        <v>3427.6</v>
      </c>
      <c r="I298" s="70"/>
      <c r="J298" s="27"/>
      <c r="K298" s="13"/>
    </row>
    <row r="299" spans="1:13" x14ac:dyDescent="0.3">
      <c r="A299" s="27" t="s">
        <v>836</v>
      </c>
      <c r="B299" s="26">
        <v>14</v>
      </c>
      <c r="C299" s="13">
        <v>28</v>
      </c>
      <c r="D299" s="860">
        <v>1</v>
      </c>
      <c r="E299" s="122">
        <v>16.8</v>
      </c>
      <c r="F299" s="143">
        <v>28</v>
      </c>
      <c r="G299" s="143">
        <v>0</v>
      </c>
      <c r="H299" s="125">
        <v>44.8</v>
      </c>
      <c r="I299" s="20" t="s">
        <v>140</v>
      </c>
      <c r="J299" s="27"/>
      <c r="K299" s="13"/>
    </row>
    <row r="300" spans="1:13" x14ac:dyDescent="0.3">
      <c r="A300" s="27" t="s">
        <v>837</v>
      </c>
      <c r="B300" s="26">
        <v>28</v>
      </c>
      <c r="C300" s="13">
        <v>28</v>
      </c>
      <c r="D300" s="860">
        <v>1</v>
      </c>
      <c r="E300" s="122">
        <v>33.6</v>
      </c>
      <c r="F300" s="143">
        <v>28</v>
      </c>
      <c r="G300" s="143">
        <v>0</v>
      </c>
      <c r="H300" s="125">
        <v>61.6</v>
      </c>
      <c r="I300" s="20" t="s">
        <v>140</v>
      </c>
      <c r="J300" s="27"/>
      <c r="K300" s="13"/>
    </row>
    <row r="301" spans="1:13" x14ac:dyDescent="0.3">
      <c r="A301" s="27" t="s">
        <v>722</v>
      </c>
      <c r="B301" s="26">
        <v>28</v>
      </c>
      <c r="C301" s="13">
        <v>0</v>
      </c>
      <c r="D301" s="860">
        <v>1</v>
      </c>
      <c r="E301" s="122">
        <v>33.6</v>
      </c>
      <c r="F301" s="143">
        <v>0</v>
      </c>
      <c r="G301" s="143">
        <v>0</v>
      </c>
      <c r="H301" s="125">
        <v>33.6</v>
      </c>
      <c r="I301" s="20" t="s">
        <v>140</v>
      </c>
      <c r="J301" s="27" t="s">
        <v>541</v>
      </c>
      <c r="K301" s="13"/>
    </row>
    <row r="302" spans="1:13" x14ac:dyDescent="0.3">
      <c r="A302" s="27" t="s">
        <v>838</v>
      </c>
      <c r="B302" s="26">
        <v>0</v>
      </c>
      <c r="C302" s="13">
        <v>28</v>
      </c>
      <c r="D302" s="860">
        <v>0</v>
      </c>
      <c r="E302" s="122">
        <v>0</v>
      </c>
      <c r="F302" s="143">
        <v>0</v>
      </c>
      <c r="G302" s="143">
        <v>0</v>
      </c>
      <c r="H302" s="125">
        <v>0</v>
      </c>
      <c r="I302" s="20" t="s">
        <v>140</v>
      </c>
      <c r="J302" s="27"/>
      <c r="K302" s="13"/>
    </row>
    <row r="303" spans="1:13" x14ac:dyDescent="0.3">
      <c r="A303" s="27" t="s">
        <v>839</v>
      </c>
      <c r="B303" s="26">
        <v>28</v>
      </c>
      <c r="C303" s="13">
        <v>28</v>
      </c>
      <c r="D303" s="860">
        <v>1</v>
      </c>
      <c r="E303" s="122">
        <v>33.6</v>
      </c>
      <c r="F303" s="143">
        <v>28</v>
      </c>
      <c r="G303" s="143">
        <v>0</v>
      </c>
      <c r="H303" s="125">
        <v>61.6</v>
      </c>
      <c r="I303" s="20" t="s">
        <v>140</v>
      </c>
      <c r="J303" s="27"/>
      <c r="K303" s="13"/>
    </row>
    <row r="304" spans="1:13" x14ac:dyDescent="0.3">
      <c r="A304" s="27" t="s">
        <v>840</v>
      </c>
      <c r="B304" s="26">
        <v>28</v>
      </c>
      <c r="C304" s="13">
        <v>28</v>
      </c>
      <c r="D304" s="860">
        <v>1</v>
      </c>
      <c r="E304" s="122">
        <v>33.6</v>
      </c>
      <c r="F304" s="143">
        <v>28</v>
      </c>
      <c r="G304" s="143">
        <v>0</v>
      </c>
      <c r="H304" s="125">
        <v>61.6</v>
      </c>
      <c r="I304" s="20" t="s">
        <v>140</v>
      </c>
      <c r="J304" s="27"/>
      <c r="K304" s="13"/>
      <c r="L304" s="27"/>
      <c r="M304" s="27"/>
    </row>
    <row r="305" spans="1:13" x14ac:dyDescent="0.3">
      <c r="A305" s="27" t="s">
        <v>841</v>
      </c>
      <c r="B305" s="26">
        <v>28</v>
      </c>
      <c r="C305" s="13">
        <v>28</v>
      </c>
      <c r="D305" s="860">
        <v>1</v>
      </c>
      <c r="E305" s="122">
        <v>33.6</v>
      </c>
      <c r="F305" s="143">
        <v>28</v>
      </c>
      <c r="G305" s="143">
        <v>0</v>
      </c>
      <c r="H305" s="125">
        <v>61.6</v>
      </c>
      <c r="I305" s="20" t="s">
        <v>140</v>
      </c>
      <c r="J305" s="27"/>
      <c r="K305" s="13"/>
    </row>
    <row r="306" spans="1:13" x14ac:dyDescent="0.3">
      <c r="A306" s="27" t="s">
        <v>842</v>
      </c>
      <c r="B306" s="26">
        <v>0</v>
      </c>
      <c r="C306" s="13">
        <v>28</v>
      </c>
      <c r="D306" s="860">
        <v>0</v>
      </c>
      <c r="E306" s="122">
        <v>0</v>
      </c>
      <c r="F306" s="143">
        <v>0</v>
      </c>
      <c r="G306" s="143">
        <v>0</v>
      </c>
      <c r="H306" s="125">
        <v>0</v>
      </c>
      <c r="I306" s="20" t="s">
        <v>140</v>
      </c>
      <c r="J306" s="27"/>
      <c r="K306" s="13"/>
    </row>
    <row r="307" spans="1:13" x14ac:dyDescent="0.3">
      <c r="A307" s="27" t="s">
        <v>542</v>
      </c>
      <c r="B307" s="26">
        <v>28</v>
      </c>
      <c r="C307" s="13">
        <v>28</v>
      </c>
      <c r="D307" s="860">
        <v>1</v>
      </c>
      <c r="E307" s="122">
        <v>33.6</v>
      </c>
      <c r="F307" s="143">
        <v>28</v>
      </c>
      <c r="G307" s="143">
        <v>0</v>
      </c>
      <c r="H307" s="125">
        <v>61.6</v>
      </c>
      <c r="I307" s="20" t="s">
        <v>140</v>
      </c>
      <c r="J307" s="27"/>
      <c r="K307" s="13"/>
    </row>
    <row r="308" spans="1:13" x14ac:dyDescent="0.3">
      <c r="A308" s="27" t="s">
        <v>843</v>
      </c>
      <c r="B308" s="26">
        <v>14</v>
      </c>
      <c r="C308" s="13">
        <v>14</v>
      </c>
      <c r="D308" s="860">
        <v>1</v>
      </c>
      <c r="E308" s="122">
        <v>16.8</v>
      </c>
      <c r="F308" s="143">
        <v>14</v>
      </c>
      <c r="G308" s="143">
        <v>0</v>
      </c>
      <c r="H308" s="125">
        <v>30.8</v>
      </c>
      <c r="I308" s="20" t="s">
        <v>140</v>
      </c>
      <c r="J308" s="27"/>
      <c r="K308" s="13"/>
      <c r="L308" s="27"/>
      <c r="M308" s="27"/>
    </row>
    <row r="309" spans="1:13" x14ac:dyDescent="0.3">
      <c r="A309" s="27" t="s">
        <v>844</v>
      </c>
      <c r="B309" s="26">
        <v>28</v>
      </c>
      <c r="C309" s="13">
        <v>28</v>
      </c>
      <c r="D309" s="860">
        <v>1</v>
      </c>
      <c r="E309" s="122">
        <v>33.6</v>
      </c>
      <c r="F309" s="143">
        <v>28</v>
      </c>
      <c r="G309" s="143">
        <v>0</v>
      </c>
      <c r="H309" s="90">
        <v>61.6</v>
      </c>
      <c r="I309" s="20" t="s">
        <v>140</v>
      </c>
      <c r="J309" s="27"/>
      <c r="K309" s="13"/>
    </row>
    <row r="310" spans="1:13" x14ac:dyDescent="0.3">
      <c r="A310" s="27" t="s">
        <v>845</v>
      </c>
      <c r="B310" s="26">
        <v>14</v>
      </c>
      <c r="C310" s="13">
        <v>28</v>
      </c>
      <c r="D310" s="860">
        <v>2</v>
      </c>
      <c r="E310" s="122">
        <v>16.8</v>
      </c>
      <c r="F310" s="143">
        <v>56</v>
      </c>
      <c r="G310" s="143">
        <v>0</v>
      </c>
      <c r="H310" s="125">
        <v>72.8</v>
      </c>
      <c r="I310" s="20" t="s">
        <v>140</v>
      </c>
      <c r="J310" s="27"/>
      <c r="K310" s="13"/>
    </row>
    <row r="311" spans="1:13" x14ac:dyDescent="0.3">
      <c r="A311" s="27" t="s">
        <v>846</v>
      </c>
      <c r="B311" s="26">
        <v>28</v>
      </c>
      <c r="C311" s="13">
        <v>28</v>
      </c>
      <c r="D311" s="860">
        <v>1</v>
      </c>
      <c r="E311" s="122">
        <v>33.6</v>
      </c>
      <c r="F311" s="143">
        <v>28</v>
      </c>
      <c r="G311" s="143">
        <v>0</v>
      </c>
      <c r="H311" s="125">
        <v>61.6</v>
      </c>
      <c r="I311" s="20" t="s">
        <v>140</v>
      </c>
      <c r="J311" s="27"/>
      <c r="K311" s="13"/>
    </row>
    <row r="312" spans="1:13" x14ac:dyDescent="0.3">
      <c r="A312" s="27" t="s">
        <v>847</v>
      </c>
      <c r="B312" s="26">
        <v>0</v>
      </c>
      <c r="C312" s="13">
        <v>28</v>
      </c>
      <c r="D312" s="860">
        <v>1</v>
      </c>
      <c r="E312" s="122">
        <v>0</v>
      </c>
      <c r="F312" s="143">
        <v>28</v>
      </c>
      <c r="G312" s="143">
        <v>0</v>
      </c>
      <c r="H312" s="125">
        <v>28</v>
      </c>
      <c r="I312" s="20" t="s">
        <v>140</v>
      </c>
      <c r="J312" s="27"/>
      <c r="K312" s="13"/>
    </row>
    <row r="313" spans="1:13" x14ac:dyDescent="0.3">
      <c r="A313" s="27" t="s">
        <v>390</v>
      </c>
      <c r="B313" s="26">
        <v>28</v>
      </c>
      <c r="C313" s="13">
        <v>14</v>
      </c>
      <c r="D313" s="860">
        <v>1</v>
      </c>
      <c r="E313" s="122">
        <v>33.6</v>
      </c>
      <c r="F313" s="143">
        <v>14</v>
      </c>
      <c r="G313" s="143">
        <v>0</v>
      </c>
      <c r="H313" s="125">
        <v>47.6</v>
      </c>
      <c r="I313" s="20" t="s">
        <v>140</v>
      </c>
      <c r="J313" s="27"/>
      <c r="K313" s="13"/>
    </row>
    <row r="314" spans="1:13" x14ac:dyDescent="0.3">
      <c r="A314" s="127" t="s">
        <v>848</v>
      </c>
      <c r="B314" s="26">
        <v>28</v>
      </c>
      <c r="C314" s="13">
        <v>28</v>
      </c>
      <c r="D314" s="860">
        <v>2</v>
      </c>
      <c r="E314" s="122">
        <v>33.6</v>
      </c>
      <c r="F314" s="143">
        <v>56</v>
      </c>
      <c r="G314" s="143">
        <v>0</v>
      </c>
      <c r="H314" s="125">
        <v>89.6</v>
      </c>
      <c r="I314" s="20" t="s">
        <v>140</v>
      </c>
      <c r="J314" s="27"/>
      <c r="K314" s="13"/>
    </row>
    <row r="315" spans="1:13" x14ac:dyDescent="0.3">
      <c r="A315" s="127" t="s">
        <v>849</v>
      </c>
      <c r="B315" s="26">
        <v>28</v>
      </c>
      <c r="C315" s="13">
        <v>28</v>
      </c>
      <c r="D315" s="860">
        <v>1</v>
      </c>
      <c r="E315" s="122">
        <v>33.6</v>
      </c>
      <c r="F315" s="143">
        <v>28</v>
      </c>
      <c r="G315" s="143">
        <v>0</v>
      </c>
      <c r="H315" s="90">
        <v>61.6</v>
      </c>
      <c r="I315" s="20" t="s">
        <v>140</v>
      </c>
      <c r="J315" s="27"/>
      <c r="K315" s="13"/>
    </row>
    <row r="316" spans="1:13" x14ac:dyDescent="0.3">
      <c r="A316" s="547" t="s">
        <v>850</v>
      </c>
      <c r="B316" s="26">
        <v>0</v>
      </c>
      <c r="C316" s="13">
        <v>0</v>
      </c>
      <c r="D316" s="548">
        <v>0</v>
      </c>
      <c r="E316" s="122">
        <v>0</v>
      </c>
      <c r="F316" s="143">
        <v>0</v>
      </c>
      <c r="G316" s="143">
        <v>0</v>
      </c>
      <c r="H316" s="125">
        <v>0</v>
      </c>
      <c r="I316" s="20" t="s">
        <v>140</v>
      </c>
      <c r="J316" s="27"/>
      <c r="K316" s="13"/>
    </row>
    <row r="317" spans="1:13" x14ac:dyDescent="0.3">
      <c r="A317" s="127" t="s">
        <v>851</v>
      </c>
      <c r="B317" s="26">
        <v>28</v>
      </c>
      <c r="C317" s="13">
        <v>28</v>
      </c>
      <c r="D317" s="860">
        <v>1</v>
      </c>
      <c r="E317" s="122">
        <v>33.6</v>
      </c>
      <c r="F317" s="143">
        <v>28</v>
      </c>
      <c r="G317" s="143">
        <v>0</v>
      </c>
      <c r="H317" s="125">
        <v>61.6</v>
      </c>
      <c r="I317" s="20" t="s">
        <v>140</v>
      </c>
      <c r="J317" s="27"/>
      <c r="K317" s="13"/>
    </row>
    <row r="318" spans="1:13" x14ac:dyDescent="0.3">
      <c r="A318" s="19" t="s">
        <v>852</v>
      </c>
      <c r="B318" s="26">
        <v>14</v>
      </c>
      <c r="C318" s="13">
        <v>28</v>
      </c>
      <c r="D318" s="860">
        <v>1</v>
      </c>
      <c r="E318" s="122">
        <v>16.8</v>
      </c>
      <c r="F318" s="143">
        <v>28</v>
      </c>
      <c r="G318" s="143">
        <v>0</v>
      </c>
      <c r="H318" s="125">
        <v>44.8</v>
      </c>
      <c r="I318" s="20" t="s">
        <v>140</v>
      </c>
      <c r="J318" s="27"/>
      <c r="K318" s="13"/>
      <c r="L318" s="27"/>
      <c r="M318" s="27"/>
    </row>
    <row r="319" spans="1:13" x14ac:dyDescent="0.3">
      <c r="A319" s="19" t="s">
        <v>853</v>
      </c>
      <c r="B319" s="26">
        <v>28</v>
      </c>
      <c r="C319" s="13">
        <v>0</v>
      </c>
      <c r="D319" s="860">
        <v>1</v>
      </c>
      <c r="E319" s="122">
        <v>33.6</v>
      </c>
      <c r="F319" s="143">
        <v>0</v>
      </c>
      <c r="G319" s="143">
        <v>0</v>
      </c>
      <c r="H319" s="125">
        <v>33.6</v>
      </c>
      <c r="I319" s="20" t="s">
        <v>140</v>
      </c>
      <c r="J319" s="27" t="s">
        <v>541</v>
      </c>
      <c r="K319" s="13"/>
    </row>
    <row r="320" spans="1:13" x14ac:dyDescent="0.3">
      <c r="A320" s="19" t="s">
        <v>854</v>
      </c>
      <c r="B320" s="26">
        <v>14</v>
      </c>
      <c r="C320" s="13">
        <v>14</v>
      </c>
      <c r="D320" s="860">
        <v>1</v>
      </c>
      <c r="E320" s="122">
        <v>16.8</v>
      </c>
      <c r="F320" s="143">
        <v>14</v>
      </c>
      <c r="G320" s="143">
        <v>0</v>
      </c>
      <c r="H320" s="125">
        <v>30.8</v>
      </c>
      <c r="I320" s="20" t="s">
        <v>140</v>
      </c>
      <c r="J320" s="27"/>
      <c r="K320" s="13"/>
      <c r="L320" s="27"/>
      <c r="M320" s="27"/>
    </row>
    <row r="321" spans="1:13" x14ac:dyDescent="0.3">
      <c r="A321" s="27" t="s">
        <v>543</v>
      </c>
      <c r="B321" s="26">
        <v>0</v>
      </c>
      <c r="C321" s="13">
        <v>0</v>
      </c>
      <c r="D321" s="860">
        <v>0</v>
      </c>
      <c r="E321" s="122">
        <v>0</v>
      </c>
      <c r="F321" s="143">
        <v>0</v>
      </c>
      <c r="G321" s="143">
        <v>0</v>
      </c>
      <c r="H321" s="90">
        <v>0</v>
      </c>
      <c r="I321" s="20" t="s">
        <v>140</v>
      </c>
      <c r="J321" s="27"/>
      <c r="K321" s="13"/>
    </row>
    <row r="322" spans="1:13" x14ac:dyDescent="0.3">
      <c r="A322" s="127" t="s">
        <v>855</v>
      </c>
      <c r="B322" s="26">
        <v>0</v>
      </c>
      <c r="C322" s="13">
        <v>14</v>
      </c>
      <c r="D322" s="860">
        <v>0</v>
      </c>
      <c r="E322" s="122">
        <v>0</v>
      </c>
      <c r="F322" s="143">
        <v>0</v>
      </c>
      <c r="G322" s="143">
        <v>0</v>
      </c>
      <c r="H322" s="90">
        <v>0</v>
      </c>
      <c r="I322" s="20" t="s">
        <v>140</v>
      </c>
      <c r="J322" s="27"/>
      <c r="K322" s="13"/>
    </row>
    <row r="323" spans="1:13" x14ac:dyDescent="0.3">
      <c r="A323" s="127" t="s">
        <v>856</v>
      </c>
      <c r="B323" s="26">
        <v>14</v>
      </c>
      <c r="C323" s="13">
        <v>14</v>
      </c>
      <c r="D323" s="860">
        <v>1</v>
      </c>
      <c r="E323" s="122">
        <v>16.8</v>
      </c>
      <c r="F323" s="143">
        <v>14</v>
      </c>
      <c r="G323" s="143">
        <v>0</v>
      </c>
      <c r="H323" s="90">
        <v>30.8</v>
      </c>
      <c r="I323" s="20" t="s">
        <v>140</v>
      </c>
      <c r="J323" s="27"/>
      <c r="K323" s="13"/>
      <c r="L323" s="27"/>
      <c r="M323" s="27"/>
    </row>
    <row r="324" spans="1:13" x14ac:dyDescent="0.3">
      <c r="A324" s="127" t="s">
        <v>857</v>
      </c>
      <c r="B324" s="26">
        <v>0</v>
      </c>
      <c r="C324" s="13">
        <v>14</v>
      </c>
      <c r="D324" s="860">
        <v>0</v>
      </c>
      <c r="E324" s="122">
        <v>0</v>
      </c>
      <c r="F324" s="143">
        <v>0</v>
      </c>
      <c r="G324" s="143">
        <v>0</v>
      </c>
      <c r="H324" s="90">
        <v>0</v>
      </c>
      <c r="I324" s="20" t="s">
        <v>140</v>
      </c>
      <c r="J324" s="27"/>
      <c r="K324" s="13"/>
      <c r="L324" s="27"/>
      <c r="M324" s="27"/>
    </row>
    <row r="325" spans="1:13" x14ac:dyDescent="0.3">
      <c r="A325" s="127" t="s">
        <v>858</v>
      </c>
      <c r="B325" s="26">
        <v>28</v>
      </c>
      <c r="C325" s="13">
        <v>28</v>
      </c>
      <c r="D325" s="860">
        <v>1</v>
      </c>
      <c r="E325" s="122">
        <v>33.6</v>
      </c>
      <c r="F325" s="143">
        <v>28</v>
      </c>
      <c r="G325" s="143">
        <v>0</v>
      </c>
      <c r="H325" s="90">
        <v>61.6</v>
      </c>
      <c r="I325" s="20" t="s">
        <v>140</v>
      </c>
      <c r="J325" s="27"/>
      <c r="K325" s="13"/>
    </row>
    <row r="326" spans="1:13" x14ac:dyDescent="0.3">
      <c r="A326" s="27" t="s">
        <v>859</v>
      </c>
      <c r="B326" s="26">
        <v>6</v>
      </c>
      <c r="C326" s="13">
        <v>0</v>
      </c>
      <c r="D326" s="860">
        <v>1</v>
      </c>
      <c r="E326" s="122">
        <v>7.1999999999999993</v>
      </c>
      <c r="F326" s="143">
        <v>0</v>
      </c>
      <c r="G326" s="143">
        <v>0</v>
      </c>
      <c r="H326" s="90">
        <v>7.1999999999999993</v>
      </c>
      <c r="I326" s="20" t="s">
        <v>140</v>
      </c>
      <c r="J326" s="27"/>
      <c r="K326" s="13"/>
    </row>
    <row r="327" spans="1:13" x14ac:dyDescent="0.3">
      <c r="A327" s="127" t="s">
        <v>860</v>
      </c>
      <c r="B327" s="26">
        <v>16</v>
      </c>
      <c r="C327" s="13">
        <v>0</v>
      </c>
      <c r="D327" s="860">
        <v>1</v>
      </c>
      <c r="E327" s="122">
        <v>19.2</v>
      </c>
      <c r="F327" s="143">
        <v>0</v>
      </c>
      <c r="G327" s="143">
        <v>0</v>
      </c>
      <c r="H327" s="125">
        <v>19.2</v>
      </c>
      <c r="I327" s="20" t="s">
        <v>140</v>
      </c>
      <c r="J327" s="27"/>
      <c r="K327" s="13"/>
    </row>
    <row r="328" spans="1:13" x14ac:dyDescent="0.3">
      <c r="A328" s="127" t="s">
        <v>861</v>
      </c>
      <c r="B328" s="26">
        <v>0</v>
      </c>
      <c r="C328" s="13">
        <v>6</v>
      </c>
      <c r="D328" s="860">
        <v>0</v>
      </c>
      <c r="E328" s="122">
        <v>0</v>
      </c>
      <c r="F328" s="143">
        <v>0</v>
      </c>
      <c r="G328" s="143">
        <v>0</v>
      </c>
      <c r="H328" s="90">
        <v>0</v>
      </c>
      <c r="I328" s="20" t="s">
        <v>140</v>
      </c>
      <c r="J328" s="27"/>
      <c r="K328" s="13"/>
    </row>
    <row r="329" spans="1:13" x14ac:dyDescent="0.3">
      <c r="A329" s="127" t="s">
        <v>862</v>
      </c>
      <c r="B329" s="26">
        <v>0</v>
      </c>
      <c r="C329" s="13">
        <v>6</v>
      </c>
      <c r="D329" s="860">
        <v>0</v>
      </c>
      <c r="E329" s="122">
        <v>0</v>
      </c>
      <c r="F329" s="143">
        <v>0</v>
      </c>
      <c r="G329" s="143">
        <v>0</v>
      </c>
      <c r="H329" s="90">
        <v>0</v>
      </c>
      <c r="I329" s="20" t="s">
        <v>140</v>
      </c>
      <c r="J329" s="27"/>
      <c r="K329" s="13"/>
      <c r="L329" s="27"/>
      <c r="M329" s="27"/>
    </row>
    <row r="330" spans="1:13" x14ac:dyDescent="0.3">
      <c r="A330" s="127" t="s">
        <v>863</v>
      </c>
      <c r="B330" s="26">
        <v>0</v>
      </c>
      <c r="C330" s="13">
        <v>12</v>
      </c>
      <c r="D330" s="860">
        <v>0</v>
      </c>
      <c r="E330" s="122">
        <v>0</v>
      </c>
      <c r="F330" s="143">
        <v>0</v>
      </c>
      <c r="G330" s="143">
        <v>0</v>
      </c>
      <c r="H330" s="90">
        <v>0</v>
      </c>
      <c r="I330" s="20" t="s">
        <v>140</v>
      </c>
      <c r="J330" s="27"/>
      <c r="K330" s="13"/>
    </row>
    <row r="331" spans="1:13" x14ac:dyDescent="0.3">
      <c r="A331" s="27" t="s">
        <v>864</v>
      </c>
      <c r="B331" s="26">
        <v>14</v>
      </c>
      <c r="C331" s="13">
        <v>14</v>
      </c>
      <c r="D331" s="860">
        <v>1</v>
      </c>
      <c r="E331" s="122">
        <v>16.8</v>
      </c>
      <c r="F331" s="143">
        <v>14</v>
      </c>
      <c r="G331" s="143">
        <v>0</v>
      </c>
      <c r="H331" s="90">
        <v>30.8</v>
      </c>
      <c r="I331" s="13" t="s">
        <v>30</v>
      </c>
      <c r="J331" s="27"/>
      <c r="K331" s="13"/>
    </row>
    <row r="332" spans="1:13" x14ac:dyDescent="0.3">
      <c r="A332" s="127" t="s">
        <v>865</v>
      </c>
      <c r="B332" s="26">
        <v>0</v>
      </c>
      <c r="C332" s="13">
        <v>14</v>
      </c>
      <c r="D332" s="860">
        <v>1</v>
      </c>
      <c r="E332" s="122">
        <v>0</v>
      </c>
      <c r="F332" s="143">
        <v>14</v>
      </c>
      <c r="G332" s="143">
        <v>0</v>
      </c>
      <c r="H332" s="90">
        <v>14</v>
      </c>
      <c r="I332" s="20" t="s">
        <v>140</v>
      </c>
      <c r="J332" s="27"/>
      <c r="K332" s="13"/>
    </row>
    <row r="333" spans="1:13" ht="16.2" thickBot="1" x14ac:dyDescent="0.35">
      <c r="A333" s="27" t="s">
        <v>866</v>
      </c>
      <c r="B333" s="26">
        <v>28</v>
      </c>
      <c r="C333" s="13">
        <v>28</v>
      </c>
      <c r="D333" s="860">
        <v>1</v>
      </c>
      <c r="E333" s="122">
        <v>33.6</v>
      </c>
      <c r="F333" s="143">
        <v>28</v>
      </c>
      <c r="G333" s="143">
        <v>0</v>
      </c>
      <c r="H333" s="90">
        <v>61.6</v>
      </c>
      <c r="I333" s="20" t="s">
        <v>140</v>
      </c>
      <c r="J333" s="27"/>
      <c r="K333" s="13"/>
    </row>
    <row r="334" spans="1:13" ht="16.2" thickBot="1" x14ac:dyDescent="0.35">
      <c r="A334" s="19" t="s">
        <v>22</v>
      </c>
      <c r="B334" s="85"/>
      <c r="C334" s="13"/>
      <c r="D334" s="26"/>
      <c r="E334" s="122"/>
      <c r="H334" s="137">
        <v>1236</v>
      </c>
      <c r="I334" s="20"/>
      <c r="J334" s="27"/>
      <c r="K334" s="13"/>
    </row>
    <row r="335" spans="1:13" x14ac:dyDescent="0.3">
      <c r="A335" s="27" t="s">
        <v>867</v>
      </c>
      <c r="B335" s="26">
        <v>28</v>
      </c>
      <c r="C335" s="13">
        <v>14</v>
      </c>
      <c r="D335" s="860">
        <v>1</v>
      </c>
      <c r="E335" s="122">
        <v>33.6</v>
      </c>
      <c r="F335" s="143">
        <v>14</v>
      </c>
      <c r="G335" s="143">
        <v>0</v>
      </c>
      <c r="H335" s="125">
        <v>47.6</v>
      </c>
      <c r="I335" s="20" t="s">
        <v>140</v>
      </c>
      <c r="J335" s="27"/>
      <c r="K335" s="13"/>
    </row>
    <row r="336" spans="1:13" x14ac:dyDescent="0.3">
      <c r="A336" s="27" t="s">
        <v>868</v>
      </c>
      <c r="B336" s="26">
        <v>28</v>
      </c>
      <c r="C336" s="13">
        <v>28</v>
      </c>
      <c r="D336" s="860">
        <v>1</v>
      </c>
      <c r="E336" s="122">
        <v>33.6</v>
      </c>
      <c r="F336" s="143">
        <v>28</v>
      </c>
      <c r="G336" s="143">
        <v>0</v>
      </c>
      <c r="H336" s="125">
        <v>61.6</v>
      </c>
      <c r="I336" s="20" t="s">
        <v>140</v>
      </c>
      <c r="J336" s="27"/>
      <c r="K336" s="13"/>
    </row>
    <row r="337" spans="1:13" s="27" customFormat="1" ht="14.25" customHeight="1" x14ac:dyDescent="0.3">
      <c r="A337" s="27" t="s">
        <v>869</v>
      </c>
      <c r="B337" s="26">
        <v>28</v>
      </c>
      <c r="C337" s="13">
        <v>28</v>
      </c>
      <c r="D337" s="860">
        <v>1</v>
      </c>
      <c r="E337" s="122">
        <v>33.6</v>
      </c>
      <c r="F337" s="143">
        <v>28</v>
      </c>
      <c r="G337" s="143">
        <v>0</v>
      </c>
      <c r="H337" s="125">
        <v>61.6</v>
      </c>
      <c r="I337" s="20" t="s">
        <v>140</v>
      </c>
      <c r="K337" s="13"/>
      <c r="L337" s="1"/>
      <c r="M337" s="1"/>
    </row>
    <row r="338" spans="1:13" s="27" customFormat="1" ht="14.25" customHeight="1" x14ac:dyDescent="0.3">
      <c r="A338" s="27" t="s">
        <v>870</v>
      </c>
      <c r="B338" s="26">
        <v>28</v>
      </c>
      <c r="C338" s="13">
        <v>14</v>
      </c>
      <c r="D338" s="860">
        <v>1</v>
      </c>
      <c r="E338" s="122">
        <v>33.6</v>
      </c>
      <c r="F338" s="143">
        <v>14</v>
      </c>
      <c r="G338" s="143">
        <v>0</v>
      </c>
      <c r="H338" s="125">
        <v>47.6</v>
      </c>
      <c r="I338" s="20" t="s">
        <v>140</v>
      </c>
      <c r="K338" s="13"/>
      <c r="L338" s="1"/>
      <c r="M338" s="1"/>
    </row>
    <row r="339" spans="1:13" s="27" customFormat="1" ht="14.25" customHeight="1" x14ac:dyDescent="0.3">
      <c r="A339" s="27" t="s">
        <v>871</v>
      </c>
      <c r="B339" s="26">
        <v>28</v>
      </c>
      <c r="C339" s="13">
        <v>28</v>
      </c>
      <c r="D339" s="860">
        <v>1</v>
      </c>
      <c r="E339" s="122">
        <v>33.6</v>
      </c>
      <c r="F339" s="143">
        <v>28</v>
      </c>
      <c r="G339" s="143">
        <v>0</v>
      </c>
      <c r="H339" s="125">
        <v>61.6</v>
      </c>
      <c r="I339" s="20" t="s">
        <v>140</v>
      </c>
      <c r="K339" s="13"/>
      <c r="L339" s="1"/>
      <c r="M339" s="1"/>
    </row>
    <row r="340" spans="1:13" x14ac:dyDescent="0.3">
      <c r="A340" s="27" t="s">
        <v>872</v>
      </c>
      <c r="B340" s="26">
        <v>28</v>
      </c>
      <c r="C340" s="13">
        <v>28</v>
      </c>
      <c r="D340" s="860">
        <v>1</v>
      </c>
      <c r="E340" s="122">
        <v>33.6</v>
      </c>
      <c r="F340" s="143">
        <v>28</v>
      </c>
      <c r="G340" s="143">
        <v>0</v>
      </c>
      <c r="H340" s="125">
        <v>61.6</v>
      </c>
      <c r="I340" s="20" t="s">
        <v>140</v>
      </c>
      <c r="J340" s="27"/>
      <c r="K340" s="13"/>
      <c r="L340" s="27"/>
      <c r="M340" s="27"/>
    </row>
    <row r="341" spans="1:13" x14ac:dyDescent="0.3">
      <c r="A341" s="27" t="s">
        <v>873</v>
      </c>
      <c r="B341" s="26">
        <v>28</v>
      </c>
      <c r="C341" s="13">
        <v>28</v>
      </c>
      <c r="D341" s="860">
        <v>1</v>
      </c>
      <c r="E341" s="122">
        <v>33.6</v>
      </c>
      <c r="F341" s="143">
        <v>28</v>
      </c>
      <c r="G341" s="143">
        <v>0</v>
      </c>
      <c r="H341" s="125">
        <v>61.6</v>
      </c>
      <c r="I341" s="20" t="s">
        <v>140</v>
      </c>
      <c r="J341" s="27"/>
      <c r="K341" s="13"/>
      <c r="L341" s="27"/>
      <c r="M341" s="27"/>
    </row>
    <row r="342" spans="1:13" x14ac:dyDescent="0.3">
      <c r="A342" s="27" t="s">
        <v>544</v>
      </c>
      <c r="B342" s="26">
        <v>28</v>
      </c>
      <c r="C342" s="13">
        <v>28</v>
      </c>
      <c r="D342" s="860">
        <v>1</v>
      </c>
      <c r="E342" s="122">
        <v>33.6</v>
      </c>
      <c r="F342" s="143">
        <v>28</v>
      </c>
      <c r="G342" s="143">
        <v>0</v>
      </c>
      <c r="H342" s="125">
        <v>61.6</v>
      </c>
      <c r="I342" s="20" t="s">
        <v>140</v>
      </c>
      <c r="J342" s="27"/>
      <c r="K342" s="13"/>
    </row>
    <row r="343" spans="1:13" x14ac:dyDescent="0.3">
      <c r="A343" s="27" t="s">
        <v>874</v>
      </c>
      <c r="B343" s="26">
        <v>28</v>
      </c>
      <c r="C343" s="13">
        <v>28</v>
      </c>
      <c r="D343" s="860">
        <v>1</v>
      </c>
      <c r="E343" s="122">
        <v>33.6</v>
      </c>
      <c r="F343" s="143">
        <v>28</v>
      </c>
      <c r="G343" s="143">
        <v>0</v>
      </c>
      <c r="H343" s="125">
        <v>61.6</v>
      </c>
      <c r="I343" s="20" t="s">
        <v>140</v>
      </c>
      <c r="J343" s="27"/>
      <c r="K343" s="13"/>
    </row>
    <row r="344" spans="1:13" x14ac:dyDescent="0.3">
      <c r="A344" s="127" t="s">
        <v>545</v>
      </c>
      <c r="B344" s="26">
        <v>20</v>
      </c>
      <c r="C344" s="13">
        <v>0</v>
      </c>
      <c r="D344" s="860">
        <v>1</v>
      </c>
      <c r="E344" s="122">
        <v>24</v>
      </c>
      <c r="F344" s="143">
        <v>0</v>
      </c>
      <c r="G344" s="143">
        <v>0</v>
      </c>
      <c r="H344" s="125">
        <v>24</v>
      </c>
      <c r="I344" s="20" t="s">
        <v>140</v>
      </c>
      <c r="J344" s="27"/>
      <c r="K344" s="13"/>
    </row>
    <row r="345" spans="1:13" x14ac:dyDescent="0.3">
      <c r="A345" s="127" t="s">
        <v>875</v>
      </c>
      <c r="B345" s="26">
        <v>20</v>
      </c>
      <c r="C345" s="13">
        <v>20</v>
      </c>
      <c r="D345" s="860">
        <v>1</v>
      </c>
      <c r="E345" s="122">
        <v>24</v>
      </c>
      <c r="F345" s="143">
        <v>20</v>
      </c>
      <c r="G345" s="143">
        <v>0</v>
      </c>
      <c r="H345" s="125">
        <v>44</v>
      </c>
      <c r="I345" s="20" t="s">
        <v>140</v>
      </c>
      <c r="J345" s="27"/>
      <c r="K345" s="13"/>
    </row>
    <row r="346" spans="1:13" x14ac:dyDescent="0.3">
      <c r="A346" s="127" t="s">
        <v>876</v>
      </c>
      <c r="B346" s="26">
        <v>0</v>
      </c>
      <c r="C346" s="13">
        <v>20</v>
      </c>
      <c r="D346" s="860">
        <v>1</v>
      </c>
      <c r="E346" s="122">
        <v>0</v>
      </c>
      <c r="F346" s="143">
        <v>20</v>
      </c>
      <c r="G346" s="143">
        <v>0</v>
      </c>
      <c r="H346" s="125">
        <v>20</v>
      </c>
      <c r="I346" s="20" t="s">
        <v>140</v>
      </c>
      <c r="J346" s="27"/>
      <c r="K346" s="13"/>
      <c r="L346" s="27"/>
      <c r="M346" s="27"/>
    </row>
    <row r="347" spans="1:13" x14ac:dyDescent="0.3">
      <c r="A347" s="127" t="s">
        <v>877</v>
      </c>
      <c r="B347" s="26">
        <v>0</v>
      </c>
      <c r="C347" s="13">
        <v>30</v>
      </c>
      <c r="D347" s="860">
        <v>1</v>
      </c>
      <c r="E347" s="122">
        <v>0</v>
      </c>
      <c r="F347" s="143">
        <v>30</v>
      </c>
      <c r="G347" s="143">
        <v>0</v>
      </c>
      <c r="H347" s="90">
        <v>30</v>
      </c>
      <c r="I347" s="20" t="s">
        <v>140</v>
      </c>
      <c r="J347" s="27"/>
      <c r="K347" s="140"/>
    </row>
    <row r="348" spans="1:13" x14ac:dyDescent="0.3">
      <c r="A348" s="127" t="s">
        <v>878</v>
      </c>
      <c r="B348" s="26">
        <v>20</v>
      </c>
      <c r="C348" s="13">
        <v>20</v>
      </c>
      <c r="D348" s="860">
        <v>1</v>
      </c>
      <c r="E348" s="122">
        <v>24</v>
      </c>
      <c r="F348" s="143">
        <v>20</v>
      </c>
      <c r="G348" s="143">
        <v>0</v>
      </c>
      <c r="H348" s="125">
        <v>44</v>
      </c>
      <c r="I348" s="20" t="s">
        <v>140</v>
      </c>
      <c r="J348" s="27"/>
      <c r="K348" s="13"/>
      <c r="L348" s="27"/>
      <c r="M348" s="27"/>
    </row>
    <row r="349" spans="1:13" x14ac:dyDescent="0.3">
      <c r="A349" s="127" t="s">
        <v>879</v>
      </c>
      <c r="B349" s="26">
        <v>20</v>
      </c>
      <c r="C349" s="13">
        <v>20</v>
      </c>
      <c r="D349" s="860">
        <v>1</v>
      </c>
      <c r="E349" s="122">
        <v>24</v>
      </c>
      <c r="F349" s="143">
        <v>20</v>
      </c>
      <c r="G349" s="143">
        <v>0</v>
      </c>
      <c r="H349" s="125">
        <v>44</v>
      </c>
      <c r="I349" s="20" t="s">
        <v>140</v>
      </c>
      <c r="J349" s="27"/>
      <c r="K349" s="22"/>
    </row>
    <row r="350" spans="1:13" x14ac:dyDescent="0.3">
      <c r="A350" s="127" t="s">
        <v>880</v>
      </c>
      <c r="B350" s="26">
        <v>20</v>
      </c>
      <c r="C350" s="13">
        <v>20</v>
      </c>
      <c r="D350" s="860">
        <v>1</v>
      </c>
      <c r="E350" s="122">
        <v>24</v>
      </c>
      <c r="F350" s="143">
        <v>20</v>
      </c>
      <c r="G350" s="143">
        <v>0</v>
      </c>
      <c r="H350" s="125">
        <v>44</v>
      </c>
      <c r="I350" s="20" t="s">
        <v>140</v>
      </c>
      <c r="J350" s="27"/>
      <c r="K350" s="22"/>
    </row>
    <row r="351" spans="1:13" x14ac:dyDescent="0.3">
      <c r="A351" s="127" t="s">
        <v>881</v>
      </c>
      <c r="B351" s="26">
        <v>20</v>
      </c>
      <c r="C351" s="13">
        <v>20</v>
      </c>
      <c r="D351" s="860">
        <v>1</v>
      </c>
      <c r="E351" s="122">
        <v>24</v>
      </c>
      <c r="F351" s="143">
        <v>20</v>
      </c>
      <c r="G351" s="143">
        <v>0</v>
      </c>
      <c r="H351" s="125">
        <v>44</v>
      </c>
      <c r="I351" s="20" t="s">
        <v>140</v>
      </c>
      <c r="J351" s="27"/>
      <c r="K351" s="22"/>
    </row>
    <row r="352" spans="1:13" x14ac:dyDescent="0.3">
      <c r="A352" s="127" t="s">
        <v>882</v>
      </c>
      <c r="B352" s="26">
        <v>20</v>
      </c>
      <c r="C352" s="13">
        <v>20</v>
      </c>
      <c r="D352" s="860">
        <v>1</v>
      </c>
      <c r="E352" s="122">
        <v>24</v>
      </c>
      <c r="F352" s="143">
        <v>20</v>
      </c>
      <c r="G352" s="143">
        <v>0</v>
      </c>
      <c r="H352" s="125">
        <v>44</v>
      </c>
      <c r="I352" s="20" t="s">
        <v>140</v>
      </c>
      <c r="J352" s="27"/>
      <c r="K352" s="22"/>
    </row>
    <row r="353" spans="1:18" x14ac:dyDescent="0.3">
      <c r="A353" s="127" t="s">
        <v>546</v>
      </c>
      <c r="B353" s="26">
        <v>10</v>
      </c>
      <c r="C353" s="13">
        <v>20</v>
      </c>
      <c r="D353" s="860">
        <v>1</v>
      </c>
      <c r="E353" s="122">
        <v>12</v>
      </c>
      <c r="F353" s="143">
        <v>20</v>
      </c>
      <c r="G353" s="143">
        <v>0</v>
      </c>
      <c r="H353" s="125">
        <v>32</v>
      </c>
      <c r="I353" s="20" t="s">
        <v>140</v>
      </c>
      <c r="J353" s="27"/>
      <c r="K353" s="13"/>
      <c r="L353" s="27"/>
      <c r="M353" s="27"/>
    </row>
    <row r="354" spans="1:18" x14ac:dyDescent="0.3">
      <c r="A354" s="127" t="s">
        <v>547</v>
      </c>
      <c r="B354" s="26">
        <v>20</v>
      </c>
      <c r="C354" s="13">
        <v>20</v>
      </c>
      <c r="D354" s="860">
        <v>1</v>
      </c>
      <c r="E354" s="122">
        <v>24</v>
      </c>
      <c r="F354" s="143">
        <v>20</v>
      </c>
      <c r="G354" s="143">
        <v>0</v>
      </c>
      <c r="H354" s="125">
        <v>44</v>
      </c>
      <c r="I354" s="20" t="s">
        <v>140</v>
      </c>
      <c r="J354" s="27"/>
      <c r="K354" s="22"/>
    </row>
    <row r="355" spans="1:18" x14ac:dyDescent="0.3">
      <c r="A355" s="19" t="s">
        <v>883</v>
      </c>
      <c r="B355" s="26">
        <v>28</v>
      </c>
      <c r="C355" s="13">
        <v>28</v>
      </c>
      <c r="D355" s="860">
        <v>1</v>
      </c>
      <c r="E355" s="122">
        <v>33.6</v>
      </c>
      <c r="F355" s="143">
        <v>28</v>
      </c>
      <c r="G355" s="143">
        <v>0</v>
      </c>
      <c r="H355" s="125">
        <v>61.6</v>
      </c>
      <c r="I355" s="20" t="s">
        <v>140</v>
      </c>
      <c r="J355" s="27"/>
      <c r="K355" s="13"/>
    </row>
    <row r="356" spans="1:18" x14ac:dyDescent="0.3">
      <c r="A356" s="27" t="s">
        <v>884</v>
      </c>
      <c r="B356" s="26">
        <v>0</v>
      </c>
      <c r="C356" s="13">
        <v>28</v>
      </c>
      <c r="D356" s="860">
        <v>1</v>
      </c>
      <c r="E356" s="122">
        <v>0</v>
      </c>
      <c r="F356" s="143">
        <v>28</v>
      </c>
      <c r="G356" s="143">
        <v>0</v>
      </c>
      <c r="H356" s="125">
        <v>28</v>
      </c>
      <c r="I356" s="20" t="s">
        <v>140</v>
      </c>
      <c r="J356" s="27"/>
      <c r="K356" s="22"/>
    </row>
    <row r="357" spans="1:18" x14ac:dyDescent="0.3">
      <c r="A357" s="127" t="s">
        <v>885</v>
      </c>
      <c r="B357" s="26">
        <v>20</v>
      </c>
      <c r="C357" s="13">
        <v>20</v>
      </c>
      <c r="D357" s="860">
        <v>1</v>
      </c>
      <c r="E357" s="122">
        <v>24</v>
      </c>
      <c r="F357" s="143">
        <v>20</v>
      </c>
      <c r="G357" s="143">
        <v>0</v>
      </c>
      <c r="H357" s="90">
        <v>44</v>
      </c>
      <c r="I357" s="20" t="s">
        <v>140</v>
      </c>
      <c r="J357" s="27"/>
      <c r="K357" s="22"/>
    </row>
    <row r="358" spans="1:18" x14ac:dyDescent="0.3">
      <c r="A358" s="27" t="s">
        <v>886</v>
      </c>
      <c r="B358" s="26">
        <v>0</v>
      </c>
      <c r="C358" s="13">
        <v>28</v>
      </c>
      <c r="D358" s="860">
        <v>0</v>
      </c>
      <c r="E358" s="122">
        <v>0</v>
      </c>
      <c r="F358" s="143">
        <v>0</v>
      </c>
      <c r="G358" s="143">
        <v>0</v>
      </c>
      <c r="H358" s="90">
        <v>0</v>
      </c>
      <c r="I358" s="20" t="s">
        <v>140</v>
      </c>
      <c r="J358" s="27"/>
      <c r="K358" s="22"/>
    </row>
    <row r="359" spans="1:18" x14ac:dyDescent="0.3">
      <c r="A359" s="127" t="s">
        <v>887</v>
      </c>
      <c r="B359" s="26">
        <v>0</v>
      </c>
      <c r="C359" s="13">
        <v>8</v>
      </c>
      <c r="D359" s="860">
        <v>0</v>
      </c>
      <c r="E359" s="122">
        <v>0</v>
      </c>
      <c r="F359" s="143">
        <v>0</v>
      </c>
      <c r="G359" s="143">
        <v>0</v>
      </c>
      <c r="H359" s="90">
        <v>0</v>
      </c>
      <c r="I359" s="20" t="s">
        <v>140</v>
      </c>
      <c r="J359" s="27"/>
      <c r="K359" s="22"/>
    </row>
    <row r="360" spans="1:18" ht="16.2" thickBot="1" x14ac:dyDescent="0.35">
      <c r="A360" s="27" t="s">
        <v>888</v>
      </c>
      <c r="B360" s="26">
        <v>28</v>
      </c>
      <c r="C360" s="13">
        <v>28</v>
      </c>
      <c r="D360" s="860">
        <v>1</v>
      </c>
      <c r="E360" s="122">
        <v>33.6</v>
      </c>
      <c r="F360" s="143">
        <v>28</v>
      </c>
      <c r="G360" s="143">
        <v>0</v>
      </c>
      <c r="H360" s="90">
        <v>61.6</v>
      </c>
      <c r="I360" s="20" t="s">
        <v>140</v>
      </c>
      <c r="J360" s="27"/>
      <c r="K360" s="22"/>
    </row>
    <row r="361" spans="1:18" ht="16.2" thickBot="1" x14ac:dyDescent="0.35">
      <c r="A361" s="27"/>
      <c r="B361" s="91"/>
      <c r="C361" s="91"/>
      <c r="D361" s="26"/>
      <c r="E361" s="122"/>
      <c r="F361" s="122"/>
      <c r="G361" s="122"/>
      <c r="H361" s="137">
        <v>1135.5999999999999</v>
      </c>
      <c r="I361" s="150"/>
      <c r="J361" s="27"/>
      <c r="K361" s="22"/>
    </row>
    <row r="362" spans="1:18" ht="16.2" thickBot="1" x14ac:dyDescent="0.35">
      <c r="A362" s="27"/>
      <c r="B362" s="26"/>
      <c r="C362" s="13"/>
      <c r="D362" s="26"/>
      <c r="E362" s="122"/>
      <c r="F362" s="122"/>
      <c r="G362" s="142" t="s">
        <v>152</v>
      </c>
      <c r="H362" s="137">
        <v>2371.6</v>
      </c>
      <c r="I362" s="70"/>
      <c r="J362" s="27"/>
      <c r="K362" s="22"/>
    </row>
    <row r="363" spans="1:18" x14ac:dyDescent="0.3">
      <c r="A363" s="27"/>
      <c r="B363" s="26"/>
      <c r="C363" s="13"/>
      <c r="D363" s="26"/>
      <c r="E363" s="122"/>
      <c r="F363" s="122"/>
      <c r="G363" s="122"/>
      <c r="H363" s="90"/>
      <c r="I363" s="70"/>
      <c r="J363" s="27"/>
      <c r="K363" s="22"/>
    </row>
    <row r="364" spans="1:18" s="27" customFormat="1" x14ac:dyDescent="0.3">
      <c r="B364" s="26"/>
      <c r="C364" s="140"/>
      <c r="D364" s="26"/>
      <c r="E364" s="122"/>
      <c r="F364" s="122"/>
      <c r="G364" s="142" t="s">
        <v>151</v>
      </c>
      <c r="H364" s="90">
        <f>H42+H154+H298</f>
        <v>10386.199999999999</v>
      </c>
      <c r="I364" s="90">
        <f>SUMIF($I$7:$I$360,J364,$H$7:H360)</f>
        <v>0</v>
      </c>
      <c r="J364" s="1"/>
      <c r="K364" s="1"/>
      <c r="L364" s="1"/>
      <c r="M364" s="1"/>
      <c r="N364" s="1"/>
      <c r="O364" s="1"/>
      <c r="P364" s="1"/>
      <c r="Q364" s="1"/>
      <c r="R364" s="1"/>
    </row>
    <row r="365" spans="1:18" s="27" customFormat="1" x14ac:dyDescent="0.3">
      <c r="B365" s="26"/>
      <c r="C365" s="140"/>
      <c r="D365" s="26"/>
      <c r="E365" s="122"/>
      <c r="F365" s="122"/>
      <c r="G365" s="142" t="s">
        <v>152</v>
      </c>
      <c r="H365" s="90">
        <f>H66+H220+H362</f>
        <v>6369.1999999999989</v>
      </c>
      <c r="I365" s="90">
        <f>SUMIF($I$7:$I$360,J365,$H$7:H361)</f>
        <v>6338.4000000000069</v>
      </c>
      <c r="J365" s="20" t="s">
        <v>140</v>
      </c>
      <c r="K365" s="68">
        <f>I365-H365</f>
        <v>-30.799999999991996</v>
      </c>
      <c r="L365" s="1"/>
      <c r="M365" s="1"/>
      <c r="N365" s="1"/>
      <c r="O365" s="1"/>
      <c r="P365" s="1"/>
      <c r="Q365" s="1"/>
      <c r="R365" s="1"/>
    </row>
    <row r="366" spans="1:18" s="27" customFormat="1" x14ac:dyDescent="0.3">
      <c r="A366" s="51"/>
      <c r="B366" s="47"/>
      <c r="C366" s="151"/>
      <c r="D366" s="26"/>
      <c r="E366" s="122"/>
      <c r="F366" s="122"/>
      <c r="G366" s="122"/>
      <c r="H366" s="36">
        <f>SUM(H364:H365)</f>
        <v>16755.399999999998</v>
      </c>
      <c r="I366" s="36">
        <f>SUM(I364:I365)</f>
        <v>6338.4000000000069</v>
      </c>
      <c r="K366" s="1"/>
      <c r="L366" s="1"/>
      <c r="M366" s="1"/>
      <c r="N366" s="1"/>
      <c r="O366" s="1"/>
      <c r="P366" s="1"/>
      <c r="Q366" s="1"/>
      <c r="R366" s="1"/>
    </row>
    <row r="367" spans="1:18" s="27" customFormat="1" x14ac:dyDescent="0.3">
      <c r="A367" s="51"/>
      <c r="B367" s="47"/>
      <c r="C367" s="151"/>
      <c r="D367" s="26"/>
      <c r="E367" s="122"/>
      <c r="F367" s="122"/>
      <c r="G367" s="122"/>
      <c r="H367" s="90"/>
      <c r="I367" s="21"/>
      <c r="K367" s="1"/>
      <c r="L367" s="1"/>
      <c r="M367" s="1"/>
      <c r="N367" s="1"/>
      <c r="O367" s="1"/>
      <c r="P367" s="1"/>
      <c r="Q367" s="1"/>
      <c r="R367" s="1"/>
    </row>
    <row r="368" spans="1:18" s="27" customFormat="1" ht="16.2" thickBot="1" x14ac:dyDescent="0.35">
      <c r="A368" s="51"/>
      <c r="B368" s="47"/>
      <c r="C368" s="151"/>
      <c r="D368" s="26"/>
      <c r="E368" s="122"/>
      <c r="F368" s="122"/>
      <c r="G368" s="122"/>
      <c r="H368" s="173" t="s">
        <v>60</v>
      </c>
      <c r="I368" s="174"/>
      <c r="K368" s="1"/>
      <c r="L368" s="1"/>
      <c r="M368" s="1"/>
      <c r="N368" s="1"/>
      <c r="O368" s="1"/>
      <c r="P368" s="1"/>
      <c r="Q368" s="1"/>
      <c r="R368" s="1"/>
    </row>
    <row r="369" spans="1:20" s="27" customFormat="1" ht="16.2" thickBot="1" x14ac:dyDescent="0.35">
      <c r="A369" s="19" t="s">
        <v>97</v>
      </c>
      <c r="B369" s="152"/>
      <c r="C369" s="153" t="s">
        <v>116</v>
      </c>
      <c r="D369" s="154"/>
      <c r="E369" s="155"/>
      <c r="F369" s="153" t="s">
        <v>117</v>
      </c>
      <c r="G369" s="156"/>
      <c r="H369" s="173" t="s">
        <v>61</v>
      </c>
      <c r="I369" s="174"/>
      <c r="J369" s="30" t="s">
        <v>103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s="19" customFormat="1" x14ac:dyDescent="0.3">
      <c r="A370" s="15" t="s">
        <v>93</v>
      </c>
      <c r="B370" s="157">
        <f>H42</f>
        <v>2121.8000000000002</v>
      </c>
      <c r="C370" s="158">
        <f>B370/$B$373*100</f>
        <v>20.429030829369744</v>
      </c>
      <c r="D370" s="159">
        <f>$B$381*C370/100</f>
        <v>5036082.4746390013</v>
      </c>
      <c r="E370" s="157">
        <f>H66</f>
        <v>950.40000000000009</v>
      </c>
      <c r="F370" s="158">
        <f>E370/$E$373*100</f>
        <v>14.921811216479311</v>
      </c>
      <c r="G370" s="159">
        <f>$B$384*F370/100</f>
        <v>1817620.8537110006</v>
      </c>
      <c r="H370" s="159">
        <f>'2_Projekty_BP_DP'!J5</f>
        <v>370000</v>
      </c>
      <c r="I370" s="159">
        <f>D370+G370+H370</f>
        <v>7223703.3283500019</v>
      </c>
      <c r="J370" s="160">
        <f>I370/$I$373*100</f>
        <v>18.310773134925547</v>
      </c>
      <c r="K370" s="1"/>
      <c r="L370" s="1"/>
      <c r="M370" s="1"/>
      <c r="N370" s="1"/>
      <c r="O370" s="1"/>
      <c r="P370" s="1"/>
      <c r="Q370" s="1"/>
      <c r="R370" s="1"/>
    </row>
    <row r="371" spans="1:20" s="19" customFormat="1" x14ac:dyDescent="0.3">
      <c r="A371" s="15" t="s">
        <v>94</v>
      </c>
      <c r="B371" s="161">
        <f>H154</f>
        <v>4836.7999999999993</v>
      </c>
      <c r="C371" s="28">
        <f>B371/$B$373*100</f>
        <v>46.569486433921931</v>
      </c>
      <c r="D371" s="162">
        <f>$B$381*C371/100</f>
        <v>11480122.402363047</v>
      </c>
      <c r="E371" s="161">
        <f>H220</f>
        <v>3047.1999999999989</v>
      </c>
      <c r="F371" s="28">
        <f>E371/$E$373*100</f>
        <v>47.842743201657974</v>
      </c>
      <c r="G371" s="162">
        <f>$B$384*F371/100</f>
        <v>5827708.6126138046</v>
      </c>
      <c r="H371" s="162">
        <f>'2_Projekty_BP_DP'!J6</f>
        <v>1446000</v>
      </c>
      <c r="I371" s="162">
        <f>D371+G371+H371</f>
        <v>18753831.014976852</v>
      </c>
      <c r="J371" s="163">
        <f>I371/$I$373*100</f>
        <v>47.537548196128441</v>
      </c>
      <c r="K371" s="1"/>
      <c r="L371" s="1"/>
      <c r="M371" s="1"/>
      <c r="N371" s="1"/>
      <c r="O371" s="1"/>
      <c r="P371" s="1"/>
      <c r="Q371" s="1"/>
      <c r="R371" s="1"/>
    </row>
    <row r="372" spans="1:20" s="19" customFormat="1" ht="16.2" thickBot="1" x14ac:dyDescent="0.35">
      <c r="A372" s="15" t="s">
        <v>95</v>
      </c>
      <c r="B372" s="161">
        <f>H298</f>
        <v>3427.6</v>
      </c>
      <c r="C372" s="28">
        <f>B372/$B$373*100</f>
        <v>33.001482736708326</v>
      </c>
      <c r="D372" s="162">
        <f>$B$381*C372/100</f>
        <v>8135392.7279067961</v>
      </c>
      <c r="E372" s="161">
        <f>H362</f>
        <v>2371.6</v>
      </c>
      <c r="F372" s="28">
        <f>E372/$E$373*100</f>
        <v>37.23544558186272</v>
      </c>
      <c r="G372" s="162">
        <f>$B$384*F372/100</f>
        <v>4535637.2229177281</v>
      </c>
      <c r="H372" s="162">
        <f>'2_Projekty_BP_DP'!J7</f>
        <v>802000</v>
      </c>
      <c r="I372" s="162">
        <f>D372+G372+H372</f>
        <v>13473029.950824525</v>
      </c>
      <c r="J372" s="163">
        <f>I372/$I$373*100</f>
        <v>34.151678668945998</v>
      </c>
      <c r="K372" s="1"/>
      <c r="L372" s="1"/>
      <c r="M372" s="1"/>
      <c r="N372" s="1"/>
      <c r="O372" s="1"/>
      <c r="P372" s="1"/>
      <c r="Q372" s="1"/>
      <c r="R372" s="1"/>
    </row>
    <row r="373" spans="1:20" s="29" customFormat="1" ht="16.8" thickBot="1" x14ac:dyDescent="0.4">
      <c r="A373" s="27"/>
      <c r="B373" s="164">
        <f t="shared" ref="B373:J373" si="0">SUM(B370:B372)</f>
        <v>10386.199999999999</v>
      </c>
      <c r="C373" s="164">
        <f t="shared" si="0"/>
        <v>100</v>
      </c>
      <c r="D373" s="165">
        <f t="shared" si="0"/>
        <v>24651597.604908846</v>
      </c>
      <c r="E373" s="164">
        <f t="shared" si="0"/>
        <v>6369.1999999999989</v>
      </c>
      <c r="F373" s="164">
        <f t="shared" si="0"/>
        <v>100</v>
      </c>
      <c r="G373" s="166">
        <f t="shared" si="0"/>
        <v>12180966.689242534</v>
      </c>
      <c r="H373" s="167">
        <f t="shared" si="0"/>
        <v>2618000</v>
      </c>
      <c r="I373" s="168">
        <f t="shared" si="0"/>
        <v>39450564.294151381</v>
      </c>
      <c r="J373" s="164">
        <f t="shared" si="0"/>
        <v>100</v>
      </c>
      <c r="K373" s="1"/>
      <c r="L373" s="1"/>
      <c r="M373" s="1"/>
      <c r="N373" s="1"/>
      <c r="O373" s="1"/>
      <c r="P373" s="1"/>
      <c r="Q373" s="1"/>
      <c r="R373" s="1"/>
    </row>
    <row r="374" spans="1:20" s="27" customFormat="1" x14ac:dyDescent="0.3">
      <c r="B374" s="26"/>
      <c r="C374" s="13"/>
      <c r="D374" s="700">
        <f>D373-B381</f>
        <v>0</v>
      </c>
      <c r="E374" s="36">
        <f>B373+E373</f>
        <v>16755.399999999998</v>
      </c>
      <c r="F374" s="122"/>
      <c r="G374" s="700">
        <f>G373-B384</f>
        <v>0</v>
      </c>
      <c r="H374" s="700">
        <f>H373-(B380+B383)</f>
        <v>0</v>
      </c>
      <c r="I374" s="700">
        <f>I373-B385</f>
        <v>0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s="27" customFormat="1" ht="16.2" thickBot="1" x14ac:dyDescent="0.35">
      <c r="B375" s="26"/>
      <c r="C375" s="13"/>
      <c r="D375" s="26"/>
      <c r="E375" s="142"/>
      <c r="F375" s="122"/>
      <c r="G375" s="122"/>
      <c r="H375" s="122"/>
      <c r="I375" s="2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s="27" customFormat="1" ht="16.2" thickBot="1" x14ac:dyDescent="0.35">
      <c r="C376" s="664" t="s">
        <v>147</v>
      </c>
      <c r="D376" s="667">
        <f>D373/B373</f>
        <v>2373.4953693274583</v>
      </c>
      <c r="E376" s="666"/>
      <c r="F376" s="664" t="s">
        <v>148</v>
      </c>
      <c r="G376" s="667">
        <f>G373/E373</f>
        <v>1912.4798544938983</v>
      </c>
      <c r="H376" s="665"/>
      <c r="I376" s="2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s="27" customFormat="1" x14ac:dyDescent="0.3">
      <c r="C377" s="643"/>
      <c r="D377" s="644"/>
      <c r="E377" s="645"/>
      <c r="F377" s="643"/>
      <c r="G377" s="644"/>
      <c r="H377" s="645"/>
      <c r="I377" s="2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s="27" customFormat="1" ht="16.2" thickBot="1" x14ac:dyDescent="0.35">
      <c r="I378" s="2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s="27" customFormat="1" ht="16.2" thickBot="1" x14ac:dyDescent="0.35">
      <c r="A379" s="27" t="s">
        <v>402</v>
      </c>
      <c r="B379" s="572">
        <f>'1_Bc_Mag_DSP'!F6</f>
        <v>26367597.604908846</v>
      </c>
      <c r="D379" s="13"/>
      <c r="E379" s="122"/>
      <c r="F379" s="122"/>
      <c r="G379" s="13"/>
      <c r="H379" s="122"/>
      <c r="I379" s="2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s="27" customFormat="1" x14ac:dyDescent="0.3">
      <c r="A380" s="30" t="s">
        <v>403</v>
      </c>
      <c r="B380" s="170">
        <f>'2_Projekty_BP_DP'!G9</f>
        <v>1716000</v>
      </c>
      <c r="D380" s="13"/>
      <c r="E380" s="122"/>
      <c r="F380" s="122"/>
      <c r="G380" s="13"/>
      <c r="H380" s="122"/>
      <c r="I380" s="2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s="27" customFormat="1" ht="16.2" thickBot="1" x14ac:dyDescent="0.35">
      <c r="A381" s="30" t="s">
        <v>404</v>
      </c>
      <c r="B381" s="171">
        <f>B379-B380</f>
        <v>24651597.604908846</v>
      </c>
      <c r="D381" s="26"/>
      <c r="E381" s="122"/>
      <c r="F381" s="122"/>
      <c r="G381" s="172"/>
      <c r="H381" s="69"/>
      <c r="I381" s="21"/>
      <c r="K381" s="1"/>
      <c r="L381" s="1"/>
      <c r="M381" s="1"/>
      <c r="N381" s="1"/>
      <c r="O381" s="1"/>
      <c r="P381" s="1"/>
      <c r="Q381" s="1"/>
      <c r="R381" s="1"/>
    </row>
    <row r="382" spans="1:20" s="27" customFormat="1" ht="16.2" thickBot="1" x14ac:dyDescent="0.35">
      <c r="A382" s="27" t="s">
        <v>405</v>
      </c>
      <c r="B382" s="572">
        <f>'1_Bc_Mag_DSP'!F7</f>
        <v>13082966.689242532</v>
      </c>
      <c r="C382" s="129" t="s">
        <v>213</v>
      </c>
      <c r="D382" s="26"/>
      <c r="E382" s="122"/>
      <c r="F382" s="122"/>
      <c r="G382" s="122"/>
      <c r="H382" s="122"/>
      <c r="I382" s="21"/>
      <c r="K382" s="1"/>
      <c r="L382" s="1"/>
      <c r="M382" s="1"/>
      <c r="N382" s="1"/>
      <c r="O382" s="1"/>
      <c r="P382" s="1"/>
      <c r="Q382" s="1"/>
      <c r="R382" s="1"/>
    </row>
    <row r="383" spans="1:20" s="27" customFormat="1" x14ac:dyDescent="0.3">
      <c r="A383" s="30" t="s">
        <v>406</v>
      </c>
      <c r="B383" s="170">
        <f>'2_Projekty_BP_DP'!G10</f>
        <v>902000</v>
      </c>
      <c r="C383" s="662">
        <f>B380+B383</f>
        <v>2618000</v>
      </c>
      <c r="D383" s="26"/>
      <c r="E383" s="122"/>
      <c r="F383" s="122"/>
      <c r="H383" s="122"/>
      <c r="I383" s="21"/>
      <c r="L383" s="22"/>
    </row>
    <row r="384" spans="1:20" s="27" customFormat="1" ht="16.2" thickBot="1" x14ac:dyDescent="0.35">
      <c r="A384" s="30" t="s">
        <v>407</v>
      </c>
      <c r="B384" s="663">
        <f>B382-B383</f>
        <v>12180966.689242532</v>
      </c>
      <c r="C384" s="664" t="s">
        <v>335</v>
      </c>
      <c r="D384" s="26"/>
      <c r="E384" s="122"/>
      <c r="F384" s="122"/>
      <c r="G384" s="122"/>
      <c r="H384" s="122"/>
      <c r="I384" s="21"/>
      <c r="L384" s="22"/>
    </row>
    <row r="385" spans="1:12" s="27" customFormat="1" ht="16.2" thickBot="1" x14ac:dyDescent="0.35">
      <c r="A385" s="19" t="s">
        <v>555</v>
      </c>
      <c r="B385" s="168">
        <f>B382+B379</f>
        <v>39450564.294151381</v>
      </c>
      <c r="C385" s="673">
        <f>'1_Bc_Mag_DSP'!F6+'1_Bc_Mag_DSP'!F7</f>
        <v>39450564.294151381</v>
      </c>
      <c r="D385" s="26"/>
      <c r="E385" s="122"/>
      <c r="F385" s="122"/>
      <c r="G385" s="122"/>
      <c r="H385" s="122"/>
      <c r="I385" s="21"/>
      <c r="L385" s="22"/>
    </row>
    <row r="386" spans="1:12" s="42" customFormat="1" x14ac:dyDescent="0.3">
      <c r="C386" s="104"/>
      <c r="D386" s="38"/>
      <c r="E386" s="103"/>
      <c r="F386" s="103"/>
      <c r="G386" s="103"/>
      <c r="H386" s="103"/>
      <c r="I386" s="21"/>
      <c r="L386" s="149"/>
    </row>
    <row r="387" spans="1:12" s="42" customFormat="1" x14ac:dyDescent="0.3">
      <c r="I387" s="21"/>
    </row>
    <row r="388" spans="1:12" s="42" customFormat="1" x14ac:dyDescent="0.3">
      <c r="I388" s="21"/>
    </row>
    <row r="389" spans="1:12" s="42" customFormat="1" x14ac:dyDescent="0.3">
      <c r="A389" s="51"/>
      <c r="C389" s="51"/>
      <c r="D389" s="51"/>
      <c r="E389" s="51"/>
      <c r="F389" s="51"/>
      <c r="I389" s="21"/>
    </row>
    <row r="390" spans="1:12" s="42" customFormat="1" x14ac:dyDescent="0.3">
      <c r="A390" s="43"/>
      <c r="B390" s="774"/>
      <c r="C390" s="670"/>
      <c r="D390" s="105"/>
      <c r="E390" s="774"/>
      <c r="F390" s="670"/>
      <c r="G390" s="105"/>
      <c r="H390" s="105"/>
      <c r="I390" s="105"/>
      <c r="J390" s="369"/>
    </row>
    <row r="391" spans="1:12" s="42" customFormat="1" x14ac:dyDescent="0.3">
      <c r="A391" s="43"/>
      <c r="B391" s="774"/>
      <c r="C391" s="773"/>
      <c r="D391" s="105"/>
      <c r="E391" s="774"/>
      <c r="F391" s="670"/>
      <c r="G391" s="105"/>
      <c r="H391" s="105"/>
      <c r="I391" s="105"/>
      <c r="J391" s="369"/>
    </row>
    <row r="392" spans="1:12" s="42" customFormat="1" x14ac:dyDescent="0.3">
      <c r="A392" s="43"/>
      <c r="B392" s="774"/>
      <c r="C392" s="773"/>
      <c r="D392" s="105"/>
      <c r="E392" s="774"/>
      <c r="F392" s="773"/>
      <c r="G392" s="105"/>
      <c r="H392" s="105"/>
      <c r="I392" s="105"/>
      <c r="J392" s="369"/>
    </row>
    <row r="393" spans="1:12" s="42" customFormat="1" x14ac:dyDescent="0.3">
      <c r="B393" s="28"/>
      <c r="C393" s="773"/>
      <c r="D393" s="672"/>
      <c r="E393" s="28"/>
      <c r="F393" s="773"/>
      <c r="G393" s="663"/>
      <c r="H393" s="662"/>
      <c r="I393" s="671"/>
      <c r="J393" s="369"/>
    </row>
    <row r="394" spans="1:12" s="42" customFormat="1" x14ac:dyDescent="0.3">
      <c r="B394" s="28"/>
      <c r="C394" s="773"/>
      <c r="D394" s="672"/>
      <c r="E394" s="28"/>
      <c r="F394" s="773"/>
      <c r="G394" s="663"/>
      <c r="H394" s="662"/>
      <c r="I394" s="671"/>
      <c r="J394" s="369"/>
    </row>
    <row r="395" spans="1:12" s="42" customFormat="1" x14ac:dyDescent="0.3">
      <c r="A395" s="51"/>
      <c r="C395" s="51"/>
      <c r="D395" s="51"/>
      <c r="E395" s="51"/>
      <c r="F395" s="51"/>
      <c r="I395" s="21"/>
    </row>
    <row r="396" spans="1:12" s="42" customFormat="1" x14ac:dyDescent="0.3">
      <c r="A396" s="43"/>
      <c r="B396" s="774"/>
      <c r="C396" s="670"/>
      <c r="D396" s="105"/>
      <c r="E396" s="774"/>
      <c r="F396" s="670"/>
      <c r="G396" s="105"/>
      <c r="H396" s="105"/>
      <c r="I396" s="105"/>
      <c r="J396" s="369"/>
    </row>
    <row r="397" spans="1:12" s="42" customFormat="1" x14ac:dyDescent="0.3">
      <c r="A397" s="43"/>
      <c r="B397" s="774"/>
      <c r="C397" s="773"/>
      <c r="D397" s="105"/>
      <c r="E397" s="774"/>
      <c r="F397" s="670"/>
      <c r="G397" s="105"/>
      <c r="H397" s="105"/>
      <c r="I397" s="105"/>
      <c r="J397" s="369"/>
    </row>
    <row r="398" spans="1:12" s="42" customFormat="1" x14ac:dyDescent="0.3">
      <c r="A398" s="43"/>
      <c r="B398" s="774"/>
      <c r="C398" s="773"/>
      <c r="D398" s="105"/>
      <c r="E398" s="774"/>
      <c r="F398" s="773"/>
      <c r="G398" s="105"/>
      <c r="H398" s="105"/>
      <c r="I398" s="105"/>
      <c r="J398" s="369"/>
    </row>
    <row r="399" spans="1:12" s="42" customFormat="1" x14ac:dyDescent="0.3">
      <c r="B399" s="774"/>
      <c r="C399" s="773"/>
      <c r="D399" s="105"/>
      <c r="E399" s="28"/>
      <c r="F399" s="773"/>
      <c r="G399" s="663"/>
      <c r="H399" s="662"/>
      <c r="I399" s="671"/>
      <c r="J399" s="369"/>
    </row>
    <row r="400" spans="1:12" s="42" customFormat="1" x14ac:dyDescent="0.3">
      <c r="I400" s="21"/>
    </row>
    <row r="401" spans="1:10" s="42" customFormat="1" x14ac:dyDescent="0.3">
      <c r="A401" s="51"/>
      <c r="C401" s="51"/>
      <c r="F401" s="51"/>
      <c r="I401" s="21"/>
    </row>
    <row r="402" spans="1:10" s="42" customFormat="1" x14ac:dyDescent="0.3">
      <c r="A402" s="43"/>
      <c r="B402" s="774"/>
      <c r="C402" s="775"/>
      <c r="D402" s="105"/>
      <c r="E402" s="774"/>
      <c r="F402" s="773"/>
      <c r="G402" s="105"/>
      <c r="H402" s="105"/>
      <c r="I402" s="105"/>
      <c r="J402" s="369"/>
    </row>
    <row r="403" spans="1:10" s="42" customFormat="1" x14ac:dyDescent="0.3">
      <c r="A403" s="43"/>
      <c r="B403" s="774"/>
      <c r="C403" s="369"/>
      <c r="D403" s="105"/>
      <c r="E403" s="774"/>
      <c r="F403" s="773"/>
      <c r="G403" s="105"/>
      <c r="H403" s="105"/>
      <c r="I403" s="105"/>
      <c r="J403" s="369"/>
    </row>
    <row r="404" spans="1:10" s="42" customFormat="1" x14ac:dyDescent="0.3">
      <c r="A404" s="43"/>
      <c r="B404" s="774"/>
      <c r="C404" s="369"/>
      <c r="D404" s="105"/>
      <c r="E404" s="774"/>
      <c r="F404" s="773"/>
      <c r="G404" s="105"/>
      <c r="H404" s="105"/>
      <c r="I404" s="105"/>
      <c r="J404" s="369"/>
    </row>
    <row r="405" spans="1:10" s="42" customFormat="1" x14ac:dyDescent="0.3">
      <c r="B405" s="28"/>
      <c r="C405" s="773"/>
      <c r="D405" s="672"/>
      <c r="E405" s="28"/>
      <c r="F405" s="773"/>
      <c r="G405" s="663"/>
      <c r="H405" s="662"/>
      <c r="I405" s="776"/>
      <c r="J405" s="773"/>
    </row>
    <row r="406" spans="1:10" s="42" customFormat="1" x14ac:dyDescent="0.3">
      <c r="I406" s="21"/>
    </row>
    <row r="407" spans="1:10" s="42" customFormat="1" x14ac:dyDescent="0.3">
      <c r="A407" s="51"/>
      <c r="C407" s="51"/>
      <c r="F407" s="51"/>
      <c r="I407" s="21"/>
    </row>
    <row r="408" spans="1:10" s="42" customFormat="1" x14ac:dyDescent="0.3">
      <c r="A408" s="43"/>
      <c r="B408" s="774"/>
      <c r="C408" s="775"/>
      <c r="D408" s="105"/>
      <c r="E408" s="774"/>
      <c r="F408" s="773"/>
      <c r="G408" s="28"/>
      <c r="H408" s="105"/>
      <c r="I408" s="105"/>
      <c r="J408" s="369"/>
    </row>
    <row r="409" spans="1:10" s="42" customFormat="1" x14ac:dyDescent="0.3">
      <c r="A409" s="43"/>
      <c r="B409" s="774"/>
      <c r="C409" s="369"/>
      <c r="D409" s="105"/>
      <c r="E409" s="774"/>
      <c r="F409" s="773"/>
      <c r="G409" s="28"/>
      <c r="H409" s="105"/>
      <c r="I409" s="105"/>
      <c r="J409" s="369"/>
    </row>
    <row r="410" spans="1:10" s="42" customFormat="1" x14ac:dyDescent="0.3">
      <c r="A410" s="43"/>
      <c r="B410" s="774"/>
      <c r="C410" s="369"/>
      <c r="D410" s="105"/>
      <c r="E410" s="774"/>
      <c r="F410" s="773"/>
      <c r="G410" s="28"/>
      <c r="H410" s="105"/>
      <c r="I410" s="105"/>
      <c r="J410" s="369"/>
    </row>
    <row r="411" spans="1:10" s="42" customFormat="1" x14ac:dyDescent="0.3">
      <c r="B411" s="28"/>
      <c r="C411" s="773"/>
      <c r="D411" s="672"/>
      <c r="E411" s="28"/>
      <c r="F411" s="773"/>
      <c r="G411" s="663"/>
      <c r="H411" s="662"/>
      <c r="I411" s="776"/>
      <c r="J411" s="773"/>
    </row>
    <row r="412" spans="1:10" s="42" customFormat="1" x14ac:dyDescent="0.3"/>
    <row r="413" spans="1:10" s="42" customFormat="1" x14ac:dyDescent="0.3">
      <c r="I413" s="21"/>
    </row>
  </sheetData>
  <phoneticPr fontId="0" type="noConversion"/>
  <printOptions gridLines="1"/>
  <pageMargins left="0" right="0" top="1.1811023622047245" bottom="0.19685039370078741" header="0.78740157480314965" footer="0.51181102362204722"/>
  <pageSetup paperSize="9" scale="87" fitToHeight="9" orientation="landscape" r:id="rId1"/>
  <headerFooter alignWithMargins="0">
    <oddHeader>&amp;L&amp;Z&amp;F&amp;R&amp;"times,Roman"List: 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P52"/>
  <sheetViews>
    <sheetView topLeftCell="C13" workbookViewId="0">
      <selection activeCell="N42" sqref="N42:N45"/>
    </sheetView>
  </sheetViews>
  <sheetFormatPr defaultColWidth="9.109375" defaultRowHeight="15.6" x14ac:dyDescent="0.3"/>
  <cols>
    <col min="1" max="1" width="3.88671875" style="1" bestFit="1" customWidth="1"/>
    <col min="2" max="2" width="22.44140625" style="1" bestFit="1" customWidth="1"/>
    <col min="3" max="3" width="44.44140625" style="1" bestFit="1" customWidth="1"/>
    <col min="4" max="4" width="29" style="1" customWidth="1"/>
    <col min="5" max="5" width="33.33203125" style="1" bestFit="1" customWidth="1"/>
    <col min="6" max="7" width="6.6640625" style="1" bestFit="1" customWidth="1"/>
    <col min="8" max="8" width="13" style="1" customWidth="1"/>
    <col min="9" max="9" width="12" style="1" customWidth="1"/>
    <col min="10" max="10" width="33.33203125" style="1" bestFit="1" customWidth="1"/>
    <col min="11" max="11" width="7.109375" style="1" customWidth="1"/>
    <col min="12" max="12" width="12.88671875" style="1" customWidth="1"/>
    <col min="13" max="13" width="7" style="3" customWidth="1"/>
    <col min="14" max="14" width="17.33203125" style="1" customWidth="1"/>
    <col min="15" max="15" width="25.88671875" style="1" bestFit="1" customWidth="1"/>
    <col min="16" max="16" width="14.5546875" style="1" customWidth="1"/>
    <col min="17" max="16384" width="9.109375" style="1"/>
  </cols>
  <sheetData>
    <row r="1" spans="1:16" s="2" customFormat="1" x14ac:dyDescent="0.3">
      <c r="A1" s="464" t="s">
        <v>449</v>
      </c>
      <c r="B1" s="464" t="s">
        <v>450</v>
      </c>
      <c r="C1" s="464" t="s">
        <v>451</v>
      </c>
      <c r="D1" s="464" t="s">
        <v>185</v>
      </c>
      <c r="E1" s="464" t="s">
        <v>452</v>
      </c>
      <c r="F1" s="464" t="s">
        <v>493</v>
      </c>
      <c r="G1" s="464" t="s">
        <v>494</v>
      </c>
      <c r="H1" s="464" t="s">
        <v>453</v>
      </c>
      <c r="I1" s="464" t="s">
        <v>454</v>
      </c>
      <c r="J1" s="464" t="s">
        <v>455</v>
      </c>
      <c r="K1" s="464" t="s">
        <v>497</v>
      </c>
      <c r="L1" s="464" t="s">
        <v>498</v>
      </c>
      <c r="M1" s="795" t="s">
        <v>499</v>
      </c>
      <c r="N1" s="464" t="s">
        <v>500</v>
      </c>
      <c r="O1" s="464" t="s">
        <v>335</v>
      </c>
      <c r="P1" s="2" t="s">
        <v>552</v>
      </c>
    </row>
    <row r="2" spans="1:16" ht="16.2" customHeight="1" x14ac:dyDescent="0.3">
      <c r="A2" s="463" t="s">
        <v>140</v>
      </c>
      <c r="B2" s="463" t="s">
        <v>456</v>
      </c>
      <c r="C2" s="463" t="s">
        <v>457</v>
      </c>
      <c r="D2" s="463"/>
      <c r="E2" s="463"/>
      <c r="F2" s="463" t="s">
        <v>188</v>
      </c>
      <c r="G2" s="463" t="s">
        <v>458</v>
      </c>
      <c r="H2" s="789">
        <v>44120</v>
      </c>
      <c r="I2" s="789">
        <v>47772</v>
      </c>
      <c r="J2" s="463" t="s">
        <v>459</v>
      </c>
      <c r="K2" s="463" t="s">
        <v>1</v>
      </c>
      <c r="L2" s="463">
        <f>COUNTIF($J$2:$J$39,J2)</f>
        <v>1</v>
      </c>
      <c r="M2" s="736" t="s">
        <v>16</v>
      </c>
      <c r="N2" s="463">
        <f>IF(M2="A",2000,0)</f>
        <v>2000</v>
      </c>
      <c r="O2" s="787" t="str">
        <f t="shared" ref="O2:O17" si="0">IF(SUMIF($J$2:$J$35,J2,$N$2:$N$35)=0,"!!","")</f>
        <v/>
      </c>
      <c r="P2" s="1">
        <f>SUMIF($J$2:$J$36,J2,$N$2:$N$36)</f>
        <v>2000</v>
      </c>
    </row>
    <row r="3" spans="1:16" ht="16.2" customHeight="1" x14ac:dyDescent="0.3">
      <c r="A3" s="463" t="s">
        <v>140</v>
      </c>
      <c r="B3" s="463" t="s">
        <v>456</v>
      </c>
      <c r="C3" s="463" t="s">
        <v>460</v>
      </c>
      <c r="D3" s="463"/>
      <c r="E3" s="463"/>
      <c r="F3" s="463" t="s">
        <v>188</v>
      </c>
      <c r="G3" s="463" t="s">
        <v>458</v>
      </c>
      <c r="H3" s="789">
        <v>43328</v>
      </c>
      <c r="I3" s="789">
        <v>46981</v>
      </c>
      <c r="J3" s="463" t="s">
        <v>461</v>
      </c>
      <c r="K3" s="463" t="s">
        <v>3</v>
      </c>
      <c r="L3" s="463">
        <f t="shared" ref="L3:L15" si="1">COUNTIF($J$2:$J$35,J3)</f>
        <v>2</v>
      </c>
      <c r="M3" s="736" t="s">
        <v>16</v>
      </c>
      <c r="N3" s="463">
        <f t="shared" ref="N3:N34" si="2">IF(M3="A",2000,0)</f>
        <v>2000</v>
      </c>
      <c r="O3" s="796" t="str">
        <f t="shared" si="0"/>
        <v/>
      </c>
      <c r="P3" s="1">
        <f t="shared" ref="P3:P35" si="3">SUMIF($J$2:$J$36,J3,$N$2:$N$36)</f>
        <v>2000</v>
      </c>
    </row>
    <row r="4" spans="1:16" ht="16.2" customHeight="1" x14ac:dyDescent="0.3">
      <c r="A4" s="463" t="s">
        <v>140</v>
      </c>
      <c r="B4" s="463" t="s">
        <v>456</v>
      </c>
      <c r="C4" s="463" t="s">
        <v>462</v>
      </c>
      <c r="D4" s="463"/>
      <c r="E4" s="463"/>
      <c r="F4" s="463" t="s">
        <v>188</v>
      </c>
      <c r="G4" s="463" t="s">
        <v>458</v>
      </c>
      <c r="H4" s="789">
        <v>43328</v>
      </c>
      <c r="I4" s="789">
        <v>46981</v>
      </c>
      <c r="J4" s="463" t="s">
        <v>463</v>
      </c>
      <c r="K4" s="463" t="s">
        <v>2</v>
      </c>
      <c r="L4" s="463">
        <f t="shared" si="1"/>
        <v>1</v>
      </c>
      <c r="M4" s="736" t="s">
        <v>16</v>
      </c>
      <c r="N4" s="463">
        <f t="shared" si="2"/>
        <v>2000</v>
      </c>
      <c r="O4" s="796" t="str">
        <f t="shared" si="0"/>
        <v/>
      </c>
      <c r="P4" s="1">
        <f t="shared" si="3"/>
        <v>2000</v>
      </c>
    </row>
    <row r="5" spans="1:16" ht="16.2" customHeight="1" x14ac:dyDescent="0.3">
      <c r="A5" s="463" t="s">
        <v>140</v>
      </c>
      <c r="B5" s="463" t="s">
        <v>456</v>
      </c>
      <c r="C5" s="463" t="s">
        <v>464</v>
      </c>
      <c r="D5" s="463"/>
      <c r="E5" s="463"/>
      <c r="F5" s="463" t="s">
        <v>188</v>
      </c>
      <c r="G5" s="463" t="s">
        <v>458</v>
      </c>
      <c r="H5" s="789">
        <v>43386</v>
      </c>
      <c r="I5" s="789">
        <v>47039</v>
      </c>
      <c r="J5" s="463" t="s">
        <v>465</v>
      </c>
      <c r="K5" s="463" t="s">
        <v>496</v>
      </c>
      <c r="L5" s="463">
        <f t="shared" si="1"/>
        <v>3</v>
      </c>
      <c r="M5" s="736" t="s">
        <v>16</v>
      </c>
      <c r="N5" s="463">
        <f t="shared" si="2"/>
        <v>2000</v>
      </c>
      <c r="O5" s="796" t="str">
        <f t="shared" si="0"/>
        <v/>
      </c>
      <c r="P5" s="1">
        <f t="shared" si="3"/>
        <v>2000</v>
      </c>
    </row>
    <row r="6" spans="1:16" ht="16.2" customHeight="1" x14ac:dyDescent="0.3">
      <c r="A6" s="463" t="s">
        <v>140</v>
      </c>
      <c r="B6" s="463" t="s">
        <v>466</v>
      </c>
      <c r="C6" s="463" t="s">
        <v>467</v>
      </c>
      <c r="D6" s="463"/>
      <c r="E6" s="463"/>
      <c r="F6" s="463" t="s">
        <v>188</v>
      </c>
      <c r="G6" s="463" t="s">
        <v>468</v>
      </c>
      <c r="H6" s="789">
        <v>44120</v>
      </c>
      <c r="I6" s="789">
        <v>47772</v>
      </c>
      <c r="J6" s="463" t="s">
        <v>469</v>
      </c>
      <c r="K6" s="463" t="s">
        <v>1</v>
      </c>
      <c r="L6" s="463">
        <f t="shared" si="1"/>
        <v>5</v>
      </c>
      <c r="M6" s="736" t="s">
        <v>16</v>
      </c>
      <c r="N6" s="463">
        <f t="shared" si="2"/>
        <v>2000</v>
      </c>
      <c r="O6" s="796" t="str">
        <f t="shared" si="0"/>
        <v/>
      </c>
      <c r="P6" s="1">
        <f t="shared" si="3"/>
        <v>2000</v>
      </c>
    </row>
    <row r="7" spans="1:16" ht="16.2" customHeight="1" x14ac:dyDescent="0.3">
      <c r="A7" s="463" t="s">
        <v>140</v>
      </c>
      <c r="B7" s="463" t="s">
        <v>466</v>
      </c>
      <c r="C7" s="463" t="s">
        <v>470</v>
      </c>
      <c r="D7" s="463"/>
      <c r="E7" s="463"/>
      <c r="F7" s="463" t="s">
        <v>188</v>
      </c>
      <c r="G7" s="463" t="s">
        <v>468</v>
      </c>
      <c r="H7" s="789">
        <v>44049</v>
      </c>
      <c r="I7" s="789">
        <v>45875</v>
      </c>
      <c r="J7" s="463" t="s">
        <v>471</v>
      </c>
      <c r="K7" s="463" t="s">
        <v>1</v>
      </c>
      <c r="L7" s="463">
        <f t="shared" si="1"/>
        <v>3</v>
      </c>
      <c r="M7" s="736" t="s">
        <v>16</v>
      </c>
      <c r="N7" s="463">
        <f t="shared" si="2"/>
        <v>2000</v>
      </c>
      <c r="O7" s="796" t="str">
        <f t="shared" si="0"/>
        <v/>
      </c>
      <c r="P7" s="1">
        <f t="shared" si="3"/>
        <v>2000</v>
      </c>
    </row>
    <row r="8" spans="1:16" ht="16.2" customHeight="1" x14ac:dyDescent="0.3">
      <c r="A8" s="463" t="s">
        <v>140</v>
      </c>
      <c r="B8" s="463" t="s">
        <v>466</v>
      </c>
      <c r="C8" s="463" t="s">
        <v>472</v>
      </c>
      <c r="D8" s="463"/>
      <c r="E8" s="463"/>
      <c r="F8" s="463" t="s">
        <v>188</v>
      </c>
      <c r="G8" s="463" t="s">
        <v>468</v>
      </c>
      <c r="H8" s="789">
        <v>44049</v>
      </c>
      <c r="I8" s="789">
        <v>45875</v>
      </c>
      <c r="J8" s="463" t="s">
        <v>471</v>
      </c>
      <c r="K8" s="463" t="s">
        <v>1</v>
      </c>
      <c r="L8" s="463">
        <f t="shared" si="1"/>
        <v>3</v>
      </c>
      <c r="M8" s="736" t="s">
        <v>140</v>
      </c>
      <c r="N8" s="463">
        <f t="shared" si="2"/>
        <v>0</v>
      </c>
      <c r="O8" s="796" t="str">
        <f t="shared" si="0"/>
        <v/>
      </c>
      <c r="P8" s="1">
        <f t="shared" si="3"/>
        <v>2000</v>
      </c>
    </row>
    <row r="9" spans="1:16" ht="16.2" customHeight="1" x14ac:dyDescent="0.3">
      <c r="A9" s="463" t="s">
        <v>140</v>
      </c>
      <c r="B9" s="463" t="s">
        <v>466</v>
      </c>
      <c r="C9" s="463" t="s">
        <v>473</v>
      </c>
      <c r="D9" s="463"/>
      <c r="E9" s="463"/>
      <c r="F9" s="463" t="s">
        <v>188</v>
      </c>
      <c r="G9" s="463" t="s">
        <v>468</v>
      </c>
      <c r="H9" s="789">
        <v>44028</v>
      </c>
      <c r="I9" s="789">
        <v>47680</v>
      </c>
      <c r="J9" s="463" t="s">
        <v>474</v>
      </c>
      <c r="K9" s="463" t="s">
        <v>2</v>
      </c>
      <c r="L9" s="463">
        <f t="shared" si="1"/>
        <v>5</v>
      </c>
      <c r="M9" s="736" t="s">
        <v>16</v>
      </c>
      <c r="N9" s="463">
        <f t="shared" si="2"/>
        <v>2000</v>
      </c>
      <c r="O9" s="796" t="str">
        <f t="shared" si="0"/>
        <v/>
      </c>
      <c r="P9" s="1">
        <f t="shared" si="3"/>
        <v>2000</v>
      </c>
    </row>
    <row r="10" spans="1:16" ht="16.2" customHeight="1" x14ac:dyDescent="0.3">
      <c r="A10" s="463" t="s">
        <v>140</v>
      </c>
      <c r="B10" s="463" t="s">
        <v>466</v>
      </c>
      <c r="C10" s="463" t="s">
        <v>475</v>
      </c>
      <c r="D10" s="463"/>
      <c r="E10" s="463"/>
      <c r="F10" s="463" t="s">
        <v>188</v>
      </c>
      <c r="G10" s="463" t="s">
        <v>468</v>
      </c>
      <c r="H10" s="789">
        <v>43462</v>
      </c>
      <c r="I10" s="789">
        <v>47115</v>
      </c>
      <c r="J10" s="463" t="s">
        <v>474</v>
      </c>
      <c r="K10" s="463" t="s">
        <v>2</v>
      </c>
      <c r="L10" s="463">
        <f t="shared" si="1"/>
        <v>5</v>
      </c>
      <c r="M10" s="736" t="s">
        <v>140</v>
      </c>
      <c r="N10" s="463">
        <f t="shared" si="2"/>
        <v>0</v>
      </c>
      <c r="O10" s="796" t="str">
        <f t="shared" si="0"/>
        <v/>
      </c>
      <c r="P10" s="1">
        <f t="shared" si="3"/>
        <v>2000</v>
      </c>
    </row>
    <row r="11" spans="1:16" ht="16.2" customHeight="1" x14ac:dyDescent="0.3">
      <c r="A11" s="463" t="s">
        <v>140</v>
      </c>
      <c r="B11" s="463" t="s">
        <v>466</v>
      </c>
      <c r="C11" s="463" t="s">
        <v>476</v>
      </c>
      <c r="D11" s="463"/>
      <c r="E11" s="463"/>
      <c r="F11" s="463" t="s">
        <v>188</v>
      </c>
      <c r="G11" s="463" t="s">
        <v>468</v>
      </c>
      <c r="H11" s="789">
        <v>43386</v>
      </c>
      <c r="I11" s="789">
        <v>47039</v>
      </c>
      <c r="J11" s="463" t="s">
        <v>465</v>
      </c>
      <c r="K11" s="463" t="s">
        <v>496</v>
      </c>
      <c r="L11" s="463">
        <f t="shared" si="1"/>
        <v>3</v>
      </c>
      <c r="M11" s="736" t="s">
        <v>140</v>
      </c>
      <c r="N11" s="463">
        <f t="shared" si="2"/>
        <v>0</v>
      </c>
      <c r="O11" s="796" t="str">
        <f t="shared" si="0"/>
        <v/>
      </c>
      <c r="P11" s="1">
        <f t="shared" si="3"/>
        <v>2000</v>
      </c>
    </row>
    <row r="12" spans="1:16" ht="16.2" customHeight="1" x14ac:dyDescent="0.3">
      <c r="A12" s="463" t="s">
        <v>140</v>
      </c>
      <c r="B12" s="463" t="s">
        <v>477</v>
      </c>
      <c r="C12" s="463" t="s">
        <v>478</v>
      </c>
      <c r="D12" s="463"/>
      <c r="E12" s="463"/>
      <c r="F12" s="463" t="s">
        <v>206</v>
      </c>
      <c r="G12" s="463" t="s">
        <v>479</v>
      </c>
      <c r="H12" s="789">
        <v>43963</v>
      </c>
      <c r="I12" s="789">
        <v>47615</v>
      </c>
      <c r="J12" s="463" t="s">
        <v>469</v>
      </c>
      <c r="K12" s="463" t="s">
        <v>1</v>
      </c>
      <c r="L12" s="463">
        <f t="shared" si="1"/>
        <v>5</v>
      </c>
      <c r="M12" s="736" t="s">
        <v>140</v>
      </c>
      <c r="N12" s="463">
        <f t="shared" si="2"/>
        <v>0</v>
      </c>
      <c r="O12" s="796" t="str">
        <f t="shared" si="0"/>
        <v/>
      </c>
      <c r="P12" s="1">
        <f t="shared" si="3"/>
        <v>2000</v>
      </c>
    </row>
    <row r="13" spans="1:16" ht="16.2" customHeight="1" x14ac:dyDescent="0.3">
      <c r="A13" s="463" t="s">
        <v>140</v>
      </c>
      <c r="B13" s="463" t="s">
        <v>477</v>
      </c>
      <c r="C13" s="463" t="s">
        <v>480</v>
      </c>
      <c r="D13" s="463"/>
      <c r="E13" s="463"/>
      <c r="F13" s="463" t="s">
        <v>206</v>
      </c>
      <c r="G13" s="463" t="s">
        <v>479</v>
      </c>
      <c r="H13" s="789">
        <v>43963</v>
      </c>
      <c r="I13" s="789">
        <v>47615</v>
      </c>
      <c r="J13" s="463" t="s">
        <v>469</v>
      </c>
      <c r="K13" s="463" t="s">
        <v>1</v>
      </c>
      <c r="L13" s="463">
        <f t="shared" si="1"/>
        <v>5</v>
      </c>
      <c r="M13" s="736" t="s">
        <v>140</v>
      </c>
      <c r="N13" s="463">
        <f t="shared" si="2"/>
        <v>0</v>
      </c>
      <c r="O13" s="796" t="str">
        <f t="shared" si="0"/>
        <v/>
      </c>
      <c r="P13" s="1">
        <f t="shared" si="3"/>
        <v>2000</v>
      </c>
    </row>
    <row r="14" spans="1:16" ht="16.2" customHeight="1" x14ac:dyDescent="0.3">
      <c r="A14" s="463" t="s">
        <v>140</v>
      </c>
      <c r="B14" s="463" t="s">
        <v>477</v>
      </c>
      <c r="C14" s="463" t="s">
        <v>481</v>
      </c>
      <c r="D14" s="463"/>
      <c r="E14" s="463"/>
      <c r="F14" s="463" t="s">
        <v>206</v>
      </c>
      <c r="G14" s="463" t="s">
        <v>479</v>
      </c>
      <c r="H14" s="789">
        <v>43690</v>
      </c>
      <c r="I14" s="789">
        <v>47343</v>
      </c>
      <c r="J14" s="463" t="s">
        <v>482</v>
      </c>
      <c r="K14" s="463" t="s">
        <v>3</v>
      </c>
      <c r="L14" s="463">
        <f t="shared" si="1"/>
        <v>3</v>
      </c>
      <c r="M14" s="736" t="s">
        <v>16</v>
      </c>
      <c r="N14" s="463">
        <f t="shared" si="2"/>
        <v>2000</v>
      </c>
      <c r="O14" s="832" t="str">
        <f t="shared" si="0"/>
        <v/>
      </c>
      <c r="P14" s="1">
        <f t="shared" si="3"/>
        <v>2000</v>
      </c>
    </row>
    <row r="15" spans="1:16" ht="16.2" customHeight="1" x14ac:dyDescent="0.3">
      <c r="A15" s="463" t="s">
        <v>140</v>
      </c>
      <c r="B15" s="463" t="s">
        <v>477</v>
      </c>
      <c r="C15" s="463" t="s">
        <v>483</v>
      </c>
      <c r="D15" s="463"/>
      <c r="E15" s="463"/>
      <c r="F15" s="463" t="s">
        <v>206</v>
      </c>
      <c r="G15" s="463" t="s">
        <v>479</v>
      </c>
      <c r="H15" s="789">
        <v>43690</v>
      </c>
      <c r="I15" s="789">
        <v>47343</v>
      </c>
      <c r="J15" s="463" t="s">
        <v>482</v>
      </c>
      <c r="K15" s="463" t="s">
        <v>3</v>
      </c>
      <c r="L15" s="463">
        <f t="shared" si="1"/>
        <v>3</v>
      </c>
      <c r="M15" s="736" t="s">
        <v>140</v>
      </c>
      <c r="N15" s="463">
        <f t="shared" si="2"/>
        <v>0</v>
      </c>
      <c r="O15" s="832" t="str">
        <f t="shared" si="0"/>
        <v/>
      </c>
      <c r="P15" s="1">
        <f t="shared" si="3"/>
        <v>2000</v>
      </c>
    </row>
    <row r="16" spans="1:16" ht="16.2" customHeight="1" x14ac:dyDescent="0.3">
      <c r="A16" s="463" t="s">
        <v>140</v>
      </c>
      <c r="B16" s="463" t="s">
        <v>477</v>
      </c>
      <c r="C16" s="463" t="s">
        <v>587</v>
      </c>
      <c r="D16" s="835"/>
      <c r="E16" s="835"/>
      <c r="F16" s="835" t="s">
        <v>206</v>
      </c>
      <c r="G16" s="835" t="s">
        <v>479</v>
      </c>
      <c r="H16" s="836">
        <v>44243</v>
      </c>
      <c r="I16" s="836">
        <v>46085</v>
      </c>
      <c r="J16" s="463" t="s">
        <v>490</v>
      </c>
      <c r="K16" s="463" t="s">
        <v>1</v>
      </c>
      <c r="L16" s="463">
        <f>COUNTIF($J$2:$J$35,J16)</f>
        <v>3</v>
      </c>
      <c r="M16" s="736" t="s">
        <v>16</v>
      </c>
      <c r="N16" s="463">
        <f t="shared" si="2"/>
        <v>2000</v>
      </c>
      <c r="O16" s="832" t="str">
        <f t="shared" si="0"/>
        <v/>
      </c>
      <c r="P16" s="1">
        <f t="shared" si="3"/>
        <v>2000</v>
      </c>
    </row>
    <row r="17" spans="1:16" ht="16.2" customHeight="1" x14ac:dyDescent="0.3">
      <c r="A17" s="463" t="s">
        <v>140</v>
      </c>
      <c r="B17" s="463" t="s">
        <v>477</v>
      </c>
      <c r="C17" s="463" t="s">
        <v>586</v>
      </c>
      <c r="D17" s="835"/>
      <c r="E17" s="835"/>
      <c r="F17" s="835" t="s">
        <v>206</v>
      </c>
      <c r="G17" s="835" t="s">
        <v>479</v>
      </c>
      <c r="H17" s="836">
        <v>44243</v>
      </c>
      <c r="I17" s="836">
        <v>46085</v>
      </c>
      <c r="J17" s="463" t="s">
        <v>490</v>
      </c>
      <c r="K17" s="463" t="s">
        <v>1</v>
      </c>
      <c r="L17" s="463">
        <f t="shared" ref="L17" si="4">COUNTIF($J$2:$J$35,J17)</f>
        <v>3</v>
      </c>
      <c r="M17" s="736" t="s">
        <v>140</v>
      </c>
      <c r="N17" s="463">
        <f t="shared" si="2"/>
        <v>0</v>
      </c>
      <c r="O17" s="832" t="str">
        <f t="shared" si="0"/>
        <v/>
      </c>
      <c r="P17" s="1">
        <f t="shared" si="3"/>
        <v>2000</v>
      </c>
    </row>
    <row r="18" spans="1:16" ht="16.2" customHeight="1" x14ac:dyDescent="0.3">
      <c r="A18" s="835"/>
      <c r="B18" s="835"/>
      <c r="C18" s="835"/>
      <c r="D18" s="835"/>
      <c r="E18" s="835"/>
      <c r="F18" s="835"/>
      <c r="G18" s="835"/>
      <c r="H18" s="835"/>
      <c r="I18" s="836"/>
      <c r="J18" s="463"/>
      <c r="K18" s="463"/>
      <c r="L18" s="463"/>
      <c r="M18" s="736"/>
      <c r="N18" s="463"/>
      <c r="O18" s="832"/>
      <c r="P18" s="1">
        <f t="shared" si="3"/>
        <v>0</v>
      </c>
    </row>
    <row r="19" spans="1:16" ht="16.2" customHeight="1" x14ac:dyDescent="0.3">
      <c r="A19" s="835"/>
      <c r="B19" s="835"/>
      <c r="C19" s="835"/>
      <c r="D19" s="835"/>
      <c r="E19" s="835"/>
      <c r="F19" s="835"/>
      <c r="G19" s="835"/>
      <c r="H19" s="835"/>
      <c r="I19" s="836"/>
      <c r="J19" s="463"/>
      <c r="K19" s="463"/>
      <c r="L19" s="463"/>
      <c r="M19" s="736"/>
      <c r="N19" s="463"/>
      <c r="O19" s="832"/>
      <c r="P19" s="1">
        <f t="shared" si="3"/>
        <v>0</v>
      </c>
    </row>
    <row r="20" spans="1:16" ht="16.2" customHeight="1" x14ac:dyDescent="0.3">
      <c r="A20" s="463" t="s">
        <v>484</v>
      </c>
      <c r="B20" s="463" t="s">
        <v>456</v>
      </c>
      <c r="C20" s="463" t="s">
        <v>186</v>
      </c>
      <c r="D20" s="463" t="s">
        <v>187</v>
      </c>
      <c r="E20" s="463" t="s">
        <v>485</v>
      </c>
      <c r="F20" s="463" t="s">
        <v>206</v>
      </c>
      <c r="G20" s="463" t="s">
        <v>458</v>
      </c>
      <c r="H20" s="463"/>
      <c r="I20" s="789">
        <v>45657</v>
      </c>
      <c r="J20" s="463" t="s">
        <v>485</v>
      </c>
      <c r="K20" s="463" t="s">
        <v>2</v>
      </c>
      <c r="L20" s="463">
        <f t="shared" ref="L20:L35" si="5">COUNTIF($J$2:$J$35,J20)</f>
        <v>1</v>
      </c>
      <c r="M20" s="736" t="s">
        <v>16</v>
      </c>
      <c r="N20" s="463">
        <f t="shared" si="2"/>
        <v>2000</v>
      </c>
      <c r="O20" s="832" t="str">
        <f t="shared" ref="O20:O29" si="6">IF(SUMIF($J$2:$J$35,J20,$N$2:$N$35)=0,"!!","")</f>
        <v/>
      </c>
      <c r="P20" s="1">
        <f t="shared" si="3"/>
        <v>2000</v>
      </c>
    </row>
    <row r="21" spans="1:16" ht="16.2" customHeight="1" x14ac:dyDescent="0.3">
      <c r="A21" s="463" t="s">
        <v>484</v>
      </c>
      <c r="B21" s="463" t="s">
        <v>456</v>
      </c>
      <c r="C21" s="463" t="s">
        <v>186</v>
      </c>
      <c r="D21" s="463" t="s">
        <v>189</v>
      </c>
      <c r="E21" s="463" t="s">
        <v>271</v>
      </c>
      <c r="F21" s="463" t="s">
        <v>206</v>
      </c>
      <c r="G21" s="463" t="s">
        <v>458</v>
      </c>
      <c r="H21" s="463"/>
      <c r="I21" s="789">
        <v>45657</v>
      </c>
      <c r="J21" s="463" t="s">
        <v>271</v>
      </c>
      <c r="K21" s="463" t="s">
        <v>3</v>
      </c>
      <c r="L21" s="463">
        <f t="shared" si="5"/>
        <v>1</v>
      </c>
      <c r="M21" s="736" t="s">
        <v>495</v>
      </c>
      <c r="N21" s="463">
        <f t="shared" si="2"/>
        <v>0</v>
      </c>
      <c r="O21" s="832" t="str">
        <f t="shared" si="6"/>
        <v>!!</v>
      </c>
      <c r="P21" s="1">
        <f t="shared" si="3"/>
        <v>0</v>
      </c>
    </row>
    <row r="22" spans="1:16" ht="16.2" customHeight="1" x14ac:dyDescent="0.3">
      <c r="A22" s="463" t="s">
        <v>484</v>
      </c>
      <c r="B22" s="463" t="s">
        <v>456</v>
      </c>
      <c r="C22" s="463" t="s">
        <v>486</v>
      </c>
      <c r="D22" s="463" t="s">
        <v>190</v>
      </c>
      <c r="E22" s="463" t="s">
        <v>461</v>
      </c>
      <c r="F22" s="463" t="s">
        <v>188</v>
      </c>
      <c r="G22" s="463" t="s">
        <v>458</v>
      </c>
      <c r="H22" s="463"/>
      <c r="I22" s="789">
        <v>45657</v>
      </c>
      <c r="J22" s="463" t="s">
        <v>461</v>
      </c>
      <c r="K22" s="463" t="s">
        <v>3</v>
      </c>
      <c r="L22" s="463">
        <f t="shared" si="5"/>
        <v>2</v>
      </c>
      <c r="M22" s="736" t="s">
        <v>140</v>
      </c>
      <c r="N22" s="463">
        <f t="shared" si="2"/>
        <v>0</v>
      </c>
      <c r="O22" s="832" t="str">
        <f t="shared" si="6"/>
        <v/>
      </c>
      <c r="P22" s="1">
        <f t="shared" si="3"/>
        <v>2000</v>
      </c>
    </row>
    <row r="23" spans="1:16" ht="16.2" customHeight="1" x14ac:dyDescent="0.3">
      <c r="A23" s="463" t="s">
        <v>484</v>
      </c>
      <c r="B23" s="463" t="s">
        <v>456</v>
      </c>
      <c r="C23" s="463" t="s">
        <v>191</v>
      </c>
      <c r="D23" s="463" t="s">
        <v>192</v>
      </c>
      <c r="E23" s="463" t="s">
        <v>465</v>
      </c>
      <c r="F23" s="463" t="s">
        <v>188</v>
      </c>
      <c r="G23" s="463" t="s">
        <v>458</v>
      </c>
      <c r="H23" s="463"/>
      <c r="I23" s="789">
        <v>45657</v>
      </c>
      <c r="J23" s="463" t="s">
        <v>465</v>
      </c>
      <c r="K23" s="463" t="s">
        <v>496</v>
      </c>
      <c r="L23" s="463">
        <f t="shared" si="5"/>
        <v>3</v>
      </c>
      <c r="M23" s="736" t="s">
        <v>140</v>
      </c>
      <c r="N23" s="463">
        <f t="shared" si="2"/>
        <v>0</v>
      </c>
      <c r="O23" s="832" t="str">
        <f t="shared" si="6"/>
        <v/>
      </c>
      <c r="P23" s="1">
        <f t="shared" si="3"/>
        <v>2000</v>
      </c>
    </row>
    <row r="24" spans="1:16" ht="16.2" customHeight="1" x14ac:dyDescent="0.3">
      <c r="A24" s="463" t="s">
        <v>484</v>
      </c>
      <c r="B24" s="463" t="s">
        <v>456</v>
      </c>
      <c r="C24" s="463" t="s">
        <v>193</v>
      </c>
      <c r="D24" s="463" t="s">
        <v>194</v>
      </c>
      <c r="E24" s="463" t="s">
        <v>469</v>
      </c>
      <c r="F24" s="463" t="s">
        <v>188</v>
      </c>
      <c r="G24" s="463" t="s">
        <v>458</v>
      </c>
      <c r="H24" s="463"/>
      <c r="I24" s="789">
        <v>45657</v>
      </c>
      <c r="J24" s="463" t="s">
        <v>469</v>
      </c>
      <c r="K24" s="463" t="s">
        <v>1</v>
      </c>
      <c r="L24" s="463">
        <f t="shared" si="5"/>
        <v>5</v>
      </c>
      <c r="M24" s="736" t="s">
        <v>140</v>
      </c>
      <c r="N24" s="463">
        <f t="shared" si="2"/>
        <v>0</v>
      </c>
      <c r="O24" s="832" t="str">
        <f t="shared" si="6"/>
        <v/>
      </c>
      <c r="P24" s="1">
        <f t="shared" si="3"/>
        <v>2000</v>
      </c>
    </row>
    <row r="25" spans="1:16" ht="16.2" customHeight="1" x14ac:dyDescent="0.3">
      <c r="A25" s="463" t="s">
        <v>484</v>
      </c>
      <c r="B25" s="463" t="s">
        <v>466</v>
      </c>
      <c r="C25" s="463" t="s">
        <v>195</v>
      </c>
      <c r="D25" s="463" t="s">
        <v>211</v>
      </c>
      <c r="E25" s="463" t="s">
        <v>474</v>
      </c>
      <c r="F25" s="463" t="s">
        <v>188</v>
      </c>
      <c r="G25" s="463" t="s">
        <v>468</v>
      </c>
      <c r="H25" s="463"/>
      <c r="I25" s="789">
        <v>45657</v>
      </c>
      <c r="J25" s="463" t="s">
        <v>474</v>
      </c>
      <c r="K25" s="463" t="s">
        <v>2</v>
      </c>
      <c r="L25" s="463">
        <f t="shared" si="5"/>
        <v>5</v>
      </c>
      <c r="M25" s="736" t="s">
        <v>140</v>
      </c>
      <c r="N25" s="463">
        <f t="shared" si="2"/>
        <v>0</v>
      </c>
      <c r="O25" s="832" t="str">
        <f t="shared" si="6"/>
        <v/>
      </c>
      <c r="P25" s="1">
        <f t="shared" si="3"/>
        <v>2000</v>
      </c>
    </row>
    <row r="26" spans="1:16" ht="16.2" customHeight="1" x14ac:dyDescent="0.3">
      <c r="A26" s="463" t="s">
        <v>484</v>
      </c>
      <c r="B26" s="463" t="s">
        <v>466</v>
      </c>
      <c r="C26" s="463" t="s">
        <v>195</v>
      </c>
      <c r="D26" s="463" t="s">
        <v>196</v>
      </c>
      <c r="E26" s="463" t="s">
        <v>474</v>
      </c>
      <c r="F26" s="463" t="s">
        <v>188</v>
      </c>
      <c r="G26" s="463" t="s">
        <v>468</v>
      </c>
      <c r="H26" s="463"/>
      <c r="I26" s="789">
        <v>45657</v>
      </c>
      <c r="J26" s="463" t="s">
        <v>474</v>
      </c>
      <c r="K26" s="463" t="s">
        <v>2</v>
      </c>
      <c r="L26" s="463">
        <f t="shared" si="5"/>
        <v>5</v>
      </c>
      <c r="M26" s="736" t="s">
        <v>140</v>
      </c>
      <c r="N26" s="463">
        <f t="shared" si="2"/>
        <v>0</v>
      </c>
      <c r="O26" s="832" t="str">
        <f t="shared" si="6"/>
        <v/>
      </c>
      <c r="P26" s="1">
        <f t="shared" si="3"/>
        <v>2000</v>
      </c>
    </row>
    <row r="27" spans="1:16" ht="16.2" customHeight="1" x14ac:dyDescent="0.3">
      <c r="A27" s="463" t="s">
        <v>484</v>
      </c>
      <c r="B27" s="463" t="s">
        <v>466</v>
      </c>
      <c r="C27" s="463" t="s">
        <v>195</v>
      </c>
      <c r="D27" s="463" t="s">
        <v>197</v>
      </c>
      <c r="E27" s="463" t="s">
        <v>471</v>
      </c>
      <c r="F27" s="463" t="s">
        <v>188</v>
      </c>
      <c r="G27" s="463" t="s">
        <v>468</v>
      </c>
      <c r="H27" s="463"/>
      <c r="I27" s="789">
        <v>45657</v>
      </c>
      <c r="J27" s="463" t="s">
        <v>471</v>
      </c>
      <c r="K27" s="463" t="s">
        <v>1</v>
      </c>
      <c r="L27" s="463">
        <f t="shared" si="5"/>
        <v>3</v>
      </c>
      <c r="M27" s="736" t="s">
        <v>140</v>
      </c>
      <c r="N27" s="463">
        <f t="shared" si="2"/>
        <v>0</v>
      </c>
      <c r="O27" s="832" t="str">
        <f t="shared" si="6"/>
        <v/>
      </c>
      <c r="P27" s="1">
        <f t="shared" si="3"/>
        <v>2000</v>
      </c>
    </row>
    <row r="28" spans="1:16" ht="16.2" customHeight="1" x14ac:dyDescent="0.3">
      <c r="A28" s="463" t="s">
        <v>484</v>
      </c>
      <c r="B28" s="463" t="s">
        <v>466</v>
      </c>
      <c r="C28" s="463" t="s">
        <v>198</v>
      </c>
      <c r="D28" s="463" t="s">
        <v>199</v>
      </c>
      <c r="E28" s="463" t="s">
        <v>474</v>
      </c>
      <c r="F28" s="463" t="s">
        <v>188</v>
      </c>
      <c r="G28" s="463" t="s">
        <v>468</v>
      </c>
      <c r="H28" s="463"/>
      <c r="I28" s="789">
        <v>45657</v>
      </c>
      <c r="J28" s="463" t="s">
        <v>474</v>
      </c>
      <c r="K28" s="463" t="s">
        <v>2</v>
      </c>
      <c r="L28" s="463">
        <f t="shared" si="5"/>
        <v>5</v>
      </c>
      <c r="M28" s="736" t="s">
        <v>140</v>
      </c>
      <c r="N28" s="463">
        <f t="shared" si="2"/>
        <v>0</v>
      </c>
      <c r="O28" s="832" t="str">
        <f t="shared" si="6"/>
        <v/>
      </c>
      <c r="P28" s="1">
        <f t="shared" si="3"/>
        <v>2000</v>
      </c>
    </row>
    <row r="29" spans="1:16" ht="16.2" customHeight="1" x14ac:dyDescent="0.3">
      <c r="A29" s="463" t="s">
        <v>484</v>
      </c>
      <c r="B29" s="463" t="s">
        <v>466</v>
      </c>
      <c r="C29" s="463" t="s">
        <v>198</v>
      </c>
      <c r="D29" s="463" t="s">
        <v>488</v>
      </c>
      <c r="E29" s="463" t="s">
        <v>487</v>
      </c>
      <c r="F29" s="463" t="s">
        <v>188</v>
      </c>
      <c r="G29" s="463" t="s">
        <v>468</v>
      </c>
      <c r="H29" s="463"/>
      <c r="I29" s="789">
        <v>45657</v>
      </c>
      <c r="J29" s="463" t="s">
        <v>487</v>
      </c>
      <c r="K29" s="463" t="s">
        <v>2</v>
      </c>
      <c r="L29" s="463">
        <f t="shared" si="5"/>
        <v>1</v>
      </c>
      <c r="M29" s="736" t="s">
        <v>495</v>
      </c>
      <c r="N29" s="463">
        <f t="shared" si="2"/>
        <v>0</v>
      </c>
      <c r="O29" s="832" t="str">
        <f t="shared" si="6"/>
        <v>!!</v>
      </c>
      <c r="P29" s="1">
        <f t="shared" si="3"/>
        <v>0</v>
      </c>
    </row>
    <row r="30" spans="1:16" ht="16.2" customHeight="1" x14ac:dyDescent="0.3">
      <c r="A30" s="463" t="s">
        <v>484</v>
      </c>
      <c r="B30" s="463" t="s">
        <v>466</v>
      </c>
      <c r="C30" s="463" t="s">
        <v>200</v>
      </c>
      <c r="D30" s="463" t="s">
        <v>201</v>
      </c>
      <c r="E30" s="463" t="s">
        <v>489</v>
      </c>
      <c r="F30" s="463" t="s">
        <v>188</v>
      </c>
      <c r="G30" s="463" t="s">
        <v>468</v>
      </c>
      <c r="H30" s="463"/>
      <c r="I30" s="789">
        <v>45657</v>
      </c>
      <c r="J30" s="463" t="s">
        <v>489</v>
      </c>
      <c r="K30" s="463" t="s">
        <v>1</v>
      </c>
      <c r="L30" s="463">
        <f t="shared" si="5"/>
        <v>2</v>
      </c>
      <c r="M30" s="736" t="s">
        <v>16</v>
      </c>
      <c r="N30" s="463">
        <f t="shared" si="2"/>
        <v>2000</v>
      </c>
      <c r="O30" s="832" t="str">
        <f t="shared" ref="O30:O35" si="7">IF(SUMIF($J$2:$J$35,J30,$N$2:$N$35)=0,"!!","")</f>
        <v/>
      </c>
      <c r="P30" s="1">
        <f t="shared" si="3"/>
        <v>2000</v>
      </c>
    </row>
    <row r="31" spans="1:16" ht="16.2" customHeight="1" x14ac:dyDescent="0.3">
      <c r="A31" s="463" t="s">
        <v>484</v>
      </c>
      <c r="B31" s="463" t="s">
        <v>466</v>
      </c>
      <c r="C31" s="463" t="s">
        <v>202</v>
      </c>
      <c r="D31" s="463" t="s">
        <v>203</v>
      </c>
      <c r="E31" s="463" t="s">
        <v>469</v>
      </c>
      <c r="F31" s="463" t="s">
        <v>188</v>
      </c>
      <c r="G31" s="463" t="s">
        <v>468</v>
      </c>
      <c r="H31" s="463"/>
      <c r="I31" s="789">
        <v>45657</v>
      </c>
      <c r="J31" s="463" t="s">
        <v>469</v>
      </c>
      <c r="K31" s="463" t="s">
        <v>1</v>
      </c>
      <c r="L31" s="463">
        <f t="shared" si="5"/>
        <v>5</v>
      </c>
      <c r="M31" s="736" t="s">
        <v>140</v>
      </c>
      <c r="N31" s="463">
        <f t="shared" si="2"/>
        <v>0</v>
      </c>
      <c r="O31" s="832" t="str">
        <f t="shared" si="7"/>
        <v/>
      </c>
      <c r="P31" s="1">
        <f t="shared" si="3"/>
        <v>2000</v>
      </c>
    </row>
    <row r="32" spans="1:16" x14ac:dyDescent="0.3">
      <c r="A32" s="463" t="s">
        <v>484</v>
      </c>
      <c r="B32" s="463" t="s">
        <v>466</v>
      </c>
      <c r="C32" s="463" t="s">
        <v>202</v>
      </c>
      <c r="D32" s="463" t="s">
        <v>491</v>
      </c>
      <c r="E32" s="463" t="s">
        <v>490</v>
      </c>
      <c r="F32" s="463" t="s">
        <v>188</v>
      </c>
      <c r="G32" s="463" t="s">
        <v>468</v>
      </c>
      <c r="H32" s="463"/>
      <c r="I32" s="789">
        <v>45657</v>
      </c>
      <c r="J32" s="463" t="s">
        <v>490</v>
      </c>
      <c r="K32" s="463" t="s">
        <v>1</v>
      </c>
      <c r="L32" s="463">
        <f t="shared" si="5"/>
        <v>3</v>
      </c>
      <c r="M32" s="736" t="s">
        <v>140</v>
      </c>
      <c r="N32" s="463">
        <f t="shared" si="2"/>
        <v>0</v>
      </c>
      <c r="O32" s="832" t="str">
        <f t="shared" si="7"/>
        <v/>
      </c>
      <c r="P32" s="1">
        <f t="shared" si="3"/>
        <v>2000</v>
      </c>
    </row>
    <row r="33" spans="1:16" x14ac:dyDescent="0.3">
      <c r="A33" s="463" t="s">
        <v>484</v>
      </c>
      <c r="B33" s="463" t="s">
        <v>477</v>
      </c>
      <c r="C33" s="463" t="s">
        <v>204</v>
      </c>
      <c r="D33" s="463" t="s">
        <v>205</v>
      </c>
      <c r="E33" s="463" t="s">
        <v>482</v>
      </c>
      <c r="F33" s="463" t="s">
        <v>206</v>
      </c>
      <c r="G33" s="463" t="s">
        <v>479</v>
      </c>
      <c r="H33" s="463"/>
      <c r="I33" s="789">
        <v>45657</v>
      </c>
      <c r="J33" s="463" t="s">
        <v>482</v>
      </c>
      <c r="K33" s="463" t="s">
        <v>3</v>
      </c>
      <c r="L33" s="463">
        <f t="shared" si="5"/>
        <v>3</v>
      </c>
      <c r="M33" s="736" t="s">
        <v>140</v>
      </c>
      <c r="N33" s="463">
        <f t="shared" si="2"/>
        <v>0</v>
      </c>
      <c r="O33" s="832" t="str">
        <f t="shared" si="7"/>
        <v/>
      </c>
      <c r="P33" s="1">
        <f t="shared" si="3"/>
        <v>2000</v>
      </c>
    </row>
    <row r="34" spans="1:16" x14ac:dyDescent="0.3">
      <c r="A34" s="463" t="s">
        <v>484</v>
      </c>
      <c r="B34" s="463" t="s">
        <v>477</v>
      </c>
      <c r="C34" s="463" t="s">
        <v>207</v>
      </c>
      <c r="D34" s="463" t="s">
        <v>208</v>
      </c>
      <c r="E34" s="463" t="s">
        <v>492</v>
      </c>
      <c r="F34" s="463" t="s">
        <v>206</v>
      </c>
      <c r="G34" s="463" t="s">
        <v>479</v>
      </c>
      <c r="H34" s="463"/>
      <c r="I34" s="789">
        <v>45657</v>
      </c>
      <c r="J34" s="463" t="s">
        <v>492</v>
      </c>
      <c r="K34" s="463" t="s">
        <v>1</v>
      </c>
      <c r="L34" s="463">
        <f t="shared" si="5"/>
        <v>1</v>
      </c>
      <c r="M34" s="736" t="s">
        <v>16</v>
      </c>
      <c r="N34" s="463">
        <f t="shared" si="2"/>
        <v>2000</v>
      </c>
      <c r="O34" s="832" t="str">
        <f t="shared" si="7"/>
        <v/>
      </c>
      <c r="P34" s="1">
        <f t="shared" si="3"/>
        <v>2000</v>
      </c>
    </row>
    <row r="35" spans="1:16" x14ac:dyDescent="0.3">
      <c r="A35" s="463" t="s">
        <v>484</v>
      </c>
      <c r="B35" s="463" t="s">
        <v>477</v>
      </c>
      <c r="C35" s="463" t="s">
        <v>209</v>
      </c>
      <c r="D35" s="463" t="s">
        <v>210</v>
      </c>
      <c r="E35" s="463" t="s">
        <v>489</v>
      </c>
      <c r="F35" s="463" t="s">
        <v>206</v>
      </c>
      <c r="G35" s="463" t="s">
        <v>479</v>
      </c>
      <c r="H35" s="463"/>
      <c r="I35" s="789">
        <v>45657</v>
      </c>
      <c r="J35" s="463" t="s">
        <v>489</v>
      </c>
      <c r="K35" s="463" t="s">
        <v>1</v>
      </c>
      <c r="L35" s="463">
        <f t="shared" si="5"/>
        <v>2</v>
      </c>
      <c r="M35" s="736" t="s">
        <v>140</v>
      </c>
      <c r="N35" s="463">
        <f>IF(M35="A",2000,0)</f>
        <v>0</v>
      </c>
      <c r="O35" s="832" t="str">
        <f t="shared" si="7"/>
        <v/>
      </c>
      <c r="P35" s="1">
        <f t="shared" si="3"/>
        <v>2000</v>
      </c>
    </row>
    <row r="36" spans="1:16" x14ac:dyDescent="0.3">
      <c r="A36" s="463"/>
      <c r="B36" s="463"/>
      <c r="L36" s="463"/>
      <c r="M36" s="736"/>
      <c r="N36" s="463"/>
      <c r="O36" s="806" t="str">
        <f>IF(SUMIF($J$2:$J$35,J16,$N$2:$N$35)=0,"!!","")</f>
        <v/>
      </c>
    </row>
    <row r="37" spans="1:16" x14ac:dyDescent="0.3">
      <c r="A37" s="463"/>
      <c r="B37" s="463"/>
      <c r="L37" s="463"/>
      <c r="M37" s="736"/>
      <c r="N37" s="463"/>
      <c r="O37" s="832" t="str">
        <f>IF(SUMIF($J$2:$J$35,J17,$N$2:$N$35)=0,"!!","")</f>
        <v/>
      </c>
    </row>
    <row r="38" spans="1:16" x14ac:dyDescent="0.3">
      <c r="A38" s="463"/>
      <c r="B38" s="463"/>
      <c r="C38" s="463"/>
      <c r="D38" s="835"/>
      <c r="E38" s="835"/>
      <c r="F38" s="835"/>
      <c r="G38" s="835"/>
      <c r="H38" s="835"/>
      <c r="I38" s="836"/>
      <c r="J38" s="463"/>
      <c r="K38" s="463"/>
      <c r="L38" s="463"/>
      <c r="M38" s="736"/>
      <c r="N38" s="463"/>
      <c r="O38" s="832"/>
    </row>
    <row r="39" spans="1:16" x14ac:dyDescent="0.3">
      <c r="A39" s="463"/>
      <c r="B39" s="463"/>
      <c r="C39" s="463"/>
      <c r="D39" s="835"/>
      <c r="E39" s="835"/>
      <c r="F39" s="835"/>
      <c r="G39" s="835"/>
      <c r="H39" s="835"/>
      <c r="I39" s="836"/>
      <c r="J39" s="463"/>
      <c r="K39" s="463"/>
      <c r="L39" s="463"/>
      <c r="M39" s="736"/>
      <c r="N39" s="463"/>
      <c r="O39" s="832"/>
    </row>
    <row r="40" spans="1:16" x14ac:dyDescent="0.3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736"/>
      <c r="N40" s="463"/>
      <c r="O40" s="463" t="s">
        <v>501</v>
      </c>
      <c r="P40" s="1" t="s">
        <v>1007</v>
      </c>
    </row>
    <row r="41" spans="1:16" x14ac:dyDescent="0.3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736"/>
      <c r="N41" s="463" t="s">
        <v>7</v>
      </c>
      <c r="O41" s="511" t="s">
        <v>419</v>
      </c>
    </row>
    <row r="42" spans="1:16" x14ac:dyDescent="0.3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790" t="s">
        <v>3</v>
      </c>
      <c r="L42" s="790"/>
      <c r="M42" s="791"/>
      <c r="N42" s="792">
        <f>SUMIF($K$2:$K$36,K42,$N$2:$N$36)</f>
        <v>4000</v>
      </c>
      <c r="O42" s="794">
        <f>IF($O$41="ANO",N42*12*1.338,0)</f>
        <v>0</v>
      </c>
    </row>
    <row r="43" spans="1:16" x14ac:dyDescent="0.3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790" t="s">
        <v>2</v>
      </c>
      <c r="L43" s="790"/>
      <c r="M43" s="791"/>
      <c r="N43" s="792">
        <f>SUMIF($K$2:$K$36,K43,$N$2:$N$36)</f>
        <v>6000</v>
      </c>
      <c r="O43" s="794">
        <f t="shared" ref="O43:O45" si="8">IF($O$41="ANO",N43*12*1.338,0)</f>
        <v>0</v>
      </c>
    </row>
    <row r="44" spans="1:16" x14ac:dyDescent="0.3">
      <c r="A44" s="463"/>
      <c r="B44" s="463"/>
      <c r="C44" s="463"/>
      <c r="D44" s="463"/>
      <c r="E44" s="463"/>
      <c r="F44" s="463"/>
      <c r="G44" s="463"/>
      <c r="H44" s="463"/>
      <c r="I44" s="463"/>
      <c r="J44" s="463"/>
      <c r="K44" s="790" t="s">
        <v>1</v>
      </c>
      <c r="L44" s="790"/>
      <c r="M44" s="791"/>
      <c r="N44" s="792">
        <f>SUMIF($K$2:$K$36,K44,$N$2:$N$36)</f>
        <v>12000</v>
      </c>
      <c r="O44" s="794">
        <f t="shared" si="8"/>
        <v>0</v>
      </c>
    </row>
    <row r="45" spans="1:16" x14ac:dyDescent="0.3">
      <c r="A45" s="463"/>
      <c r="B45" s="463"/>
      <c r="C45" s="463"/>
      <c r="D45" s="463"/>
      <c r="E45" s="463"/>
      <c r="F45" s="463"/>
      <c r="G45" s="463"/>
      <c r="H45" s="463"/>
      <c r="I45" s="463"/>
      <c r="J45" s="463"/>
      <c r="K45" s="790" t="s">
        <v>496</v>
      </c>
      <c r="L45" s="790"/>
      <c r="M45" s="791"/>
      <c r="N45" s="792">
        <f>SUMIF($K$2:$K$36,K45,$N$2:$N$36)</f>
        <v>2000</v>
      </c>
      <c r="O45" s="794">
        <f t="shared" si="8"/>
        <v>0</v>
      </c>
    </row>
    <row r="46" spans="1:16" x14ac:dyDescent="0.3">
      <c r="A46" s="463"/>
      <c r="B46" s="463"/>
      <c r="C46" s="463"/>
      <c r="D46" s="463"/>
      <c r="E46" s="463"/>
      <c r="F46" s="463"/>
      <c r="G46" s="463"/>
      <c r="H46" s="463"/>
      <c r="I46" s="463"/>
      <c r="J46" s="463"/>
      <c r="K46" s="463"/>
      <c r="L46" s="463"/>
      <c r="M46" s="736"/>
      <c r="N46" s="793">
        <f>SUM(N42:N45)*12</f>
        <v>288000</v>
      </c>
      <c r="O46" s="792">
        <f>IF(O41="NE",N46*1.338,O45)</f>
        <v>385344</v>
      </c>
    </row>
    <row r="47" spans="1:16" x14ac:dyDescent="0.3">
      <c r="A47" s="463"/>
      <c r="B47" s="463"/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736"/>
      <c r="N47" s="463"/>
    </row>
    <row r="48" spans="1:16" x14ac:dyDescent="0.3">
      <c r="A48" s="463"/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736"/>
      <c r="N48" s="463"/>
    </row>
    <row r="49" spans="1:1" x14ac:dyDescent="0.3">
      <c r="A49" s="463"/>
    </row>
    <row r="50" spans="1:1" x14ac:dyDescent="0.3">
      <c r="A50" s="463"/>
    </row>
    <row r="51" spans="1:1" x14ac:dyDescent="0.3">
      <c r="A51" s="463"/>
    </row>
    <row r="52" spans="1:1" x14ac:dyDescent="0.3">
      <c r="A52" s="463"/>
    </row>
  </sheetData>
  <conditionalFormatting sqref="L2:L3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{7323F866-F70F-4628-94E5-F013C8105F08}</x14:id>
        </ext>
      </extLst>
    </cfRule>
  </conditionalFormatting>
  <conditionalFormatting sqref="P2:P3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{6BB004E2-5604-44AA-9DD2-0F47B2C3150E}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23F866-F70F-4628-94E5-F013C8105F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L2:L39</xm:sqref>
        </x14:conditionalFormatting>
        <x14:conditionalFormatting xmlns:xm="http://schemas.microsoft.com/office/excel/2006/main">
          <x14:cfRule type="dataBar" id="{6BB004E2-5604-44AA-9DD2-0F47B2C315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19</vt:i4>
      </vt:variant>
      <vt:variant>
        <vt:lpstr>Pojmenované oblasti</vt:lpstr>
      </vt:variant>
      <vt:variant>
        <vt:i4>13</vt:i4>
      </vt:variant>
    </vt:vector>
  </HeadingPairs>
  <TitlesOfParts>
    <vt:vector size="32" baseType="lpstr">
      <vt:lpstr>log</vt:lpstr>
      <vt:lpstr>0_PRIDEL</vt:lpstr>
      <vt:lpstr>1_Bc_Mag_DSP</vt:lpstr>
      <vt:lpstr>2_Projekty_BP_DP</vt:lpstr>
      <vt:lpstr>3_DSP</vt:lpstr>
      <vt:lpstr>4_DOC_PROF</vt:lpstr>
      <vt:lpstr>4a_úvazky-na-FM</vt:lpstr>
      <vt:lpstr>5_Výuka</vt:lpstr>
      <vt:lpstr>6_Garanti</vt:lpstr>
      <vt:lpstr>7_Plochy pracovišť</vt:lpstr>
      <vt:lpstr>8_Výpočet_20%_FRIM</vt:lpstr>
      <vt:lpstr>9_DFM</vt:lpstr>
      <vt:lpstr>10_Celkem_106</vt:lpstr>
      <vt:lpstr>11_Celkem_115</vt:lpstr>
      <vt:lpstr>12_Celkem_117</vt:lpstr>
      <vt:lpstr>13_CeloškolskáRežie</vt:lpstr>
      <vt:lpstr>14_rozpočítání DF</vt:lpstr>
      <vt:lpstr>ROZPOČET</vt:lpstr>
      <vt:lpstr>App1</vt:lpstr>
      <vt:lpstr>'0_PRIDEL'!Oblast_tisku</vt:lpstr>
      <vt:lpstr>'1_Bc_Mag_DSP'!Oblast_tisku</vt:lpstr>
      <vt:lpstr>'10_Celkem_106'!Oblast_tisku</vt:lpstr>
      <vt:lpstr>'12_Celkem_117'!Oblast_tisku</vt:lpstr>
      <vt:lpstr>'13_CeloškolskáRežie'!Oblast_tisku</vt:lpstr>
      <vt:lpstr>'2_Projekty_BP_DP'!Oblast_tisku</vt:lpstr>
      <vt:lpstr>'3_DSP'!Oblast_tisku</vt:lpstr>
      <vt:lpstr>'4a_úvazky-na-FM'!Oblast_tisku</vt:lpstr>
      <vt:lpstr>'5_Výuka'!Oblast_tisku</vt:lpstr>
      <vt:lpstr>'7_Plochy pracovišť'!Oblast_tisku</vt:lpstr>
      <vt:lpstr>'8_Výpočet_20%_FRIM'!Oblast_tisku</vt:lpstr>
      <vt:lpstr>'9_DFM'!Oblast_tisku</vt:lpstr>
      <vt:lpstr>ROZPOČET!Oblast_tisku</vt:lpstr>
    </vt:vector>
  </TitlesOfParts>
  <Company>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Olga</cp:lastModifiedBy>
  <cp:lastPrinted>2022-06-09T10:44:56Z</cp:lastPrinted>
  <dcterms:created xsi:type="dcterms:W3CDTF">1999-02-11T13:15:26Z</dcterms:created>
  <dcterms:modified xsi:type="dcterms:W3CDTF">2022-07-12T06:44:27Z</dcterms:modified>
</cp:coreProperties>
</file>