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os\Planes de Desarrollo Regional_PDR\mejillón\CENTER\D200\"/>
    </mc:Choice>
  </mc:AlternateContent>
  <bookViews>
    <workbookView xWindow="0" yWindow="0" windowWidth="28800" windowHeight="11700" tabRatio="304"/>
  </bookViews>
  <sheets>
    <sheet name="DN200 PN16_Center I" sheetId="15" r:id="rId1"/>
    <sheet name="Gráf V-Abso Rough" sheetId="9" r:id="rId2"/>
    <sheet name="Gráf V-Abso Rough (2)" sheetId="16" r:id="rId3"/>
    <sheet name="Graf_AbsRou-Volumen screws (2)" sheetId="14" r:id="rId4"/>
    <sheet name="Gráf Q-Hf" sheetId="13" r:id="rId5"/>
    <sheet name="Table 2" sheetId="8" r:id="rId6"/>
    <sheet name="mitad_tornillos" sheetId="1" r:id="rId7"/>
    <sheet name="todos_tornillos" sheetId="2" r:id="rId8"/>
    <sheet name="Moody graf" sheetId="11" r:id="rId9"/>
    <sheet name="Graf_AbsRou-Cross-section" sheetId="7" r:id="rId10"/>
    <sheet name="Gráfico_coeficiente f" sheetId="5" r:id="rId11"/>
    <sheet name="Gráfico_Unitaire head losses" sheetId="6" r:id="rId12"/>
    <sheet name="Gráfico_Unitaire head losse-Bor" sheetId="12" r:id="rId13"/>
    <sheet name="Graf_Abs rough_Cross-sectio (2" sheetId="10" r:id="rId14"/>
    <sheet name="Todos los datos" sheetId="3" r:id="rId15"/>
  </sheets>
  <calcPr calcId="162913"/>
</workbook>
</file>

<file path=xl/calcChain.xml><?xml version="1.0" encoding="utf-8"?>
<calcChain xmlns="http://schemas.openxmlformats.org/spreadsheetml/2006/main">
  <c r="K46" i="15" l="1"/>
  <c r="J46" i="15"/>
  <c r="K45" i="15"/>
  <c r="J45" i="15"/>
  <c r="O30" i="15"/>
  <c r="O29" i="15"/>
  <c r="K44" i="15"/>
  <c r="J44" i="15"/>
  <c r="AJ30" i="15"/>
  <c r="AJ29" i="15"/>
  <c r="AJ40" i="15"/>
  <c r="AJ39" i="15"/>
  <c r="AC40" i="15"/>
  <c r="AC39" i="15"/>
  <c r="AC30" i="15"/>
  <c r="AC29" i="15"/>
  <c r="V40" i="15"/>
  <c r="V39" i="15"/>
  <c r="V30" i="15"/>
  <c r="V29" i="15"/>
  <c r="G30" i="15"/>
  <c r="G29" i="15"/>
  <c r="AZ41" i="15" l="1"/>
  <c r="AZ40" i="15"/>
  <c r="G40" i="15"/>
  <c r="AW39" i="15" s="1"/>
  <c r="AZ39" i="15"/>
  <c r="AY39" i="15"/>
  <c r="AV39" i="15"/>
  <c r="G39" i="15"/>
  <c r="AZ38" i="15"/>
  <c r="AY38" i="15"/>
  <c r="AD38" i="15"/>
  <c r="AI38" i="15" s="1"/>
  <c r="U38" i="15"/>
  <c r="W38" i="15" s="1"/>
  <c r="X38" i="15" s="1"/>
  <c r="Y38" i="15" s="1"/>
  <c r="Z38" i="15" s="1"/>
  <c r="AA38" i="15" s="1"/>
  <c r="AB38" i="15" s="1"/>
  <c r="AC38" i="15" s="1"/>
  <c r="T38" i="15"/>
  <c r="P38" i="15"/>
  <c r="S38" i="15" s="1"/>
  <c r="K38" i="15"/>
  <c r="L38" i="15" s="1"/>
  <c r="M38" i="15" s="1"/>
  <c r="N38" i="15" s="1"/>
  <c r="O38" i="15" s="1"/>
  <c r="J38" i="15"/>
  <c r="I38" i="15"/>
  <c r="G38" i="15"/>
  <c r="F38" i="15"/>
  <c r="AD37" i="15"/>
  <c r="AI37" i="15" s="1"/>
  <c r="V37" i="15"/>
  <c r="U37" i="15"/>
  <c r="W37" i="15" s="1"/>
  <c r="X37" i="15" s="1"/>
  <c r="Y37" i="15" s="1"/>
  <c r="Z37" i="15" s="1"/>
  <c r="AA37" i="15" s="1"/>
  <c r="AB37" i="15" s="1"/>
  <c r="AC37" i="15" s="1"/>
  <c r="T37" i="15"/>
  <c r="S37" i="15"/>
  <c r="P37" i="15"/>
  <c r="I37" i="15"/>
  <c r="J37" i="15" s="1"/>
  <c r="K37" i="15" s="1"/>
  <c r="L37" i="15" s="1"/>
  <c r="M37" i="15" s="1"/>
  <c r="N37" i="15" s="1"/>
  <c r="O37" i="15" s="1"/>
  <c r="G37" i="15"/>
  <c r="F37" i="15"/>
  <c r="AG36" i="15"/>
  <c r="AD36" i="15"/>
  <c r="AI36" i="15" s="1"/>
  <c r="W36" i="15"/>
  <c r="X36" i="15" s="1"/>
  <c r="Y36" i="15" s="1"/>
  <c r="Z36" i="15" s="1"/>
  <c r="AA36" i="15" s="1"/>
  <c r="AB36" i="15" s="1"/>
  <c r="AC36" i="15" s="1"/>
  <c r="V36" i="15"/>
  <c r="U36" i="15"/>
  <c r="T36" i="15"/>
  <c r="S36" i="15"/>
  <c r="P36" i="15"/>
  <c r="F36" i="15"/>
  <c r="I36" i="15" s="1"/>
  <c r="J36" i="15" s="1"/>
  <c r="K36" i="15" s="1"/>
  <c r="L36" i="15" s="1"/>
  <c r="M36" i="15" s="1"/>
  <c r="N36" i="15" s="1"/>
  <c r="O36" i="15" s="1"/>
  <c r="AI35" i="15"/>
  <c r="AK35" i="15" s="1"/>
  <c r="AL35" i="15" s="1"/>
  <c r="AM35" i="15" s="1"/>
  <c r="AN35" i="15" s="1"/>
  <c r="AO35" i="15" s="1"/>
  <c r="AP35" i="15" s="1"/>
  <c r="AQ35" i="15" s="1"/>
  <c r="AH35" i="15"/>
  <c r="AG35" i="15"/>
  <c r="AD35" i="15"/>
  <c r="X35" i="15"/>
  <c r="Y35" i="15" s="1"/>
  <c r="Z35" i="15" s="1"/>
  <c r="AA35" i="15" s="1"/>
  <c r="AB35" i="15" s="1"/>
  <c r="AC35" i="15" s="1"/>
  <c r="W35" i="15"/>
  <c r="U35" i="15"/>
  <c r="V35" i="15" s="1"/>
  <c r="P35" i="15"/>
  <c r="T35" i="15" s="1"/>
  <c r="F35" i="15"/>
  <c r="I35" i="15" s="1"/>
  <c r="J35" i="15" s="1"/>
  <c r="K35" i="15" s="1"/>
  <c r="L35" i="15" s="1"/>
  <c r="M35" i="15" s="1"/>
  <c r="N35" i="15" s="1"/>
  <c r="O35" i="15" s="1"/>
  <c r="AZ34" i="15"/>
  <c r="AY34" i="15"/>
  <c r="AD34" i="15"/>
  <c r="AY41" i="15" s="1"/>
  <c r="V34" i="15"/>
  <c r="U34" i="15"/>
  <c r="W34" i="15" s="1"/>
  <c r="X34" i="15" s="1"/>
  <c r="Y34" i="15" s="1"/>
  <c r="Z34" i="15" s="1"/>
  <c r="AA34" i="15" s="1"/>
  <c r="AB34" i="15" s="1"/>
  <c r="AC34" i="15" s="1"/>
  <c r="T34" i="15"/>
  <c r="S34" i="15"/>
  <c r="P34" i="15"/>
  <c r="AY40" i="15" s="1"/>
  <c r="I34" i="15"/>
  <c r="J34" i="15" s="1"/>
  <c r="K34" i="15" s="1"/>
  <c r="L34" i="15" s="1"/>
  <c r="M34" i="15" s="1"/>
  <c r="N34" i="15" s="1"/>
  <c r="O34" i="15" s="1"/>
  <c r="G34" i="15"/>
  <c r="F34" i="15"/>
  <c r="AZ33" i="15"/>
  <c r="AY33" i="15"/>
  <c r="AV33" i="15"/>
  <c r="AZ32" i="15"/>
  <c r="AY32" i="15"/>
  <c r="AD28" i="15"/>
  <c r="AI28" i="15" s="1"/>
  <c r="U28" i="15"/>
  <c r="V28" i="15" s="1"/>
  <c r="T28" i="15"/>
  <c r="P28" i="15"/>
  <c r="S28" i="15" s="1"/>
  <c r="A28" i="15"/>
  <c r="F28" i="15" s="1"/>
  <c r="AS27" i="15"/>
  <c r="AJ27" i="15"/>
  <c r="AI27" i="15"/>
  <c r="AK27" i="15" s="1"/>
  <c r="AL27" i="15" s="1"/>
  <c r="AM27" i="15" s="1"/>
  <c r="AN27" i="15" s="1"/>
  <c r="AO27" i="15" s="1"/>
  <c r="AP27" i="15" s="1"/>
  <c r="AQ27" i="15" s="1"/>
  <c r="AH27" i="15"/>
  <c r="AG27" i="15"/>
  <c r="AD27" i="15"/>
  <c r="P27" i="15"/>
  <c r="U27" i="15" s="1"/>
  <c r="G27" i="15"/>
  <c r="F27" i="15"/>
  <c r="I27" i="15" s="1"/>
  <c r="J27" i="15" s="1"/>
  <c r="K27" i="15" s="1"/>
  <c r="L27" i="15" s="1"/>
  <c r="M27" i="15" s="1"/>
  <c r="N27" i="15" s="1"/>
  <c r="O27" i="15" s="1"/>
  <c r="E27" i="15"/>
  <c r="D27" i="15"/>
  <c r="A27" i="15"/>
  <c r="AJ26" i="15"/>
  <c r="AI26" i="15"/>
  <c r="AK26" i="15" s="1"/>
  <c r="AL26" i="15" s="1"/>
  <c r="AM26" i="15" s="1"/>
  <c r="AN26" i="15" s="1"/>
  <c r="AO26" i="15" s="1"/>
  <c r="AP26" i="15" s="1"/>
  <c r="AQ26" i="15" s="1"/>
  <c r="AH26" i="15"/>
  <c r="AG26" i="15"/>
  <c r="AD26" i="15"/>
  <c r="P26" i="15"/>
  <c r="S26" i="15" s="1"/>
  <c r="G26" i="15"/>
  <c r="F26" i="15"/>
  <c r="I26" i="15" s="1"/>
  <c r="J26" i="15" s="1"/>
  <c r="K26" i="15" s="1"/>
  <c r="L26" i="15" s="1"/>
  <c r="M26" i="15" s="1"/>
  <c r="N26" i="15" s="1"/>
  <c r="O26" i="15" s="1"/>
  <c r="E26" i="15"/>
  <c r="D26" i="15"/>
  <c r="A26" i="15"/>
  <c r="AJ25" i="15"/>
  <c r="AI25" i="15"/>
  <c r="AK25" i="15" s="1"/>
  <c r="AL25" i="15" s="1"/>
  <c r="AM25" i="15" s="1"/>
  <c r="AN25" i="15" s="1"/>
  <c r="AO25" i="15" s="1"/>
  <c r="AP25" i="15" s="1"/>
  <c r="AQ25" i="15" s="1"/>
  <c r="AH25" i="15"/>
  <c r="AG25" i="15"/>
  <c r="AD25" i="15"/>
  <c r="P25" i="15"/>
  <c r="U25" i="15" s="1"/>
  <c r="F25" i="15"/>
  <c r="G25" i="15" s="1"/>
  <c r="E25" i="15"/>
  <c r="D25" i="15"/>
  <c r="A25" i="15"/>
  <c r="AT24" i="15"/>
  <c r="AZ24" i="15" s="1"/>
  <c r="AK24" i="15"/>
  <c r="AL24" i="15" s="1"/>
  <c r="AM24" i="15" s="1"/>
  <c r="AN24" i="15" s="1"/>
  <c r="AO24" i="15" s="1"/>
  <c r="AP24" i="15" s="1"/>
  <c r="AQ24" i="15" s="1"/>
  <c r="AJ24" i="15"/>
  <c r="AI24" i="15"/>
  <c r="AH24" i="15"/>
  <c r="AD24" i="15"/>
  <c r="AG24" i="15" s="1"/>
  <c r="P24" i="15"/>
  <c r="S24" i="15" s="1"/>
  <c r="I24" i="15"/>
  <c r="J24" i="15" s="1"/>
  <c r="K24" i="15" s="1"/>
  <c r="L24" i="15" s="1"/>
  <c r="M24" i="15" s="1"/>
  <c r="N24" i="15" s="1"/>
  <c r="O24" i="15" s="1"/>
  <c r="G24" i="15"/>
  <c r="F24" i="15"/>
  <c r="E24" i="15"/>
  <c r="A24" i="15"/>
  <c r="D24" i="15" s="1"/>
  <c r="AT21" i="15"/>
  <c r="AT22" i="15" s="1"/>
  <c r="AQ20" i="15"/>
  <c r="G20" i="15"/>
  <c r="AW32" i="15" s="1"/>
  <c r="AQ19" i="15"/>
  <c r="AJ19" i="15"/>
  <c r="AJ20" i="15" s="1"/>
  <c r="AW34" i="15" s="1"/>
  <c r="AC19" i="15"/>
  <c r="AC20" i="15" s="1"/>
  <c r="V19" i="15"/>
  <c r="V20" i="15" s="1"/>
  <c r="AW33" i="15" s="1"/>
  <c r="O19" i="15"/>
  <c r="O20" i="15" s="1"/>
  <c r="G19" i="15"/>
  <c r="AV32" i="15" s="1"/>
  <c r="E8" i="15"/>
  <c r="F8" i="15" s="1"/>
  <c r="D8" i="15"/>
  <c r="A8" i="15"/>
  <c r="A7" i="15"/>
  <c r="E7" i="15" s="1"/>
  <c r="F7" i="15" s="1"/>
  <c r="E6" i="15"/>
  <c r="F6" i="15" s="1"/>
  <c r="D6" i="15"/>
  <c r="A6" i="15"/>
  <c r="A5" i="15"/>
  <c r="E5" i="15" s="1"/>
  <c r="F5" i="15" s="1"/>
  <c r="E4" i="15"/>
  <c r="F4" i="15" s="1"/>
  <c r="D4" i="15"/>
  <c r="A4" i="15"/>
  <c r="AS2" i="15"/>
  <c r="AZ26" i="15" l="1"/>
  <c r="AY26" i="15"/>
  <c r="AU41" i="15" s="1"/>
  <c r="AW26" i="15"/>
  <c r="AU34" i="15" s="1"/>
  <c r="AX26" i="15"/>
  <c r="V25" i="15"/>
  <c r="W25" i="15"/>
  <c r="X25" i="15" s="1"/>
  <c r="Y25" i="15" s="1"/>
  <c r="Z25" i="15" s="1"/>
  <c r="AA25" i="15" s="1"/>
  <c r="F10" i="15"/>
  <c r="F9" i="15"/>
  <c r="V27" i="15"/>
  <c r="W27" i="15"/>
  <c r="X27" i="15" s="1"/>
  <c r="Y27" i="15" s="1"/>
  <c r="Z27" i="15" s="1"/>
  <c r="AA27" i="15" s="1"/>
  <c r="AB27" i="15" s="1"/>
  <c r="AC27" i="15" s="1"/>
  <c r="AK28" i="15"/>
  <c r="AL28" i="15" s="1"/>
  <c r="AM28" i="15" s="1"/>
  <c r="AN28" i="15" s="1"/>
  <c r="AO28" i="15" s="1"/>
  <c r="AJ28" i="15"/>
  <c r="O39" i="15"/>
  <c r="O40" i="15"/>
  <c r="AJ37" i="15"/>
  <c r="AK37" i="15"/>
  <c r="AL37" i="15" s="1"/>
  <c r="AM37" i="15" s="1"/>
  <c r="AN37" i="15" s="1"/>
  <c r="AO37" i="15" s="1"/>
  <c r="AK36" i="15"/>
  <c r="AL36" i="15" s="1"/>
  <c r="AM36" i="15" s="1"/>
  <c r="AN36" i="15" s="1"/>
  <c r="AO36" i="15" s="1"/>
  <c r="AJ36" i="15"/>
  <c r="I28" i="15"/>
  <c r="J28" i="15" s="1"/>
  <c r="K28" i="15" s="1"/>
  <c r="L28" i="15" s="1"/>
  <c r="M28" i="15" s="1"/>
  <c r="G28" i="15"/>
  <c r="AW38" i="15" s="1"/>
  <c r="AK38" i="15"/>
  <c r="AL38" i="15" s="1"/>
  <c r="AM38" i="15" s="1"/>
  <c r="AN38" i="15" s="1"/>
  <c r="AO38" i="15" s="1"/>
  <c r="AJ38" i="15"/>
  <c r="AV38" i="15"/>
  <c r="AV34" i="15"/>
  <c r="AW24" i="15"/>
  <c r="AU32" i="15" s="1"/>
  <c r="AW40" i="15"/>
  <c r="T24" i="15"/>
  <c r="I25" i="15"/>
  <c r="J25" i="15" s="1"/>
  <c r="K25" i="15" s="1"/>
  <c r="L25" i="15" s="1"/>
  <c r="M25" i="15" s="1"/>
  <c r="N25" i="15" s="1"/>
  <c r="O25" i="15" s="1"/>
  <c r="AG34" i="15"/>
  <c r="AH36" i="15"/>
  <c r="AG37" i="15"/>
  <c r="V38" i="15"/>
  <c r="AV40" i="15" s="1"/>
  <c r="AX24" i="15"/>
  <c r="AU38" i="15" s="1"/>
  <c r="AT23" i="15"/>
  <c r="U24" i="15"/>
  <c r="AY24" i="15"/>
  <c r="AU39" i="15" s="1"/>
  <c r="T25" i="15"/>
  <c r="T26" i="15"/>
  <c r="T27" i="15"/>
  <c r="D28" i="15"/>
  <c r="W28" i="15"/>
  <c r="X28" i="15" s="1"/>
  <c r="Y28" i="15" s="1"/>
  <c r="Z28" i="15" s="1"/>
  <c r="AA28" i="15" s="1"/>
  <c r="AB28" i="15" s="1"/>
  <c r="AC28" i="15" s="1"/>
  <c r="AG28" i="15"/>
  <c r="AH34" i="15"/>
  <c r="G35" i="15"/>
  <c r="AJ35" i="15"/>
  <c r="AH37" i="15"/>
  <c r="AG38" i="15"/>
  <c r="S25" i="15"/>
  <c r="S27" i="15"/>
  <c r="D7" i="15"/>
  <c r="U26" i="15"/>
  <c r="E28" i="15"/>
  <c r="AH28" i="15"/>
  <c r="AI34" i="15"/>
  <c r="S35" i="15"/>
  <c r="G36" i="15"/>
  <c r="AH38" i="15"/>
  <c r="D5" i="15"/>
  <c r="AE26" i="1"/>
  <c r="AE18" i="1"/>
  <c r="AE10" i="1"/>
  <c r="AB25" i="15" l="1"/>
  <c r="AC25" i="15" s="1"/>
  <c r="AP38" i="15"/>
  <c r="AQ38" i="15" s="1"/>
  <c r="AP36" i="15"/>
  <c r="AQ36" i="15" s="1"/>
  <c r="AP28" i="15"/>
  <c r="AQ28" i="15" s="1"/>
  <c r="W24" i="15"/>
  <c r="X24" i="15" s="1"/>
  <c r="Y24" i="15" s="1"/>
  <c r="Z24" i="15" s="1"/>
  <c r="AA24" i="15" s="1"/>
  <c r="AB24" i="15" s="1"/>
  <c r="AC24" i="15" s="1"/>
  <c r="V24" i="15"/>
  <c r="AZ25" i="15"/>
  <c r="AX25" i="15"/>
  <c r="AY25" i="15"/>
  <c r="AU40" i="15" s="1"/>
  <c r="AW25" i="15"/>
  <c r="AU33" i="15" s="1"/>
  <c r="AJ34" i="15"/>
  <c r="AK34" i="15"/>
  <c r="AL34" i="15" s="1"/>
  <c r="AM34" i="15" s="1"/>
  <c r="AN34" i="15" s="1"/>
  <c r="AO34" i="15" s="1"/>
  <c r="AP34" i="15" s="1"/>
  <c r="AQ34" i="15" s="1"/>
  <c r="V26" i="15"/>
  <c r="W26" i="15"/>
  <c r="X26" i="15" s="1"/>
  <c r="Y26" i="15" s="1"/>
  <c r="Z26" i="15" s="1"/>
  <c r="AA26" i="15" s="1"/>
  <c r="AB26" i="15" s="1"/>
  <c r="AC26" i="15" s="1"/>
  <c r="AP37" i="15"/>
  <c r="AQ37" i="15" s="1"/>
  <c r="N28" i="15"/>
  <c r="O28" i="15" s="1"/>
  <c r="AE32" i="1"/>
  <c r="AQ40" i="15" l="1"/>
  <c r="AW41" i="15" s="1"/>
  <c r="AQ39" i="15"/>
  <c r="AV41" i="15" s="1"/>
  <c r="AQ29" i="15"/>
  <c r="AQ30" i="15"/>
  <c r="Z38" i="1"/>
  <c r="Z39" i="1"/>
  <c r="Z40" i="1"/>
  <c r="Z41" i="1"/>
  <c r="Z42" i="1"/>
  <c r="Z43" i="1"/>
  <c r="Z44" i="1"/>
  <c r="Z37" i="1"/>
  <c r="P44" i="1"/>
  <c r="Y39" i="1" l="1"/>
  <c r="AA43" i="1" l="1"/>
  <c r="AA42" i="1"/>
  <c r="AA38" i="1"/>
  <c r="Z4" i="3"/>
  <c r="AA4" i="3" s="1"/>
  <c r="Z5" i="3"/>
  <c r="AA5" i="3" s="1"/>
  <c r="Z6" i="3"/>
  <c r="AA6" i="3" s="1"/>
  <c r="Z7" i="3"/>
  <c r="AA7" i="3" s="1"/>
  <c r="Z11" i="3"/>
  <c r="AA11" i="3" s="1"/>
  <c r="Z12" i="3"/>
  <c r="AA12" i="3" s="1"/>
  <c r="Z13" i="3"/>
  <c r="AA13" i="3" s="1"/>
  <c r="Z14" i="3"/>
  <c r="AA14" i="3" s="1"/>
  <c r="Z15" i="3"/>
  <c r="AA15" i="3" s="1"/>
  <c r="Z19" i="3"/>
  <c r="AA19" i="3" s="1"/>
  <c r="Z20" i="3"/>
  <c r="AA20" i="3"/>
  <c r="Z21" i="3"/>
  <c r="AA21" i="3" s="1"/>
  <c r="Z22" i="3"/>
  <c r="AA22" i="3"/>
  <c r="Z23" i="3"/>
  <c r="AA23" i="3" s="1"/>
  <c r="Z27" i="3"/>
  <c r="AA27" i="3" s="1"/>
  <c r="Z28" i="3"/>
  <c r="AA28" i="3" s="1"/>
  <c r="Z29" i="3"/>
  <c r="AA29" i="3" s="1"/>
  <c r="Z30" i="3"/>
  <c r="AA30" i="3" s="1"/>
  <c r="Z31" i="3"/>
  <c r="AA31" i="3" s="1"/>
  <c r="Z35" i="3"/>
  <c r="AA35" i="3" s="1"/>
  <c r="Z36" i="3"/>
  <c r="AA36" i="3"/>
  <c r="Z37" i="3"/>
  <c r="AA37" i="3" s="1"/>
  <c r="Z38" i="3"/>
  <c r="AA38" i="3"/>
  <c r="Z39" i="3"/>
  <c r="AA39" i="3" s="1"/>
  <c r="Z51" i="3"/>
  <c r="AA51" i="3" s="1"/>
  <c r="Z52" i="3"/>
  <c r="AA52" i="3"/>
  <c r="Z53" i="3"/>
  <c r="AA53" i="3" s="1"/>
  <c r="Z54" i="3"/>
  <c r="AA54" i="3"/>
  <c r="Z55" i="3"/>
  <c r="AA55" i="3" s="1"/>
  <c r="Z59" i="3"/>
  <c r="AA59" i="3" s="1"/>
  <c r="Z60" i="3"/>
  <c r="AA60" i="3" s="1"/>
  <c r="Z61" i="3"/>
  <c r="AA61" i="3" s="1"/>
  <c r="Z62" i="3"/>
  <c r="AA62" i="3" s="1"/>
  <c r="Z63" i="3"/>
  <c r="AA63" i="3" s="1"/>
  <c r="AA3" i="3"/>
  <c r="Z3" i="3"/>
  <c r="Q3" i="3" l="1"/>
  <c r="S3" i="3" s="1"/>
  <c r="Q4" i="3"/>
  <c r="S4" i="3" s="1"/>
  <c r="G4" i="3"/>
  <c r="G5" i="3"/>
  <c r="G6" i="3"/>
  <c r="G7" i="3"/>
  <c r="G11" i="3"/>
  <c r="G12" i="3"/>
  <c r="G13" i="3"/>
  <c r="G14" i="3"/>
  <c r="G15" i="3"/>
  <c r="G19" i="3"/>
  <c r="G20" i="3"/>
  <c r="G21" i="3"/>
  <c r="G22" i="3"/>
  <c r="G23" i="3"/>
  <c r="G27" i="3"/>
  <c r="G28" i="3"/>
  <c r="G29" i="3"/>
  <c r="G30" i="3"/>
  <c r="G31" i="3"/>
  <c r="G35" i="3"/>
  <c r="G36" i="3"/>
  <c r="G37" i="3"/>
  <c r="G38" i="3"/>
  <c r="G39" i="3"/>
  <c r="G51" i="3"/>
  <c r="G52" i="3"/>
  <c r="G53" i="3"/>
  <c r="G54" i="3"/>
  <c r="G55" i="3"/>
  <c r="G59" i="3"/>
  <c r="G60" i="3"/>
  <c r="G61" i="3"/>
  <c r="G62" i="3"/>
  <c r="G63" i="3"/>
  <c r="G3" i="3"/>
  <c r="AE27" i="1" l="1"/>
  <c r="AE28" i="1"/>
  <c r="AE29" i="1"/>
  <c r="AE30" i="1"/>
  <c r="AE19" i="1"/>
  <c r="AE20" i="1"/>
  <c r="AE21" i="1"/>
  <c r="AE22" i="1"/>
  <c r="AE11" i="1"/>
  <c r="AE12" i="1"/>
  <c r="AE13" i="1"/>
  <c r="AE14" i="1"/>
  <c r="AE3" i="1"/>
  <c r="AE4" i="1"/>
  <c r="AE5" i="1"/>
  <c r="AE6" i="1"/>
  <c r="AE2" i="1"/>
  <c r="F3" i="2"/>
  <c r="F4" i="2"/>
  <c r="F5" i="2"/>
  <c r="F6" i="2"/>
  <c r="F18" i="2"/>
  <c r="F19" i="2"/>
  <c r="F20" i="2"/>
  <c r="F21" i="2"/>
  <c r="F22" i="2"/>
  <c r="F26" i="2"/>
  <c r="F27" i="2"/>
  <c r="F28" i="2"/>
  <c r="F29" i="2"/>
  <c r="F30" i="2"/>
  <c r="F2" i="2"/>
  <c r="F3" i="1"/>
  <c r="G3" i="1" s="1"/>
  <c r="F4" i="1"/>
  <c r="G4" i="1" s="1"/>
  <c r="F5" i="1"/>
  <c r="F6" i="1"/>
  <c r="G6" i="1" s="1"/>
  <c r="F7" i="1"/>
  <c r="F8" i="1"/>
  <c r="F9" i="1"/>
  <c r="F10" i="1"/>
  <c r="F11" i="1"/>
  <c r="G11" i="1" s="1"/>
  <c r="F12" i="1"/>
  <c r="F13" i="1"/>
  <c r="F14" i="1"/>
  <c r="G14" i="1" s="1"/>
  <c r="F15" i="1"/>
  <c r="F16" i="1"/>
  <c r="F17" i="1"/>
  <c r="F18" i="1"/>
  <c r="G18" i="1" s="1"/>
  <c r="F19" i="1"/>
  <c r="G19" i="1" s="1"/>
  <c r="F20" i="1"/>
  <c r="G20" i="1" s="1"/>
  <c r="F21" i="1"/>
  <c r="F22" i="1"/>
  <c r="G22" i="1" s="1"/>
  <c r="F23" i="1"/>
  <c r="F24" i="1"/>
  <c r="F25" i="1"/>
  <c r="F26" i="1"/>
  <c r="F27" i="1"/>
  <c r="F28" i="1"/>
  <c r="G28" i="1" s="1"/>
  <c r="F29" i="1"/>
  <c r="G29" i="1" s="1"/>
  <c r="F30" i="1"/>
  <c r="G30" i="1" s="1"/>
  <c r="F2" i="1"/>
  <c r="G2" i="1" s="1"/>
  <c r="G5" i="1"/>
  <c r="G10" i="1"/>
  <c r="G12" i="1"/>
  <c r="G13" i="1"/>
  <c r="G21" i="1"/>
  <c r="G26" i="1"/>
  <c r="G27" i="1"/>
  <c r="I2" i="1" l="1"/>
  <c r="O4" i="3"/>
  <c r="O5" i="3"/>
  <c r="O6" i="3"/>
  <c r="O7" i="3"/>
  <c r="O11" i="3"/>
  <c r="O12" i="3"/>
  <c r="O13" i="3"/>
  <c r="O14" i="3"/>
  <c r="O15" i="3"/>
  <c r="O19" i="3"/>
  <c r="O20" i="3"/>
  <c r="O21" i="3"/>
  <c r="O22" i="3"/>
  <c r="O23" i="3"/>
  <c r="O27" i="3"/>
  <c r="O28" i="3"/>
  <c r="O29" i="3"/>
  <c r="O30" i="3"/>
  <c r="O31" i="3"/>
  <c r="O35" i="3"/>
  <c r="O36" i="3"/>
  <c r="O37" i="3"/>
  <c r="O38" i="3"/>
  <c r="O39" i="3"/>
  <c r="O51" i="3"/>
  <c r="O52" i="3"/>
  <c r="O53" i="3"/>
  <c r="O54" i="3"/>
  <c r="O55" i="3"/>
  <c r="O59" i="3"/>
  <c r="O60" i="3"/>
  <c r="O61" i="3"/>
  <c r="O62" i="3"/>
  <c r="O63" i="3"/>
  <c r="Q5" i="3"/>
  <c r="S5" i="3" s="1"/>
  <c r="Q6" i="3"/>
  <c r="S6" i="3" s="1"/>
  <c r="Q7" i="3"/>
  <c r="S7" i="3" s="1"/>
  <c r="Q11" i="3"/>
  <c r="S11" i="3" s="1"/>
  <c r="Q12" i="3"/>
  <c r="S12" i="3" s="1"/>
  <c r="Q13" i="3"/>
  <c r="S13" i="3" s="1"/>
  <c r="Q14" i="3"/>
  <c r="S14" i="3" s="1"/>
  <c r="Q15" i="3"/>
  <c r="S15" i="3" s="1"/>
  <c r="Q19" i="3"/>
  <c r="S19" i="3" s="1"/>
  <c r="Q20" i="3"/>
  <c r="S20" i="3" s="1"/>
  <c r="Q21" i="3"/>
  <c r="S21" i="3" s="1"/>
  <c r="Q22" i="3"/>
  <c r="S22" i="3" s="1"/>
  <c r="Q23" i="3"/>
  <c r="S23" i="3" s="1"/>
  <c r="Q27" i="3"/>
  <c r="S27" i="3" s="1"/>
  <c r="Q28" i="3"/>
  <c r="S28" i="3" s="1"/>
  <c r="Q29" i="3"/>
  <c r="S29" i="3" s="1"/>
  <c r="Q30" i="3"/>
  <c r="S30" i="3" s="1"/>
  <c r="Q31" i="3"/>
  <c r="S31" i="3" s="1"/>
  <c r="Q35" i="3"/>
  <c r="S35" i="3" s="1"/>
  <c r="Q36" i="3"/>
  <c r="S36" i="3" s="1"/>
  <c r="Q37" i="3"/>
  <c r="S37" i="3" s="1"/>
  <c r="Q38" i="3"/>
  <c r="S38" i="3" s="1"/>
  <c r="Q39" i="3"/>
  <c r="S39" i="3" s="1"/>
  <c r="Q51" i="3"/>
  <c r="S51" i="3" s="1"/>
  <c r="Q52" i="3"/>
  <c r="S52" i="3" s="1"/>
  <c r="Q53" i="3"/>
  <c r="S53" i="3" s="1"/>
  <c r="Q54" i="3"/>
  <c r="S54" i="3" s="1"/>
  <c r="Q55" i="3"/>
  <c r="S55" i="3" s="1"/>
  <c r="Q59" i="3"/>
  <c r="S59" i="3" s="1"/>
  <c r="T64" i="3" s="1"/>
  <c r="Q60" i="3"/>
  <c r="S60" i="3" s="1"/>
  <c r="Q61" i="3"/>
  <c r="S61" i="3" s="1"/>
  <c r="Q62" i="3"/>
  <c r="S62" i="3" s="1"/>
  <c r="Q63" i="3"/>
  <c r="S63" i="3" s="1"/>
  <c r="O3" i="3"/>
  <c r="L4" i="3"/>
  <c r="M4" i="3" s="1"/>
  <c r="L5" i="3"/>
  <c r="M5" i="3" s="1"/>
  <c r="L6" i="3"/>
  <c r="M6" i="3" s="1"/>
  <c r="L7" i="3"/>
  <c r="M7" i="3" s="1"/>
  <c r="L11" i="3"/>
  <c r="M11" i="3" s="1"/>
  <c r="L12" i="3"/>
  <c r="M12" i="3" s="1"/>
  <c r="L13" i="3"/>
  <c r="M13" i="3" s="1"/>
  <c r="L14" i="3"/>
  <c r="M14" i="3" s="1"/>
  <c r="L15" i="3"/>
  <c r="M15" i="3" s="1"/>
  <c r="L19" i="3"/>
  <c r="M19" i="3" s="1"/>
  <c r="L20" i="3"/>
  <c r="M20" i="3" s="1"/>
  <c r="L21" i="3"/>
  <c r="M21" i="3" s="1"/>
  <c r="L22" i="3"/>
  <c r="M22" i="3" s="1"/>
  <c r="L23" i="3"/>
  <c r="M23" i="3" s="1"/>
  <c r="L27" i="3"/>
  <c r="M27" i="3" s="1"/>
  <c r="L28" i="3"/>
  <c r="M28" i="3" s="1"/>
  <c r="L29" i="3"/>
  <c r="M29" i="3" s="1"/>
  <c r="L30" i="3"/>
  <c r="M30" i="3" s="1"/>
  <c r="L31" i="3"/>
  <c r="M31" i="3" s="1"/>
  <c r="L35" i="3"/>
  <c r="M35" i="3" s="1"/>
  <c r="L36" i="3"/>
  <c r="M36" i="3" s="1"/>
  <c r="L37" i="3"/>
  <c r="M37" i="3" s="1"/>
  <c r="L38" i="3"/>
  <c r="M38" i="3" s="1"/>
  <c r="L39" i="3"/>
  <c r="M39" i="3" s="1"/>
  <c r="L51" i="3"/>
  <c r="M51" i="3" s="1"/>
  <c r="L52" i="3"/>
  <c r="M52" i="3" s="1"/>
  <c r="L53" i="3"/>
  <c r="M53" i="3" s="1"/>
  <c r="L54" i="3"/>
  <c r="M54" i="3" s="1"/>
  <c r="L55" i="3"/>
  <c r="M55" i="3" s="1"/>
  <c r="L59" i="3"/>
  <c r="M59" i="3" s="1"/>
  <c r="L60" i="3"/>
  <c r="M60" i="3" s="1"/>
  <c r="L61" i="3"/>
  <c r="M61" i="3" s="1"/>
  <c r="L62" i="3"/>
  <c r="M62" i="3" s="1"/>
  <c r="L63" i="3"/>
  <c r="M63" i="3" s="1"/>
  <c r="L3" i="3"/>
  <c r="M3" i="3" s="1"/>
  <c r="W2" i="1"/>
  <c r="J3" i="3"/>
  <c r="J4" i="3"/>
  <c r="J5" i="3"/>
  <c r="J6" i="3"/>
  <c r="J7" i="3"/>
  <c r="J11" i="3"/>
  <c r="J12" i="3"/>
  <c r="J13" i="3"/>
  <c r="J14" i="3"/>
  <c r="J15" i="3"/>
  <c r="J19" i="3"/>
  <c r="J20" i="3"/>
  <c r="J21" i="3"/>
  <c r="J22" i="3"/>
  <c r="J23" i="3"/>
  <c r="J27" i="3"/>
  <c r="J28" i="3"/>
  <c r="J29" i="3"/>
  <c r="J30" i="3"/>
  <c r="J31" i="3"/>
  <c r="J35" i="3"/>
  <c r="J36" i="3"/>
  <c r="J37" i="3"/>
  <c r="J38" i="3"/>
  <c r="J39" i="3"/>
  <c r="J51" i="3"/>
  <c r="J52" i="3"/>
  <c r="J53" i="3"/>
  <c r="J54" i="3"/>
  <c r="J55" i="3"/>
  <c r="J59" i="3"/>
  <c r="J60" i="3"/>
  <c r="J61" i="3"/>
  <c r="J62" i="3"/>
  <c r="J63" i="3"/>
  <c r="R54" i="3" l="1"/>
  <c r="H54" i="3"/>
  <c r="I54" i="3" s="1"/>
  <c r="R35" i="3"/>
  <c r="H35" i="3"/>
  <c r="I35" i="3" s="1"/>
  <c r="R21" i="3"/>
  <c r="H21" i="3"/>
  <c r="I21" i="3" s="1"/>
  <c r="I7" i="3"/>
  <c r="R7" i="3"/>
  <c r="H7" i="3"/>
  <c r="T16" i="3"/>
  <c r="Q64" i="3"/>
  <c r="P64" i="3"/>
  <c r="R55" i="3"/>
  <c r="H55" i="3"/>
  <c r="I55" i="3" s="1"/>
  <c r="Q32" i="3"/>
  <c r="P32" i="3"/>
  <c r="R31" i="3"/>
  <c r="H31" i="3"/>
  <c r="I31" i="3" s="1"/>
  <c r="R20" i="3"/>
  <c r="H20" i="3"/>
  <c r="I20" i="3" s="1"/>
  <c r="I6" i="3"/>
  <c r="R6" i="3"/>
  <c r="H6" i="3"/>
  <c r="T40" i="3"/>
  <c r="Q16" i="3"/>
  <c r="P16" i="3"/>
  <c r="H22" i="3"/>
  <c r="I22" i="3" s="1"/>
  <c r="R22" i="3"/>
  <c r="R52" i="3"/>
  <c r="H52" i="3"/>
  <c r="I52" i="3" s="1"/>
  <c r="I30" i="3"/>
  <c r="H30" i="3"/>
  <c r="R30" i="3"/>
  <c r="H19" i="3"/>
  <c r="I19" i="3" s="1"/>
  <c r="R19" i="3"/>
  <c r="H5" i="3"/>
  <c r="I5" i="3" s="1"/>
  <c r="R5" i="3"/>
  <c r="Q8" i="3"/>
  <c r="P8" i="3"/>
  <c r="Q40" i="3"/>
  <c r="P40" i="3"/>
  <c r="R36" i="3"/>
  <c r="H36" i="3"/>
  <c r="I36" i="3" s="1"/>
  <c r="H62" i="3"/>
  <c r="I62" i="3" s="1"/>
  <c r="R62" i="3"/>
  <c r="H29" i="3"/>
  <c r="I29" i="3" s="1"/>
  <c r="R29" i="3"/>
  <c r="H15" i="3"/>
  <c r="I15" i="3" s="1"/>
  <c r="R15" i="3"/>
  <c r="H4" i="3"/>
  <c r="I4" i="3" s="1"/>
  <c r="R4" i="3"/>
  <c r="T24" i="3"/>
  <c r="T8" i="3"/>
  <c r="U8" i="3"/>
  <c r="R11" i="3"/>
  <c r="H11" i="3"/>
  <c r="R53" i="3"/>
  <c r="H53" i="3"/>
  <c r="I53" i="3" s="1"/>
  <c r="I51" i="3"/>
  <c r="H51" i="3"/>
  <c r="R51" i="3"/>
  <c r="I28" i="3"/>
  <c r="H28" i="3"/>
  <c r="R28" i="3"/>
  <c r="H14" i="3"/>
  <c r="I14" i="3" s="1"/>
  <c r="R14" i="3"/>
  <c r="R3" i="3"/>
  <c r="H3" i="3"/>
  <c r="I3" i="3" s="1"/>
  <c r="T56" i="3"/>
  <c r="Q24" i="3"/>
  <c r="P24" i="3"/>
  <c r="H63" i="3"/>
  <c r="I63" i="3" s="1"/>
  <c r="R63" i="3"/>
  <c r="H61" i="3"/>
  <c r="I61" i="3" s="1"/>
  <c r="R61" i="3"/>
  <c r="H39" i="3"/>
  <c r="I39" i="3" s="1"/>
  <c r="R39" i="3"/>
  <c r="I60" i="3"/>
  <c r="H60" i="3"/>
  <c r="R60" i="3"/>
  <c r="I38" i="3"/>
  <c r="H38" i="3"/>
  <c r="R38" i="3"/>
  <c r="H27" i="3"/>
  <c r="I27" i="3" s="1"/>
  <c r="R27" i="3"/>
  <c r="H13" i="3"/>
  <c r="I13" i="3" s="1"/>
  <c r="R13" i="3"/>
  <c r="Q56" i="3"/>
  <c r="P56" i="3"/>
  <c r="H59" i="3"/>
  <c r="I59" i="3" s="1"/>
  <c r="R59" i="3"/>
  <c r="R37" i="3"/>
  <c r="H37" i="3"/>
  <c r="I37" i="3" s="1"/>
  <c r="I23" i="3"/>
  <c r="H23" i="3"/>
  <c r="R23" i="3"/>
  <c r="I12" i="3"/>
  <c r="R12" i="3"/>
  <c r="H12" i="3"/>
  <c r="T32" i="3"/>
  <c r="K17" i="3"/>
  <c r="I11" i="3"/>
  <c r="K32" i="3"/>
  <c r="K65" i="3"/>
  <c r="K41" i="3"/>
  <c r="K33" i="3"/>
  <c r="K25" i="3"/>
  <c r="K9" i="3"/>
  <c r="K57" i="3"/>
  <c r="K8" i="3"/>
  <c r="K40" i="3"/>
  <c r="K16" i="3"/>
  <c r="K56" i="3"/>
  <c r="K24" i="3"/>
  <c r="K64" i="3"/>
  <c r="P4" i="3"/>
  <c r="P5" i="3"/>
  <c r="P6" i="3"/>
  <c r="P7" i="3"/>
  <c r="P11" i="3"/>
  <c r="P12" i="3"/>
  <c r="P13" i="3"/>
  <c r="P14" i="3"/>
  <c r="P15" i="3"/>
  <c r="P19" i="3"/>
  <c r="P20" i="3"/>
  <c r="P21" i="3"/>
  <c r="P22" i="3"/>
  <c r="P23" i="3"/>
  <c r="P27" i="3"/>
  <c r="P28" i="3"/>
  <c r="P29" i="3"/>
  <c r="P30" i="3"/>
  <c r="P31" i="3"/>
  <c r="P35" i="3"/>
  <c r="P36" i="3"/>
  <c r="P37" i="3"/>
  <c r="P38" i="3"/>
  <c r="P39" i="3"/>
  <c r="P51" i="3"/>
  <c r="P52" i="3"/>
  <c r="P53" i="3"/>
  <c r="P54" i="3"/>
  <c r="P55" i="3"/>
  <c r="P59" i="3"/>
  <c r="P60" i="3"/>
  <c r="P61" i="3"/>
  <c r="P62" i="3"/>
  <c r="P63" i="3"/>
  <c r="P3" i="3"/>
  <c r="AF32" i="1" l="1"/>
  <c r="AC41" i="1" s="1"/>
  <c r="AF24" i="1"/>
  <c r="AC42" i="1" s="1"/>
  <c r="AF16" i="1"/>
  <c r="AC43" i="1" s="1"/>
  <c r="AF8" i="1"/>
  <c r="AC44" i="1" s="1"/>
  <c r="U32" i="2"/>
  <c r="AC37" i="1" s="1"/>
  <c r="U24" i="2"/>
  <c r="AC38" i="1" s="1"/>
  <c r="U9" i="2"/>
  <c r="AE8" i="1" l="1"/>
  <c r="X44" i="1" s="1"/>
  <c r="AE16" i="1"/>
  <c r="X43" i="1" s="1"/>
  <c r="AE24" i="1"/>
  <c r="X42" i="1" s="1"/>
  <c r="X41" i="1"/>
  <c r="T9" i="2"/>
  <c r="T32" i="2"/>
  <c r="X37" i="1" s="1"/>
  <c r="T24" i="2"/>
  <c r="X38" i="1" s="1"/>
  <c r="Y37" i="1" l="1"/>
  <c r="P42" i="1"/>
  <c r="P43" i="1" s="1"/>
  <c r="P37" i="1"/>
  <c r="AB38" i="1"/>
  <c r="AB37" i="1"/>
  <c r="AB43" i="1"/>
  <c r="AB41" i="1"/>
  <c r="AB42" i="1"/>
  <c r="H30" i="2"/>
  <c r="H29" i="2"/>
  <c r="H28" i="2"/>
  <c r="H27" i="2"/>
  <c r="H26" i="2"/>
  <c r="H22" i="2"/>
  <c r="H21" i="2"/>
  <c r="H20" i="2"/>
  <c r="H19" i="2"/>
  <c r="H18" i="2"/>
  <c r="H6" i="2"/>
  <c r="H5" i="2"/>
  <c r="H4" i="2"/>
  <c r="H3" i="2"/>
  <c r="H2" i="2"/>
  <c r="P2" i="2"/>
  <c r="X20" i="2" s="1"/>
  <c r="Y20" i="2" s="1"/>
  <c r="Z20" i="2" s="1"/>
  <c r="AA20" i="2" s="1"/>
  <c r="S20" i="2" s="1"/>
  <c r="H30" i="1"/>
  <c r="H29" i="1"/>
  <c r="H28" i="1"/>
  <c r="H27" i="1"/>
  <c r="H26" i="1"/>
  <c r="H22" i="1"/>
  <c r="H21" i="1"/>
  <c r="H20" i="1"/>
  <c r="H19" i="1"/>
  <c r="H18" i="1"/>
  <c r="H14" i="1"/>
  <c r="H13" i="1"/>
  <c r="H12" i="1"/>
  <c r="H11" i="1"/>
  <c r="H10" i="1"/>
  <c r="H3" i="1"/>
  <c r="H4" i="1"/>
  <c r="H5" i="1"/>
  <c r="H6" i="1"/>
  <c r="H2" i="1"/>
  <c r="X2" i="2" l="1"/>
  <c r="X21" i="2"/>
  <c r="Y21" i="2" s="1"/>
  <c r="Z21" i="2" s="1"/>
  <c r="AA21" i="2" s="1"/>
  <c r="X3" i="2"/>
  <c r="Y3" i="2" s="1"/>
  <c r="Z3" i="2" s="1"/>
  <c r="AA3" i="2" s="1"/>
  <c r="X22" i="2"/>
  <c r="Y22" i="2" s="1"/>
  <c r="Z22" i="2" s="1"/>
  <c r="AA22" i="2" s="1"/>
  <c r="S22" i="2" s="1"/>
  <c r="X26" i="2"/>
  <c r="Y26" i="2" s="1"/>
  <c r="Z26" i="2" s="1"/>
  <c r="AA26" i="2" s="1"/>
  <c r="S26" i="2" s="1"/>
  <c r="X4" i="2"/>
  <c r="Y4" i="2" s="1"/>
  <c r="Z4" i="2" s="1"/>
  <c r="AA4" i="2" s="1"/>
  <c r="S4" i="2" s="1"/>
  <c r="X5" i="2"/>
  <c r="Y5" i="2" s="1"/>
  <c r="Z5" i="2" s="1"/>
  <c r="AA5" i="2" s="1"/>
  <c r="S5" i="2" s="1"/>
  <c r="X27" i="2"/>
  <c r="Y27" i="2" s="1"/>
  <c r="Z27" i="2" s="1"/>
  <c r="AA27" i="2" s="1"/>
  <c r="S27" i="2" s="1"/>
  <c r="X6" i="2"/>
  <c r="Y6" i="2" s="1"/>
  <c r="Z6" i="2" s="1"/>
  <c r="AA6" i="2" s="1"/>
  <c r="X28" i="2"/>
  <c r="Y28" i="2" s="1"/>
  <c r="Z28" i="2" s="1"/>
  <c r="AA28" i="2" s="1"/>
  <c r="S28" i="2" s="1"/>
  <c r="X18" i="2"/>
  <c r="Y18" i="2" s="1"/>
  <c r="Z18" i="2" s="1"/>
  <c r="AA18" i="2" s="1"/>
  <c r="S18" i="2" s="1"/>
  <c r="X29" i="2"/>
  <c r="Y29" i="2" s="1"/>
  <c r="Z29" i="2" s="1"/>
  <c r="AA29" i="2" s="1"/>
  <c r="S29" i="2" s="1"/>
  <c r="X30" i="2"/>
  <c r="Y30" i="2" s="1"/>
  <c r="Z30" i="2" s="1"/>
  <c r="AA30" i="2" s="1"/>
  <c r="S30" i="2" s="1"/>
  <c r="X19" i="2"/>
  <c r="Y19" i="2" s="1"/>
  <c r="Z19" i="2" s="1"/>
  <c r="AA19" i="2" s="1"/>
  <c r="S19" i="2" s="1"/>
  <c r="Y41" i="1"/>
  <c r="Y44" i="1"/>
  <c r="Y42" i="1"/>
  <c r="Y43" i="1"/>
  <c r="Y38" i="1"/>
  <c r="S21" i="2"/>
  <c r="S6" i="2"/>
  <c r="S3" i="2"/>
  <c r="S16" i="2"/>
  <c r="S32" i="2" l="1"/>
  <c r="Y2" i="2"/>
  <c r="Z2" i="2" s="1"/>
  <c r="AA2" i="2" s="1"/>
  <c r="S2" i="2" s="1"/>
  <c r="S8" i="2" s="1"/>
  <c r="S24" i="2"/>
  <c r="C30" i="2" l="1"/>
  <c r="C29" i="2"/>
  <c r="C28" i="2"/>
  <c r="C27" i="2"/>
  <c r="C26" i="2"/>
  <c r="C22" i="2"/>
  <c r="C21" i="2"/>
  <c r="C20" i="2"/>
  <c r="C19" i="2"/>
  <c r="C18" i="2"/>
  <c r="C14" i="2"/>
  <c r="C13" i="2"/>
  <c r="C12" i="2"/>
  <c r="C11" i="2"/>
  <c r="C10" i="2"/>
  <c r="C6" i="2"/>
  <c r="C5" i="2"/>
  <c r="C4" i="2"/>
  <c r="C3" i="2"/>
  <c r="C2" i="2"/>
  <c r="C30" i="1"/>
  <c r="C29" i="1"/>
  <c r="C28" i="1"/>
  <c r="C27" i="1"/>
  <c r="C26" i="1"/>
  <c r="C22" i="1"/>
  <c r="C21" i="1"/>
  <c r="C20" i="1"/>
  <c r="C19" i="1"/>
  <c r="C18" i="1"/>
  <c r="C14" i="1"/>
  <c r="C13" i="1"/>
  <c r="C12" i="1"/>
  <c r="C11" i="1"/>
  <c r="C10" i="1"/>
  <c r="C6" i="1"/>
  <c r="C5" i="1"/>
  <c r="C4" i="1"/>
  <c r="C3" i="1"/>
  <c r="Q2" i="1"/>
  <c r="C2" i="1"/>
  <c r="AA37" i="1" l="1"/>
  <c r="AA41" i="1"/>
  <c r="M2" i="1"/>
  <c r="Z6" i="1"/>
  <c r="AA6" i="1" s="1"/>
  <c r="AB6" i="1" s="1"/>
  <c r="AC6" i="1" s="1"/>
  <c r="T6" i="1" s="1"/>
  <c r="Z20" i="1"/>
  <c r="AA20" i="1" s="1"/>
  <c r="AB20" i="1" s="1"/>
  <c r="AC20" i="1" s="1"/>
  <c r="T20" i="1" s="1"/>
  <c r="Z2" i="1"/>
  <c r="AA2" i="1" s="1"/>
  <c r="AB2" i="1" s="1"/>
  <c r="AC2" i="1" s="1"/>
  <c r="T2" i="1" s="1"/>
  <c r="Z10" i="1"/>
  <c r="AA10" i="1" s="1"/>
  <c r="AB10" i="1" s="1"/>
  <c r="AC10" i="1" s="1"/>
  <c r="T10" i="1" s="1"/>
  <c r="Z21" i="1"/>
  <c r="AA21" i="1" s="1"/>
  <c r="AB21" i="1" s="1"/>
  <c r="AC21" i="1" s="1"/>
  <c r="T21" i="1" s="1"/>
  <c r="Z11" i="1"/>
  <c r="AA11" i="1" s="1"/>
  <c r="AB11" i="1" s="1"/>
  <c r="AC11" i="1" s="1"/>
  <c r="T11" i="1" s="1"/>
  <c r="Z22" i="1"/>
  <c r="AA22" i="1" s="1"/>
  <c r="AB22" i="1" s="1"/>
  <c r="AC22" i="1" s="1"/>
  <c r="T22" i="1" s="1"/>
  <c r="Z12" i="1"/>
  <c r="AA12" i="1" s="1"/>
  <c r="AB12" i="1" s="1"/>
  <c r="AC12" i="1" s="1"/>
  <c r="T12" i="1" s="1"/>
  <c r="Z26" i="1"/>
  <c r="AA26" i="1" s="1"/>
  <c r="AB26" i="1" s="1"/>
  <c r="AC26" i="1" s="1"/>
  <c r="T26" i="1" s="1"/>
  <c r="Z13" i="1"/>
  <c r="AA13" i="1" s="1"/>
  <c r="AB13" i="1" s="1"/>
  <c r="AC13" i="1" s="1"/>
  <c r="T13" i="1" s="1"/>
  <c r="Z27" i="1"/>
  <c r="AA27" i="1" s="1"/>
  <c r="AB27" i="1" s="1"/>
  <c r="AC27" i="1" s="1"/>
  <c r="T27" i="1" s="1"/>
  <c r="Z3" i="1"/>
  <c r="AA3" i="1" s="1"/>
  <c r="AB3" i="1" s="1"/>
  <c r="AC3" i="1" s="1"/>
  <c r="T3" i="1" s="1"/>
  <c r="Z14" i="1"/>
  <c r="AA14" i="1" s="1"/>
  <c r="AB14" i="1" s="1"/>
  <c r="AC14" i="1" s="1"/>
  <c r="T14" i="1" s="1"/>
  <c r="Z28" i="1"/>
  <c r="AA28" i="1" s="1"/>
  <c r="AB28" i="1" s="1"/>
  <c r="AC28" i="1" s="1"/>
  <c r="T28" i="1" s="1"/>
  <c r="Z4" i="1"/>
  <c r="AA4" i="1" s="1"/>
  <c r="AB4" i="1" s="1"/>
  <c r="AC4" i="1" s="1"/>
  <c r="T4" i="1" s="1"/>
  <c r="Z18" i="1"/>
  <c r="AA18" i="1" s="1"/>
  <c r="AB18" i="1" s="1"/>
  <c r="AC18" i="1" s="1"/>
  <c r="T18" i="1" s="1"/>
  <c r="Z29" i="1"/>
  <c r="AA29" i="1" s="1"/>
  <c r="AB29" i="1" s="1"/>
  <c r="AC29" i="1" s="1"/>
  <c r="T29" i="1" s="1"/>
  <c r="Z5" i="1"/>
  <c r="AA5" i="1" s="1"/>
  <c r="AB5" i="1" s="1"/>
  <c r="AC5" i="1" s="1"/>
  <c r="T5" i="1" s="1"/>
  <c r="Z19" i="1"/>
  <c r="AA19" i="1" s="1"/>
  <c r="AB19" i="1" s="1"/>
  <c r="AC19" i="1" s="1"/>
  <c r="T19" i="1" s="1"/>
  <c r="Z30" i="1"/>
  <c r="AA30" i="1" s="1"/>
  <c r="AB30" i="1" s="1"/>
  <c r="AC30" i="1" s="1"/>
  <c r="T30" i="1" s="1"/>
  <c r="D27" i="2"/>
  <c r="D6" i="2"/>
  <c r="D13" i="2"/>
  <c r="D3" i="2"/>
  <c r="D14" i="2"/>
  <c r="D21" i="2"/>
  <c r="D4" i="1"/>
  <c r="I4" i="1" s="1"/>
  <c r="D11" i="1"/>
  <c r="I11" i="1" s="1"/>
  <c r="D18" i="1"/>
  <c r="I18" i="1" s="1"/>
  <c r="D22" i="1"/>
  <c r="I22" i="1" s="1"/>
  <c r="W22" i="1" s="1"/>
  <c r="D29" i="1"/>
  <c r="I29" i="1" s="1"/>
  <c r="D20" i="2"/>
  <c r="D14" i="1"/>
  <c r="I14" i="1" s="1"/>
  <c r="D28" i="1"/>
  <c r="I28" i="1" s="1"/>
  <c r="D10" i="2"/>
  <c r="D28" i="2"/>
  <c r="D4" i="2"/>
  <c r="D11" i="2"/>
  <c r="D18" i="2"/>
  <c r="D22" i="2"/>
  <c r="D29" i="2"/>
  <c r="D10" i="1"/>
  <c r="I10" i="1" s="1"/>
  <c r="D5" i="1"/>
  <c r="I5" i="1" s="1"/>
  <c r="D12" i="1"/>
  <c r="I12" i="1" s="1"/>
  <c r="D19" i="1"/>
  <c r="I19" i="1" s="1"/>
  <c r="D26" i="1"/>
  <c r="I26" i="1" s="1"/>
  <c r="D30" i="1"/>
  <c r="I30" i="1" s="1"/>
  <c r="D3" i="1"/>
  <c r="I3" i="1" s="1"/>
  <c r="D2" i="1"/>
  <c r="D5" i="2"/>
  <c r="D12" i="2"/>
  <c r="D19" i="2"/>
  <c r="D26" i="2"/>
  <c r="D30" i="2"/>
  <c r="D21" i="1"/>
  <c r="I21" i="1" s="1"/>
  <c r="W21" i="1" s="1"/>
  <c r="D6" i="1"/>
  <c r="I6" i="1" s="1"/>
  <c r="D13" i="1"/>
  <c r="I13" i="1" s="1"/>
  <c r="D20" i="1"/>
  <c r="I20" i="1" s="1"/>
  <c r="D27" i="1"/>
  <c r="I27" i="1" s="1"/>
  <c r="W27" i="1" s="1"/>
  <c r="D2" i="2"/>
  <c r="V4" i="1"/>
  <c r="V5" i="1"/>
  <c r="V6" i="1"/>
  <c r="V12" i="1"/>
  <c r="V19" i="1"/>
  <c r="V20" i="1"/>
  <c r="V29" i="1"/>
  <c r="G21" i="2" l="1"/>
  <c r="I21" i="2"/>
  <c r="I5" i="2"/>
  <c r="G5" i="2"/>
  <c r="G20" i="2"/>
  <c r="I20" i="2"/>
  <c r="G18" i="2"/>
  <c r="I18" i="2"/>
  <c r="G22" i="2"/>
  <c r="I22" i="2"/>
  <c r="G30" i="2"/>
  <c r="I30" i="2"/>
  <c r="I6" i="2"/>
  <c r="G6" i="2"/>
  <c r="G26" i="2"/>
  <c r="I26" i="2"/>
  <c r="I4" i="2"/>
  <c r="G4" i="2"/>
  <c r="G27" i="2"/>
  <c r="I27" i="2"/>
  <c r="G29" i="2"/>
  <c r="I29" i="2"/>
  <c r="I3" i="2"/>
  <c r="G3" i="2"/>
  <c r="I2" i="2"/>
  <c r="G2" i="2"/>
  <c r="G19" i="2"/>
  <c r="I19" i="2"/>
  <c r="G28" i="2"/>
  <c r="I28" i="2"/>
  <c r="V3" i="1"/>
  <c r="U3" i="1" s="1"/>
  <c r="V30" i="1"/>
  <c r="U30" i="1" s="1"/>
  <c r="V2" i="1"/>
  <c r="U2" i="1" s="1"/>
  <c r="J18" i="1"/>
  <c r="K18" i="1" s="1"/>
  <c r="V18" i="1"/>
  <c r="U18" i="1" s="1"/>
  <c r="W11" i="1"/>
  <c r="J10" i="1"/>
  <c r="K10" i="1" s="1"/>
  <c r="V10" i="1"/>
  <c r="U10" i="1" s="1"/>
  <c r="W13" i="1"/>
  <c r="W28" i="1"/>
  <c r="U6" i="1"/>
  <c r="W6" i="1"/>
  <c r="W14" i="1"/>
  <c r="J28" i="1"/>
  <c r="V28" i="1"/>
  <c r="U28" i="1" s="1"/>
  <c r="W26" i="1"/>
  <c r="J26" i="1"/>
  <c r="V26" i="1"/>
  <c r="U26" i="1" s="1"/>
  <c r="W3" i="1"/>
  <c r="W30" i="1"/>
  <c r="W29" i="1"/>
  <c r="U29" i="1"/>
  <c r="J27" i="1"/>
  <c r="V27" i="1"/>
  <c r="U27" i="1" s="1"/>
  <c r="J13" i="1"/>
  <c r="V13" i="1"/>
  <c r="U13" i="1" s="1"/>
  <c r="U19" i="1"/>
  <c r="W19" i="1"/>
  <c r="W18" i="1"/>
  <c r="J14" i="1"/>
  <c r="V14" i="1"/>
  <c r="U14" i="1" s="1"/>
  <c r="J22" i="1"/>
  <c r="V22" i="1"/>
  <c r="U22" i="1" s="1"/>
  <c r="J11" i="1"/>
  <c r="V11" i="1"/>
  <c r="U11" i="1" s="1"/>
  <c r="U20" i="1"/>
  <c r="W20" i="1"/>
  <c r="W5" i="1"/>
  <c r="U5" i="1"/>
  <c r="U4" i="1"/>
  <c r="W4" i="1"/>
  <c r="U12" i="1"/>
  <c r="W12" i="1"/>
  <c r="J21" i="1"/>
  <c r="V21" i="1"/>
  <c r="U21" i="1" s="1"/>
  <c r="W10" i="1"/>
  <c r="T24" i="1"/>
  <c r="T32" i="1"/>
  <c r="T16" i="1"/>
  <c r="T8" i="1"/>
  <c r="J2" i="1"/>
  <c r="K2" i="1" s="1"/>
  <c r="J5" i="1"/>
  <c r="J4" i="1"/>
  <c r="J3" i="1"/>
  <c r="J12" i="1"/>
  <c r="J29" i="1"/>
  <c r="J20" i="1"/>
  <c r="J6" i="1"/>
  <c r="J19" i="1"/>
  <c r="J30" i="1"/>
  <c r="K26" i="1" l="1"/>
  <c r="K31" i="1"/>
  <c r="AD41" i="1" s="1"/>
  <c r="K32" i="1"/>
  <c r="AE41" i="1" s="1"/>
  <c r="K15" i="1"/>
  <c r="AD43" i="1" s="1"/>
  <c r="K16" i="1"/>
  <c r="AE43" i="1" s="1"/>
  <c r="K7" i="1"/>
  <c r="K8" i="1"/>
  <c r="AE44" i="1" s="1"/>
  <c r="K24" i="1"/>
  <c r="AE42" i="1" s="1"/>
  <c r="K23" i="1"/>
  <c r="AD42" i="1" s="1"/>
  <c r="J4" i="2"/>
  <c r="J30" i="2"/>
  <c r="J28" i="2"/>
  <c r="J27" i="2"/>
  <c r="J20" i="2"/>
  <c r="J5" i="2"/>
  <c r="J18" i="2"/>
  <c r="J3" i="2"/>
  <c r="J29" i="2"/>
  <c r="J21" i="2"/>
  <c r="J26" i="2"/>
  <c r="J19" i="2"/>
  <c r="J22" i="2"/>
  <c r="J2" i="2"/>
  <c r="J6" i="2"/>
  <c r="K27" i="2" l="1"/>
  <c r="AF37" i="1" s="1"/>
  <c r="K32" i="2"/>
  <c r="AE37" i="1" s="1"/>
  <c r="K31" i="2"/>
  <c r="AD37" i="1" s="1"/>
  <c r="L27" i="2"/>
  <c r="AG37" i="1" s="1"/>
  <c r="K23" i="2"/>
  <c r="AD38" i="1" s="1"/>
  <c r="K19" i="2"/>
  <c r="AF38" i="1"/>
  <c r="L19" i="2"/>
  <c r="K24" i="2"/>
  <c r="AE38" i="1" s="1"/>
  <c r="K8" i="2"/>
  <c r="K7" i="2"/>
  <c r="K2" i="2"/>
</calcChain>
</file>

<file path=xl/sharedStrings.xml><?xml version="1.0" encoding="utf-8"?>
<sst xmlns="http://schemas.openxmlformats.org/spreadsheetml/2006/main" count="470" uniqueCount="180">
  <si>
    <t>EXP</t>
  </si>
  <si>
    <t>Caudal (m3/h)</t>
  </si>
  <si>
    <t>Caudal (m3/s)</t>
  </si>
  <si>
    <t>Velocidad (m/s)</t>
  </si>
  <si>
    <t>Pérdida (KPA)</t>
  </si>
  <si>
    <t>Coeficiente f</t>
  </si>
  <si>
    <t>Longitud</t>
  </si>
  <si>
    <t>Diámetro</t>
  </si>
  <si>
    <t>Área</t>
  </si>
  <si>
    <t>MST</t>
  </si>
  <si>
    <t>Pérdida de carga (fórmula)</t>
  </si>
  <si>
    <t>M2</t>
  </si>
  <si>
    <t>DeltaP = f L/D rho v^2/2</t>
  </si>
  <si>
    <t>M3</t>
  </si>
  <si>
    <t>M4</t>
  </si>
  <si>
    <t>Caudal (M3/h)</t>
  </si>
  <si>
    <t>Caudal (M3/s)</t>
  </si>
  <si>
    <t>TST</t>
  </si>
  <si>
    <t>T2</t>
  </si>
  <si>
    <t>T3</t>
  </si>
  <si>
    <t>T4</t>
  </si>
  <si>
    <t>Pérdidas (kPa/m)</t>
  </si>
  <si>
    <t>Rugosidad absoluta</t>
  </si>
  <si>
    <t>viscosidad cinemática a 20º</t>
  </si>
  <si>
    <t>Reynols</t>
  </si>
  <si>
    <t>Pérdidas de carga teóricas</t>
  </si>
  <si>
    <t>Rugosidad absoluta Colebrook</t>
  </si>
  <si>
    <t>coeficiente f</t>
  </si>
  <si>
    <t>Pérdidas de carga (kPa/m)</t>
  </si>
  <si>
    <t>RMSE</t>
  </si>
  <si>
    <t>100% tornillos</t>
  </si>
  <si>
    <t>nula</t>
  </si>
  <si>
    <t>K (mm)</t>
  </si>
  <si>
    <t>Extremely high</t>
  </si>
  <si>
    <t>Very high</t>
  </si>
  <si>
    <t>High</t>
  </si>
  <si>
    <t>Moderate</t>
  </si>
  <si>
    <t>Moderate-high</t>
  </si>
  <si>
    <t>Volumen tubo</t>
  </si>
  <si>
    <t>Volumen ocupan tornillos</t>
  </si>
  <si>
    <t>Nº total tornillos</t>
  </si>
  <si>
    <t>21 tornillos por círculo</t>
  </si>
  <si>
    <t>No total de tornillos</t>
  </si>
  <si>
    <t>Tornillos por círcunferencia</t>
  </si>
  <si>
    <t xml:space="preserve">número de secciones con tornillos </t>
  </si>
  <si>
    <t>Diámero del tornillo</t>
  </si>
  <si>
    <t>mm</t>
  </si>
  <si>
    <t>Diámetro interior tubería</t>
  </si>
  <si>
    <t>Circunferencia</t>
  </si>
  <si>
    <t>Distancia entre tornillos</t>
  </si>
  <si>
    <t>área tornillo rosca</t>
  </si>
  <si>
    <t>Diámetro tornillo rosca</t>
  </si>
  <si>
    <t>Volumen tornillos (mm3)</t>
  </si>
  <si>
    <t>%de la luz total</t>
  </si>
  <si>
    <t>K(mm)</t>
  </si>
  <si>
    <t>Sección de los tornillos en un círculo</t>
  </si>
  <si>
    <t>%sección circular</t>
  </si>
  <si>
    <t>RMSE de las pérdidas de carga unitarias</t>
  </si>
  <si>
    <t>Clasificación de los niveles de infestación</t>
  </si>
  <si>
    <t>&gt;= 50</t>
  </si>
  <si>
    <t>Moderate high</t>
  </si>
  <si>
    <t>50 &gt; x &gt;=25</t>
  </si>
  <si>
    <t>25 &gt; X &gt;=10</t>
  </si>
  <si>
    <t>10 &gt; X &gt;=1</t>
  </si>
  <si>
    <t>1 &gt; X &gt;=0.5</t>
  </si>
  <si>
    <t>&lt; 0.5</t>
  </si>
  <si>
    <t>Low</t>
  </si>
  <si>
    <t>Coeficiente f con U</t>
  </si>
  <si>
    <t>Los valores de rugosidad se pueden optimizar para cada caudal</t>
  </si>
  <si>
    <t>Rugosidad absoluta (m)</t>
  </si>
  <si>
    <t>Promedio</t>
  </si>
  <si>
    <t>Puntos de la gráfica</t>
  </si>
  <si>
    <t>DE_k(mm)</t>
  </si>
  <si>
    <t>valores de K obtenidos despejando la ecuación (m)</t>
  </si>
  <si>
    <t>Experimental f</t>
  </si>
  <si>
    <t>Ajustado f</t>
  </si>
  <si>
    <t>Experimental</t>
  </si>
  <si>
    <t>-</t>
  </si>
  <si>
    <t>Caudal (L/s)</t>
  </si>
  <si>
    <t>Total number of screws</t>
  </si>
  <si>
    <t>Half number of screws</t>
  </si>
  <si>
    <r>
      <t>Discharge (L s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</si>
  <si>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rPr>
        <b/>
        <sz val="10"/>
        <rFont val="Symbol"/>
        <family val="1"/>
        <charset val="2"/>
      </rPr>
      <t>d</t>
    </r>
    <r>
      <rPr>
        <b/>
        <vertAlign val="subscript"/>
        <sz val="10"/>
        <rFont val="Arial"/>
        <family val="2"/>
      </rPr>
      <t>XH</t>
    </r>
    <r>
      <rPr>
        <b/>
        <sz val="10"/>
        <rFont val="Arial"/>
        <family val="2"/>
        <charset val="1"/>
      </rPr>
      <t xml:space="preserve"> (mm)</t>
    </r>
  </si>
  <si>
    <t>104.8 x 59.8</t>
  </si>
  <si>
    <t>52.4 x 29.9</t>
  </si>
  <si>
    <r>
      <rPr>
        <b/>
        <sz val="10"/>
        <rFont val="Symbol"/>
        <family val="1"/>
        <charset val="2"/>
      </rPr>
      <t>d</t>
    </r>
    <r>
      <rPr>
        <b/>
        <vertAlign val="subscript"/>
        <sz val="10"/>
        <rFont val="Arial"/>
        <family val="2"/>
      </rPr>
      <t xml:space="preserve">XL </t>
    </r>
    <r>
      <rPr>
        <b/>
        <sz val="10"/>
        <rFont val="Arial"/>
        <family val="2"/>
      </rPr>
      <t>X</t>
    </r>
    <r>
      <rPr>
        <b/>
        <sz val="10"/>
        <rFont val="Arial"/>
        <family val="2"/>
        <charset val="1"/>
      </rPr>
      <t xml:space="preserve"> </t>
    </r>
    <r>
      <rPr>
        <b/>
        <sz val="10"/>
        <rFont val="Symbol"/>
        <family val="1"/>
        <charset val="2"/>
      </rPr>
      <t>d</t>
    </r>
    <r>
      <rPr>
        <b/>
        <vertAlign val="subscript"/>
        <sz val="10"/>
        <rFont val="Arial"/>
        <family val="2"/>
      </rPr>
      <t xml:space="preserve">XD </t>
    </r>
    <r>
      <rPr>
        <b/>
        <sz val="10"/>
        <rFont val="Arial"/>
        <family val="2"/>
        <charset val="1"/>
      </rPr>
      <t>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  <charset val="1"/>
      </rPr>
      <t>)</t>
    </r>
  </si>
  <si>
    <t>K(mm)_ecuación resuelta</t>
  </si>
  <si>
    <t>velocidad &lt;3 m/s</t>
  </si>
  <si>
    <t>Ajustados a mano</t>
  </si>
  <si>
    <t>Ajustado_colebrook Valores incoherentes</t>
  </si>
  <si>
    <t>Rugosidad en mm</t>
  </si>
  <si>
    <t>depth</t>
  </si>
  <si>
    <t>Pérdida (m)</t>
  </si>
  <si>
    <t>aceleración gravedad</t>
  </si>
  <si>
    <t xml:space="preserve">Aceleración </t>
  </si>
  <si>
    <t>Pérdida (mca)</t>
  </si>
  <si>
    <t>Rugosidad absoluta Colebrook (mm)</t>
  </si>
  <si>
    <t>Rugosidad absoluta a mano (m)</t>
  </si>
  <si>
    <t>Rugosidad absoluta a mano (mm)</t>
  </si>
  <si>
    <t>Aceleración</t>
  </si>
  <si>
    <t>Rugosidad relativa</t>
  </si>
  <si>
    <t>Rugosidad relativa a mano</t>
  </si>
  <si>
    <t>11 hileras de círculos</t>
  </si>
  <si>
    <t>si</t>
  </si>
  <si>
    <t>No</t>
  </si>
  <si>
    <t>Si</t>
  </si>
  <si>
    <t>Se promedia sólo los que tienen velocidades inferiores a 3</t>
  </si>
  <si>
    <t>Valores de rugosidad absoluta de Borja</t>
  </si>
  <si>
    <t>SIN TORNILLOS</t>
  </si>
  <si>
    <t>TODOS-20 mm</t>
  </si>
  <si>
    <t>TODOS-30 mm</t>
  </si>
  <si>
    <t>TODOS-40 mm</t>
  </si>
  <si>
    <t>50%-20 mm</t>
  </si>
  <si>
    <t>50%-30 mm</t>
  </si>
  <si>
    <t>50%-40 mm</t>
  </si>
  <si>
    <t>Sin Tornillos</t>
  </si>
  <si>
    <t>Rugosidad absoluta (mm)</t>
  </si>
  <si>
    <t>El diámetro interior de las tuberías el normalizado. Son tuberías PN10.</t>
  </si>
  <si>
    <t>V (m/s)</t>
  </si>
  <si>
    <t xml:space="preserve">Q (m3/h) </t>
  </si>
  <si>
    <t>Hf (kPa)</t>
  </si>
  <si>
    <t>Hf/V</t>
  </si>
  <si>
    <t>f</t>
  </si>
  <si>
    <t>2ª Karmann Prand</t>
  </si>
  <si>
    <t>La tubería DN250 tiene 540 tornillos y la DN300, 630</t>
  </si>
  <si>
    <t>PN</t>
  </si>
  <si>
    <t>DN</t>
  </si>
  <si>
    <t>Dinterior</t>
  </si>
  <si>
    <t>Tornillos por circunferencia (contados de las fotos)</t>
  </si>
  <si>
    <t>DIAMETRO 200</t>
  </si>
  <si>
    <t>PN16</t>
  </si>
  <si>
    <t>Características de los tornillos</t>
  </si>
  <si>
    <t>% tornillos</t>
  </si>
  <si>
    <t>depth (mm)</t>
  </si>
  <si>
    <t>mm3</t>
  </si>
  <si>
    <t>Número de coronas circulares de tornillos</t>
  </si>
  <si>
    <t>25%_Tornillos 20 mm</t>
  </si>
  <si>
    <t>Colebrook</t>
  </si>
  <si>
    <t>25%_Tornillos 30 mm</t>
  </si>
  <si>
    <t>25%_Tornillos 40 mm</t>
  </si>
  <si>
    <t>Kv</t>
  </si>
  <si>
    <t>Re</t>
  </si>
  <si>
    <t>Rugosidad abso (mm)</t>
  </si>
  <si>
    <t>Rugosidad Relativa</t>
  </si>
  <si>
    <t>f^0.5</t>
  </si>
  <si>
    <t>1/f^0.5</t>
  </si>
  <si>
    <t>10^(1/f^0.5)</t>
  </si>
  <si>
    <t>(1/10^(1/f^0.5))</t>
  </si>
  <si>
    <t>(1/10^(1/f^0.5))^0.5</t>
  </si>
  <si>
    <t>(1/10^(1/f^0.5))^0.5-(2.51/(Re*f^0.5))</t>
  </si>
  <si>
    <t>DE</t>
  </si>
  <si>
    <t>Area todos</t>
  </si>
  <si>
    <t>50%_Tornillos 20 mm</t>
  </si>
  <si>
    <t>50%_Tornillos 30 mm</t>
  </si>
  <si>
    <t>50%_Tornillos 40 mm</t>
  </si>
  <si>
    <t>Volumen Todos a 40mm</t>
  </si>
  <si>
    <t>m3</t>
  </si>
  <si>
    <t>%Volumen respecto al total</t>
  </si>
  <si>
    <t>% de tornillos respecto a los 540</t>
  </si>
  <si>
    <t xml:space="preserve">Volumen todos a 30mm </t>
  </si>
  <si>
    <t>Profundidad tornillos (m)</t>
  </si>
  <si>
    <t>Volumen todos a 20mm</t>
  </si>
  <si>
    <t>Volumen tornillos m3</t>
  </si>
  <si>
    <t>Absolute Roughness</t>
  </si>
  <si>
    <t>Velocidades (m/s)</t>
  </si>
  <si>
    <t>%volume occupied</t>
  </si>
  <si>
    <t>Average</t>
  </si>
  <si>
    <t>SD</t>
  </si>
  <si>
    <t>Max</t>
  </si>
  <si>
    <t>Min</t>
  </si>
  <si>
    <t>100%_Tornillos 20 mm</t>
  </si>
  <si>
    <t>100%_Tornillos 30 mm</t>
  </si>
  <si>
    <t>100%_Tornillos 40 mm</t>
  </si>
  <si>
    <t>50-20</t>
  </si>
  <si>
    <t>Rugos</t>
  </si>
  <si>
    <t>50-30</t>
  </si>
  <si>
    <t>100-30</t>
  </si>
  <si>
    <t>50-40</t>
  </si>
  <si>
    <t>100-40</t>
  </si>
  <si>
    <t>DN200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</si>
</sst>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0"/>
    <numFmt numFmtId="165" formatCode="0.000000"/>
    <numFmt numFmtId="166" formatCode="0.00000"/>
    <numFmt numFmtId="167" formatCode="0.0"/>
    <numFmt numFmtId="168" formatCode="0.000"/>
    <numFmt numFmtId="169" formatCode="0.0000"/>
    <numFmt numFmtId="170" formatCode="0.0000000000"/>
  </numFmts>
  <fonts count="2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  <charset val="1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sz val="2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2"/>
      <scheme val="major"/>
    </font>
    <font>
      <b/>
      <sz val="10"/>
      <color theme="1"/>
      <name val="Calibri"/>
      <family val="2"/>
      <scheme val="minor"/>
    </font>
    <font>
      <sz val="11"/>
      <color rgb="FF1F497D"/>
      <name val="Calibri Light"/>
      <family val="2"/>
    </font>
    <font>
      <b/>
      <sz val="10"/>
      <name val="Calibri"/>
      <family val="2"/>
      <scheme val="minor"/>
    </font>
    <font>
      <sz val="10"/>
      <color rgb="FFFF0000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sz val="12"/>
      <color theme="1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theme="1"/>
      <name val="Cambria"/>
      <family val="2"/>
      <scheme val="major"/>
    </font>
    <font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rgb="FFCC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</cellStyleXfs>
  <cellXfs count="102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167" fontId="0" fillId="0" borderId="0" xfId="0" applyNumberFormat="1"/>
    <xf numFmtId="0" fontId="0" fillId="0" borderId="1" xfId="0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/>
    <xf numFmtId="0" fontId="4" fillId="0" borderId="1" xfId="0" applyFont="1" applyBorder="1"/>
    <xf numFmtId="1" fontId="0" fillId="7" borderId="0" xfId="0" applyNumberFormat="1" applyFill="1"/>
    <xf numFmtId="168" fontId="0" fillId="0" borderId="0" xfId="0" applyNumberFormat="1"/>
    <xf numFmtId="169" fontId="0" fillId="0" borderId="0" xfId="0" applyNumberFormat="1"/>
    <xf numFmtId="167" fontId="10" fillId="0" borderId="0" xfId="0" applyNumberFormat="1" applyFont="1"/>
    <xf numFmtId="166" fontId="0" fillId="3" borderId="0" xfId="0" applyNumberFormat="1" applyFill="1"/>
    <xf numFmtId="0" fontId="13" fillId="0" borderId="0" xfId="1" applyFont="1"/>
    <xf numFmtId="0" fontId="14" fillId="8" borderId="0" xfId="1" applyFont="1" applyFill="1" applyBorder="1" applyAlignment="1">
      <alignment horizontal="center"/>
    </xf>
    <xf numFmtId="0" fontId="15" fillId="0" borderId="0" xfId="1" applyFont="1"/>
    <xf numFmtId="0" fontId="16" fillId="9" borderId="1" xfId="1" applyFont="1" applyFill="1" applyBorder="1" applyAlignment="1" applyProtection="1">
      <alignment horizontal="center" vertical="center"/>
    </xf>
    <xf numFmtId="0" fontId="16" fillId="9" borderId="1" xfId="1" applyFont="1" applyFill="1" applyBorder="1" applyAlignment="1" applyProtection="1">
      <alignment horizontal="center" vertical="center" wrapText="1"/>
    </xf>
    <xf numFmtId="0" fontId="16" fillId="9" borderId="0" xfId="1" applyFont="1" applyFill="1" applyBorder="1" applyAlignment="1" applyProtection="1">
      <alignment horizontal="center" vertical="center"/>
    </xf>
    <xf numFmtId="2" fontId="17" fillId="0" borderId="1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/>
    </xf>
    <xf numFmtId="169" fontId="13" fillId="0" borderId="0" xfId="1" applyNumberFormat="1" applyFont="1" applyBorder="1" applyAlignment="1">
      <alignment horizontal="center"/>
    </xf>
    <xf numFmtId="170" fontId="13" fillId="0" borderId="0" xfId="1" applyNumberFormat="1" applyFont="1" applyBorder="1" applyAlignment="1">
      <alignment horizontal="center"/>
    </xf>
    <xf numFmtId="2" fontId="13" fillId="0" borderId="0" xfId="1" applyNumberFormat="1" applyFont="1" applyBorder="1" applyAlignment="1">
      <alignment horizontal="center"/>
    </xf>
    <xf numFmtId="0" fontId="13" fillId="0" borderId="0" xfId="1" applyFont="1" applyFill="1"/>
    <xf numFmtId="0" fontId="13" fillId="4" borderId="0" xfId="1" applyFont="1" applyFill="1"/>
    <xf numFmtId="0" fontId="1" fillId="0" borderId="0" xfId="1"/>
    <xf numFmtId="169" fontId="18" fillId="0" borderId="0" xfId="1" applyNumberFormat="1" applyFont="1" applyBorder="1" applyAlignment="1">
      <alignment horizontal="center"/>
    </xf>
    <xf numFmtId="1" fontId="0" fillId="0" borderId="0" xfId="2" applyNumberFormat="1" applyFont="1"/>
    <xf numFmtId="1" fontId="1" fillId="0" borderId="0" xfId="1" applyNumberFormat="1"/>
    <xf numFmtId="2" fontId="1" fillId="0" borderId="0" xfId="1" applyNumberFormat="1"/>
    <xf numFmtId="167" fontId="1" fillId="0" borderId="0" xfId="1" applyNumberFormat="1"/>
    <xf numFmtId="0" fontId="14" fillId="8" borderId="1" xfId="1" applyFont="1" applyFill="1" applyBorder="1" applyAlignment="1">
      <alignment horizontal="center"/>
    </xf>
    <xf numFmtId="0" fontId="18" fillId="0" borderId="0" xfId="1" applyFont="1"/>
    <xf numFmtId="0" fontId="16" fillId="9" borderId="1" xfId="1" applyFont="1" applyFill="1" applyBorder="1" applyAlignment="1" applyProtection="1">
      <alignment horizontal="left" vertical="center"/>
    </xf>
    <xf numFmtId="0" fontId="18" fillId="11" borderId="0" xfId="1" applyFont="1" applyFill="1" applyAlignment="1">
      <alignment horizontal="center"/>
    </xf>
    <xf numFmtId="0" fontId="11" fillId="0" borderId="0" xfId="3"/>
    <xf numFmtId="0" fontId="1" fillId="4" borderId="0" xfId="1" applyFill="1"/>
    <xf numFmtId="2" fontId="13" fillId="0" borderId="0" xfId="1" applyNumberFormat="1" applyFont="1"/>
    <xf numFmtId="1" fontId="13" fillId="0" borderId="1" xfId="1" applyNumberFormat="1" applyFont="1" applyBorder="1" applyAlignment="1">
      <alignment horizontal="center"/>
    </xf>
    <xf numFmtId="169" fontId="13" fillId="0" borderId="1" xfId="1" applyNumberFormat="1" applyFont="1" applyBorder="1" applyAlignment="1">
      <alignment horizontal="center"/>
    </xf>
    <xf numFmtId="167" fontId="13" fillId="0" borderId="1" xfId="1" applyNumberFormat="1" applyFont="1" applyBorder="1" applyAlignment="1">
      <alignment horizontal="center"/>
    </xf>
    <xf numFmtId="168" fontId="13" fillId="0" borderId="0" xfId="1" applyNumberFormat="1" applyFont="1"/>
    <xf numFmtId="169" fontId="18" fillId="0" borderId="1" xfId="1" applyNumberFormat="1" applyFont="1" applyBorder="1" applyAlignment="1">
      <alignment horizontal="center"/>
    </xf>
    <xf numFmtId="2" fontId="18" fillId="0" borderId="1" xfId="1" applyNumberFormat="1" applyFont="1" applyBorder="1" applyAlignment="1">
      <alignment horizontal="center"/>
    </xf>
    <xf numFmtId="0" fontId="19" fillId="0" borderId="0" xfId="1" applyFont="1"/>
    <xf numFmtId="168" fontId="11" fillId="0" borderId="0" xfId="3" applyNumberFormat="1"/>
    <xf numFmtId="168" fontId="13" fillId="0" borderId="1" xfId="1" applyNumberFormat="1" applyFont="1" applyBorder="1" applyAlignment="1">
      <alignment horizontal="center"/>
    </xf>
    <xf numFmtId="167" fontId="13" fillId="0" borderId="0" xfId="1" applyNumberFormat="1" applyFont="1"/>
    <xf numFmtId="165" fontId="19" fillId="0" borderId="0" xfId="1" applyNumberFormat="1" applyFont="1"/>
    <xf numFmtId="2" fontId="17" fillId="4" borderId="1" xfId="1" applyNumberFormat="1" applyFont="1" applyFill="1" applyBorder="1" applyAlignment="1">
      <alignment horizontal="center"/>
    </xf>
    <xf numFmtId="2" fontId="18" fillId="0" borderId="0" xfId="1" applyNumberFormat="1" applyFont="1"/>
    <xf numFmtId="167" fontId="18" fillId="0" borderId="1" xfId="1" applyNumberFormat="1" applyFont="1" applyBorder="1" applyAlignment="1">
      <alignment horizontal="center"/>
    </xf>
    <xf numFmtId="168" fontId="18" fillId="0" borderId="1" xfId="1" applyNumberFormat="1" applyFont="1" applyBorder="1" applyAlignment="1">
      <alignment horizontal="center"/>
    </xf>
    <xf numFmtId="167" fontId="18" fillId="0" borderId="0" xfId="1" applyNumberFormat="1" applyFont="1"/>
    <xf numFmtId="168" fontId="18" fillId="0" borderId="0" xfId="1" applyNumberFormat="1" applyFont="1"/>
    <xf numFmtId="9" fontId="21" fillId="0" borderId="0" xfId="1" applyNumberFormat="1" applyFont="1"/>
    <xf numFmtId="0" fontId="21" fillId="0" borderId="0" xfId="1" applyFont="1"/>
    <xf numFmtId="2" fontId="21" fillId="0" borderId="0" xfId="1" applyNumberFormat="1" applyFont="1"/>
    <xf numFmtId="167" fontId="21" fillId="0" borderId="0" xfId="1" applyNumberFormat="1" applyFont="1"/>
    <xf numFmtId="2" fontId="22" fillId="0" borderId="0" xfId="3" applyNumberFormat="1" applyFont="1"/>
    <xf numFmtId="167" fontId="22" fillId="0" borderId="0" xfId="3" applyNumberFormat="1" applyFont="1"/>
    <xf numFmtId="169" fontId="13" fillId="0" borderId="0" xfId="1" applyNumberFormat="1" applyFont="1"/>
    <xf numFmtId="2" fontId="22" fillId="12" borderId="0" xfId="3" applyNumberFormat="1" applyFont="1" applyFill="1"/>
    <xf numFmtId="167" fontId="22" fillId="12" borderId="0" xfId="3" applyNumberFormat="1" applyFont="1" applyFill="1"/>
    <xf numFmtId="2" fontId="13" fillId="12" borderId="0" xfId="1" applyNumberFormat="1" applyFont="1" applyFill="1"/>
    <xf numFmtId="168" fontId="13" fillId="4" borderId="1" xfId="1" applyNumberFormat="1" applyFont="1" applyFill="1" applyBorder="1" applyAlignment="1">
      <alignment horizontal="center"/>
    </xf>
    <xf numFmtId="167" fontId="21" fillId="12" borderId="0" xfId="1" applyNumberFormat="1" applyFont="1" applyFill="1"/>
    <xf numFmtId="2" fontId="18" fillId="4" borderId="0" xfId="1" applyNumberFormat="1" applyFont="1" applyFill="1"/>
    <xf numFmtId="167" fontId="21" fillId="4" borderId="0" xfId="1" applyNumberFormat="1" applyFont="1" applyFill="1"/>
    <xf numFmtId="0" fontId="14" fillId="8" borderId="1" xfId="1" applyFont="1" applyFill="1" applyBorder="1" applyAlignment="1">
      <alignment horizontal="center"/>
    </xf>
    <xf numFmtId="9" fontId="19" fillId="0" borderId="0" xfId="1" applyNumberFormat="1" applyFont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9" fontId="14" fillId="10" borderId="1" xfId="1" applyNumberFormat="1" applyFont="1" applyFill="1" applyBorder="1" applyAlignment="1">
      <alignment horizontal="center"/>
    </xf>
    <xf numFmtId="0" fontId="14" fillId="10" borderId="1" xfId="1" applyFont="1" applyFill="1" applyBorder="1" applyAlignment="1">
      <alignment horizontal="center"/>
    </xf>
    <xf numFmtId="0" fontId="6" fillId="0" borderId="1" xfId="0" applyFont="1" applyBorder="1" applyAlignment="1"/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9" fillId="0" borderId="0" xfId="0" applyFont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Porcentaje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9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5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436603564979"/>
          <c:y val="3.1758594232263709E-2"/>
          <c:w val="0.84686774867192427"/>
          <c:h val="0.80320557323987152"/>
        </c:manualLayout>
      </c:layout>
      <c:scatterChart>
        <c:scatterStyle val="lineMarker"/>
        <c:varyColors val="0"/>
        <c:ser>
          <c:idx val="0"/>
          <c:order val="0"/>
          <c:tx>
            <c:v>DN200-50%-20mm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2419893694367113E-2"/>
                  <c:y val="1.1972924939597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datos'!$C$11:$C$15</c:f>
              <c:numCache>
                <c:formatCode>General</c:formatCode>
                <c:ptCount val="5"/>
                <c:pt idx="0">
                  <c:v>2.5562031604978839</c:v>
                </c:pt>
                <c:pt idx="1">
                  <c:v>4.8903132535256226</c:v>
                </c:pt>
                <c:pt idx="2">
                  <c:v>8.4785131029531478</c:v>
                </c:pt>
                <c:pt idx="3">
                  <c:v>12.287148438010977</c:v>
                </c:pt>
                <c:pt idx="4">
                  <c:v>16.830568725170171</c:v>
                </c:pt>
              </c:numCache>
            </c:numRef>
          </c:xVal>
          <c:yVal>
            <c:numRef>
              <c:f>'Todos los datos'!$J$11:$J$15</c:f>
              <c:numCache>
                <c:formatCode>General</c:formatCode>
                <c:ptCount val="5"/>
                <c:pt idx="0">
                  <c:v>6.3620506185438161</c:v>
                </c:pt>
                <c:pt idx="1">
                  <c:v>1.1285373588793213</c:v>
                </c:pt>
                <c:pt idx="2">
                  <c:v>0.34520757025085186</c:v>
                </c:pt>
                <c:pt idx="3">
                  <c:v>0.44052199219326077</c:v>
                </c:pt>
                <c:pt idx="4">
                  <c:v>0.40117310514006593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B-41FC-BC3B-23249655D986}"/>
            </c:ext>
          </c:extLst>
        </c:ser>
        <c:ser>
          <c:idx val="1"/>
          <c:order val="1"/>
          <c:tx>
            <c:v>DN200-50%-30mm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964443147701916E-2"/>
                  <c:y val="-2.9756958724669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datos'!$C$19:$C$23</c:f>
              <c:numCache>
                <c:formatCode>General</c:formatCode>
                <c:ptCount val="5"/>
                <c:pt idx="0">
                  <c:v>2.5318676127592057</c:v>
                </c:pt>
                <c:pt idx="1">
                  <c:v>4.8780668376572685</c:v>
                </c:pt>
                <c:pt idx="2">
                  <c:v>8.5152523505581961</c:v>
                </c:pt>
                <c:pt idx="3">
                  <c:v>12.23816277453756</c:v>
                </c:pt>
                <c:pt idx="4">
                  <c:v>16.548901160198035</c:v>
                </c:pt>
              </c:numCache>
            </c:numRef>
          </c:xVal>
          <c:yVal>
            <c:numRef>
              <c:f>'Todos los datos'!$J$19:$J$23</c:f>
              <c:numCache>
                <c:formatCode>General</c:formatCode>
                <c:ptCount val="5"/>
                <c:pt idx="0">
                  <c:v>19.512334367158797</c:v>
                </c:pt>
                <c:pt idx="1">
                  <c:v>9.0760491115794117</c:v>
                </c:pt>
                <c:pt idx="2">
                  <c:v>8.9036690863900976</c:v>
                </c:pt>
                <c:pt idx="3">
                  <c:v>8.7347674848651966</c:v>
                </c:pt>
                <c:pt idx="4">
                  <c:v>8.3976855979456264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B-41FC-BC3B-23249655D986}"/>
            </c:ext>
          </c:extLst>
        </c:ser>
        <c:ser>
          <c:idx val="2"/>
          <c:order val="2"/>
          <c:tx>
            <c:v>DN200-50%-40mm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180759812227662"/>
                  <c:y val="-5.8817769320867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datos'!$C$27:$C$31</c:f>
              <c:numCache>
                <c:formatCode>General</c:formatCode>
                <c:ptCount val="5"/>
                <c:pt idx="0">
                  <c:v>1.8261367283377756</c:v>
                </c:pt>
                <c:pt idx="1">
                  <c:v>4.8413275900522068</c:v>
                </c:pt>
                <c:pt idx="2">
                  <c:v>8.5397451822949026</c:v>
                </c:pt>
                <c:pt idx="3">
                  <c:v>12.213669942800854</c:v>
                </c:pt>
                <c:pt idx="4">
                  <c:v>15.152809751205723</c:v>
                </c:pt>
              </c:numCache>
            </c:numRef>
          </c:xVal>
          <c:yVal>
            <c:numRef>
              <c:f>'Todos los datos'!$J$27:$J$31</c:f>
              <c:numCache>
                <c:formatCode>General</c:formatCode>
                <c:ptCount val="5"/>
                <c:pt idx="0">
                  <c:v>41.706647853917083</c:v>
                </c:pt>
                <c:pt idx="1">
                  <c:v>23.739123812149234</c:v>
                </c:pt>
                <c:pt idx="2">
                  <c:v>23.268001339306391</c:v>
                </c:pt>
                <c:pt idx="3">
                  <c:v>22.304906255453194</c:v>
                </c:pt>
                <c:pt idx="4">
                  <c:v>22.53886061244663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B-41FC-BC3B-23249655D986}"/>
            </c:ext>
          </c:extLst>
        </c:ser>
        <c:ser>
          <c:idx val="3"/>
          <c:order val="3"/>
          <c:tx>
            <c:v>DN200-100%-30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827853341001902"/>
                  <c:y val="-7.0849940909696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datos'!$C$51:$C$55</c:f>
              <c:numCache>
                <c:formatCode>General</c:formatCode>
                <c:ptCount val="5"/>
                <c:pt idx="0">
                  <c:v>1.2189648122579491</c:v>
                </c:pt>
                <c:pt idx="1">
                  <c:v>3.0185785675326198</c:v>
                </c:pt>
                <c:pt idx="2">
                  <c:v>6.1149548403609479</c:v>
                </c:pt>
                <c:pt idx="3">
                  <c:v>9.1398195598442182</c:v>
                </c:pt>
                <c:pt idx="4">
                  <c:v>12.23816277453756</c:v>
                </c:pt>
              </c:numCache>
            </c:numRef>
          </c:xVal>
          <c:yVal>
            <c:numRef>
              <c:f>'Todos los datos'!$J$51:$J$55</c:f>
              <c:numCache>
                <c:formatCode>General</c:formatCode>
                <c:ptCount val="5"/>
                <c:pt idx="0">
                  <c:v>78.617960978162628</c:v>
                </c:pt>
                <c:pt idx="1">
                  <c:v>51.262772834985881</c:v>
                </c:pt>
                <c:pt idx="2">
                  <c:v>49.521654331223559</c:v>
                </c:pt>
                <c:pt idx="3">
                  <c:v>48.670269917767541</c:v>
                </c:pt>
                <c:pt idx="4">
                  <c:v>46.713773113564095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DB-41FC-BC3B-23249655D986}"/>
            </c:ext>
          </c:extLst>
        </c:ser>
        <c:ser>
          <c:idx val="4"/>
          <c:order val="4"/>
          <c:tx>
            <c:v>DN200-100%-40mm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3045770636226494E-2"/>
                  <c:y val="-8.5871599674340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datos'!$C$59:$C$63</c:f>
              <c:numCache>
                <c:formatCode>General</c:formatCode>
                <c:ptCount val="5"/>
                <c:pt idx="0">
                  <c:v>0.72982030271067821</c:v>
                </c:pt>
                <c:pt idx="1">
                  <c:v>2.5805387082365496</c:v>
                </c:pt>
                <c:pt idx="2">
                  <c:v>4.9025596693939635</c:v>
                </c:pt>
                <c:pt idx="3">
                  <c:v>6.6905363861735552</c:v>
                </c:pt>
                <c:pt idx="4">
                  <c:v>8.4662666870847954</c:v>
                </c:pt>
              </c:numCache>
            </c:numRef>
          </c:xVal>
          <c:yVal>
            <c:numRef>
              <c:f>'Todos los datos'!$J$59:$J$63</c:f>
              <c:numCache>
                <c:formatCode>General</c:formatCode>
                <c:ptCount val="5"/>
                <c:pt idx="0">
                  <c:v>145.09821482622135</c:v>
                </c:pt>
                <c:pt idx="1">
                  <c:v>116.8973137256047</c:v>
                </c:pt>
                <c:pt idx="2">
                  <c:v>111.4542190816031</c:v>
                </c:pt>
                <c:pt idx="3">
                  <c:v>110.35209663454609</c:v>
                </c:pt>
                <c:pt idx="4">
                  <c:v>109.3662207979549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DB-41FC-BC3B-23249655D986}"/>
            </c:ext>
          </c:extLst>
        </c:ser>
        <c:ser>
          <c:idx val="5"/>
          <c:order val="5"/>
          <c:tx>
            <c:v>DN200-Sin tornillos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954347705873833"/>
                  <c:y val="-2.3440278472417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datos'!$C$3:$C$7</c:f>
              <c:numCache>
                <c:formatCode>General</c:formatCode>
                <c:ptCount val="5"/>
                <c:pt idx="0">
                  <c:v>2.994243019793942</c:v>
                </c:pt>
                <c:pt idx="1">
                  <c:v>4.8168347583155002</c:v>
                </c:pt>
                <c:pt idx="2">
                  <c:v>8.5764844298999634</c:v>
                </c:pt>
                <c:pt idx="3">
                  <c:v>11.025767603570628</c:v>
                </c:pt>
                <c:pt idx="4">
                  <c:v>13.695486262871642</c:v>
                </c:pt>
              </c:numCache>
            </c:numRef>
          </c:xVal>
          <c:yVal>
            <c:numRef>
              <c:f>'Todos los datos'!$Q$3:$Q$7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1.5E-3</c:v>
                </c:pt>
                <c:pt idx="3">
                  <c:v>1.4E-3</c:v>
                </c:pt>
                <c:pt idx="4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DB-41FC-BC3B-23249655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94048"/>
        <c:axId val="732895296"/>
      </c:scatterChart>
      <c:valAx>
        <c:axId val="7328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Velocity (m</a:t>
                </a:r>
                <a:r>
                  <a:rPr lang="en-US" sz="2000" b="1" baseline="0"/>
                  <a:t> s</a:t>
                </a:r>
                <a:r>
                  <a:rPr lang="en-US" sz="2000" b="1" baseline="30000"/>
                  <a:t>-1</a:t>
                </a:r>
                <a:r>
                  <a:rPr lang="en-US" sz="2000" b="1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5296"/>
        <c:crosses val="autoZero"/>
        <c:crossBetween val="midCat"/>
        <c:majorUnit val="4"/>
      </c:valAx>
      <c:valAx>
        <c:axId val="732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Absolute Roughness (mm)</a:t>
                </a:r>
              </a:p>
            </c:rich>
          </c:tx>
          <c:layout>
            <c:manualLayout>
              <c:xMode val="edge"/>
              <c:yMode val="edge"/>
              <c:x val="4.0989400205657051E-3"/>
              <c:y val="0.2364769111693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2268320739647296"/>
          <c:y val="4.418429735785466E-2"/>
          <c:w val="0.24319605656712939"/>
          <c:h val="0.3477759693331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E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532176679161"/>
          <c:y val="3.5505364866374935E-2"/>
          <c:w val="0.85151121786285788"/>
          <c:h val="0.81334622935398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'Todos los datos'!$E$2</c:f>
              <c:strCache>
                <c:ptCount val="1"/>
                <c:pt idx="0">
                  <c:v>Pérdidas (kPa/m)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2703273903864404"/>
                  <c:y val="0.11273781563858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datos'!$E$3:$E$63</c:f>
              <c:numCache>
                <c:formatCode>General</c:formatCode>
                <c:ptCount val="61"/>
                <c:pt idx="0">
                  <c:v>0.34412274600005727</c:v>
                </c:pt>
                <c:pt idx="1">
                  <c:v>0.81574923825078083</c:v>
                </c:pt>
                <c:pt idx="2">
                  <c:v>2.5027209220706723</c:v>
                </c:pt>
                <c:pt idx="3">
                  <c:v>4.0082978011787542</c:v>
                </c:pt>
                <c:pt idx="4">
                  <c:v>6.0119208224915814</c:v>
                </c:pt>
                <c:pt idx="8">
                  <c:v>1.2283520937997727</c:v>
                </c:pt>
                <c:pt idx="9">
                  <c:v>2.3794970237450364</c:v>
                </c:pt>
                <c:pt idx="10">
                  <c:v>5.0909857161747363</c:v>
                </c:pt>
                <c:pt idx="11">
                  <c:v>11.384626192270453</c:v>
                </c:pt>
                <c:pt idx="12">
                  <c:v>20.805002949944726</c:v>
                </c:pt>
                <c:pt idx="16">
                  <c:v>2.1057235200528632</c:v>
                </c:pt>
                <c:pt idx="17">
                  <c:v>5.2498923743434727</c:v>
                </c:pt>
                <c:pt idx="18">
                  <c:v>15.850568164052182</c:v>
                </c:pt>
                <c:pt idx="19">
                  <c:v>32.445216468320183</c:v>
                </c:pt>
                <c:pt idx="20">
                  <c:v>58.248510706209807</c:v>
                </c:pt>
                <c:pt idx="24">
                  <c:v>1.7936448200582271</c:v>
                </c:pt>
                <c:pt idx="25">
                  <c:v>8.6453557084469725</c:v>
                </c:pt>
                <c:pt idx="26">
                  <c:v>26.571542839843634</c:v>
                </c:pt>
                <c:pt idx="27">
                  <c:v>52.984514153534725</c:v>
                </c:pt>
                <c:pt idx="28">
                  <c:v>82.063962424964629</c:v>
                </c:pt>
                <c:pt idx="32">
                  <c:v>0.3441227460000571</c:v>
                </c:pt>
                <c:pt idx="33">
                  <c:v>0.81574923825078083</c:v>
                </c:pt>
                <c:pt idx="34">
                  <c:v>2.5027209220706768</c:v>
                </c:pt>
                <c:pt idx="35">
                  <c:v>4.008297801178756</c:v>
                </c:pt>
                <c:pt idx="36">
                  <c:v>6.0119208224915859</c:v>
                </c:pt>
                <c:pt idx="48">
                  <c:v>1.3599336523862313</c:v>
                </c:pt>
                <c:pt idx="49">
                  <c:v>5.7389904127593505</c:v>
                </c:pt>
                <c:pt idx="50">
                  <c:v>22.914452117812942</c:v>
                </c:pt>
                <c:pt idx="51">
                  <c:v>50.499589459404163</c:v>
                </c:pt>
                <c:pt idx="52">
                  <c:v>87.707645024483156</c:v>
                </c:pt>
                <c:pt idx="56">
                  <c:v>0.9790045624914181</c:v>
                </c:pt>
                <c:pt idx="57">
                  <c:v>9.3005147097296348</c:v>
                </c:pt>
                <c:pt idx="58">
                  <c:v>31.745563963958357</c:v>
                </c:pt>
                <c:pt idx="59">
                  <c:v>58.45043364696172</c:v>
                </c:pt>
                <c:pt idx="60">
                  <c:v>92.637357534018165</c:v>
                </c:pt>
              </c:numCache>
            </c:numRef>
          </c:xVal>
          <c:yVal>
            <c:numRef>
              <c:f>'Todos los datos'!$I$3:$I$63</c:f>
              <c:numCache>
                <c:formatCode>General</c:formatCode>
                <c:ptCount val="61"/>
                <c:pt idx="0">
                  <c:v>0.38285586166290497</c:v>
                </c:pt>
                <c:pt idx="1">
                  <c:v>0.90974708673094662</c:v>
                </c:pt>
                <c:pt idx="2">
                  <c:v>2.4720259292372462</c:v>
                </c:pt>
                <c:pt idx="3">
                  <c:v>3.9166712940525787</c:v>
                </c:pt>
                <c:pt idx="4">
                  <c:v>5.8831091804716236</c:v>
                </c:pt>
                <c:pt idx="8">
                  <c:v>1.2062020866778485</c:v>
                </c:pt>
                <c:pt idx="9">
                  <c:v>2.3385271335404174</c:v>
                </c:pt>
                <c:pt idx="10">
                  <c:v>5.0065636531296001</c:v>
                </c:pt>
                <c:pt idx="11">
                  <c:v>11.185953246028772</c:v>
                </c:pt>
                <c:pt idx="12">
                  <c:v>20.436001589638838</c:v>
                </c:pt>
                <c:pt idx="16">
                  <c:v>2.066489295552405</c:v>
                </c:pt>
                <c:pt idx="17">
                  <c:v>5.1516792562134235</c:v>
                </c:pt>
                <c:pt idx="18">
                  <c:v>15.550439626516667</c:v>
                </c:pt>
                <c:pt idx="19">
                  <c:v>31.827598303219393</c:v>
                </c:pt>
                <c:pt idx="20">
                  <c:v>57.136155879382919</c:v>
                </c:pt>
                <c:pt idx="24">
                  <c:v>1.7600947386971961</c:v>
                </c:pt>
                <c:pt idx="25">
                  <c:v>8.48135671016054</c:v>
                </c:pt>
                <c:pt idx="26">
                  <c:v>26.063834621718033</c:v>
                </c:pt>
                <c:pt idx="27">
                  <c:v>51.96916144687286</c:v>
                </c:pt>
                <c:pt idx="28">
                  <c:v>80.488908194006171</c:v>
                </c:pt>
                <c:pt idx="32">
                  <c:v>0.38285586166290608</c:v>
                </c:pt>
                <c:pt idx="33">
                  <c:v>0.90974708673094395</c:v>
                </c:pt>
                <c:pt idx="34">
                  <c:v>2.4720259292372466</c:v>
                </c:pt>
                <c:pt idx="35">
                  <c:v>3.9166712940525814</c:v>
                </c:pt>
                <c:pt idx="36">
                  <c:v>5.883109180471628</c:v>
                </c:pt>
                <c:pt idx="48">
                  <c:v>1.3345672773669226</c:v>
                </c:pt>
                <c:pt idx="49">
                  <c:v>5.6301589382084583</c:v>
                </c:pt>
                <c:pt idx="50">
                  <c:v>22.476097944122312</c:v>
                </c:pt>
                <c:pt idx="51">
                  <c:v>49.53054581739309</c:v>
                </c:pt>
                <c:pt idx="52">
                  <c:v>86.021948196487998</c:v>
                </c:pt>
                <c:pt idx="56">
                  <c:v>0.96095624323764184</c:v>
                </c:pt>
                <c:pt idx="57">
                  <c:v>9.1235867674656905</c:v>
                </c:pt>
                <c:pt idx="58">
                  <c:v>31.137469670234474</c:v>
                </c:pt>
                <c:pt idx="59">
                  <c:v>57.328312098936273</c:v>
                </c:pt>
                <c:pt idx="60">
                  <c:v>90.856573339617682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9D7-8D1F-6E33623E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2944"/>
        <c:axId val="189583360"/>
      </c:scatterChart>
      <c:valAx>
        <c:axId val="1895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 b="1"/>
                  <a:t>Experimental Head Losses (kPa m</a:t>
                </a:r>
                <a:r>
                  <a:rPr lang="es-ES" sz="2000" b="1" baseline="30000"/>
                  <a:t>-1</a:t>
                </a:r>
                <a:r>
                  <a:rPr lang="es-ES" sz="20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83360"/>
        <c:crosses val="autoZero"/>
        <c:crossBetween val="midCat"/>
        <c:majorUnit val="10"/>
        <c:minorUnit val="5"/>
      </c:valAx>
      <c:valAx>
        <c:axId val="18958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 b="1"/>
                  <a:t>Adjusted</a:t>
                </a:r>
                <a:r>
                  <a:rPr lang="es-ES" sz="2000" b="1" baseline="0"/>
                  <a:t> Head Losses (kPa m</a:t>
                </a:r>
                <a:r>
                  <a:rPr lang="es-ES" sz="2000" b="1" baseline="30000"/>
                  <a:t>-1</a:t>
                </a:r>
                <a:r>
                  <a:rPr lang="es-ES" sz="2000" b="1" baseline="0"/>
                  <a:t>)</a:t>
                </a:r>
                <a:endParaRPr lang="es-E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82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532176679161"/>
          <c:y val="3.5505364866374935E-2"/>
          <c:w val="0.85151121786285788"/>
          <c:h val="0.8133462293539828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0126728191091823"/>
                  <c:y val="3.8435111670882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datos'!$E$3:$E$63</c:f>
              <c:numCache>
                <c:formatCode>General</c:formatCode>
                <c:ptCount val="61"/>
                <c:pt idx="0">
                  <c:v>0.34412274600005727</c:v>
                </c:pt>
                <c:pt idx="1">
                  <c:v>0.81574923825078083</c:v>
                </c:pt>
                <c:pt idx="2">
                  <c:v>2.5027209220706723</c:v>
                </c:pt>
                <c:pt idx="3">
                  <c:v>4.0082978011787542</c:v>
                </c:pt>
                <c:pt idx="4">
                  <c:v>6.0119208224915814</c:v>
                </c:pt>
                <c:pt idx="8">
                  <c:v>1.2283520937997727</c:v>
                </c:pt>
                <c:pt idx="9">
                  <c:v>2.3794970237450364</c:v>
                </c:pt>
                <c:pt idx="10">
                  <c:v>5.0909857161747363</c:v>
                </c:pt>
                <c:pt idx="11">
                  <c:v>11.384626192270453</c:v>
                </c:pt>
                <c:pt idx="12">
                  <c:v>20.805002949944726</c:v>
                </c:pt>
                <c:pt idx="16">
                  <c:v>2.1057235200528632</c:v>
                </c:pt>
                <c:pt idx="17">
                  <c:v>5.2498923743434727</c:v>
                </c:pt>
                <c:pt idx="18">
                  <c:v>15.850568164052182</c:v>
                </c:pt>
                <c:pt idx="19">
                  <c:v>32.445216468320183</c:v>
                </c:pt>
                <c:pt idx="20">
                  <c:v>58.248510706209807</c:v>
                </c:pt>
                <c:pt idx="24">
                  <c:v>1.7936448200582271</c:v>
                </c:pt>
                <c:pt idx="25">
                  <c:v>8.6453557084469725</c:v>
                </c:pt>
                <c:pt idx="26">
                  <c:v>26.571542839843634</c:v>
                </c:pt>
                <c:pt idx="27">
                  <c:v>52.984514153534725</c:v>
                </c:pt>
                <c:pt idx="28">
                  <c:v>82.063962424964629</c:v>
                </c:pt>
                <c:pt idx="32">
                  <c:v>0.3441227460000571</c:v>
                </c:pt>
                <c:pt idx="33">
                  <c:v>0.81574923825078083</c:v>
                </c:pt>
                <c:pt idx="34">
                  <c:v>2.5027209220706768</c:v>
                </c:pt>
                <c:pt idx="35">
                  <c:v>4.008297801178756</c:v>
                </c:pt>
                <c:pt idx="36">
                  <c:v>6.0119208224915859</c:v>
                </c:pt>
                <c:pt idx="48">
                  <c:v>1.3599336523862313</c:v>
                </c:pt>
                <c:pt idx="49">
                  <c:v>5.7389904127593505</c:v>
                </c:pt>
                <c:pt idx="50">
                  <c:v>22.914452117812942</c:v>
                </c:pt>
                <c:pt idx="51">
                  <c:v>50.499589459404163</c:v>
                </c:pt>
                <c:pt idx="52">
                  <c:v>87.707645024483156</c:v>
                </c:pt>
                <c:pt idx="56">
                  <c:v>0.9790045624914181</c:v>
                </c:pt>
                <c:pt idx="57">
                  <c:v>9.3005147097296348</c:v>
                </c:pt>
                <c:pt idx="58">
                  <c:v>31.745563963958357</c:v>
                </c:pt>
                <c:pt idx="59">
                  <c:v>58.45043364696172</c:v>
                </c:pt>
                <c:pt idx="60">
                  <c:v>92.637357534018165</c:v>
                </c:pt>
              </c:numCache>
            </c:numRef>
          </c:xVal>
          <c:yVal>
            <c:numRef>
              <c:f>'Todos los datos'!$AA$3:$AA$63</c:f>
              <c:numCache>
                <c:formatCode>General</c:formatCode>
                <c:ptCount val="61"/>
                <c:pt idx="0">
                  <c:v>0.84770073985516248</c:v>
                </c:pt>
                <c:pt idx="1">
                  <c:v>2.1860473012839958</c:v>
                </c:pt>
                <c:pt idx="2">
                  <c:v>6.9116631089155192</c:v>
                </c:pt>
                <c:pt idx="3">
                  <c:v>11.413833437743765</c:v>
                </c:pt>
                <c:pt idx="4">
                  <c:v>17.60044550075666</c:v>
                </c:pt>
                <c:pt idx="8">
                  <c:v>1.2577308268154814</c:v>
                </c:pt>
                <c:pt idx="9">
                  <c:v>4.5983485735711103</c:v>
                </c:pt>
                <c:pt idx="10">
                  <c:v>13.814553662855271</c:v>
                </c:pt>
                <c:pt idx="11">
                  <c:v>29.006628907090455</c:v>
                </c:pt>
                <c:pt idx="12">
                  <c:v>54.416286065034562</c:v>
                </c:pt>
                <c:pt idx="16">
                  <c:v>3.8837374622591607</c:v>
                </c:pt>
                <c:pt idx="17">
                  <c:v>14.412675804684559</c:v>
                </c:pt>
                <c:pt idx="18">
                  <c:v>43.912275914017833</c:v>
                </c:pt>
                <c:pt idx="19">
                  <c:v>90.698152750742324</c:v>
                </c:pt>
                <c:pt idx="20">
                  <c:v>165.83987730637568</c:v>
                </c:pt>
                <c:pt idx="24">
                  <c:v>3.4246132679118797</c:v>
                </c:pt>
                <c:pt idx="25">
                  <c:v>24.061507197668309</c:v>
                </c:pt>
                <c:pt idx="26">
                  <c:v>74.858426909396584</c:v>
                </c:pt>
                <c:pt idx="27">
                  <c:v>153.1177238875801</c:v>
                </c:pt>
                <c:pt idx="28">
                  <c:v>235.67374199554192</c:v>
                </c:pt>
                <c:pt idx="32">
                  <c:v>0.84770073985516381</c:v>
                </c:pt>
                <c:pt idx="33">
                  <c:v>2.1860473012839918</c:v>
                </c:pt>
                <c:pt idx="34">
                  <c:v>6.9116631089155245</c:v>
                </c:pt>
                <c:pt idx="35">
                  <c:v>11.413833437743769</c:v>
                </c:pt>
                <c:pt idx="36">
                  <c:v>17.600445500756695</c:v>
                </c:pt>
                <c:pt idx="48">
                  <c:v>2.6771608696274947</c:v>
                </c:pt>
                <c:pt idx="49">
                  <c:v>16.410675445106659</c:v>
                </c:pt>
                <c:pt idx="50">
                  <c:v>67.335546664405015</c:v>
                </c:pt>
                <c:pt idx="51">
                  <c:v>150.42200648545921</c:v>
                </c:pt>
                <c:pt idx="52">
                  <c:v>269.68516262442705</c:v>
                </c:pt>
                <c:pt idx="56">
                  <c:v>2.3210347060752641</c:v>
                </c:pt>
                <c:pt idx="57">
                  <c:v>28.99793921078787</c:v>
                </c:pt>
                <c:pt idx="58">
                  <c:v>104.64759764566875</c:v>
                </c:pt>
                <c:pt idx="59">
                  <c:v>194.88827959767067</c:v>
                </c:pt>
                <c:pt idx="60">
                  <c:v>312.05857895226734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B-4B4B-A905-E786B718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2944"/>
        <c:axId val="189583360"/>
      </c:scatterChart>
      <c:valAx>
        <c:axId val="1895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 b="1"/>
                  <a:t>Experimental Head Losses (kPa m</a:t>
                </a:r>
                <a:r>
                  <a:rPr lang="es-ES" sz="2000" b="1" baseline="30000"/>
                  <a:t>-1</a:t>
                </a:r>
                <a:r>
                  <a:rPr lang="es-ES" sz="20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83360"/>
        <c:crosses val="autoZero"/>
        <c:crossBetween val="midCat"/>
        <c:majorUnit val="10"/>
        <c:minorUnit val="5"/>
      </c:valAx>
      <c:valAx>
        <c:axId val="18958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 b="1"/>
                  <a:t>Adjusted</a:t>
                </a:r>
                <a:r>
                  <a:rPr lang="es-ES" sz="2000" b="1" baseline="0"/>
                  <a:t> Head Losses (kPa m</a:t>
                </a:r>
                <a:r>
                  <a:rPr lang="es-ES" sz="2000" b="1" baseline="30000"/>
                  <a:t>-1</a:t>
                </a:r>
                <a:r>
                  <a:rPr lang="es-ES" sz="2000" b="1" baseline="0"/>
                  <a:t>)</a:t>
                </a:r>
                <a:endParaRPr lang="es-E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82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40087608502861"/>
          <c:y val="5.105782778478668E-2"/>
          <c:w val="0.79954669318212357"/>
          <c:h val="0.80193038794432669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730128187901427"/>
                  <c:y val="-8.7601488456240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</a:t>
                    </a:r>
                    <a:r>
                      <a:rPr lang="en-US" sz="1200" baseline="-25000"/>
                      <a:t>1</a:t>
                    </a:r>
                    <a:r>
                      <a:rPr lang="en-US" sz="1200" baseline="0"/>
                      <a:t> = -0.0025x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+ 0.5216x + 2.269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0.9706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mitad_tornillos!$AB$37:$AB$44</c:f>
              <c:numCache>
                <c:formatCode>General</c:formatCode>
                <c:ptCount val="8"/>
                <c:pt idx="0">
                  <c:v>118.63260000000001</c:v>
                </c:pt>
                <c:pt idx="1">
                  <c:v>54.924000000000007</c:v>
                </c:pt>
                <c:pt idx="4">
                  <c:v>26.711460000000002</c:v>
                </c:pt>
                <c:pt idx="5">
                  <c:v>10.924821000000001</c:v>
                </c:pt>
                <c:pt idx="6">
                  <c:v>1.6629780000000001</c:v>
                </c:pt>
                <c:pt idx="7">
                  <c:v>1.6000000000000001E-3</c:v>
                </c:pt>
              </c:numCache>
            </c:numRef>
          </c:xVal>
          <c:yVal>
            <c:numRef>
              <c:f>mitad_tornillos!$AA$37:$AA$44</c:f>
              <c:numCache>
                <c:formatCode>0.0</c:formatCode>
                <c:ptCount val="8"/>
                <c:pt idx="0">
                  <c:v>29.46729092490293</c:v>
                </c:pt>
                <c:pt idx="1">
                  <c:v>22.100468193677195</c:v>
                </c:pt>
                <c:pt idx="4">
                  <c:v>14.733645462451465</c:v>
                </c:pt>
                <c:pt idx="5">
                  <c:v>11.050234096838597</c:v>
                </c:pt>
                <c:pt idx="6">
                  <c:v>7.3668227312257324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B-48EB-B234-6BDD1736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9760"/>
        <c:axId val="27705600"/>
      </c:scatte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383870360914782"/>
                  <c:y val="-4.319812503854773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</a:t>
                    </a:r>
                    <a:r>
                      <a:rPr lang="en-US" sz="1200" baseline="-25000"/>
                      <a:t>2</a:t>
                    </a:r>
                    <a:r>
                      <a:rPr lang="en-US" sz="1200" baseline="0"/>
                      <a:t> = 15.229x</a:t>
                    </a:r>
                    <a:r>
                      <a:rPr lang="en-US" sz="1200" baseline="30000"/>
                      <a:t>-1.451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0.8308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datos'!$C$11:$C$15</c:f>
              <c:numCache>
                <c:formatCode>General</c:formatCode>
                <c:ptCount val="5"/>
                <c:pt idx="0">
                  <c:v>2.5562031604978839</c:v>
                </c:pt>
                <c:pt idx="1">
                  <c:v>4.8903132535256226</c:v>
                </c:pt>
                <c:pt idx="2">
                  <c:v>8.4785131029531478</c:v>
                </c:pt>
                <c:pt idx="3">
                  <c:v>12.287148438010977</c:v>
                </c:pt>
                <c:pt idx="4">
                  <c:v>16.830568725170171</c:v>
                </c:pt>
              </c:numCache>
            </c:numRef>
          </c:xVal>
          <c:yVal>
            <c:numRef>
              <c:f>'Todos los datos'!$Q$11:$Q$15</c:f>
              <c:numCache>
                <c:formatCode>General</c:formatCode>
                <c:ptCount val="5"/>
                <c:pt idx="0">
                  <c:v>6</c:v>
                </c:pt>
                <c:pt idx="1">
                  <c:v>1.1280000000000001</c:v>
                </c:pt>
                <c:pt idx="2">
                  <c:v>0.34520000000000001</c:v>
                </c:pt>
                <c:pt idx="3">
                  <c:v>0.44052000000000002</c:v>
                </c:pt>
                <c:pt idx="4">
                  <c:v>0.40117000000000003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B-48EB-B234-6BDD1736513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863024374512913"/>
                  <c:y val="-4.43041878250857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</a:t>
                    </a:r>
                    <a:r>
                      <a:rPr lang="en-US" sz="1200" baseline="-25000"/>
                      <a:t>2</a:t>
                    </a:r>
                    <a:r>
                      <a:rPr lang="en-US" sz="1200" baseline="0"/>
                      <a:t> = 434.82x</a:t>
                    </a:r>
                    <a:r>
                      <a:rPr lang="en-US" sz="1200" baseline="30000"/>
                      <a:t>-1.751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0.7022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datos'!$Q$19:$Q$23</c:f>
              <c:numCache>
                <c:formatCode>General</c:formatCode>
                <c:ptCount val="5"/>
                <c:pt idx="0">
                  <c:v>19.512</c:v>
                </c:pt>
                <c:pt idx="1">
                  <c:v>9.0760000000000005</c:v>
                </c:pt>
                <c:pt idx="2">
                  <c:v>8.9036600000000004</c:v>
                </c:pt>
                <c:pt idx="3">
                  <c:v>8.7347599999999996</c:v>
                </c:pt>
                <c:pt idx="4">
                  <c:v>8.397685000000001</c:v>
                </c:pt>
              </c:numCache>
            </c:numRef>
          </c:xVal>
          <c:yVal>
            <c:numRef>
              <c:f>'Todos los datos'!$C$19:$C$23</c:f>
              <c:numCache>
                <c:formatCode>General</c:formatCode>
                <c:ptCount val="5"/>
                <c:pt idx="0">
                  <c:v>2.5318676127592057</c:v>
                </c:pt>
                <c:pt idx="1">
                  <c:v>4.8780668376572685</c:v>
                </c:pt>
                <c:pt idx="2">
                  <c:v>8.5152523505581961</c:v>
                </c:pt>
                <c:pt idx="3">
                  <c:v>12.23816277453756</c:v>
                </c:pt>
                <c:pt idx="4">
                  <c:v>16.548901160198035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B-48EB-B234-6BDD1736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57104"/>
        <c:axId val="737652704"/>
      </c:scatterChart>
      <c:valAx>
        <c:axId val="27709760"/>
        <c:scaling>
          <c:orientation val="minMax"/>
          <c:max val="1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Absolute roughness (mm)</a:t>
                </a:r>
              </a:p>
            </c:rich>
          </c:tx>
          <c:layout>
            <c:manualLayout>
              <c:xMode val="edge"/>
              <c:yMode val="edge"/>
              <c:x val="0.37576942302007471"/>
              <c:y val="0.93221520939125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5600"/>
        <c:crosses val="autoZero"/>
        <c:crossBetween val="midCat"/>
        <c:majorUnit val="20"/>
        <c:minorUnit val="10"/>
      </c:valAx>
      <c:valAx>
        <c:axId val="2770560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Pipe cross-sectional area</a:t>
                </a:r>
                <a:r>
                  <a:rPr lang="en-US" sz="2400" b="1" baseline="0"/>
                  <a:t> occupied by screws (%)</a:t>
                </a:r>
                <a:endParaRPr lang="en-US" sz="2400" b="1"/>
              </a:p>
            </c:rich>
          </c:tx>
          <c:layout>
            <c:manualLayout>
              <c:xMode val="edge"/>
              <c:yMode val="edge"/>
              <c:x val="4.3590336190911291E-3"/>
              <c:y val="8.21386073477107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9760"/>
        <c:crosses val="autoZero"/>
        <c:crossBetween val="midCat"/>
        <c:majorUnit val="5"/>
        <c:minorUnit val="5"/>
      </c:valAx>
      <c:valAx>
        <c:axId val="737652704"/>
        <c:scaling>
          <c:orientation val="minMax"/>
          <c:max val="2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857104"/>
        <c:crosses val="max"/>
        <c:crossBetween val="midCat"/>
      </c:valAx>
      <c:valAx>
        <c:axId val="32285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652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3360371049509224E-2"/>
                  <c:y val="3.1237000780307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datos'!$I$11:$I$15</c:f>
              <c:numCache>
                <c:formatCode>General</c:formatCode>
                <c:ptCount val="5"/>
                <c:pt idx="0">
                  <c:v>1.2062020866778485</c:v>
                </c:pt>
                <c:pt idx="1">
                  <c:v>2.3385271335404174</c:v>
                </c:pt>
                <c:pt idx="2">
                  <c:v>5.0065636531296001</c:v>
                </c:pt>
                <c:pt idx="3">
                  <c:v>11.185953246028772</c:v>
                </c:pt>
                <c:pt idx="4">
                  <c:v>20.436001589638838</c:v>
                </c:pt>
              </c:numCache>
            </c:numRef>
          </c:xVal>
          <c:yVal>
            <c:numRef>
              <c:f>'Todos los datos'!$J$11:$J$15</c:f>
              <c:numCache>
                <c:formatCode>General</c:formatCode>
                <c:ptCount val="5"/>
                <c:pt idx="0">
                  <c:v>6.3620506185438161</c:v>
                </c:pt>
                <c:pt idx="1">
                  <c:v>1.1285373588793213</c:v>
                </c:pt>
                <c:pt idx="2">
                  <c:v>0.34520757025085186</c:v>
                </c:pt>
                <c:pt idx="3">
                  <c:v>0.44052199219326077</c:v>
                </c:pt>
                <c:pt idx="4">
                  <c:v>0.40117310514006593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8-48BE-A367-E1566ACB25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datos'!$I$19:$I$23</c:f>
              <c:numCache>
                <c:formatCode>General</c:formatCode>
                <c:ptCount val="5"/>
                <c:pt idx="0">
                  <c:v>2.066489295552405</c:v>
                </c:pt>
                <c:pt idx="1">
                  <c:v>5.1516792562134235</c:v>
                </c:pt>
                <c:pt idx="2">
                  <c:v>15.550439626516667</c:v>
                </c:pt>
                <c:pt idx="3">
                  <c:v>31.827598303219393</c:v>
                </c:pt>
                <c:pt idx="4">
                  <c:v>57.136155879382919</c:v>
                </c:pt>
              </c:numCache>
            </c:numRef>
          </c:xVal>
          <c:yVal>
            <c:numRef>
              <c:f>'Todos los datos'!$J$19:$J$23</c:f>
              <c:numCache>
                <c:formatCode>General</c:formatCode>
                <c:ptCount val="5"/>
                <c:pt idx="0">
                  <c:v>19.512334367158797</c:v>
                </c:pt>
                <c:pt idx="1">
                  <c:v>9.0760491115794117</c:v>
                </c:pt>
                <c:pt idx="2">
                  <c:v>8.9036690863900976</c:v>
                </c:pt>
                <c:pt idx="3">
                  <c:v>8.7347674848651966</c:v>
                </c:pt>
                <c:pt idx="4">
                  <c:v>8.3976855979456264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8-48BE-A367-E1566ACB25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datos'!$I$27:$I$31</c:f>
              <c:numCache>
                <c:formatCode>General</c:formatCode>
                <c:ptCount val="5"/>
                <c:pt idx="0">
                  <c:v>1.7600947386971961</c:v>
                </c:pt>
                <c:pt idx="1">
                  <c:v>8.48135671016054</c:v>
                </c:pt>
                <c:pt idx="2">
                  <c:v>26.063834621718033</c:v>
                </c:pt>
                <c:pt idx="3">
                  <c:v>51.96916144687286</c:v>
                </c:pt>
                <c:pt idx="4">
                  <c:v>80.488908194006171</c:v>
                </c:pt>
              </c:numCache>
            </c:numRef>
          </c:xVal>
          <c:yVal>
            <c:numRef>
              <c:f>'Todos los datos'!$J$27:$J$31</c:f>
              <c:numCache>
                <c:formatCode>General</c:formatCode>
                <c:ptCount val="5"/>
                <c:pt idx="0">
                  <c:v>41.706647853917083</c:v>
                </c:pt>
                <c:pt idx="1">
                  <c:v>23.739123812149234</c:v>
                </c:pt>
                <c:pt idx="2">
                  <c:v>23.268001339306391</c:v>
                </c:pt>
                <c:pt idx="3">
                  <c:v>22.304906255453194</c:v>
                </c:pt>
                <c:pt idx="4">
                  <c:v>22.53886061244663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8-48BE-A367-E1566ACB25A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datos'!$I$51:$I$55</c:f>
              <c:numCache>
                <c:formatCode>General</c:formatCode>
                <c:ptCount val="5"/>
                <c:pt idx="0">
                  <c:v>1.3345672773669226</c:v>
                </c:pt>
                <c:pt idx="1">
                  <c:v>5.6301589382084583</c:v>
                </c:pt>
                <c:pt idx="2">
                  <c:v>22.476097944122312</c:v>
                </c:pt>
                <c:pt idx="3">
                  <c:v>49.53054581739309</c:v>
                </c:pt>
                <c:pt idx="4">
                  <c:v>86.021948196487998</c:v>
                </c:pt>
              </c:numCache>
            </c:numRef>
          </c:xVal>
          <c:yVal>
            <c:numRef>
              <c:f>'Todos los datos'!$J$51:$J$55</c:f>
              <c:numCache>
                <c:formatCode>General</c:formatCode>
                <c:ptCount val="5"/>
                <c:pt idx="0">
                  <c:v>78.617960978162628</c:v>
                </c:pt>
                <c:pt idx="1">
                  <c:v>51.262772834985881</c:v>
                </c:pt>
                <c:pt idx="2">
                  <c:v>49.521654331223559</c:v>
                </c:pt>
                <c:pt idx="3">
                  <c:v>48.670269917767541</c:v>
                </c:pt>
                <c:pt idx="4">
                  <c:v>46.713773113564095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8-48BE-A367-E1566ACB25A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datos'!$I$59:$I$63</c:f>
              <c:numCache>
                <c:formatCode>General</c:formatCode>
                <c:ptCount val="5"/>
                <c:pt idx="0">
                  <c:v>0.96095624323764184</c:v>
                </c:pt>
                <c:pt idx="1">
                  <c:v>9.1235867674656905</c:v>
                </c:pt>
                <c:pt idx="2">
                  <c:v>31.137469670234474</c:v>
                </c:pt>
                <c:pt idx="3">
                  <c:v>57.328312098936273</c:v>
                </c:pt>
                <c:pt idx="4">
                  <c:v>90.856573339617682</c:v>
                </c:pt>
              </c:numCache>
            </c:numRef>
          </c:xVal>
          <c:yVal>
            <c:numRef>
              <c:f>'Todos los datos'!$J$59:$J$63</c:f>
              <c:numCache>
                <c:formatCode>General</c:formatCode>
                <c:ptCount val="5"/>
                <c:pt idx="0">
                  <c:v>145.09821482622135</c:v>
                </c:pt>
                <c:pt idx="1">
                  <c:v>116.8973137256047</c:v>
                </c:pt>
                <c:pt idx="2">
                  <c:v>111.4542190816031</c:v>
                </c:pt>
                <c:pt idx="3">
                  <c:v>110.35209663454609</c:v>
                </c:pt>
                <c:pt idx="4">
                  <c:v>109.3662207979549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C8-48BE-A367-E1566ACB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94048"/>
        <c:axId val="732895296"/>
      </c:scatterChart>
      <c:valAx>
        <c:axId val="7328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5296"/>
        <c:crosses val="autoZero"/>
        <c:crossBetween val="midCat"/>
      </c:valAx>
      <c:valAx>
        <c:axId val="732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436603564979"/>
          <c:y val="3.1758594232263709E-2"/>
          <c:w val="0.84686774867192427"/>
          <c:h val="0.80320557323987152"/>
        </c:manualLayout>
      </c:layout>
      <c:scatterChart>
        <c:scatterStyle val="lineMarker"/>
        <c:varyColors val="0"/>
        <c:ser>
          <c:idx val="0"/>
          <c:order val="0"/>
          <c:tx>
            <c:v>DN200-50%-20mm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2419893694367113E-2"/>
                  <c:y val="1.1972924939597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datos'!$C$11:$C$15</c:f>
              <c:numCache>
                <c:formatCode>General</c:formatCode>
                <c:ptCount val="5"/>
                <c:pt idx="0">
                  <c:v>2.5562031604978839</c:v>
                </c:pt>
                <c:pt idx="1">
                  <c:v>4.8903132535256226</c:v>
                </c:pt>
                <c:pt idx="2">
                  <c:v>8.4785131029531478</c:v>
                </c:pt>
                <c:pt idx="3">
                  <c:v>12.287148438010977</c:v>
                </c:pt>
                <c:pt idx="4">
                  <c:v>16.830568725170171</c:v>
                </c:pt>
              </c:numCache>
            </c:numRef>
          </c:xVal>
          <c:yVal>
            <c:numRef>
              <c:f>'Todos los datos'!$J$11:$J$15</c:f>
              <c:numCache>
                <c:formatCode>General</c:formatCode>
                <c:ptCount val="5"/>
                <c:pt idx="0">
                  <c:v>6.3620506185438161</c:v>
                </c:pt>
                <c:pt idx="1">
                  <c:v>1.1285373588793213</c:v>
                </c:pt>
                <c:pt idx="2">
                  <c:v>0.34520757025085186</c:v>
                </c:pt>
                <c:pt idx="3">
                  <c:v>0.44052199219326077</c:v>
                </c:pt>
                <c:pt idx="4">
                  <c:v>0.40117310514006593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9-47E9-996B-39D68CC131CF}"/>
            </c:ext>
          </c:extLst>
        </c:ser>
        <c:ser>
          <c:idx val="1"/>
          <c:order val="1"/>
          <c:tx>
            <c:v>DN200-50%-30mm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964443147701916E-2"/>
                  <c:y val="-2.9756958724669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datos'!$C$19:$C$23</c:f>
              <c:numCache>
                <c:formatCode>General</c:formatCode>
                <c:ptCount val="5"/>
                <c:pt idx="0">
                  <c:v>2.5318676127592057</c:v>
                </c:pt>
                <c:pt idx="1">
                  <c:v>4.8780668376572685</c:v>
                </c:pt>
                <c:pt idx="2">
                  <c:v>8.5152523505581961</c:v>
                </c:pt>
                <c:pt idx="3">
                  <c:v>12.23816277453756</c:v>
                </c:pt>
                <c:pt idx="4">
                  <c:v>16.548901160198035</c:v>
                </c:pt>
              </c:numCache>
            </c:numRef>
          </c:xVal>
          <c:yVal>
            <c:numRef>
              <c:f>'Todos los datos'!$J$19:$J$23</c:f>
              <c:numCache>
                <c:formatCode>General</c:formatCode>
                <c:ptCount val="5"/>
                <c:pt idx="0">
                  <c:v>19.512334367158797</c:v>
                </c:pt>
                <c:pt idx="1">
                  <c:v>9.0760491115794117</c:v>
                </c:pt>
                <c:pt idx="2">
                  <c:v>8.9036690863900976</c:v>
                </c:pt>
                <c:pt idx="3">
                  <c:v>8.7347674848651966</c:v>
                </c:pt>
                <c:pt idx="4">
                  <c:v>8.3976855979456264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9-47E9-996B-39D68CC131CF}"/>
            </c:ext>
          </c:extLst>
        </c:ser>
        <c:ser>
          <c:idx val="2"/>
          <c:order val="2"/>
          <c:tx>
            <c:v>DN200-50%-40mm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180759812227662"/>
                  <c:y val="-5.8817769320867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datos'!$C$27:$C$31</c:f>
              <c:numCache>
                <c:formatCode>General</c:formatCode>
                <c:ptCount val="5"/>
                <c:pt idx="0">
                  <c:v>1.8261367283377756</c:v>
                </c:pt>
                <c:pt idx="1">
                  <c:v>4.8413275900522068</c:v>
                </c:pt>
                <c:pt idx="2">
                  <c:v>8.5397451822949026</c:v>
                </c:pt>
                <c:pt idx="3">
                  <c:v>12.213669942800854</c:v>
                </c:pt>
                <c:pt idx="4">
                  <c:v>15.152809751205723</c:v>
                </c:pt>
              </c:numCache>
            </c:numRef>
          </c:xVal>
          <c:yVal>
            <c:numRef>
              <c:f>'Todos los datos'!$J$27:$J$31</c:f>
              <c:numCache>
                <c:formatCode>General</c:formatCode>
                <c:ptCount val="5"/>
                <c:pt idx="0">
                  <c:v>41.706647853917083</c:v>
                </c:pt>
                <c:pt idx="1">
                  <c:v>23.739123812149234</c:v>
                </c:pt>
                <c:pt idx="2">
                  <c:v>23.268001339306391</c:v>
                </c:pt>
                <c:pt idx="3">
                  <c:v>22.304906255453194</c:v>
                </c:pt>
                <c:pt idx="4">
                  <c:v>22.53886061244663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9-47E9-996B-39D68CC131CF}"/>
            </c:ext>
          </c:extLst>
        </c:ser>
        <c:ser>
          <c:idx val="3"/>
          <c:order val="3"/>
          <c:tx>
            <c:v>DN200-100%-30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827853341001902"/>
                  <c:y val="-7.0849940909696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datos'!$C$51:$C$55</c:f>
              <c:numCache>
                <c:formatCode>General</c:formatCode>
                <c:ptCount val="5"/>
                <c:pt idx="0">
                  <c:v>1.2189648122579491</c:v>
                </c:pt>
                <c:pt idx="1">
                  <c:v>3.0185785675326198</c:v>
                </c:pt>
                <c:pt idx="2">
                  <c:v>6.1149548403609479</c:v>
                </c:pt>
                <c:pt idx="3">
                  <c:v>9.1398195598442182</c:v>
                </c:pt>
                <c:pt idx="4">
                  <c:v>12.23816277453756</c:v>
                </c:pt>
              </c:numCache>
            </c:numRef>
          </c:xVal>
          <c:yVal>
            <c:numRef>
              <c:f>'Todos los datos'!$J$51:$J$55</c:f>
              <c:numCache>
                <c:formatCode>General</c:formatCode>
                <c:ptCount val="5"/>
                <c:pt idx="0">
                  <c:v>78.617960978162628</c:v>
                </c:pt>
                <c:pt idx="1">
                  <c:v>51.262772834985881</c:v>
                </c:pt>
                <c:pt idx="2">
                  <c:v>49.521654331223559</c:v>
                </c:pt>
                <c:pt idx="3">
                  <c:v>48.670269917767541</c:v>
                </c:pt>
                <c:pt idx="4">
                  <c:v>46.713773113564095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19-47E9-996B-39D68CC131CF}"/>
            </c:ext>
          </c:extLst>
        </c:ser>
        <c:ser>
          <c:idx val="4"/>
          <c:order val="4"/>
          <c:tx>
            <c:v>DN200-100%-40mm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3045770636226494E-2"/>
                  <c:y val="-8.5871599674340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datos'!$C$59:$C$63</c:f>
              <c:numCache>
                <c:formatCode>General</c:formatCode>
                <c:ptCount val="5"/>
                <c:pt idx="0">
                  <c:v>0.72982030271067821</c:v>
                </c:pt>
                <c:pt idx="1">
                  <c:v>2.5805387082365496</c:v>
                </c:pt>
                <c:pt idx="2">
                  <c:v>4.9025596693939635</c:v>
                </c:pt>
                <c:pt idx="3">
                  <c:v>6.6905363861735552</c:v>
                </c:pt>
                <c:pt idx="4">
                  <c:v>8.4662666870847954</c:v>
                </c:pt>
              </c:numCache>
            </c:numRef>
          </c:xVal>
          <c:yVal>
            <c:numRef>
              <c:f>'Todos los datos'!$J$59:$J$63</c:f>
              <c:numCache>
                <c:formatCode>General</c:formatCode>
                <c:ptCount val="5"/>
                <c:pt idx="0">
                  <c:v>145.09821482622135</c:v>
                </c:pt>
                <c:pt idx="1">
                  <c:v>116.8973137256047</c:v>
                </c:pt>
                <c:pt idx="2">
                  <c:v>111.4542190816031</c:v>
                </c:pt>
                <c:pt idx="3">
                  <c:v>110.35209663454609</c:v>
                </c:pt>
                <c:pt idx="4">
                  <c:v>109.3662207979549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19-47E9-996B-39D68CC131CF}"/>
            </c:ext>
          </c:extLst>
        </c:ser>
        <c:ser>
          <c:idx val="5"/>
          <c:order val="5"/>
          <c:tx>
            <c:v>DN200-Sin tornillos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954347705873833"/>
                  <c:y val="-2.3440278472417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datos'!$C$3:$C$7</c:f>
              <c:numCache>
                <c:formatCode>General</c:formatCode>
                <c:ptCount val="5"/>
                <c:pt idx="0">
                  <c:v>2.994243019793942</c:v>
                </c:pt>
                <c:pt idx="1">
                  <c:v>4.8168347583155002</c:v>
                </c:pt>
                <c:pt idx="2">
                  <c:v>8.5764844298999634</c:v>
                </c:pt>
                <c:pt idx="3">
                  <c:v>11.025767603570628</c:v>
                </c:pt>
                <c:pt idx="4">
                  <c:v>13.695486262871642</c:v>
                </c:pt>
              </c:numCache>
            </c:numRef>
          </c:xVal>
          <c:yVal>
            <c:numRef>
              <c:f>'Todos los datos'!$Q$3:$Q$7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1.5E-3</c:v>
                </c:pt>
                <c:pt idx="3">
                  <c:v>1.4E-3</c:v>
                </c:pt>
                <c:pt idx="4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9-47E9-996B-39D68CC1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94048"/>
        <c:axId val="732895296"/>
      </c:scatterChart>
      <c:valAx>
        <c:axId val="7328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Velocity (m</a:t>
                </a:r>
                <a:r>
                  <a:rPr lang="en-US" sz="2000" b="1" baseline="0"/>
                  <a:t> s</a:t>
                </a:r>
                <a:r>
                  <a:rPr lang="en-US" sz="2000" b="1" baseline="30000"/>
                  <a:t>-1</a:t>
                </a:r>
                <a:r>
                  <a:rPr lang="en-US" sz="2000" b="1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5296"/>
        <c:crosses val="autoZero"/>
        <c:crossBetween val="midCat"/>
        <c:majorUnit val="4"/>
      </c:valAx>
      <c:valAx>
        <c:axId val="732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Absolute Roughness (mm)</a:t>
                </a:r>
              </a:p>
            </c:rich>
          </c:tx>
          <c:layout>
            <c:manualLayout>
              <c:xMode val="edge"/>
              <c:yMode val="edge"/>
              <c:x val="4.0989400205657051E-3"/>
              <c:y val="0.2364769111693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2268320739647296"/>
          <c:y val="4.418429735785466E-2"/>
          <c:w val="0.24319605656712939"/>
          <c:h val="0.3477759693331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6623041573729"/>
          <c:y val="2.5498653399395572E-2"/>
          <c:w val="0.85278901400123608"/>
          <c:h val="0.829084434941715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578371986778103"/>
                  <c:y val="8.4134290002261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mitad_tornillos!$AC$37:$AC$44</c:f>
                <c:numCache>
                  <c:formatCode>General</c:formatCode>
                  <c:ptCount val="8"/>
                  <c:pt idx="0">
                    <c:v>15.078607853512228</c:v>
                  </c:pt>
                  <c:pt idx="1">
                    <c:v>13.306225234828958</c:v>
                  </c:pt>
                  <c:pt idx="4">
                    <c:v>8.4020238834461658</c:v>
                  </c:pt>
                  <c:pt idx="5">
                    <c:v>4.8069131883730751</c:v>
                  </c:pt>
                  <c:pt idx="6">
                    <c:v>2.4453559626810981</c:v>
                  </c:pt>
                  <c:pt idx="7">
                    <c:v>9.7592520205187869E-4</c:v>
                  </c:pt>
                </c:numCache>
              </c:numRef>
            </c:plus>
            <c:minus>
              <c:numRef>
                <c:f>mitad_tornillos!$AC$37:$AC$44</c:f>
                <c:numCache>
                  <c:formatCode>General</c:formatCode>
                  <c:ptCount val="8"/>
                  <c:pt idx="0">
                    <c:v>15.078607853512228</c:v>
                  </c:pt>
                  <c:pt idx="1">
                    <c:v>13.306225234828958</c:v>
                  </c:pt>
                  <c:pt idx="4">
                    <c:v>8.4020238834461658</c:v>
                  </c:pt>
                  <c:pt idx="5">
                    <c:v>4.8069131883730751</c:v>
                  </c:pt>
                  <c:pt idx="6">
                    <c:v>2.4453559626810981</c:v>
                  </c:pt>
                  <c:pt idx="7">
                    <c:v>9.7592520205187869E-4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mitad_tornillos!$Z$37:$Z$44</c:f>
              <c:numCache>
                <c:formatCode>0.00</c:formatCode>
                <c:ptCount val="8"/>
                <c:pt idx="0">
                  <c:v>3.5346522154695128</c:v>
                </c:pt>
                <c:pt idx="1">
                  <c:v>2.6509891616021348</c:v>
                </c:pt>
                <c:pt idx="2">
                  <c:v>1.7673261077347564</c:v>
                </c:pt>
                <c:pt idx="3">
                  <c:v>0</c:v>
                </c:pt>
                <c:pt idx="4">
                  <c:v>1.7673261077347564</c:v>
                </c:pt>
                <c:pt idx="5">
                  <c:v>1.3254945808010674</c:v>
                </c:pt>
                <c:pt idx="6">
                  <c:v>0.8836630538673782</c:v>
                </c:pt>
                <c:pt idx="7">
                  <c:v>0</c:v>
                </c:pt>
              </c:numCache>
            </c:numRef>
          </c:xVal>
          <c:yVal>
            <c:numRef>
              <c:f>mitad_tornillos!$AB$37:$AB$44</c:f>
              <c:numCache>
                <c:formatCode>General</c:formatCode>
                <c:ptCount val="8"/>
                <c:pt idx="0">
                  <c:v>118.63260000000001</c:v>
                </c:pt>
                <c:pt idx="1">
                  <c:v>54.924000000000007</c:v>
                </c:pt>
                <c:pt idx="4">
                  <c:v>26.711460000000002</c:v>
                </c:pt>
                <c:pt idx="5">
                  <c:v>10.924821000000001</c:v>
                </c:pt>
                <c:pt idx="6">
                  <c:v>1.6629780000000001</c:v>
                </c:pt>
                <c:pt idx="7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6-4C14-8A3C-DC6201199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9760"/>
        <c:axId val="27705600"/>
      </c:scatterChart>
      <c:valAx>
        <c:axId val="27709760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Pipe volume occupied by screws (%)</a:t>
                </a:r>
              </a:p>
            </c:rich>
          </c:tx>
          <c:layout>
            <c:manualLayout>
              <c:xMode val="edge"/>
              <c:yMode val="edge"/>
              <c:x val="0.20921652199618393"/>
              <c:y val="0.93221520939125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5600"/>
        <c:crosses val="autoZero"/>
        <c:crossBetween val="midCat"/>
        <c:majorUnit val="0.5"/>
      </c:valAx>
      <c:valAx>
        <c:axId val="27705600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Absolute roughness (mm)</a:t>
                </a:r>
              </a:p>
            </c:rich>
          </c:tx>
          <c:layout>
            <c:manualLayout>
              <c:xMode val="edge"/>
              <c:yMode val="edge"/>
              <c:x val="7.0894090457122895E-3"/>
              <c:y val="0.19075479533726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9760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DN200-Di170mm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266538938691432"/>
          <c:y val="9.5496786402220826E-2"/>
          <c:w val="0.83602122342021534"/>
          <c:h val="0.74364408800288617"/>
        </c:manualLayout>
      </c:layout>
      <c:scatterChart>
        <c:scatterStyle val="lineMarker"/>
        <c:varyColors val="0"/>
        <c:ser>
          <c:idx val="5"/>
          <c:order val="0"/>
          <c:tx>
            <c:v>Sin tornillos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'Todos los datos'!$B$3:$B$7</c:f>
              <c:numCache>
                <c:formatCode>General</c:formatCode>
                <c:ptCount val="5"/>
                <c:pt idx="0">
                  <c:v>245.82078929298001</c:v>
                </c:pt>
                <c:pt idx="1">
                  <c:v>395.45157636017899</c:v>
                </c:pt>
                <c:pt idx="2">
                  <c:v>704.11057418514099</c:v>
                </c:pt>
                <c:pt idx="3">
                  <c:v>905.19135452713601</c:v>
                </c:pt>
                <c:pt idx="4">
                  <c:v>1124.36940509991</c:v>
                </c:pt>
              </c:numCache>
            </c:numRef>
          </c:xVal>
          <c:yVal>
            <c:numRef>
              <c:f>'Todos los datos'!$D$3:$D$7</c:f>
              <c:numCache>
                <c:formatCode>General</c:formatCode>
                <c:ptCount val="5"/>
                <c:pt idx="0">
                  <c:v>0.378535020600063</c:v>
                </c:pt>
                <c:pt idx="1">
                  <c:v>0.89732416207585897</c:v>
                </c:pt>
                <c:pt idx="2">
                  <c:v>2.7529930142777399</c:v>
                </c:pt>
                <c:pt idx="3">
                  <c:v>4.4091275812966302</c:v>
                </c:pt>
                <c:pt idx="4">
                  <c:v>6.6131129047407402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5E-4D3A-8A3A-C3EBDBA32720}"/>
            </c:ext>
          </c:extLst>
        </c:ser>
        <c:ser>
          <c:idx val="0"/>
          <c:order val="1"/>
          <c:tx>
            <c:strRef>
              <c:f>'Todos los datos'!$A$11</c:f>
              <c:strCache>
                <c:ptCount val="1"/>
                <c:pt idx="0">
                  <c:v>50%-20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'Todos los datos'!$B$11:$B$15</c:f>
              <c:numCache>
                <c:formatCode>General</c:formatCode>
                <c:ptCount val="5"/>
                <c:pt idx="0">
                  <c:v>209.85867691863001</c:v>
                </c:pt>
                <c:pt idx="1">
                  <c:v>401.48399977043903</c:v>
                </c:pt>
                <c:pt idx="2">
                  <c:v>696.06734297146204</c:v>
                </c:pt>
                <c:pt idx="3">
                  <c:v>1008.74795640326</c:v>
                </c:pt>
                <c:pt idx="4">
                  <c:v>1381.75280393767</c:v>
                </c:pt>
              </c:numCache>
            </c:numRef>
          </c:xVal>
          <c:yVal>
            <c:numRef>
              <c:f>'Todos los datos'!$D$11:$D$15</c:f>
              <c:numCache>
                <c:formatCode>General</c:formatCode>
                <c:ptCount val="5"/>
                <c:pt idx="0">
                  <c:v>1.3511873031797501</c:v>
                </c:pt>
                <c:pt idx="1">
                  <c:v>2.6174467261195402</c:v>
                </c:pt>
                <c:pt idx="2">
                  <c:v>5.6000842877922103</c:v>
                </c:pt>
                <c:pt idx="3">
                  <c:v>12.5230888114975</c:v>
                </c:pt>
                <c:pt idx="4">
                  <c:v>22.885503244939201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E-4D3A-8A3A-C3EBDBA32720}"/>
            </c:ext>
          </c:extLst>
        </c:ser>
        <c:ser>
          <c:idx val="1"/>
          <c:order val="2"/>
          <c:tx>
            <c:strRef>
              <c:f>'Todos los datos'!$A$19</c:f>
              <c:strCache>
                <c:ptCount val="1"/>
                <c:pt idx="0">
                  <c:v>50%-30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'Todos los datos'!$B$19:$B$23</c:f>
              <c:numCache>
                <c:formatCode>General</c:formatCode>
                <c:ptCount val="5"/>
                <c:pt idx="0">
                  <c:v>207.86078178672099</c:v>
                </c:pt>
                <c:pt idx="1">
                  <c:v>400.47859586872897</c:v>
                </c:pt>
                <c:pt idx="2">
                  <c:v>699.08355467659101</c:v>
                </c:pt>
                <c:pt idx="3">
                  <c:v>1004.72634079642</c:v>
                </c:pt>
                <c:pt idx="4">
                  <c:v>1358.6285141983401</c:v>
                </c:pt>
              </c:numCache>
            </c:numRef>
          </c:xVal>
          <c:yVal>
            <c:numRef>
              <c:f>'Todos los datos'!$D$19:$D$23</c:f>
              <c:numCache>
                <c:formatCode>General</c:formatCode>
                <c:ptCount val="5"/>
                <c:pt idx="0">
                  <c:v>2.3162958720581499</c:v>
                </c:pt>
                <c:pt idx="1">
                  <c:v>5.7748816117778201</c:v>
                </c:pt>
                <c:pt idx="2">
                  <c:v>17.435624980457401</c:v>
                </c:pt>
                <c:pt idx="3">
                  <c:v>35.689738115152203</c:v>
                </c:pt>
                <c:pt idx="4">
                  <c:v>64.073361776830794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E-4D3A-8A3A-C3EBDBA32720}"/>
            </c:ext>
          </c:extLst>
        </c:ser>
        <c:ser>
          <c:idx val="2"/>
          <c:order val="3"/>
          <c:tx>
            <c:strRef>
              <c:f>'Todos los datos'!$A$27</c:f>
              <c:strCache>
                <c:ptCount val="1"/>
                <c:pt idx="0">
                  <c:v>50%-40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'Todos los datos'!$B$27:$B$31</c:f>
              <c:numCache>
                <c:formatCode>General</c:formatCode>
                <c:ptCount val="5"/>
                <c:pt idx="0">
                  <c:v>149.92182296137901</c:v>
                </c:pt>
                <c:pt idx="1">
                  <c:v>397.46238416359898</c:v>
                </c:pt>
                <c:pt idx="2">
                  <c:v>701.094362480011</c:v>
                </c:pt>
                <c:pt idx="3">
                  <c:v>1002.715532993</c:v>
                </c:pt>
                <c:pt idx="4">
                  <c:v>1244.0124694034</c:v>
                </c:pt>
              </c:numCache>
            </c:numRef>
          </c:xVal>
          <c:yVal>
            <c:numRef>
              <c:f>'Todos los datos'!$D$27:$D$31</c:f>
              <c:numCache>
                <c:formatCode>General</c:formatCode>
                <c:ptCount val="5"/>
                <c:pt idx="0">
                  <c:v>1.97300930206405</c:v>
                </c:pt>
                <c:pt idx="1">
                  <c:v>9.5098912792916703</c:v>
                </c:pt>
                <c:pt idx="2">
                  <c:v>29.228697123827999</c:v>
                </c:pt>
                <c:pt idx="3">
                  <c:v>58.282965568888201</c:v>
                </c:pt>
                <c:pt idx="4">
                  <c:v>90.270358667461096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E-4D3A-8A3A-C3EBDBA32720}"/>
            </c:ext>
          </c:extLst>
        </c:ser>
        <c:ser>
          <c:idx val="3"/>
          <c:order val="4"/>
          <c:tx>
            <c:v>100%-30mm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'Todos los datos'!$B$51:$B$55</c:f>
              <c:numCache>
                <c:formatCode>General</c:formatCode>
                <c:ptCount val="5"/>
                <c:pt idx="0">
                  <c:v>100.07433942026501</c:v>
                </c:pt>
                <c:pt idx="1">
                  <c:v>247.818684424889</c:v>
                </c:pt>
                <c:pt idx="2">
                  <c:v>502.02438994143603</c:v>
                </c:pt>
                <c:pt idx="3">
                  <c:v>750.35915366380004</c:v>
                </c:pt>
                <c:pt idx="4">
                  <c:v>1004.72634079642</c:v>
                </c:pt>
              </c:numCache>
            </c:numRef>
          </c:xVal>
          <c:yVal>
            <c:numRef>
              <c:f>'Todos los datos'!$D$51:$D$55</c:f>
              <c:numCache>
                <c:formatCode>General</c:formatCode>
                <c:ptCount val="5"/>
                <c:pt idx="0">
                  <c:v>1.4959270176248545</c:v>
                </c:pt>
                <c:pt idx="1">
                  <c:v>6.312889454035286</c:v>
                </c:pt>
                <c:pt idx="2">
                  <c:v>25.20589732959424</c:v>
                </c:pt>
                <c:pt idx="3">
                  <c:v>55.549548405344581</c:v>
                </c:pt>
                <c:pt idx="4">
                  <c:v>96.478409526931472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E-4D3A-8A3A-C3EBDBA32720}"/>
            </c:ext>
          </c:extLst>
        </c:ser>
        <c:ser>
          <c:idx val="4"/>
          <c:order val="5"/>
          <c:tx>
            <c:v>100%-40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'Todos los datos'!$B$59:$B$63</c:f>
              <c:numCache>
                <c:formatCode>General</c:formatCode>
                <c:ptCount val="5"/>
                <c:pt idx="0">
                  <c:v>59.916647268906999</c:v>
                </c:pt>
                <c:pt idx="1">
                  <c:v>211.85657205053801</c:v>
                </c:pt>
                <c:pt idx="2">
                  <c:v>402.489403672148</c:v>
                </c:pt>
                <c:pt idx="3">
                  <c:v>549.27837332180502</c:v>
                </c:pt>
                <c:pt idx="4">
                  <c:v>695.06193906975204</c:v>
                </c:pt>
              </c:numCache>
            </c:numRef>
          </c:xVal>
          <c:yVal>
            <c:numRef>
              <c:f>'Todos los datos'!$D$59:$D$63</c:f>
              <c:numCache>
                <c:formatCode>General</c:formatCode>
                <c:ptCount val="5"/>
                <c:pt idx="0">
                  <c:v>1.07690501874056</c:v>
                </c:pt>
                <c:pt idx="1">
                  <c:v>10.230566180702599</c:v>
                </c:pt>
                <c:pt idx="2">
                  <c:v>34.920120360354197</c:v>
                </c:pt>
                <c:pt idx="3">
                  <c:v>64.295477011657894</c:v>
                </c:pt>
                <c:pt idx="4">
                  <c:v>101.90109328742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E-4D3A-8A3A-C3EBDB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94048"/>
        <c:axId val="732895296"/>
      </c:scatterChart>
      <c:valAx>
        <c:axId val="73289404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Caulda (m</a:t>
                </a:r>
                <a:r>
                  <a:rPr lang="en-US" sz="2000" b="1" baseline="30000"/>
                  <a:t>3</a:t>
                </a:r>
                <a:r>
                  <a:rPr lang="en-US" sz="2000" b="1" baseline="0"/>
                  <a:t> h</a:t>
                </a:r>
                <a:r>
                  <a:rPr lang="en-US" sz="2000" b="1" baseline="30000"/>
                  <a:t>-1</a:t>
                </a:r>
                <a:r>
                  <a:rPr lang="en-US" sz="2000" b="1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5296"/>
        <c:crosses val="autoZero"/>
        <c:crossBetween val="midCat"/>
        <c:majorUnit val="150"/>
        <c:minorUnit val="50"/>
      </c:valAx>
      <c:valAx>
        <c:axId val="732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Pérdidas de carga (kPa)</a:t>
                </a:r>
              </a:p>
            </c:rich>
          </c:tx>
          <c:layout>
            <c:manualLayout>
              <c:xMode val="edge"/>
              <c:yMode val="edge"/>
              <c:x val="4.0989400205657051E-3"/>
              <c:y val="0.2364769111693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4181362404988526"/>
          <c:y val="0.12738956145563826"/>
          <c:w val="0.17453535617534813"/>
          <c:h val="0.36863779827689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33240489685935E-2"/>
          <c:y val="5.4021816132314604E-2"/>
          <c:w val="0.840673848221804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mitad_tornillos!$E$1</c:f>
              <c:strCache>
                <c:ptCount val="1"/>
                <c:pt idx="0">
                  <c:v>Pérdida (KPA)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mitad_tornillos!$B$2:$B$6</c:f>
              <c:numCache>
                <c:formatCode>General</c:formatCode>
                <c:ptCount val="5"/>
                <c:pt idx="0">
                  <c:v>245.82078929298001</c:v>
                </c:pt>
                <c:pt idx="1">
                  <c:v>395.45157636017899</c:v>
                </c:pt>
                <c:pt idx="2">
                  <c:v>704.11057418514099</c:v>
                </c:pt>
                <c:pt idx="3">
                  <c:v>905.19135452713601</c:v>
                </c:pt>
                <c:pt idx="4">
                  <c:v>1124.36940509991</c:v>
                </c:pt>
              </c:numCache>
            </c:numRef>
          </c:xVal>
          <c:yVal>
            <c:numRef>
              <c:f>mitad_tornillos!$H$2:$H$6</c:f>
              <c:numCache>
                <c:formatCode>General</c:formatCode>
                <c:ptCount val="5"/>
                <c:pt idx="0">
                  <c:v>0.34412274600005727</c:v>
                </c:pt>
                <c:pt idx="1">
                  <c:v>0.81574923825078083</c:v>
                </c:pt>
                <c:pt idx="2">
                  <c:v>2.5027209220706723</c:v>
                </c:pt>
                <c:pt idx="3">
                  <c:v>4.0082978011787542</c:v>
                </c:pt>
                <c:pt idx="4">
                  <c:v>6.0119208224915814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C-47F1-9B27-816CE1AB5B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mitad_tornillos!$B$10:$B$14</c:f>
              <c:numCache>
                <c:formatCode>General</c:formatCode>
                <c:ptCount val="5"/>
                <c:pt idx="0">
                  <c:v>209.85867691863001</c:v>
                </c:pt>
                <c:pt idx="1">
                  <c:v>401.48399977043903</c:v>
                </c:pt>
                <c:pt idx="2">
                  <c:v>696.06734297146204</c:v>
                </c:pt>
                <c:pt idx="3">
                  <c:v>1008.74795640326</c:v>
                </c:pt>
                <c:pt idx="4">
                  <c:v>1381.75280393767</c:v>
                </c:pt>
              </c:numCache>
            </c:numRef>
          </c:xVal>
          <c:yVal>
            <c:numRef>
              <c:f>mitad_tornillos!$H$10:$H$14</c:f>
              <c:numCache>
                <c:formatCode>General</c:formatCode>
                <c:ptCount val="5"/>
                <c:pt idx="0">
                  <c:v>1.2283520937997727</c:v>
                </c:pt>
                <c:pt idx="1">
                  <c:v>2.3794970237450364</c:v>
                </c:pt>
                <c:pt idx="2">
                  <c:v>5.0909857161747363</c:v>
                </c:pt>
                <c:pt idx="3">
                  <c:v>11.384626192270453</c:v>
                </c:pt>
                <c:pt idx="4">
                  <c:v>20.805002949944726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C-47F1-9B27-816CE1AB5B2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mitad_tornillos!$B$18:$B$22</c:f>
              <c:numCache>
                <c:formatCode>General</c:formatCode>
                <c:ptCount val="5"/>
                <c:pt idx="0">
                  <c:v>207.86078178672099</c:v>
                </c:pt>
                <c:pt idx="1">
                  <c:v>400.47859586872897</c:v>
                </c:pt>
                <c:pt idx="2">
                  <c:v>699.08355467659101</c:v>
                </c:pt>
                <c:pt idx="3">
                  <c:v>1004.72634079642</c:v>
                </c:pt>
                <c:pt idx="4">
                  <c:v>1358.6285141983401</c:v>
                </c:pt>
              </c:numCache>
            </c:numRef>
          </c:xVal>
          <c:yVal>
            <c:numRef>
              <c:f>mitad_tornillos!$H$18:$H$22</c:f>
              <c:numCache>
                <c:formatCode>General</c:formatCode>
                <c:ptCount val="5"/>
                <c:pt idx="0">
                  <c:v>2.1057235200528632</c:v>
                </c:pt>
                <c:pt idx="1">
                  <c:v>5.2498923743434727</c:v>
                </c:pt>
                <c:pt idx="2">
                  <c:v>15.850568164052182</c:v>
                </c:pt>
                <c:pt idx="3">
                  <c:v>32.445216468320183</c:v>
                </c:pt>
                <c:pt idx="4">
                  <c:v>58.248510706209807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C-47F1-9B27-816CE1AB5B2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mitad_tornillos!$B$26:$B$30</c:f>
              <c:numCache>
                <c:formatCode>General</c:formatCode>
                <c:ptCount val="5"/>
                <c:pt idx="0">
                  <c:v>149.92182296137901</c:v>
                </c:pt>
                <c:pt idx="1">
                  <c:v>397.46238416359898</c:v>
                </c:pt>
                <c:pt idx="2">
                  <c:v>701.094362480011</c:v>
                </c:pt>
                <c:pt idx="3">
                  <c:v>1002.715532993</c:v>
                </c:pt>
                <c:pt idx="4">
                  <c:v>1244.0124694034</c:v>
                </c:pt>
              </c:numCache>
            </c:numRef>
          </c:xVal>
          <c:yVal>
            <c:numRef>
              <c:f>mitad_tornillos!$H$26:$H$30</c:f>
              <c:numCache>
                <c:formatCode>General</c:formatCode>
                <c:ptCount val="5"/>
                <c:pt idx="0">
                  <c:v>1.7936448200582271</c:v>
                </c:pt>
                <c:pt idx="1">
                  <c:v>8.6453557084469725</c:v>
                </c:pt>
                <c:pt idx="2">
                  <c:v>26.571542839843634</c:v>
                </c:pt>
                <c:pt idx="3">
                  <c:v>52.984514153534725</c:v>
                </c:pt>
                <c:pt idx="4">
                  <c:v>82.063962424964629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8C-47F1-9B27-816CE1AB5B2F}"/>
            </c:ext>
          </c:extLst>
        </c:ser>
        <c:ser>
          <c:idx val="4"/>
          <c:order val="4"/>
          <c:tx>
            <c:strRef>
              <c:f>mitad_tornillos!$AC$1</c:f>
              <c:strCache>
                <c:ptCount val="1"/>
                <c:pt idx="0">
                  <c:v>Pérdidas de carga (kPa/m)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mitad_tornillos!$Y$2:$Y$6</c:f>
              <c:numCache>
                <c:formatCode>General</c:formatCode>
                <c:ptCount val="5"/>
                <c:pt idx="0">
                  <c:v>245.82078929298001</c:v>
                </c:pt>
                <c:pt idx="1">
                  <c:v>395.45157636017899</c:v>
                </c:pt>
                <c:pt idx="2">
                  <c:v>704.11057418514099</c:v>
                </c:pt>
                <c:pt idx="3">
                  <c:v>905.19135452713601</c:v>
                </c:pt>
                <c:pt idx="4">
                  <c:v>1124.36940509991</c:v>
                </c:pt>
              </c:numCache>
            </c:numRef>
          </c:xVal>
          <c:yVal>
            <c:numRef>
              <c:f>mitad_tornillos!$AC$2:$AC$6</c:f>
              <c:numCache>
                <c:formatCode>General</c:formatCode>
                <c:ptCount val="5"/>
                <c:pt idx="0">
                  <c:v>0.35980152879428245</c:v>
                </c:pt>
                <c:pt idx="1">
                  <c:v>0.85520581242979921</c:v>
                </c:pt>
                <c:pt idx="2">
                  <c:v>2.5069984528612932</c:v>
                </c:pt>
                <c:pt idx="3">
                  <c:v>4.0168598872493755</c:v>
                </c:pt>
                <c:pt idx="4">
                  <c:v>6.0163104096619335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8C-47F1-9B27-816CE1AB5B2F}"/>
            </c:ext>
          </c:extLst>
        </c:ser>
        <c:ser>
          <c:idx val="5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mitad_tornillos!$Y$10:$Y$14</c:f>
              <c:numCache>
                <c:formatCode>General</c:formatCode>
                <c:ptCount val="5"/>
                <c:pt idx="0">
                  <c:v>209.85867691863001</c:v>
                </c:pt>
                <c:pt idx="1">
                  <c:v>401.48399977043903</c:v>
                </c:pt>
                <c:pt idx="2">
                  <c:v>696.06734297146204</c:v>
                </c:pt>
                <c:pt idx="3">
                  <c:v>1008.74795640326</c:v>
                </c:pt>
                <c:pt idx="4">
                  <c:v>1381.75280393767</c:v>
                </c:pt>
              </c:numCache>
            </c:numRef>
          </c:xVal>
          <c:yVal>
            <c:numRef>
              <c:f>mitad_tornillos!$AC$10:$AC$14</c:f>
              <c:numCache>
                <c:formatCode>General</c:formatCode>
                <c:ptCount val="5"/>
                <c:pt idx="0">
                  <c:v>1.1761719653081648</c:v>
                </c:pt>
                <c:pt idx="1">
                  <c:v>2.3381805744281601</c:v>
                </c:pt>
                <c:pt idx="2">
                  <c:v>5.006535343173427</c:v>
                </c:pt>
                <c:pt idx="3">
                  <c:v>11.185939573007067</c:v>
                </c:pt>
                <c:pt idx="4">
                  <c:v>20.435959249310788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8C-47F1-9B27-816CE1AB5B2F}"/>
            </c:ext>
          </c:extLst>
        </c:ser>
        <c:ser>
          <c:idx val="6"/>
          <c:order val="6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mitad_tornillos!$Y$18:$Y$22</c:f>
              <c:numCache>
                <c:formatCode>General</c:formatCode>
                <c:ptCount val="5"/>
                <c:pt idx="0">
                  <c:v>207.86078178672099</c:v>
                </c:pt>
                <c:pt idx="1">
                  <c:v>400.47859586872897</c:v>
                </c:pt>
                <c:pt idx="2">
                  <c:v>699.08355467659101</c:v>
                </c:pt>
                <c:pt idx="3">
                  <c:v>1004.72634079642</c:v>
                </c:pt>
                <c:pt idx="4">
                  <c:v>1358.6285141983401</c:v>
                </c:pt>
              </c:numCache>
            </c:numRef>
          </c:xVal>
          <c:yVal>
            <c:numRef>
              <c:f>mitad_tornillos!$AC$18:$AC$22</c:f>
              <c:numCache>
                <c:formatCode>General</c:formatCode>
                <c:ptCount val="5"/>
                <c:pt idx="0">
                  <c:v>2.0664689460753651</c:v>
                </c:pt>
                <c:pt idx="1">
                  <c:v>5.1516661333936371</c:v>
                </c:pt>
                <c:pt idx="2">
                  <c:v>15.550432184392569</c:v>
                </c:pt>
                <c:pt idx="3">
                  <c:v>31.827585566767759</c:v>
                </c:pt>
                <c:pt idx="4">
                  <c:v>57.136153996503261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8C-47F1-9B27-816CE1AB5B2F}"/>
            </c:ext>
          </c:extLst>
        </c:ser>
        <c:ser>
          <c:idx val="7"/>
          <c:order val="7"/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mitad_tornillos!$Y$26:$Y$30</c:f>
              <c:numCache>
                <c:formatCode>General</c:formatCode>
                <c:ptCount val="5"/>
                <c:pt idx="0">
                  <c:v>149.92182296137901</c:v>
                </c:pt>
                <c:pt idx="1">
                  <c:v>397.46238416359898</c:v>
                </c:pt>
                <c:pt idx="2">
                  <c:v>701.094362480011</c:v>
                </c:pt>
                <c:pt idx="3">
                  <c:v>1002.715532993</c:v>
                </c:pt>
                <c:pt idx="4">
                  <c:v>1244.0124694034</c:v>
                </c:pt>
              </c:numCache>
            </c:numRef>
          </c:xVal>
          <c:yVal>
            <c:numRef>
              <c:f>mitad_tornillos!$AC$26:$AC$30</c:f>
              <c:numCache>
                <c:formatCode>General</c:formatCode>
                <c:ptCount val="5"/>
                <c:pt idx="0">
                  <c:v>1.7600932526447695</c:v>
                </c:pt>
                <c:pt idx="1">
                  <c:v>8.4813297495581406</c:v>
                </c:pt>
                <c:pt idx="2">
                  <c:v>26.063833712674629</c:v>
                </c:pt>
                <c:pt idx="3">
                  <c:v>51.969152726375931</c:v>
                </c:pt>
                <c:pt idx="4">
                  <c:v>80.488778271251036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8C-47F1-9B27-816CE1AB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0240"/>
        <c:axId val="27673152"/>
      </c:scatterChart>
      <c:valAx>
        <c:axId val="276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(m</a:t>
                </a:r>
                <a:r>
                  <a:rPr lang="en-US" baseline="30000"/>
                  <a:t>3</a:t>
                </a:r>
                <a:r>
                  <a:rPr lang="en-US"/>
                  <a:t>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73152"/>
        <c:crosses val="autoZero"/>
        <c:crossBetween val="midCat"/>
      </c:valAx>
      <c:valAx>
        <c:axId val="2767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losses (kPa m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0674896383109445E-2"/>
              <c:y val="0.29796284929043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70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mitad_tornillos!$AB$35</c:f>
              <c:strCache>
                <c:ptCount val="1"/>
                <c:pt idx="0">
                  <c:v>K(mm)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mitad_tornillos!$Z$36:$Z$44</c:f>
              <c:numCache>
                <c:formatCode>0.00</c:formatCode>
                <c:ptCount val="9"/>
                <c:pt idx="1">
                  <c:v>3.5346522154695128</c:v>
                </c:pt>
                <c:pt idx="2">
                  <c:v>2.6509891616021348</c:v>
                </c:pt>
                <c:pt idx="3">
                  <c:v>1.7673261077347564</c:v>
                </c:pt>
                <c:pt idx="4">
                  <c:v>0</c:v>
                </c:pt>
                <c:pt idx="5">
                  <c:v>1.7673261077347564</c:v>
                </c:pt>
                <c:pt idx="6">
                  <c:v>1.3254945808010674</c:v>
                </c:pt>
                <c:pt idx="7">
                  <c:v>0.8836630538673782</c:v>
                </c:pt>
                <c:pt idx="8">
                  <c:v>0</c:v>
                </c:pt>
              </c:numCache>
            </c:numRef>
          </c:xVal>
          <c:yVal>
            <c:numRef>
              <c:f>mitad_tornillos!$AB$36:$AB$44</c:f>
              <c:numCache>
                <c:formatCode>General</c:formatCode>
                <c:ptCount val="9"/>
                <c:pt idx="1">
                  <c:v>118.63260000000001</c:v>
                </c:pt>
                <c:pt idx="2">
                  <c:v>54.924000000000007</c:v>
                </c:pt>
                <c:pt idx="5">
                  <c:v>26.711460000000002</c:v>
                </c:pt>
                <c:pt idx="6">
                  <c:v>10.924821000000001</c:v>
                </c:pt>
                <c:pt idx="7">
                  <c:v>1.6629780000000001</c:v>
                </c:pt>
                <c:pt idx="8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4-4136-8ACB-38230DAC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9760"/>
        <c:axId val="27705600"/>
      </c:scatterChart>
      <c:valAx>
        <c:axId val="27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the pipe occupied by the</a:t>
                </a:r>
                <a:r>
                  <a:rPr lang="en-US" baseline="0"/>
                  <a:t> screws (%</a:t>
                </a:r>
                <a:r>
                  <a:rPr lang="en-US" baseline="-25000"/>
                  <a:t>0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5600"/>
        <c:crosses val="autoZero"/>
        <c:crossBetween val="midCat"/>
      </c:valAx>
      <c:valAx>
        <c:axId val="2770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roughness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57177394593221E-2"/>
          <c:y val="2.0900901256736631E-2"/>
          <c:w val="0.84792459155299904"/>
          <c:h val="0.84571119266302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'Todos los datos'!$G$2</c:f>
              <c:strCache>
                <c:ptCount val="1"/>
                <c:pt idx="0">
                  <c:v>Experimental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'Todos los datos'!$F$3:$F$7</c:f>
              <c:numCache>
                <c:formatCode>0</c:formatCode>
                <c:ptCount val="5"/>
                <c:pt idx="0">
                  <c:v>392476.16197914432</c:v>
                </c:pt>
                <c:pt idx="1">
                  <c:v>631375.87908997014</c:v>
                </c:pt>
                <c:pt idx="2">
                  <c:v>1124179.1898884259</c:v>
                </c:pt>
                <c:pt idx="3">
                  <c:v>1445223.6920372576</c:v>
                </c:pt>
                <c:pt idx="4">
                  <c:v>1795162.1993794828</c:v>
                </c:pt>
              </c:numCache>
            </c:numRef>
          </c:xVal>
          <c:yVal>
            <c:numRef>
              <c:f>'Todos los datos'!$G$3:$G$7</c:f>
              <c:numCache>
                <c:formatCode>General</c:formatCode>
                <c:ptCount val="5"/>
                <c:pt idx="0">
                  <c:v>1.2828017681423234E-2</c:v>
                </c:pt>
                <c:pt idx="1">
                  <c:v>1.1750421417029283E-2</c:v>
                </c:pt>
                <c:pt idx="2">
                  <c:v>1.1371403726556355E-2</c:v>
                </c:pt>
                <c:pt idx="3">
                  <c:v>1.1019517359890707E-2</c:v>
                </c:pt>
                <c:pt idx="4">
                  <c:v>1.0712198228220225E-2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D-428F-B274-BB5E0C25DB7B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'Todos los datos'!$F$3:$F$7</c:f>
              <c:numCache>
                <c:formatCode>0</c:formatCode>
                <c:ptCount val="5"/>
                <c:pt idx="0">
                  <c:v>392476.16197914432</c:v>
                </c:pt>
                <c:pt idx="1">
                  <c:v>631375.87908997014</c:v>
                </c:pt>
                <c:pt idx="2">
                  <c:v>1124179.1898884259</c:v>
                </c:pt>
                <c:pt idx="3">
                  <c:v>1445223.6920372576</c:v>
                </c:pt>
                <c:pt idx="4">
                  <c:v>1795162.1993794828</c:v>
                </c:pt>
              </c:numCache>
            </c:numRef>
          </c:xVal>
          <c:yVal>
            <c:numRef>
              <c:f>'Todos los datos'!$L$3:$L$7</c:f>
              <c:numCache>
                <c:formatCode>General</c:formatCode>
                <c:ptCount val="5"/>
                <c:pt idx="0">
                  <c:v>1.3838966997560053E-2</c:v>
                </c:pt>
                <c:pt idx="1">
                  <c:v>1.2778026139138782E-2</c:v>
                </c:pt>
                <c:pt idx="2">
                  <c:v>1.1615423396815339E-2</c:v>
                </c:pt>
                <c:pt idx="3">
                  <c:v>1.1174721891319902E-2</c:v>
                </c:pt>
                <c:pt idx="4">
                  <c:v>1.0814450465747137E-2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D-428F-B274-BB5E0C25DB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'Todos los datos'!$F$11:$F$15</c:f>
              <c:numCache>
                <c:formatCode>0</c:formatCode>
                <c:ptCount val="5"/>
                <c:pt idx="0">
                  <c:v>335059.24503756873</c:v>
                </c:pt>
                <c:pt idx="1">
                  <c:v>641007.21415443532</c:v>
                </c:pt>
                <c:pt idx="2">
                  <c:v>1111337.4098024741</c:v>
                </c:pt>
                <c:pt idx="3">
                  <c:v>1610561.6106439002</c:v>
                </c:pt>
                <c:pt idx="4">
                  <c:v>2206099.1621299977</c:v>
                </c:pt>
              </c:numCache>
            </c:numRef>
          </c:xVal>
          <c:yVal>
            <c:numRef>
              <c:f>'Todos los datos'!$G$11:$G$15</c:f>
              <c:numCache>
                <c:formatCode>General</c:formatCode>
                <c:ptCount val="5"/>
                <c:pt idx="0">
                  <c:v>6.2827878785084168E-2</c:v>
                </c:pt>
                <c:pt idx="1">
                  <c:v>3.3253094711721123E-2</c:v>
                </c:pt>
                <c:pt idx="2">
                  <c:v>2.3669154736580163E-2</c:v>
                </c:pt>
                <c:pt idx="3">
                  <c:v>2.5202105614057953E-2</c:v>
                </c:pt>
                <c:pt idx="4">
                  <c:v>2.454654996018666E-2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D-428F-B274-BB5E0C25DB7B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'Todos los datos'!$F$19:$F$23</c:f>
              <c:numCache>
                <c:formatCode>0</c:formatCode>
                <c:ptCount val="5"/>
                <c:pt idx="0">
                  <c:v>331869.41631859122</c:v>
                </c:pt>
                <c:pt idx="1">
                  <c:v>639401.99164369109</c:v>
                </c:pt>
                <c:pt idx="2">
                  <c:v>1116153.077334705</c:v>
                </c:pt>
                <c:pt idx="3">
                  <c:v>1604140.7206009233</c:v>
                </c:pt>
                <c:pt idx="4">
                  <c:v>2169179.0443828809</c:v>
                </c:pt>
              </c:numCache>
            </c:numRef>
          </c:xVal>
          <c:yVal>
            <c:numRef>
              <c:f>'Todos los datos'!$G$19:$G$23</c:f>
              <c:numCache>
                <c:formatCode>General</c:formatCode>
                <c:ptCount val="5"/>
                <c:pt idx="0">
                  <c:v>0.10978414474931389</c:v>
                </c:pt>
                <c:pt idx="1">
                  <c:v>7.3735251981898189E-2</c:v>
                </c:pt>
                <c:pt idx="2">
                  <c:v>7.3058382046611137E-2</c:v>
                </c:pt>
                <c:pt idx="3">
                  <c:v>7.2399986827353574E-2</c:v>
                </c:pt>
                <c:pt idx="4">
                  <c:v>7.1083166085208496E-2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D-428F-B274-BB5E0C25DB7B}"/>
            </c:ext>
          </c:extLst>
        </c:ser>
        <c:ser>
          <c:idx val="6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'Todos los datos'!$F$27:$F$31</c:f>
              <c:numCache>
                <c:formatCode>0</c:formatCode>
                <c:ptCount val="5"/>
                <c:pt idx="0">
                  <c:v>239364.38346827458</c:v>
                </c:pt>
                <c:pt idx="1">
                  <c:v>634586.3241114585</c:v>
                </c:pt>
                <c:pt idx="2">
                  <c:v>1119363.5223561933</c:v>
                </c:pt>
                <c:pt idx="3">
                  <c:v>1600930.2755794351</c:v>
                </c:pt>
                <c:pt idx="4">
                  <c:v>1986183.6781580425</c:v>
                </c:pt>
              </c:numCache>
            </c:numRef>
          </c:xVal>
          <c:yVal>
            <c:numRef>
              <c:f>'Todos los datos'!$G$27:$G$31</c:f>
              <c:numCache>
                <c:formatCode>General</c:formatCode>
                <c:ptCount val="5"/>
                <c:pt idx="0">
                  <c:v>0.17975878608739629</c:v>
                </c:pt>
                <c:pt idx="1">
                  <c:v>0.12327476628358275</c:v>
                </c:pt>
                <c:pt idx="2">
                  <c:v>0.12177193567880372</c:v>
                </c:pt>
                <c:pt idx="3">
                  <c:v>0.1187071446785766</c:v>
                </c:pt>
                <c:pt idx="4">
                  <c:v>0.11945006858469148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3D-428F-B274-BB5E0C25DB7B}"/>
            </c:ext>
          </c:extLst>
        </c:ser>
        <c:ser>
          <c:idx val="3"/>
          <c:order val="5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'Todos los datos'!$F$11:$F$15</c:f>
              <c:numCache>
                <c:formatCode>0</c:formatCode>
                <c:ptCount val="5"/>
                <c:pt idx="0">
                  <c:v>335059.24503756873</c:v>
                </c:pt>
                <c:pt idx="1">
                  <c:v>641007.21415443532</c:v>
                </c:pt>
                <c:pt idx="2">
                  <c:v>1111337.4098024741</c:v>
                </c:pt>
                <c:pt idx="3">
                  <c:v>1610561.6106439002</c:v>
                </c:pt>
                <c:pt idx="4">
                  <c:v>2206099.1621299977</c:v>
                </c:pt>
              </c:numCache>
            </c:numRef>
          </c:xVal>
          <c:yVal>
            <c:numRef>
              <c:f>'Todos los datos'!$L$11:$L$15</c:f>
              <c:numCache>
                <c:formatCode>General</c:formatCode>
                <c:ptCount val="5"/>
                <c:pt idx="0">
                  <c:v>6.1345071176350428E-2</c:v>
                </c:pt>
                <c:pt idx="1">
                  <c:v>3.3319945001187984E-2</c:v>
                </c:pt>
                <c:pt idx="2">
                  <c:v>2.3735450612219915E-2</c:v>
                </c:pt>
                <c:pt idx="3">
                  <c:v>2.5250492030715582E-2</c:v>
                </c:pt>
                <c:pt idx="4">
                  <c:v>2.4586518208485449E-2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3D-428F-B274-BB5E0C25DB7B}"/>
            </c:ext>
          </c:extLst>
        </c:ser>
        <c:ser>
          <c:idx val="5"/>
          <c:order val="6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'Todos los datos'!$F$19:$F$23</c:f>
              <c:numCache>
                <c:formatCode>0</c:formatCode>
                <c:ptCount val="5"/>
                <c:pt idx="0">
                  <c:v>331869.41631859122</c:v>
                </c:pt>
                <c:pt idx="1">
                  <c:v>639401.99164369109</c:v>
                </c:pt>
                <c:pt idx="2">
                  <c:v>1116153.077334705</c:v>
                </c:pt>
                <c:pt idx="3">
                  <c:v>1604140.7206009233</c:v>
                </c:pt>
                <c:pt idx="4">
                  <c:v>2169179.0443828809</c:v>
                </c:pt>
              </c:numCache>
            </c:numRef>
          </c:xVal>
          <c:yVal>
            <c:numRef>
              <c:f>'Todos los datos'!$L$19:$L$23</c:f>
              <c:numCache>
                <c:formatCode>General</c:formatCode>
                <c:ptCount val="5"/>
                <c:pt idx="0">
                  <c:v>0.10986174239816897</c:v>
                </c:pt>
                <c:pt idx="1">
                  <c:v>7.3782234319082179E-2</c:v>
                </c:pt>
                <c:pt idx="2">
                  <c:v>7.3088155856957771E-2</c:v>
                </c:pt>
                <c:pt idx="3">
                  <c:v>7.2422052674380302E-2</c:v>
                </c:pt>
                <c:pt idx="4">
                  <c:v>7.1100436223118221E-2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3D-428F-B274-BB5E0C25DB7B}"/>
            </c:ext>
          </c:extLst>
        </c:ser>
        <c:ser>
          <c:idx val="7"/>
          <c:order val="7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'Todos los datos'!$F$27:$F$31</c:f>
              <c:numCache>
                <c:formatCode>0</c:formatCode>
                <c:ptCount val="5"/>
                <c:pt idx="0">
                  <c:v>239364.38346827458</c:v>
                </c:pt>
                <c:pt idx="1">
                  <c:v>634586.3241114585</c:v>
                </c:pt>
                <c:pt idx="2">
                  <c:v>1119363.5223561933</c:v>
                </c:pt>
                <c:pt idx="3">
                  <c:v>1600930.2755794351</c:v>
                </c:pt>
                <c:pt idx="4">
                  <c:v>1986183.6781580425</c:v>
                </c:pt>
              </c:numCache>
            </c:numRef>
          </c:xVal>
          <c:yVal>
            <c:numRef>
              <c:f>'Todos los datos'!$L$27:$L$31</c:f>
              <c:numCache>
                <c:formatCode>General</c:formatCode>
                <c:ptCount val="5"/>
                <c:pt idx="0">
                  <c:v>0.17987411967533459</c:v>
                </c:pt>
                <c:pt idx="1">
                  <c:v>0.12332030612668138</c:v>
                </c:pt>
                <c:pt idx="2">
                  <c:v>0.12180021596666764</c:v>
                </c:pt>
                <c:pt idx="3">
                  <c:v>0.11872792104188803</c:v>
                </c:pt>
                <c:pt idx="4">
                  <c:v>0.11946717118769402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3D-428F-B274-BB5E0C25DB7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'Todos los datos'!$F$51:$F$55</c:f>
              <c:numCache>
                <c:formatCode>0</c:formatCode>
                <c:ptCount val="5"/>
                <c:pt idx="0">
                  <c:v>159778.15692981117</c:v>
                </c:pt>
                <c:pt idx="1">
                  <c:v>395665.99069812184</c:v>
                </c:pt>
                <c:pt idx="2">
                  <c:v>801529.46522885037</c:v>
                </c:pt>
                <c:pt idx="3">
                  <c:v>1198019.4253826574</c:v>
                </c:pt>
                <c:pt idx="4">
                  <c:v>1604140.7206009233</c:v>
                </c:pt>
              </c:numCache>
            </c:numRef>
          </c:xVal>
          <c:yVal>
            <c:numRef>
              <c:f>'Todos los datos'!$G$51:$G$55</c:f>
              <c:numCache>
                <c:formatCode>General</c:formatCode>
                <c:ptCount val="5"/>
                <c:pt idx="0">
                  <c:v>0.30588321368146831</c:v>
                </c:pt>
                <c:pt idx="1">
                  <c:v>0.21049936623492951</c:v>
                </c:pt>
                <c:pt idx="2">
                  <c:v>0.20480626206478439</c:v>
                </c:pt>
                <c:pt idx="3">
                  <c:v>0.20203790912971545</c:v>
                </c:pt>
                <c:pt idx="4">
                  <c:v>0.19571551789864056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3D-428F-B274-BB5E0C25DB7B}"/>
            </c:ext>
          </c:extLst>
        </c:ser>
        <c:ser>
          <c:idx val="9"/>
          <c:order val="9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'Todos los datos'!$F$51:$F$55</c:f>
              <c:numCache>
                <c:formatCode>0</c:formatCode>
                <c:ptCount val="5"/>
                <c:pt idx="0">
                  <c:v>159778.15692981117</c:v>
                </c:pt>
                <c:pt idx="1">
                  <c:v>395665.99069812184</c:v>
                </c:pt>
                <c:pt idx="2">
                  <c:v>801529.46522885037</c:v>
                </c:pt>
                <c:pt idx="3">
                  <c:v>1198019.4253826574</c:v>
                </c:pt>
                <c:pt idx="4">
                  <c:v>1604140.7206009233</c:v>
                </c:pt>
              </c:numCache>
            </c:numRef>
          </c:xVal>
          <c:yVal>
            <c:numRef>
              <c:f>'Todos los datos'!$L$51:$L$55</c:f>
              <c:numCache>
                <c:formatCode>General</c:formatCode>
                <c:ptCount val="5"/>
                <c:pt idx="0">
                  <c:v>0.30584202420191786</c:v>
                </c:pt>
                <c:pt idx="1">
                  <c:v>0.21037370212375686</c:v>
                </c:pt>
                <c:pt idx="2">
                  <c:v>0.20477866854098389</c:v>
                </c:pt>
                <c:pt idx="3">
                  <c:v>0.20206708472487983</c:v>
                </c:pt>
                <c:pt idx="4">
                  <c:v>0.19569422388894342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3D-428F-B274-BB5E0C25DB7B}"/>
            </c:ext>
          </c:extLst>
        </c:ser>
        <c:ser>
          <c:idx val="10"/>
          <c:order val="10"/>
          <c:spPr>
            <a:ln w="508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'Todos los datos'!$F$58:$F$63</c:f>
              <c:numCache>
                <c:formatCode>0</c:formatCode>
                <c:ptCount val="6"/>
                <c:pt idx="1">
                  <c:v>95662.599678384271</c:v>
                </c:pt>
                <c:pt idx="2">
                  <c:v>338249.07375654468</c:v>
                </c:pt>
                <c:pt idx="3">
                  <c:v>642612.43666517793</c:v>
                </c:pt>
                <c:pt idx="4">
                  <c:v>876974.92323382583</c:v>
                </c:pt>
                <c:pt idx="5">
                  <c:v>1109732.18729173</c:v>
                </c:pt>
              </c:numCache>
            </c:numRef>
          </c:xVal>
          <c:yVal>
            <c:numRef>
              <c:f>'Todos los datos'!$G$58:$G$63</c:f>
              <c:numCache>
                <c:formatCode>General</c:formatCode>
                <c:ptCount val="6"/>
                <c:pt idx="1">
                  <c:v>0.61428950556802497</c:v>
                </c:pt>
                <c:pt idx="2">
                  <c:v>0.46677382012971297</c:v>
                </c:pt>
                <c:pt idx="3">
                  <c:v>0.44142561631575145</c:v>
                </c:pt>
                <c:pt idx="4">
                  <c:v>0.43640139016266632</c:v>
                </c:pt>
                <c:pt idx="5">
                  <c:v>0.43193911171885163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3D-428F-B274-BB5E0C25DB7B}"/>
            </c:ext>
          </c:extLst>
        </c:ser>
        <c:ser>
          <c:idx val="11"/>
          <c:order val="1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'Todos los datos'!$F$59:$F$63</c:f>
              <c:numCache>
                <c:formatCode>0</c:formatCode>
                <c:ptCount val="5"/>
                <c:pt idx="0">
                  <c:v>95662.599678384271</c:v>
                </c:pt>
                <c:pt idx="1">
                  <c:v>338249.07375654468</c:v>
                </c:pt>
                <c:pt idx="2">
                  <c:v>642612.43666517793</c:v>
                </c:pt>
                <c:pt idx="3">
                  <c:v>876974.92323382583</c:v>
                </c:pt>
                <c:pt idx="4">
                  <c:v>1109732.18729173</c:v>
                </c:pt>
              </c:numCache>
            </c:numRef>
          </c:xVal>
          <c:yVal>
            <c:numRef>
              <c:f>'Todos los datos'!$L$59:$L$63</c:f>
              <c:numCache>
                <c:formatCode>General</c:formatCode>
                <c:ptCount val="5"/>
                <c:pt idx="0">
                  <c:v>0.6148517906126163</c:v>
                </c:pt>
                <c:pt idx="1">
                  <c:v>0.46692062033866438</c:v>
                </c:pt>
                <c:pt idx="2">
                  <c:v>0.44148723808805923</c:v>
                </c:pt>
                <c:pt idx="3">
                  <c:v>0.43646199254083234</c:v>
                </c:pt>
                <c:pt idx="4">
                  <c:v>0.43198736969228685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3D-428F-B274-BB5E0C25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512"/>
        <c:axId val="14136256"/>
      </c:scatterChart>
      <c:valAx>
        <c:axId val="14132512"/>
        <c:scaling>
          <c:logBase val="10"/>
          <c:orientation val="minMax"/>
          <c:max val="1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Reynolds number, Re </a:t>
                </a:r>
              </a:p>
            </c:rich>
          </c:tx>
          <c:layout>
            <c:manualLayout>
              <c:xMode val="edge"/>
              <c:yMode val="edge"/>
              <c:x val="0.36486031436395533"/>
              <c:y val="0.93250045710435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36256"/>
        <c:crossesAt val="1.0000000000000002E-2"/>
        <c:crossBetween val="midCat"/>
      </c:valAx>
      <c:valAx>
        <c:axId val="1413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Friction factor, f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32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6623041573729"/>
          <c:y val="2.5498653399395572E-2"/>
          <c:w val="0.85278901400123608"/>
          <c:h val="0.829084434941715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48879015686589"/>
                  <c:y val="9.4085983016289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mitad_tornillos!$AC$37:$AC$44</c:f>
                <c:numCache>
                  <c:formatCode>General</c:formatCode>
                  <c:ptCount val="8"/>
                  <c:pt idx="0">
                    <c:v>15.078607853512228</c:v>
                  </c:pt>
                  <c:pt idx="1">
                    <c:v>13.306225234828958</c:v>
                  </c:pt>
                  <c:pt idx="4">
                    <c:v>8.4020238834461658</c:v>
                  </c:pt>
                  <c:pt idx="5">
                    <c:v>4.8069131883730751</c:v>
                  </c:pt>
                  <c:pt idx="6">
                    <c:v>2.4453559626810981</c:v>
                  </c:pt>
                  <c:pt idx="7">
                    <c:v>9.7592520205187869E-4</c:v>
                  </c:pt>
                </c:numCache>
              </c:numRef>
            </c:plus>
            <c:minus>
              <c:numRef>
                <c:f>mitad_tornillos!$AC$37:$AC$44</c:f>
                <c:numCache>
                  <c:formatCode>General</c:formatCode>
                  <c:ptCount val="8"/>
                  <c:pt idx="0">
                    <c:v>15.078607853512228</c:v>
                  </c:pt>
                  <c:pt idx="1">
                    <c:v>13.306225234828958</c:v>
                  </c:pt>
                  <c:pt idx="4">
                    <c:v>8.4020238834461658</c:v>
                  </c:pt>
                  <c:pt idx="5">
                    <c:v>4.8069131883730751</c:v>
                  </c:pt>
                  <c:pt idx="6">
                    <c:v>2.4453559626810981</c:v>
                  </c:pt>
                  <c:pt idx="7">
                    <c:v>9.7592520205187869E-4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mitad_tornillos!$AA$37:$AA$44</c:f>
              <c:numCache>
                <c:formatCode>0.0</c:formatCode>
                <c:ptCount val="8"/>
                <c:pt idx="0">
                  <c:v>29.46729092490293</c:v>
                </c:pt>
                <c:pt idx="1">
                  <c:v>22.100468193677195</c:v>
                </c:pt>
                <c:pt idx="4">
                  <c:v>14.733645462451465</c:v>
                </c:pt>
                <c:pt idx="5">
                  <c:v>11.050234096838597</c:v>
                </c:pt>
                <c:pt idx="6">
                  <c:v>7.3668227312257324</c:v>
                </c:pt>
                <c:pt idx="7" formatCode="General">
                  <c:v>0</c:v>
                </c:pt>
              </c:numCache>
            </c:numRef>
          </c:xVal>
          <c:yVal>
            <c:numRef>
              <c:f>mitad_tornillos!$AB$37:$AB$44</c:f>
              <c:numCache>
                <c:formatCode>General</c:formatCode>
                <c:ptCount val="8"/>
                <c:pt idx="0">
                  <c:v>118.63260000000001</c:v>
                </c:pt>
                <c:pt idx="1">
                  <c:v>54.924000000000007</c:v>
                </c:pt>
                <c:pt idx="4">
                  <c:v>26.711460000000002</c:v>
                </c:pt>
                <c:pt idx="5">
                  <c:v>10.924821000000001</c:v>
                </c:pt>
                <c:pt idx="6">
                  <c:v>1.6629780000000001</c:v>
                </c:pt>
                <c:pt idx="7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F-4A66-8542-4BDBE78B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9760"/>
        <c:axId val="27705600"/>
      </c:scatterChart>
      <c:valAx>
        <c:axId val="27709760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Pipe cross-sectional area occupied by screws (%)</a:t>
                </a:r>
              </a:p>
            </c:rich>
          </c:tx>
          <c:layout>
            <c:manualLayout>
              <c:xMode val="edge"/>
              <c:yMode val="edge"/>
              <c:x val="0.20921652199618393"/>
              <c:y val="0.93221520939125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5600"/>
        <c:crosses val="autoZero"/>
        <c:crossBetween val="midCat"/>
        <c:majorUnit val="5"/>
        <c:minorUnit val="1"/>
      </c:valAx>
      <c:valAx>
        <c:axId val="27705600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Absolute roughness (mm)</a:t>
                </a:r>
              </a:p>
            </c:rich>
          </c:tx>
          <c:layout>
            <c:manualLayout>
              <c:xMode val="edge"/>
              <c:yMode val="edge"/>
              <c:x val="7.0894090457122895E-3"/>
              <c:y val="0.19075479533726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09760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6507963455099"/>
          <c:y val="2.2964824112332964E-2"/>
          <c:w val="0.85076663088431903"/>
          <c:h val="0.81334622935398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'Todos los datos'!$H$2</c:f>
              <c:strCache>
                <c:ptCount val="1"/>
                <c:pt idx="0">
                  <c:v>Ajustado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'Todos los datos'!$G$3:$G$63</c:f>
              <c:numCache>
                <c:formatCode>General</c:formatCode>
                <c:ptCount val="61"/>
                <c:pt idx="0">
                  <c:v>1.2828017681423234E-2</c:v>
                </c:pt>
                <c:pt idx="1">
                  <c:v>1.1750421417029283E-2</c:v>
                </c:pt>
                <c:pt idx="2">
                  <c:v>1.1371403726556355E-2</c:v>
                </c:pt>
                <c:pt idx="3">
                  <c:v>1.1019517359890707E-2</c:v>
                </c:pt>
                <c:pt idx="4">
                  <c:v>1.0712198228220225E-2</c:v>
                </c:pt>
                <c:pt idx="8">
                  <c:v>6.2827878785084168E-2</c:v>
                </c:pt>
                <c:pt idx="9">
                  <c:v>3.3253094711721123E-2</c:v>
                </c:pt>
                <c:pt idx="10">
                  <c:v>2.3669154736580163E-2</c:v>
                </c:pt>
                <c:pt idx="11">
                  <c:v>2.5202105614057953E-2</c:v>
                </c:pt>
                <c:pt idx="12">
                  <c:v>2.454654996018666E-2</c:v>
                </c:pt>
                <c:pt idx="16">
                  <c:v>0.10978414474931389</c:v>
                </c:pt>
                <c:pt idx="17">
                  <c:v>7.3735251981898189E-2</c:v>
                </c:pt>
                <c:pt idx="18">
                  <c:v>7.3058382046611137E-2</c:v>
                </c:pt>
                <c:pt idx="19">
                  <c:v>7.2399986827353574E-2</c:v>
                </c:pt>
                <c:pt idx="20">
                  <c:v>7.1083166085208496E-2</c:v>
                </c:pt>
                <c:pt idx="24">
                  <c:v>0.17975878608739629</c:v>
                </c:pt>
                <c:pt idx="25">
                  <c:v>0.12327476628358275</c:v>
                </c:pt>
                <c:pt idx="26">
                  <c:v>0.12177193567880372</c:v>
                </c:pt>
                <c:pt idx="27">
                  <c:v>0.1187071446785766</c:v>
                </c:pt>
                <c:pt idx="28">
                  <c:v>0.11945006858469148</c:v>
                </c:pt>
                <c:pt idx="32">
                  <c:v>1.2828017681423207E-2</c:v>
                </c:pt>
                <c:pt idx="33">
                  <c:v>1.1750421417029306E-2</c:v>
                </c:pt>
                <c:pt idx="34">
                  <c:v>1.1371403726556366E-2</c:v>
                </c:pt>
                <c:pt idx="35">
                  <c:v>1.1019517359890709E-2</c:v>
                </c:pt>
                <c:pt idx="36">
                  <c:v>1.0712198228220209E-2</c:v>
                </c:pt>
                <c:pt idx="48">
                  <c:v>0.30588321368146831</c:v>
                </c:pt>
                <c:pt idx="49">
                  <c:v>0.21049936623492951</c:v>
                </c:pt>
                <c:pt idx="50">
                  <c:v>0.20480626206478439</c:v>
                </c:pt>
                <c:pt idx="51">
                  <c:v>0.20203790912971545</c:v>
                </c:pt>
                <c:pt idx="52">
                  <c:v>0.19571551789864056</c:v>
                </c:pt>
                <c:pt idx="56">
                  <c:v>0.61428950556802497</c:v>
                </c:pt>
                <c:pt idx="57">
                  <c:v>0.46677382012971297</c:v>
                </c:pt>
                <c:pt idx="58">
                  <c:v>0.44142561631575145</c:v>
                </c:pt>
                <c:pt idx="59">
                  <c:v>0.43640139016266632</c:v>
                </c:pt>
                <c:pt idx="60">
                  <c:v>0.43193911171885163</c:v>
                </c:pt>
              </c:numCache>
            </c:numRef>
          </c:xVal>
          <c:yVal>
            <c:numRef>
              <c:f>'Todos los datos'!$H$3:$H$63</c:f>
              <c:numCache>
                <c:formatCode>General</c:formatCode>
                <c:ptCount val="61"/>
                <c:pt idx="0">
                  <c:v>1.4553276987038719E-2</c:v>
                </c:pt>
                <c:pt idx="1">
                  <c:v>1.3362778309451906E-2</c:v>
                </c:pt>
                <c:pt idx="2">
                  <c:v>1.1453388725958323E-2</c:v>
                </c:pt>
                <c:pt idx="3">
                  <c:v>1.09799166250431E-2</c:v>
                </c:pt>
                <c:pt idx="4">
                  <c:v>1.0689356982699769E-2</c:v>
                </c:pt>
                <c:pt idx="8">
                  <c:v>6.2911338684159129E-2</c:v>
                </c:pt>
                <c:pt idx="9">
                  <c:v>3.3324883597755914E-2</c:v>
                </c:pt>
                <c:pt idx="10">
                  <c:v>2.3735584826705687E-2</c:v>
                </c:pt>
                <c:pt idx="11">
                  <c:v>2.5250522895402749E-2</c:v>
                </c:pt>
                <c:pt idx="12">
                  <c:v>2.4586569148166527E-2</c:v>
                </c:pt>
                <c:pt idx="16">
                  <c:v>0.10986282425764174</c:v>
                </c:pt>
                <c:pt idx="17">
                  <c:v>7.3782422264290451E-2</c:v>
                </c:pt>
                <c:pt idx="18">
                  <c:v>7.3088190835479239E-2</c:v>
                </c:pt>
                <c:pt idx="19">
                  <c:v>7.2422081655528409E-2</c:v>
                </c:pt>
                <c:pt idx="20">
                  <c:v>7.1100438566180466E-2</c:v>
                </c:pt>
                <c:pt idx="24">
                  <c:v>0.17987427154363569</c:v>
                </c:pt>
                <c:pt idx="25">
                  <c:v>0.12332069813947176</c:v>
                </c:pt>
                <c:pt idx="26">
                  <c:v>0.12180022021476421</c:v>
                </c:pt>
                <c:pt idx="27">
                  <c:v>0.1187279409646002</c:v>
                </c:pt>
                <c:pt idx="28">
                  <c:v>0.11946736402829072</c:v>
                </c:pt>
                <c:pt idx="32">
                  <c:v>1.4553276987038739E-2</c:v>
                </c:pt>
                <c:pt idx="33">
                  <c:v>1.3362778309451892E-2</c:v>
                </c:pt>
                <c:pt idx="34">
                  <c:v>1.1453388725958314E-2</c:v>
                </c:pt>
                <c:pt idx="35">
                  <c:v>1.0979916625043103E-2</c:v>
                </c:pt>
                <c:pt idx="36">
                  <c:v>1.0689356982699754E-2</c:v>
                </c:pt>
                <c:pt idx="48">
                  <c:v>0.30609604628120374</c:v>
                </c:pt>
                <c:pt idx="49">
                  <c:v>0.21057910371051933</c:v>
                </c:pt>
                <c:pt idx="50">
                  <c:v>0.20484906871681857</c:v>
                </c:pt>
                <c:pt idx="51">
                  <c:v>0.20206795960539947</c:v>
                </c:pt>
                <c:pt idx="52">
                  <c:v>0.19573856931025577</c:v>
                </c:pt>
                <c:pt idx="56">
                  <c:v>0.61485302960839883</c:v>
                </c:pt>
                <c:pt idx="57">
                  <c:v>0.46692210734895112</c:v>
                </c:pt>
                <c:pt idx="58">
                  <c:v>0.44150652584922151</c:v>
                </c:pt>
                <c:pt idx="59">
                  <c:v>0.43646243112452698</c:v>
                </c:pt>
                <c:pt idx="60">
                  <c:v>0.43198836535402008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631-940B-A212AE025E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223956410291965"/>
                  <c:y val="-9.857984136051372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'Todos los datos'!$G$3:$G$63</c:f>
              <c:numCache>
                <c:formatCode>General</c:formatCode>
                <c:ptCount val="61"/>
                <c:pt idx="0">
                  <c:v>1.2828017681423234E-2</c:v>
                </c:pt>
                <c:pt idx="1">
                  <c:v>1.1750421417029283E-2</c:v>
                </c:pt>
                <c:pt idx="2">
                  <c:v>1.1371403726556355E-2</c:v>
                </c:pt>
                <c:pt idx="3">
                  <c:v>1.1019517359890707E-2</c:v>
                </c:pt>
                <c:pt idx="4">
                  <c:v>1.0712198228220225E-2</c:v>
                </c:pt>
                <c:pt idx="8">
                  <c:v>6.2827878785084168E-2</c:v>
                </c:pt>
                <c:pt idx="9">
                  <c:v>3.3253094711721123E-2</c:v>
                </c:pt>
                <c:pt idx="10">
                  <c:v>2.3669154736580163E-2</c:v>
                </c:pt>
                <c:pt idx="11">
                  <c:v>2.5202105614057953E-2</c:v>
                </c:pt>
                <c:pt idx="12">
                  <c:v>2.454654996018666E-2</c:v>
                </c:pt>
                <c:pt idx="16">
                  <c:v>0.10978414474931389</c:v>
                </c:pt>
                <c:pt idx="17">
                  <c:v>7.3735251981898189E-2</c:v>
                </c:pt>
                <c:pt idx="18">
                  <c:v>7.3058382046611137E-2</c:v>
                </c:pt>
                <c:pt idx="19">
                  <c:v>7.2399986827353574E-2</c:v>
                </c:pt>
                <c:pt idx="20">
                  <c:v>7.1083166085208496E-2</c:v>
                </c:pt>
                <c:pt idx="24">
                  <c:v>0.17975878608739629</c:v>
                </c:pt>
                <c:pt idx="25">
                  <c:v>0.12327476628358275</c:v>
                </c:pt>
                <c:pt idx="26">
                  <c:v>0.12177193567880372</c:v>
                </c:pt>
                <c:pt idx="27">
                  <c:v>0.1187071446785766</c:v>
                </c:pt>
                <c:pt idx="28">
                  <c:v>0.11945006858469148</c:v>
                </c:pt>
                <c:pt idx="32">
                  <c:v>1.2828017681423207E-2</c:v>
                </c:pt>
                <c:pt idx="33">
                  <c:v>1.1750421417029306E-2</c:v>
                </c:pt>
                <c:pt idx="34">
                  <c:v>1.1371403726556366E-2</c:v>
                </c:pt>
                <c:pt idx="35">
                  <c:v>1.1019517359890709E-2</c:v>
                </c:pt>
                <c:pt idx="36">
                  <c:v>1.0712198228220209E-2</c:v>
                </c:pt>
                <c:pt idx="48">
                  <c:v>0.30588321368146831</c:v>
                </c:pt>
                <c:pt idx="49">
                  <c:v>0.21049936623492951</c:v>
                </c:pt>
                <c:pt idx="50">
                  <c:v>0.20480626206478439</c:v>
                </c:pt>
                <c:pt idx="51">
                  <c:v>0.20203790912971545</c:v>
                </c:pt>
                <c:pt idx="52">
                  <c:v>0.19571551789864056</c:v>
                </c:pt>
                <c:pt idx="56">
                  <c:v>0.61428950556802497</c:v>
                </c:pt>
                <c:pt idx="57">
                  <c:v>0.46677382012971297</c:v>
                </c:pt>
                <c:pt idx="58">
                  <c:v>0.44142561631575145</c:v>
                </c:pt>
                <c:pt idx="59">
                  <c:v>0.43640139016266632</c:v>
                </c:pt>
                <c:pt idx="60">
                  <c:v>0.43193911171885163</c:v>
                </c:pt>
              </c:numCache>
            </c:numRef>
          </c:xVal>
          <c:yVal>
            <c:numRef>
              <c:f>'Todos los datos'!$L$3:$L$63</c:f>
              <c:numCache>
                <c:formatCode>General</c:formatCode>
                <c:ptCount val="61"/>
                <c:pt idx="0">
                  <c:v>1.3838966997560053E-2</c:v>
                </c:pt>
                <c:pt idx="1">
                  <c:v>1.2778026139138782E-2</c:v>
                </c:pt>
                <c:pt idx="2">
                  <c:v>1.1615423396815339E-2</c:v>
                </c:pt>
                <c:pt idx="3">
                  <c:v>1.1174721891319902E-2</c:v>
                </c:pt>
                <c:pt idx="4">
                  <c:v>1.0814450465747137E-2</c:v>
                </c:pt>
                <c:pt idx="8">
                  <c:v>6.1345071176350428E-2</c:v>
                </c:pt>
                <c:pt idx="9">
                  <c:v>3.3319945001187984E-2</c:v>
                </c:pt>
                <c:pt idx="10">
                  <c:v>2.3735450612219915E-2</c:v>
                </c:pt>
                <c:pt idx="11">
                  <c:v>2.5250492030715582E-2</c:v>
                </c:pt>
                <c:pt idx="12">
                  <c:v>2.4586518208485449E-2</c:v>
                </c:pt>
                <c:pt idx="16">
                  <c:v>0.10986174239816897</c:v>
                </c:pt>
                <c:pt idx="17">
                  <c:v>7.3782234319082179E-2</c:v>
                </c:pt>
                <c:pt idx="18">
                  <c:v>7.3088155856957771E-2</c:v>
                </c:pt>
                <c:pt idx="19">
                  <c:v>7.2422052674380302E-2</c:v>
                </c:pt>
                <c:pt idx="20">
                  <c:v>7.1100436223118221E-2</c:v>
                </c:pt>
                <c:pt idx="24">
                  <c:v>0.17987411967533459</c:v>
                </c:pt>
                <c:pt idx="25">
                  <c:v>0.12332030612668138</c:v>
                </c:pt>
                <c:pt idx="26">
                  <c:v>0.12180021596666764</c:v>
                </c:pt>
                <c:pt idx="27">
                  <c:v>0.11872792104188803</c:v>
                </c:pt>
                <c:pt idx="28">
                  <c:v>0.11946717118769402</c:v>
                </c:pt>
                <c:pt idx="32">
                  <c:v>1.3692681970863534E-2</c:v>
                </c:pt>
                <c:pt idx="33">
                  <c:v>1.2778026139138782E-2</c:v>
                </c:pt>
                <c:pt idx="34">
                  <c:v>1.1689669319231651E-2</c:v>
                </c:pt>
                <c:pt idx="35">
                  <c:v>1.1277689040913757E-2</c:v>
                </c:pt>
                <c:pt idx="36">
                  <c:v>1.0950385466549464E-2</c:v>
                </c:pt>
                <c:pt idx="48">
                  <c:v>0.30584202420191786</c:v>
                </c:pt>
                <c:pt idx="49">
                  <c:v>0.21037370212375686</c:v>
                </c:pt>
                <c:pt idx="50">
                  <c:v>0.20477866854098389</c:v>
                </c:pt>
                <c:pt idx="51">
                  <c:v>0.20206708472487983</c:v>
                </c:pt>
                <c:pt idx="52">
                  <c:v>0.19569422388894342</c:v>
                </c:pt>
                <c:pt idx="56">
                  <c:v>0.6148517906126163</c:v>
                </c:pt>
                <c:pt idx="57">
                  <c:v>0.46692062033866438</c:v>
                </c:pt>
                <c:pt idx="58">
                  <c:v>0.44148723808805923</c:v>
                </c:pt>
                <c:pt idx="59">
                  <c:v>0.43646199254083234</c:v>
                </c:pt>
                <c:pt idx="60">
                  <c:v>0.43198736969228685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A-4BFD-BA43-E32CFF2B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2944"/>
        <c:axId val="189583360"/>
      </c:scatterChart>
      <c:valAx>
        <c:axId val="1895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 b="1"/>
                  <a:t>Experimental pipe friction coefficient</a:t>
                </a:r>
              </a:p>
            </c:rich>
          </c:tx>
          <c:layout>
            <c:manualLayout>
              <c:xMode val="edge"/>
              <c:yMode val="edge"/>
              <c:x val="0.3294010405067796"/>
              <c:y val="0.9092586549068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83360"/>
        <c:crosses val="autoZero"/>
        <c:crossBetween val="midCat"/>
      </c:valAx>
      <c:valAx>
        <c:axId val="18958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 b="1"/>
                  <a:t>Adjusted</a:t>
                </a:r>
                <a:r>
                  <a:rPr lang="es-ES" sz="2000" b="1" baseline="0"/>
                  <a:t> pipe friction coeficient </a:t>
                </a:r>
                <a:endParaRPr lang="es-ES" sz="2000" b="1"/>
              </a:p>
            </c:rich>
          </c:tx>
          <c:layout>
            <c:manualLayout>
              <c:xMode val="edge"/>
              <c:yMode val="edge"/>
              <c:x val="1.4230099646200154E-2"/>
              <c:y val="0.1591488428882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82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67</xdr:row>
      <xdr:rowOff>142875</xdr:rowOff>
    </xdr:from>
    <xdr:to>
      <xdr:col>22</xdr:col>
      <xdr:colOff>0</xdr:colOff>
      <xdr:row>89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79373</xdr:colOff>
      <xdr:row>34</xdr:row>
      <xdr:rowOff>57149</xdr:rowOff>
    </xdr:from>
    <xdr:to>
      <xdr:col>8</xdr:col>
      <xdr:colOff>603250</xdr:colOff>
      <xdr:row>60</xdr:row>
      <xdr:rowOff>31751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222249</xdr:colOff>
      <xdr:row>50</xdr:row>
      <xdr:rowOff>7937</xdr:rowOff>
    </xdr:from>
    <xdr:to>
      <xdr:col>29</xdr:col>
      <xdr:colOff>87313</xdr:colOff>
      <xdr:row>77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E48"/>
  <sheetViews>
    <sheetView tabSelected="1" topLeftCell="T13" zoomScale="85" zoomScaleNormal="85" workbookViewId="0">
      <selection activeCell="AC48" sqref="AC48"/>
    </sheetView>
  </sheetViews>
  <sheetFormatPr baseColWidth="10" defaultRowHeight="12.75" x14ac:dyDescent="0.2"/>
  <cols>
    <col min="1" max="5" width="11.42578125" style="28"/>
    <col min="6" max="6" width="13.5703125" style="28" bestFit="1" customWidth="1"/>
    <col min="7" max="10" width="11.42578125" style="28"/>
    <col min="11" max="11" width="20.140625" style="28" customWidth="1"/>
    <col min="12" max="14" width="11.42578125" style="28"/>
    <col min="15" max="15" width="15.140625" style="28" customWidth="1"/>
    <col min="16" max="41" width="11.42578125" style="28"/>
    <col min="42" max="42" width="11.85546875" style="28" bestFit="1" customWidth="1"/>
    <col min="43" max="44" width="11.42578125" style="28"/>
    <col min="45" max="45" width="31.5703125" style="28" customWidth="1"/>
    <col min="46" max="46" width="11.7109375" style="28" bestFit="1" customWidth="1"/>
    <col min="47" max="47" width="11.42578125" style="28"/>
    <col min="48" max="48" width="14.5703125" style="28" customWidth="1"/>
    <col min="49" max="49" width="11.7109375" style="28" bestFit="1" customWidth="1"/>
    <col min="50" max="50" width="12.28515625" style="28" bestFit="1" customWidth="1"/>
    <col min="51" max="51" width="11.42578125" style="28"/>
    <col min="52" max="52" width="12.28515625" style="28" bestFit="1" customWidth="1"/>
    <col min="53" max="16384" width="11.42578125" style="28"/>
  </cols>
  <sheetData>
    <row r="1" spans="1:57" x14ac:dyDescent="0.2">
      <c r="AS1" s="28" t="s">
        <v>38</v>
      </c>
      <c r="AT1" s="28" t="s">
        <v>6</v>
      </c>
      <c r="AU1" s="28" t="s">
        <v>93</v>
      </c>
      <c r="AV1" s="28" t="s">
        <v>7</v>
      </c>
      <c r="AW1" s="28" t="s">
        <v>8</v>
      </c>
      <c r="AX1" s="28" t="s">
        <v>23</v>
      </c>
    </row>
    <row r="2" spans="1:57" ht="15" x14ac:dyDescent="0.25">
      <c r="B2" s="85" t="s">
        <v>115</v>
      </c>
      <c r="C2" s="85"/>
      <c r="D2" s="85"/>
      <c r="E2" s="29"/>
      <c r="F2" s="29" t="s">
        <v>116</v>
      </c>
      <c r="G2" s="29"/>
      <c r="H2" s="29"/>
      <c r="I2" s="29"/>
      <c r="J2" s="29"/>
      <c r="K2" s="29"/>
      <c r="L2" s="29"/>
      <c r="M2" s="29"/>
      <c r="N2" s="29"/>
      <c r="O2" s="29"/>
      <c r="P2" s="29"/>
      <c r="R2" s="30" t="s">
        <v>117</v>
      </c>
      <c r="AS2" s="28">
        <f>AW2*AT2</f>
        <v>2.5085441409725903E-2</v>
      </c>
      <c r="AT2" s="28">
        <v>1.1000000000000001</v>
      </c>
      <c r="AU2" s="28">
        <v>9.8066499999999994</v>
      </c>
      <c r="AV2" s="28">
        <v>0.1704</v>
      </c>
      <c r="AW2" s="28">
        <v>2.2804946736114454E-2</v>
      </c>
      <c r="AX2" s="28">
        <v>1.003E-6</v>
      </c>
    </row>
    <row r="3" spans="1:57" ht="15" x14ac:dyDescent="0.25">
      <c r="A3" s="28" t="s">
        <v>118</v>
      </c>
      <c r="B3" s="31" t="s">
        <v>119</v>
      </c>
      <c r="C3" s="32" t="s">
        <v>120</v>
      </c>
      <c r="D3" s="31" t="s">
        <v>121</v>
      </c>
      <c r="E3" s="33" t="s">
        <v>122</v>
      </c>
      <c r="F3" s="33" t="s">
        <v>123</v>
      </c>
      <c r="G3" s="33"/>
      <c r="H3" s="33"/>
      <c r="I3" s="33"/>
      <c r="J3" s="33"/>
      <c r="K3" s="33"/>
      <c r="L3" s="33"/>
      <c r="M3" s="33"/>
      <c r="N3" s="33"/>
      <c r="O3" s="33"/>
      <c r="P3" s="33"/>
      <c r="R3" s="30" t="s">
        <v>124</v>
      </c>
    </row>
    <row r="4" spans="1:57" x14ac:dyDescent="0.2">
      <c r="A4" s="28">
        <f>(B4/3600)/(PI()*(S$7/1000/2)^2)</f>
        <v>2.9942430197939447</v>
      </c>
      <c r="B4" s="34">
        <v>245.82078929298024</v>
      </c>
      <c r="C4" s="34">
        <v>0.37853502060006283</v>
      </c>
      <c r="D4" s="35">
        <f>C4/A4</f>
        <v>0.12642094115196853</v>
      </c>
      <c r="E4" s="36">
        <f>(C4/$AU$2)*($S$7/1000)*2*$AU$2/((A4^2)*$AT$2)</f>
        <v>1.308093761011477E-2</v>
      </c>
      <c r="F4" s="37">
        <f>((3.7^2)/(10^(1/E4^0.5)))^0.5*$S$7</f>
        <v>2.6789779840449897E-2</v>
      </c>
      <c r="G4" s="36"/>
      <c r="H4" s="36"/>
      <c r="I4" s="38"/>
      <c r="J4" s="38"/>
      <c r="K4" s="38"/>
      <c r="L4" s="38"/>
      <c r="M4" s="38"/>
      <c r="N4" s="38"/>
      <c r="O4" s="38"/>
      <c r="P4" s="38"/>
      <c r="Q4" s="28" t="s">
        <v>125</v>
      </c>
      <c r="R4" s="28" t="s">
        <v>126</v>
      </c>
      <c r="S4" s="28" t="s">
        <v>127</v>
      </c>
      <c r="T4" s="28" t="s">
        <v>128</v>
      </c>
      <c r="V4" s="39"/>
      <c r="W4" s="39"/>
      <c r="X4" s="39"/>
      <c r="Y4" s="39"/>
      <c r="Z4" s="39"/>
      <c r="AA4" s="39"/>
      <c r="AB4" s="39"/>
      <c r="AC4" s="39"/>
      <c r="AD4" s="39"/>
      <c r="AE4" s="39"/>
    </row>
    <row r="5" spans="1:57" ht="15" x14ac:dyDescent="0.25">
      <c r="A5" s="28">
        <f t="shared" ref="A5:A8" si="0">(B5/3600)/(PI()*(S$7/1000/2)^2)</f>
        <v>4.8168347583154967</v>
      </c>
      <c r="B5" s="34">
        <v>395.45157636017865</v>
      </c>
      <c r="C5" s="34">
        <v>0.89732416207585897</v>
      </c>
      <c r="D5" s="35">
        <f t="shared" ref="D5:D8" si="1">C5/A5</f>
        <v>0.18628917268269832</v>
      </c>
      <c r="E5" s="36">
        <f>(C5/$AU$2)*($S$7/1000)*2*$AU$2/((A5^2)*$AT$2)</f>
        <v>1.1982095228267861E-2</v>
      </c>
      <c r="F5" s="37">
        <f>((3.7^2)/(10^(1/E5^0.5)))^0.5*$S$7</f>
        <v>1.705719828402984E-2</v>
      </c>
      <c r="G5" s="36"/>
      <c r="H5" s="36"/>
      <c r="I5" s="38"/>
      <c r="J5" s="38"/>
      <c r="K5" s="38"/>
      <c r="L5" s="38"/>
      <c r="M5" s="38"/>
      <c r="N5" s="38"/>
      <c r="O5" s="38"/>
      <c r="P5" s="38"/>
      <c r="Q5" s="28">
        <v>10</v>
      </c>
      <c r="R5" s="28">
        <v>250</v>
      </c>
      <c r="S5" s="40">
        <v>226.2</v>
      </c>
      <c r="T5" s="28">
        <v>26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S5" s="41"/>
      <c r="AT5" s="41"/>
      <c r="AU5" s="41"/>
      <c r="AV5" s="41"/>
      <c r="AW5" s="41"/>
      <c r="AX5" s="41"/>
      <c r="AY5" s="41"/>
      <c r="AZ5" s="41"/>
      <c r="BA5" s="41" t="s">
        <v>40</v>
      </c>
      <c r="BB5" s="41" t="s">
        <v>41</v>
      </c>
      <c r="BC5" s="41"/>
      <c r="BD5" s="41"/>
      <c r="BE5" s="41"/>
    </row>
    <row r="6" spans="1:57" ht="15" x14ac:dyDescent="0.25">
      <c r="A6" s="28">
        <f t="shared" si="0"/>
        <v>8.576484429899967</v>
      </c>
      <c r="B6" s="34">
        <v>704.11057418514122</v>
      </c>
      <c r="C6" s="34">
        <v>2.7529930142777448</v>
      </c>
      <c r="D6" s="35">
        <f t="shared" si="1"/>
        <v>0.3209931804551594</v>
      </c>
      <c r="E6" s="36">
        <f>(C6/$AU$2)*($S$7/1000)*2*$AU$2/((A6^2)*$AT$2)</f>
        <v>1.159560474428716E-2</v>
      </c>
      <c r="F6" s="37">
        <f>((3.7^2)/(10^(1/E6^0.5)))^0.5*$S$7</f>
        <v>1.4335343615652878E-2</v>
      </c>
      <c r="G6" s="36"/>
      <c r="H6" s="36"/>
      <c r="I6" s="38"/>
      <c r="J6" s="38"/>
      <c r="K6" s="38"/>
      <c r="L6" s="38"/>
      <c r="M6" s="38"/>
      <c r="N6" s="38"/>
      <c r="O6" s="38"/>
      <c r="P6" s="38"/>
      <c r="Q6" s="28">
        <v>10</v>
      </c>
      <c r="R6" s="28">
        <v>300</v>
      </c>
      <c r="S6" s="40">
        <v>285</v>
      </c>
      <c r="T6" s="28">
        <v>32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S6" s="41"/>
      <c r="AT6" s="41"/>
      <c r="AU6" s="41"/>
      <c r="AV6" s="41"/>
      <c r="AW6" s="41"/>
      <c r="AX6" s="41"/>
      <c r="AY6" s="41"/>
      <c r="AZ6" s="41"/>
      <c r="BA6" s="41"/>
      <c r="BB6" s="41" t="s">
        <v>102</v>
      </c>
      <c r="BC6" s="41"/>
      <c r="BD6" s="41"/>
      <c r="BE6" s="41"/>
    </row>
    <row r="7" spans="1:57" ht="15" x14ac:dyDescent="0.25">
      <c r="A7" s="28">
        <f t="shared" si="0"/>
        <v>11.025767603570632</v>
      </c>
      <c r="B7" s="34">
        <v>905.19135452713635</v>
      </c>
      <c r="C7" s="34">
        <v>4.409127581296632</v>
      </c>
      <c r="D7" s="35">
        <f t="shared" si="1"/>
        <v>0.39989302693707796</v>
      </c>
      <c r="E7" s="36">
        <f>(C7/$AU$2)*($S$7/1000)*2*$AU$2/((A7^2)*$AT$2)</f>
        <v>1.1236780511072289E-2</v>
      </c>
      <c r="F7" s="37">
        <f>((3.7^2)/(10^(1/E7^0.5)))^0.5*$S$7</f>
        <v>1.2101912454832567E-2</v>
      </c>
      <c r="G7" s="36"/>
      <c r="H7" s="36"/>
      <c r="I7" s="38"/>
      <c r="J7" s="38"/>
      <c r="K7" s="38"/>
      <c r="L7" s="38"/>
      <c r="M7" s="38"/>
      <c r="N7" s="38"/>
      <c r="O7" s="38"/>
      <c r="P7" s="38"/>
      <c r="Q7" s="28">
        <v>16</v>
      </c>
      <c r="R7" s="28">
        <v>200</v>
      </c>
      <c r="S7" s="28">
        <v>170.4</v>
      </c>
      <c r="T7" s="28">
        <v>21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S7" s="41" t="s">
        <v>129</v>
      </c>
      <c r="AT7" s="41"/>
      <c r="AU7" s="41"/>
      <c r="AV7" s="41"/>
      <c r="AW7" s="41"/>
      <c r="AX7" s="41" t="s">
        <v>52</v>
      </c>
      <c r="AY7" s="41" t="s">
        <v>53</v>
      </c>
      <c r="AZ7" s="41" t="s">
        <v>56</v>
      </c>
      <c r="BA7" s="41"/>
      <c r="BB7" s="41"/>
    </row>
    <row r="8" spans="1:57" ht="15" x14ac:dyDescent="0.25">
      <c r="A8" s="28">
        <f t="shared" si="0"/>
        <v>13.695486262871658</v>
      </c>
      <c r="B8" s="34">
        <v>1124.3694050999111</v>
      </c>
      <c r="C8" s="34">
        <v>6.6131129047407446</v>
      </c>
      <c r="D8" s="35">
        <f t="shared" si="1"/>
        <v>0.48286806162325435</v>
      </c>
      <c r="E8" s="36">
        <f>(C8/$AU$2)*($S$7/1000)*2*$AU$2/((A8^2)*$AT$2)</f>
        <v>1.0923402209949582E-2</v>
      </c>
      <c r="F8" s="37">
        <f>((3.7^2)/(10^(1/E8^0.5)))^0.5*$S$7</f>
        <v>1.0367468811157951E-2</v>
      </c>
      <c r="G8" s="36"/>
      <c r="H8" s="36"/>
      <c r="I8" s="38"/>
      <c r="J8" s="38"/>
      <c r="K8" s="38"/>
      <c r="L8" s="38"/>
      <c r="M8" s="38"/>
      <c r="N8" s="38"/>
      <c r="O8" s="38"/>
      <c r="P8" s="38"/>
      <c r="S8" s="28" t="s">
        <v>130</v>
      </c>
      <c r="AS8" s="41" t="s">
        <v>131</v>
      </c>
      <c r="AT8" s="41"/>
      <c r="AU8" s="41"/>
      <c r="AV8" s="41" t="s">
        <v>132</v>
      </c>
      <c r="AW8" s="41" t="s">
        <v>133</v>
      </c>
      <c r="AX8" s="41" t="s">
        <v>134</v>
      </c>
      <c r="AY8" s="41"/>
      <c r="AZ8" s="41"/>
      <c r="BA8" s="41"/>
      <c r="BB8" s="41"/>
    </row>
    <row r="9" spans="1:57" ht="15" x14ac:dyDescent="0.25">
      <c r="B9" s="34"/>
      <c r="C9" s="34"/>
      <c r="D9" s="35"/>
      <c r="E9" s="36"/>
      <c r="F9" s="42">
        <f>AVERAGE(F4:F8)</f>
        <v>1.6130340601224626E-2</v>
      </c>
      <c r="G9" s="36"/>
      <c r="H9" s="36"/>
      <c r="I9" s="38"/>
      <c r="J9" s="38"/>
      <c r="K9" s="38"/>
      <c r="L9" s="38"/>
      <c r="M9" s="38"/>
      <c r="N9" s="38"/>
      <c r="O9" s="38"/>
      <c r="P9" s="38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7" ht="15" x14ac:dyDescent="0.25">
      <c r="B10" s="34"/>
      <c r="C10" s="34"/>
      <c r="D10" s="35"/>
      <c r="E10" s="36"/>
      <c r="F10" s="42">
        <f>STDEV(F4:F8)</f>
        <v>6.4642023644938609E-3</v>
      </c>
      <c r="G10" s="36"/>
      <c r="H10" s="36"/>
      <c r="I10" s="38"/>
      <c r="J10" s="38"/>
      <c r="K10" s="38"/>
      <c r="L10" s="38"/>
      <c r="M10" s="38"/>
      <c r="N10" s="38"/>
      <c r="O10" s="38"/>
      <c r="P10" s="38"/>
      <c r="AS10" s="41" t="s">
        <v>135</v>
      </c>
      <c r="AT10" s="41">
        <v>21</v>
      </c>
      <c r="AU10" s="41"/>
      <c r="AV10" s="41"/>
      <c r="AW10" s="41"/>
      <c r="AX10" s="41"/>
      <c r="AY10" s="41"/>
      <c r="AZ10" s="41"/>
      <c r="BA10" s="41"/>
      <c r="BB10" s="41"/>
    </row>
    <row r="11" spans="1:57" ht="15" x14ac:dyDescent="0.25">
      <c r="B11" s="90">
        <v>0.25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S11" s="41" t="s">
        <v>43</v>
      </c>
      <c r="AT11" s="41">
        <v>21</v>
      </c>
      <c r="AU11" s="41"/>
      <c r="AV11" s="43">
        <v>25</v>
      </c>
      <c r="AW11" s="41">
        <v>30</v>
      </c>
      <c r="AX11" s="44"/>
      <c r="AY11" s="45"/>
      <c r="AZ11" s="46"/>
      <c r="BA11" s="41"/>
      <c r="BB11" s="41"/>
    </row>
    <row r="12" spans="1:57" ht="15" x14ac:dyDescent="0.25">
      <c r="B12" s="85" t="s">
        <v>136</v>
      </c>
      <c r="C12" s="85"/>
      <c r="D12" s="85"/>
      <c r="E12" s="47"/>
      <c r="F12" s="47"/>
      <c r="G12" s="47" t="s">
        <v>123</v>
      </c>
      <c r="H12" s="47"/>
      <c r="I12" s="47"/>
      <c r="J12" s="47"/>
      <c r="K12" s="47"/>
      <c r="L12" s="47"/>
      <c r="M12" s="47"/>
      <c r="N12" s="47"/>
      <c r="O12" s="47" t="s">
        <v>137</v>
      </c>
      <c r="P12" s="47"/>
      <c r="Q12" s="85" t="s">
        <v>138</v>
      </c>
      <c r="R12" s="85"/>
      <c r="S12" s="85"/>
      <c r="T12" s="47"/>
      <c r="U12" s="47"/>
      <c r="V12" s="47" t="s">
        <v>123</v>
      </c>
      <c r="W12" s="47"/>
      <c r="X12" s="47"/>
      <c r="Y12" s="47"/>
      <c r="Z12" s="47"/>
      <c r="AA12" s="47"/>
      <c r="AB12" s="47"/>
      <c r="AC12" s="47" t="s">
        <v>137</v>
      </c>
      <c r="AD12" s="47"/>
      <c r="AE12" s="85" t="s">
        <v>139</v>
      </c>
      <c r="AF12" s="85"/>
      <c r="AG12" s="85"/>
      <c r="AJ12" s="28" t="s">
        <v>123</v>
      </c>
      <c r="AS12" s="41" t="s">
        <v>44</v>
      </c>
      <c r="AT12" s="41"/>
      <c r="AU12" s="41"/>
      <c r="AV12" s="41">
        <v>25</v>
      </c>
      <c r="AW12" s="41">
        <v>20</v>
      </c>
      <c r="AX12" s="44"/>
      <c r="AY12" s="45"/>
      <c r="AZ12" s="46"/>
      <c r="BA12" s="41"/>
      <c r="BB12" s="41"/>
    </row>
    <row r="13" spans="1:57" ht="15" x14ac:dyDescent="0.25">
      <c r="A13" s="48" t="s">
        <v>118</v>
      </c>
      <c r="B13" s="31" t="s">
        <v>119</v>
      </c>
      <c r="C13" s="32" t="s">
        <v>120</v>
      </c>
      <c r="D13" s="31" t="s">
        <v>140</v>
      </c>
      <c r="E13" s="31" t="s">
        <v>141</v>
      </c>
      <c r="F13" s="31" t="s">
        <v>122</v>
      </c>
      <c r="G13" s="31" t="s">
        <v>142</v>
      </c>
      <c r="H13" s="31" t="s">
        <v>143</v>
      </c>
      <c r="I13" s="31" t="s">
        <v>144</v>
      </c>
      <c r="J13" s="31" t="s">
        <v>145</v>
      </c>
      <c r="K13" s="31" t="s">
        <v>146</v>
      </c>
      <c r="L13" s="31" t="s">
        <v>147</v>
      </c>
      <c r="M13" s="31" t="s">
        <v>148</v>
      </c>
      <c r="N13" s="31" t="s">
        <v>149</v>
      </c>
      <c r="O13" s="49" t="s">
        <v>116</v>
      </c>
      <c r="P13" s="31" t="s">
        <v>118</v>
      </c>
      <c r="Q13" s="31" t="s">
        <v>119</v>
      </c>
      <c r="R13" s="32" t="s">
        <v>120</v>
      </c>
      <c r="S13" s="31" t="s">
        <v>140</v>
      </c>
      <c r="T13" s="31" t="s">
        <v>141</v>
      </c>
      <c r="U13" s="31" t="s">
        <v>122</v>
      </c>
      <c r="V13" s="31" t="s">
        <v>142</v>
      </c>
      <c r="W13" s="31" t="s">
        <v>144</v>
      </c>
      <c r="X13" s="31" t="s">
        <v>145</v>
      </c>
      <c r="Y13" s="31" t="s">
        <v>146</v>
      </c>
      <c r="Z13" s="31" t="s">
        <v>147</v>
      </c>
      <c r="AA13" s="31" t="s">
        <v>148</v>
      </c>
      <c r="AB13" s="31" t="s">
        <v>149</v>
      </c>
      <c r="AC13" s="31" t="s">
        <v>116</v>
      </c>
      <c r="AD13" s="31" t="s">
        <v>118</v>
      </c>
      <c r="AE13" s="31" t="s">
        <v>119</v>
      </c>
      <c r="AF13" s="32" t="s">
        <v>120</v>
      </c>
      <c r="AG13" s="31" t="s">
        <v>140</v>
      </c>
      <c r="AH13" s="50" t="s">
        <v>141</v>
      </c>
      <c r="AI13" s="50" t="s">
        <v>122</v>
      </c>
      <c r="AJ13" s="50" t="s">
        <v>142</v>
      </c>
      <c r="AK13" s="51" t="s">
        <v>144</v>
      </c>
      <c r="AL13" s="51" t="s">
        <v>145</v>
      </c>
      <c r="AM13" s="51" t="s">
        <v>146</v>
      </c>
      <c r="AN13" s="51" t="s">
        <v>147</v>
      </c>
      <c r="AO13" s="51" t="s">
        <v>148</v>
      </c>
      <c r="AP13" s="51" t="s">
        <v>149</v>
      </c>
      <c r="AQ13" s="51" t="s">
        <v>116</v>
      </c>
      <c r="AS13" s="41" t="s">
        <v>51</v>
      </c>
      <c r="AT13" s="41">
        <v>8</v>
      </c>
      <c r="AU13" s="41" t="s">
        <v>46</v>
      </c>
      <c r="AV13" s="52">
        <v>50</v>
      </c>
      <c r="AW13" s="52">
        <v>40</v>
      </c>
      <c r="AX13" s="44"/>
      <c r="AY13" s="45"/>
      <c r="AZ13" s="46"/>
      <c r="BA13" s="41"/>
      <c r="BB13" s="41"/>
    </row>
    <row r="14" spans="1:57" ht="15" x14ac:dyDescent="0.25">
      <c r="A14" s="53"/>
      <c r="B14" s="35"/>
      <c r="C14" s="35"/>
      <c r="D14" s="35"/>
      <c r="E14" s="54"/>
      <c r="F14" s="55"/>
      <c r="G14" s="56"/>
      <c r="H14" s="56"/>
      <c r="I14" s="55"/>
      <c r="J14" s="55"/>
      <c r="K14" s="55"/>
      <c r="L14" s="55"/>
      <c r="M14" s="55"/>
      <c r="N14" s="55"/>
      <c r="O14" s="55"/>
      <c r="P14" s="55"/>
      <c r="Q14" s="35"/>
      <c r="R14" s="35"/>
      <c r="S14" s="35"/>
      <c r="T14" s="54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J14" s="53"/>
      <c r="AQ14" s="57"/>
      <c r="AS14" s="41"/>
      <c r="AT14" s="41"/>
      <c r="AU14" s="41"/>
      <c r="AV14" s="52"/>
      <c r="AW14" s="41"/>
      <c r="AX14" s="44"/>
      <c r="AY14" s="45"/>
      <c r="AZ14" s="46"/>
      <c r="BA14" s="41"/>
      <c r="BB14" s="41"/>
    </row>
    <row r="15" spans="1:57" ht="15" x14ac:dyDescent="0.25">
      <c r="A15" s="53"/>
      <c r="B15" s="35"/>
      <c r="C15" s="35"/>
      <c r="D15" s="35"/>
      <c r="E15" s="54"/>
      <c r="F15" s="55"/>
      <c r="G15" s="56"/>
      <c r="H15" s="56"/>
      <c r="I15" s="55"/>
      <c r="J15" s="55"/>
      <c r="K15" s="55"/>
      <c r="L15" s="55"/>
      <c r="M15" s="55"/>
      <c r="N15" s="55"/>
      <c r="O15" s="55"/>
      <c r="P15" s="55"/>
      <c r="Q15" s="35"/>
      <c r="R15" s="35"/>
      <c r="S15" s="35"/>
      <c r="T15" s="54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J15" s="53"/>
      <c r="AQ15" s="57"/>
      <c r="AS15" s="41"/>
      <c r="AT15" s="41"/>
      <c r="AU15" s="41"/>
      <c r="AV15" s="52"/>
      <c r="AW15" s="41"/>
      <c r="AX15" s="44"/>
      <c r="AY15" s="45"/>
      <c r="AZ15" s="46"/>
      <c r="BA15" s="41"/>
      <c r="BB15" s="41"/>
    </row>
    <row r="16" spans="1:57" ht="15" x14ac:dyDescent="0.25">
      <c r="A16" s="53"/>
      <c r="B16" s="35"/>
      <c r="C16" s="35"/>
      <c r="D16" s="35"/>
      <c r="E16" s="54"/>
      <c r="F16" s="55"/>
      <c r="G16" s="56"/>
      <c r="H16" s="56"/>
      <c r="I16" s="55"/>
      <c r="J16" s="55"/>
      <c r="K16" s="55"/>
      <c r="L16" s="55"/>
      <c r="M16" s="55"/>
      <c r="N16" s="55"/>
      <c r="O16" s="55"/>
      <c r="P16" s="55"/>
      <c r="Q16" s="35"/>
      <c r="R16" s="35"/>
      <c r="S16" s="35"/>
      <c r="T16" s="54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J16" s="53"/>
      <c r="AQ16" s="57"/>
      <c r="AS16" s="41"/>
      <c r="AT16" s="41"/>
      <c r="AU16" s="41"/>
      <c r="AV16" s="52"/>
      <c r="AW16" s="41"/>
      <c r="AX16" s="44"/>
      <c r="AY16" s="45"/>
      <c r="AZ16" s="46"/>
      <c r="BA16" s="41"/>
      <c r="BB16" s="41"/>
    </row>
    <row r="17" spans="1:54" ht="15" x14ac:dyDescent="0.25">
      <c r="A17" s="53"/>
      <c r="B17" s="35"/>
      <c r="C17" s="35"/>
      <c r="D17" s="35"/>
      <c r="E17" s="54"/>
      <c r="F17" s="55"/>
      <c r="G17" s="56"/>
      <c r="H17" s="56"/>
      <c r="I17" s="55"/>
      <c r="J17" s="55"/>
      <c r="K17" s="55"/>
      <c r="L17" s="55"/>
      <c r="M17" s="55"/>
      <c r="N17" s="55"/>
      <c r="O17" s="55"/>
      <c r="P17" s="55"/>
      <c r="Q17" s="35"/>
      <c r="R17" s="35"/>
      <c r="S17" s="35"/>
      <c r="T17" s="54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J17" s="53"/>
      <c r="AQ17" s="57"/>
      <c r="AS17" s="41"/>
      <c r="AT17" s="41"/>
      <c r="AU17" s="41"/>
      <c r="AV17" s="52"/>
      <c r="AW17" s="52"/>
      <c r="AX17" s="44"/>
      <c r="AY17" s="45"/>
      <c r="AZ17" s="46"/>
      <c r="BA17" s="41"/>
      <c r="BB17" s="41"/>
    </row>
    <row r="18" spans="1:54" ht="15" x14ac:dyDescent="0.25">
      <c r="A18" s="53"/>
      <c r="B18" s="35"/>
      <c r="C18" s="35"/>
      <c r="D18" s="35"/>
      <c r="E18" s="54"/>
      <c r="F18" s="55"/>
      <c r="G18" s="56"/>
      <c r="H18" s="56"/>
      <c r="I18" s="55"/>
      <c r="J18" s="55"/>
      <c r="K18" s="55"/>
      <c r="L18" s="55"/>
      <c r="M18" s="55"/>
      <c r="N18" s="55"/>
      <c r="O18" s="55"/>
      <c r="P18" s="55"/>
      <c r="Q18" s="35"/>
      <c r="R18" s="35"/>
      <c r="S18" s="35"/>
      <c r="T18" s="54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J18" s="53"/>
      <c r="AQ18" s="57"/>
      <c r="AV18" s="52"/>
      <c r="AX18" s="44"/>
      <c r="AY18" s="45"/>
      <c r="AZ18" s="46"/>
    </row>
    <row r="19" spans="1:54" ht="15" x14ac:dyDescent="0.25">
      <c r="A19" s="53" t="s">
        <v>70</v>
      </c>
      <c r="B19" s="35"/>
      <c r="C19" s="35"/>
      <c r="D19" s="35"/>
      <c r="E19" s="54"/>
      <c r="F19" s="55"/>
      <c r="G19" s="55" t="e">
        <f>AVERAGE(G14:G18)</f>
        <v>#DIV/0!</v>
      </c>
      <c r="H19" s="55"/>
      <c r="I19" s="55"/>
      <c r="J19" s="55"/>
      <c r="K19" s="55"/>
      <c r="L19" s="55"/>
      <c r="M19" s="55"/>
      <c r="N19" s="55"/>
      <c r="O19" s="58" t="e">
        <f>AVERAGE(O14:O18)</f>
        <v>#DIV/0!</v>
      </c>
      <c r="P19" s="55"/>
      <c r="Q19" s="35"/>
      <c r="R19" s="35"/>
      <c r="S19" s="35"/>
      <c r="T19" s="35"/>
      <c r="U19" s="35"/>
      <c r="V19" s="59" t="e">
        <f>AVERAGE(V14:V18)</f>
        <v>#DIV/0!</v>
      </c>
      <c r="W19" s="35"/>
      <c r="X19" s="35"/>
      <c r="Y19" s="35"/>
      <c r="Z19" s="35"/>
      <c r="AA19" s="35"/>
      <c r="AB19" s="35"/>
      <c r="AC19" s="35" t="e">
        <f>AVERAGE(AC14:AC18)</f>
        <v>#DIV/0!</v>
      </c>
      <c r="AD19" s="35"/>
      <c r="AE19" s="35"/>
      <c r="AF19" s="35"/>
      <c r="AG19" s="35"/>
      <c r="AJ19" s="48" t="e">
        <f>AVERAGE(AJ14:AJ18)</f>
        <v>#DIV/0!</v>
      </c>
      <c r="AQ19" s="57" t="e">
        <f>AVERAGE(AQ14:AQ18)</f>
        <v>#DIV/0!</v>
      </c>
      <c r="AV19" s="52"/>
      <c r="AX19" s="44"/>
      <c r="AY19" s="45"/>
      <c r="AZ19" s="46"/>
    </row>
    <row r="20" spans="1:54" ht="15" x14ac:dyDescent="0.25">
      <c r="A20" s="53" t="s">
        <v>150</v>
      </c>
      <c r="B20" s="35"/>
      <c r="C20" s="35"/>
      <c r="D20" s="35"/>
      <c r="E20" s="54"/>
      <c r="F20" s="55"/>
      <c r="G20" s="55" t="e">
        <f>STDEV(G14:G19)</f>
        <v>#DIV/0!</v>
      </c>
      <c r="H20" s="55"/>
      <c r="I20" s="55"/>
      <c r="J20" s="55"/>
      <c r="K20" s="55"/>
      <c r="L20" s="55"/>
      <c r="M20" s="55"/>
      <c r="N20" s="55"/>
      <c r="O20" s="58" t="e">
        <f>STDEV(O14:O19)</f>
        <v>#DIV/0!</v>
      </c>
      <c r="P20" s="55"/>
      <c r="Q20" s="35"/>
      <c r="R20" s="35"/>
      <c r="S20" s="35"/>
      <c r="T20" s="35"/>
      <c r="U20" s="35"/>
      <c r="V20" s="59" t="e">
        <f>STDEV(V14:V19)</f>
        <v>#DIV/0!</v>
      </c>
      <c r="W20" s="35"/>
      <c r="X20" s="35"/>
      <c r="Y20" s="35"/>
      <c r="Z20" s="35"/>
      <c r="AA20" s="35"/>
      <c r="AB20" s="35"/>
      <c r="AC20" s="35" t="e">
        <f>STDEV(AC14:AC19)</f>
        <v>#DIV/0!</v>
      </c>
      <c r="AD20" s="35"/>
      <c r="AE20" s="35"/>
      <c r="AF20" s="35"/>
      <c r="AG20" s="35"/>
      <c r="AJ20" s="48" t="e">
        <f>STDEV(AJ14:AJ19)</f>
        <v>#DIV/0!</v>
      </c>
      <c r="AQ20" s="57" t="e">
        <f>STDEV(AQ14:AQ19)</f>
        <v>#DIV/0!</v>
      </c>
      <c r="AV20" s="52"/>
      <c r="AX20" s="44"/>
      <c r="AY20" s="45"/>
      <c r="AZ20" s="46"/>
    </row>
    <row r="21" spans="1:54" x14ac:dyDescent="0.2">
      <c r="B21" s="90">
        <v>0.5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Q21" s="57"/>
      <c r="AS21" s="28" t="s">
        <v>151</v>
      </c>
      <c r="AT21" s="28" t="e">
        <f>AT18*#REF!</f>
        <v>#REF!</v>
      </c>
    </row>
    <row r="22" spans="1:54" ht="15.75" x14ac:dyDescent="0.25">
      <c r="B22" s="85" t="s">
        <v>152</v>
      </c>
      <c r="C22" s="85"/>
      <c r="D22" s="85"/>
      <c r="E22" s="47"/>
      <c r="F22" s="47"/>
      <c r="G22" s="47" t="s">
        <v>123</v>
      </c>
      <c r="H22" s="47"/>
      <c r="I22" s="47"/>
      <c r="J22" s="47"/>
      <c r="K22" s="47"/>
      <c r="L22" s="47"/>
      <c r="M22" s="47"/>
      <c r="N22" s="47"/>
      <c r="O22" s="47" t="s">
        <v>137</v>
      </c>
      <c r="P22" s="47"/>
      <c r="Q22" s="85" t="s">
        <v>153</v>
      </c>
      <c r="R22" s="85"/>
      <c r="S22" s="85"/>
      <c r="T22" s="47"/>
      <c r="U22" s="47"/>
      <c r="V22" s="47" t="s">
        <v>123</v>
      </c>
      <c r="W22" s="47"/>
      <c r="X22" s="47"/>
      <c r="Y22" s="47"/>
      <c r="Z22" s="47"/>
      <c r="AA22" s="47"/>
      <c r="AB22" s="47"/>
      <c r="AC22" s="47" t="s">
        <v>137</v>
      </c>
      <c r="AD22" s="47"/>
      <c r="AE22" s="85" t="s">
        <v>154</v>
      </c>
      <c r="AF22" s="85"/>
      <c r="AG22" s="85"/>
      <c r="AJ22" s="28" t="s">
        <v>123</v>
      </c>
      <c r="AQ22" s="57"/>
      <c r="AS22" s="28" t="s">
        <v>155</v>
      </c>
      <c r="AT22" s="28" t="e">
        <f>AT$21*0.04</f>
        <v>#REF!</v>
      </c>
      <c r="AU22" s="28" t="s">
        <v>156</v>
      </c>
      <c r="AV22" s="60" t="s">
        <v>157</v>
      </c>
      <c r="AW22" s="60" t="s">
        <v>158</v>
      </c>
      <c r="AX22" s="60"/>
      <c r="AY22" s="60"/>
      <c r="AZ22" s="60"/>
    </row>
    <row r="23" spans="1:54" ht="15.75" x14ac:dyDescent="0.25">
      <c r="A23" s="48" t="s">
        <v>118</v>
      </c>
      <c r="B23" s="31" t="s">
        <v>119</v>
      </c>
      <c r="C23" s="32" t="s">
        <v>120</v>
      </c>
      <c r="D23" s="31" t="s">
        <v>121</v>
      </c>
      <c r="E23" s="31" t="s">
        <v>141</v>
      </c>
      <c r="F23" s="31" t="s">
        <v>122</v>
      </c>
      <c r="G23" s="31" t="s">
        <v>142</v>
      </c>
      <c r="H23" s="31"/>
      <c r="I23" s="31" t="s">
        <v>144</v>
      </c>
      <c r="J23" s="31" t="s">
        <v>145</v>
      </c>
      <c r="K23" s="31" t="s">
        <v>146</v>
      </c>
      <c r="L23" s="31" t="s">
        <v>147</v>
      </c>
      <c r="M23" s="31" t="s">
        <v>148</v>
      </c>
      <c r="N23" s="31" t="s">
        <v>149</v>
      </c>
      <c r="O23" s="31" t="s">
        <v>116</v>
      </c>
      <c r="P23" s="31" t="s">
        <v>118</v>
      </c>
      <c r="Q23" s="31" t="s">
        <v>119</v>
      </c>
      <c r="R23" s="32" t="s">
        <v>120</v>
      </c>
      <c r="S23" s="31" t="s">
        <v>121</v>
      </c>
      <c r="T23" s="31" t="s">
        <v>141</v>
      </c>
      <c r="U23" s="31" t="s">
        <v>122</v>
      </c>
      <c r="V23" s="31" t="s">
        <v>142</v>
      </c>
      <c r="W23" s="31" t="s">
        <v>144</v>
      </c>
      <c r="X23" s="31" t="s">
        <v>145</v>
      </c>
      <c r="Y23" s="31" t="s">
        <v>146</v>
      </c>
      <c r="Z23" s="31" t="s">
        <v>147</v>
      </c>
      <c r="AA23" s="31" t="s">
        <v>148</v>
      </c>
      <c r="AB23" s="31" t="s">
        <v>149</v>
      </c>
      <c r="AC23" s="31" t="s">
        <v>116</v>
      </c>
      <c r="AD23" s="31" t="s">
        <v>118</v>
      </c>
      <c r="AE23" s="31" t="s">
        <v>119</v>
      </c>
      <c r="AF23" s="32" t="s">
        <v>120</v>
      </c>
      <c r="AG23" s="31" t="s">
        <v>121</v>
      </c>
      <c r="AH23" s="50" t="s">
        <v>141</v>
      </c>
      <c r="AI23" s="50" t="s">
        <v>122</v>
      </c>
      <c r="AJ23" s="50" t="s">
        <v>142</v>
      </c>
      <c r="AK23" s="51" t="s">
        <v>144</v>
      </c>
      <c r="AL23" s="51" t="s">
        <v>145</v>
      </c>
      <c r="AM23" s="51" t="s">
        <v>146</v>
      </c>
      <c r="AN23" s="51" t="s">
        <v>147</v>
      </c>
      <c r="AO23" s="51" t="s">
        <v>148</v>
      </c>
      <c r="AP23" s="51" t="s">
        <v>149</v>
      </c>
      <c r="AQ23" s="61" t="s">
        <v>116</v>
      </c>
      <c r="AS23" s="28" t="s">
        <v>159</v>
      </c>
      <c r="AT23" s="28" t="e">
        <f>AT$21*0.03</f>
        <v>#REF!</v>
      </c>
      <c r="AU23" s="28" t="s">
        <v>156</v>
      </c>
      <c r="AV23" s="60" t="s">
        <v>160</v>
      </c>
      <c r="AW23" s="60">
        <v>25</v>
      </c>
      <c r="AX23" s="60">
        <v>50</v>
      </c>
      <c r="AY23" s="60">
        <v>75</v>
      </c>
      <c r="AZ23" s="60">
        <v>100</v>
      </c>
    </row>
    <row r="24" spans="1:54" ht="15.75" x14ac:dyDescent="0.25">
      <c r="A24" s="53">
        <f>(B24/3600)/(PI()*(S$7/1000/2)^2)</f>
        <v>2.5562031604978803</v>
      </c>
      <c r="B24" s="34">
        <v>209.85867691862967</v>
      </c>
      <c r="C24" s="34">
        <v>1.555787303179754</v>
      </c>
      <c r="D24" s="34">
        <f>C24/A24</f>
        <v>0.60863210218264818</v>
      </c>
      <c r="E24" s="56">
        <f>A24*$S$7/1000/AX$2</f>
        <v>434274.19596095593</v>
      </c>
      <c r="F24" s="62">
        <f>(C24/$AU$2)*($S$7/1000)*2*$AU$2/((A24^2)*$AT$2)</f>
        <v>7.3767724807005705E-2</v>
      </c>
      <c r="G24" s="56">
        <f>((3.7^2)/(10^(1/(F24^0.5))))^0.5*$S$7</f>
        <v>9.0937557733626768</v>
      </c>
      <c r="H24" s="56"/>
      <c r="I24" s="62">
        <f t="shared" ref="I24:I28" si="2">F24^0.5</f>
        <v>0.27160214433432905</v>
      </c>
      <c r="J24" s="62">
        <f t="shared" ref="J24:J28" si="3">1/I24</f>
        <v>3.6818560562211489</v>
      </c>
      <c r="K24" s="62">
        <f t="shared" ref="K24:K28" si="4">10^J24</f>
        <v>4806.8000411823596</v>
      </c>
      <c r="L24" s="62">
        <f t="shared" ref="L24:L28" si="5">1/K24</f>
        <v>2.0803861018400582E-4</v>
      </c>
      <c r="M24" s="62">
        <f t="shared" ref="M24:M28" si="6">L24^0.5</f>
        <v>1.4423543607033807E-2</v>
      </c>
      <c r="N24" s="62">
        <f>IF(M24-(2.51/(E24*I24))&gt;0, M24-(2.51/(E24*I24)), M24)</f>
        <v>1.4402263367988829E-2</v>
      </c>
      <c r="O24" s="62">
        <f>N24*3.7*$S$7</f>
        <v>9.0803390082495987</v>
      </c>
      <c r="P24" s="62">
        <f>(Q24/3600)/(PI()*($S$7/1000/2)^2)</f>
        <v>2.5318676127592101</v>
      </c>
      <c r="Q24" s="34">
        <v>207.8607817867213</v>
      </c>
      <c r="R24" s="34">
        <v>2.5135518720581467</v>
      </c>
      <c r="S24" s="35">
        <f>R24/P24</f>
        <v>0.99276591690309468</v>
      </c>
      <c r="T24" s="35">
        <f>P24*$S$7/1000/$AX$2</f>
        <v>430139.8217489227</v>
      </c>
      <c r="U24" s="35">
        <f>(R24/$AU$2)*($S$7/1000)*2*$AU$2/((P24^2)*$AT$2)</f>
        <v>0.12148223303460244</v>
      </c>
      <c r="V24" s="56">
        <f>((3.7^2)/(10^(1/(U24^0.5))))^0.5*$S$7</f>
        <v>23.180785459585998</v>
      </c>
      <c r="W24" s="35">
        <f t="shared" ref="W24:W28" si="7">U24^0.5</f>
        <v>0.34854301461168669</v>
      </c>
      <c r="X24" s="35">
        <f t="shared" ref="X24:X28" si="8">1/W24</f>
        <v>2.8690863339037347</v>
      </c>
      <c r="Y24" s="35">
        <f t="shared" ref="Y24:Y28" si="9">10^X24</f>
        <v>739.75231666343291</v>
      </c>
      <c r="Z24" s="35">
        <f t="shared" ref="Z24:Z28" si="10">1/Y24</f>
        <v>1.3518038098351407E-3</v>
      </c>
      <c r="AA24" s="35">
        <f t="shared" ref="AA24:AA28" si="11">Z24^0.5</f>
        <v>3.6766884690372405E-2</v>
      </c>
      <c r="AB24" s="35">
        <f>IF(AA24-(2.51/(T24*W24))&gt;0, AA24-(2.51/(T24*W24)), AA24)</f>
        <v>3.675014267688289E-2</v>
      </c>
      <c r="AC24" s="56">
        <f>AB24*3.7*$S$7</f>
        <v>23.17022995492113</v>
      </c>
      <c r="AD24" s="35">
        <f>(AE24/3600)/(PI()*($S$7/1000/2)^2)</f>
        <v>1.8261367283377732</v>
      </c>
      <c r="AE24" s="34">
        <v>149.92182296137878</v>
      </c>
      <c r="AF24" s="34">
        <v>1.9748093020640507</v>
      </c>
      <c r="AG24" s="35">
        <f>AF24/AD24</f>
        <v>1.0814137142193101</v>
      </c>
      <c r="AH24" s="28">
        <f>AD24*$S$7/1000/$AX$2</f>
        <v>310242.96959995665</v>
      </c>
      <c r="AI24" s="28">
        <f>(AF24/$AU$2)*($S$7/1000)*2*$AU$2/((AD24^2)*$AT$2)</f>
        <v>0.18347017807239577</v>
      </c>
      <c r="AJ24" s="63">
        <f>((3.7^2)/(10^(1/(AI24^0.5))))^0.5*$S$7</f>
        <v>42.890239685036363</v>
      </c>
      <c r="AK24" s="28">
        <f t="shared" ref="AK24:AK38" si="12">AI24^0.5</f>
        <v>0.42833418970751769</v>
      </c>
      <c r="AL24" s="28">
        <f t="shared" ref="AL24:AL38" si="13">1/AK24</f>
        <v>2.3346256825373586</v>
      </c>
      <c r="AM24" s="28">
        <f t="shared" ref="AM24:AM38" si="14">10^AL24</f>
        <v>216.08552844450736</v>
      </c>
      <c r="AN24" s="28">
        <f t="shared" ref="AN24:AN38" si="15">1/AM24</f>
        <v>4.6277971838211678E-3</v>
      </c>
      <c r="AO24" s="28">
        <f t="shared" ref="AO24:AO38" si="16">AN24^0.5</f>
        <v>6.8027914739621179E-2</v>
      </c>
      <c r="AP24" s="28">
        <f>IF(AO24-(2.51/(AH24*AK24))&gt;0, AO24-(2.51/(AH24*AK24)), AO24)</f>
        <v>6.8009026606650022E-2</v>
      </c>
      <c r="AQ24" s="57">
        <f>AP24*3.7*$S$7</f>
        <v>42.878331094960707</v>
      </c>
      <c r="AS24" s="28" t="s">
        <v>161</v>
      </c>
      <c r="AT24" s="28" t="e">
        <f>AT$21*0.02</f>
        <v>#REF!</v>
      </c>
      <c r="AU24" s="28" t="s">
        <v>156</v>
      </c>
      <c r="AV24" s="60">
        <v>0.02</v>
      </c>
      <c r="AW24" s="64" t="e">
        <f>$AT24/4/$AS$2*100</f>
        <v>#REF!</v>
      </c>
      <c r="AX24" s="64" t="e">
        <f>$AT24/2/$AS$2*100</f>
        <v>#REF!</v>
      </c>
      <c r="AY24" s="64" t="e">
        <f>$AT24*3/4/$AS$2*100</f>
        <v>#REF!</v>
      </c>
      <c r="AZ24" s="64" t="e">
        <f>$AT24/$AS$2*100</f>
        <v>#REF!</v>
      </c>
    </row>
    <row r="25" spans="1:54" ht="15.75" x14ac:dyDescent="0.25">
      <c r="A25" s="53">
        <f t="shared" ref="A25:A28" si="17">(B25/3600)/(PI()*(S$7/1000/2)^2)</f>
        <v>4.8903132535256173</v>
      </c>
      <c r="B25" s="34">
        <v>401.48399977043852</v>
      </c>
      <c r="C25" s="34">
        <v>3.670850726119538</v>
      </c>
      <c r="D25" s="34">
        <f t="shared" ref="D25:D28" si="18">C25/A25</f>
        <v>0.75063713423124356</v>
      </c>
      <c r="E25" s="56">
        <f>A25*$S$7/1000/AX$2</f>
        <v>830816.92761791148</v>
      </c>
      <c r="F25" s="62">
        <f>(C25/$AU$2)*($S$7/1000)*2*$AU$2/((A25^2)*$AT$2)</f>
        <v>4.7555446875529296E-2</v>
      </c>
      <c r="G25" s="56">
        <f>((3.7^2)/(10^(1/(F25^0.5))))^0.5*$S$7</f>
        <v>3.2125640317683382</v>
      </c>
      <c r="H25" s="56"/>
      <c r="I25" s="62">
        <f t="shared" si="2"/>
        <v>0.21807211393373821</v>
      </c>
      <c r="J25" s="62">
        <f t="shared" si="3"/>
        <v>4.5856390437149273</v>
      </c>
      <c r="K25" s="62">
        <f t="shared" si="4"/>
        <v>38515.810715481537</v>
      </c>
      <c r="L25" s="62">
        <f t="shared" si="5"/>
        <v>2.5963363653099667E-5</v>
      </c>
      <c r="M25" s="62">
        <f t="shared" si="6"/>
        <v>5.095425757785081E-3</v>
      </c>
      <c r="N25" s="62">
        <f t="shared" ref="N25:N28" si="19">IF(M25-(2.51/(E25*I25))&gt;0, M25-(2.51/(E25*I25)), M25)</f>
        <v>5.0815719789114059E-3</v>
      </c>
      <c r="O25" s="62">
        <f>N25*3.7*$S$7</f>
        <v>3.2038295012640634</v>
      </c>
      <c r="P25" s="62">
        <f t="shared" ref="P25:P28" si="20">(Q25/3600)/(PI()*($S$7/1000/2)^2)</f>
        <v>4.8780668376572631</v>
      </c>
      <c r="Q25" s="34">
        <v>400.47859586872852</v>
      </c>
      <c r="R25" s="34">
        <v>6.823081611777817</v>
      </c>
      <c r="S25" s="35">
        <f t="shared" ref="S25:S28" si="21">R25/P25</f>
        <v>1.3987265527207629</v>
      </c>
      <c r="T25" s="35">
        <f>P25*$S$7/1000/$AX$2</f>
        <v>828736.3799968072</v>
      </c>
      <c r="U25" s="35">
        <f>(R25/$AU$2)*($S$7/1000)*2*$AU$2/((P25^2)*$AT$2)</f>
        <v>8.8836609223845883E-2</v>
      </c>
      <c r="V25" s="56">
        <f>((3.7^2)/(10^(1/(U25^0.5))))^0.5*$S$7</f>
        <v>13.247286780057527</v>
      </c>
      <c r="W25" s="35">
        <f t="shared" si="7"/>
        <v>0.29805470844099391</v>
      </c>
      <c r="X25" s="35">
        <f t="shared" si="8"/>
        <v>3.3550887527682547</v>
      </c>
      <c r="Y25" s="35">
        <f t="shared" si="9"/>
        <v>2265.1071594108439</v>
      </c>
      <c r="Z25" s="35">
        <f t="shared" si="10"/>
        <v>4.4148021688302853E-4</v>
      </c>
      <c r="AA25" s="35">
        <f t="shared" si="11"/>
        <v>2.1011430624377495E-2</v>
      </c>
      <c r="AB25" s="35">
        <f t="shared" ref="AB25:AB28" si="22">IF(AA25-(2.51/(T25*W25))&gt;0, AA25-(2.51/(T25*W25)), AA25)</f>
        <v>2.1001269042271637E-2</v>
      </c>
      <c r="AC25" s="56">
        <f>AB25*3.7*$S$7</f>
        <v>13.240880105771422</v>
      </c>
      <c r="AD25" s="35">
        <f t="shared" ref="AD25:AD28" si="23">(AE25/3600)/(PI()*($S$7/1000/2)^2)</f>
        <v>4.8413275900522033</v>
      </c>
      <c r="AE25" s="34">
        <v>397.46238416359859</v>
      </c>
      <c r="AF25" s="34">
        <v>10.542527279291672</v>
      </c>
      <c r="AG25" s="35">
        <f t="shared" ref="AG25:AG28" si="24">AF25/AD25</f>
        <v>2.1776108067865727</v>
      </c>
      <c r="AH25" s="28">
        <f>AD25*$S$7/1000/$AX$2</f>
        <v>822494.73713349504</v>
      </c>
      <c r="AI25" s="28">
        <f>(AF25/$AU$2)*($S$7/1000)*2*$AU$2/((AD25^2)*$AT$2)</f>
        <v>0.13935504431728926</v>
      </c>
      <c r="AJ25" s="63">
        <f>((3.7^2)/(10^(1/(AI25^0.5))))^0.5*$S$7</f>
        <v>28.858673423924792</v>
      </c>
      <c r="AK25" s="28">
        <f t="shared" si="12"/>
        <v>0.37330288549285184</v>
      </c>
      <c r="AL25" s="28">
        <f t="shared" si="13"/>
        <v>2.6787899018775425</v>
      </c>
      <c r="AM25" s="28">
        <f t="shared" si="14"/>
        <v>477.29831576131613</v>
      </c>
      <c r="AN25" s="28">
        <f t="shared" si="15"/>
        <v>2.0951257672153041E-3</v>
      </c>
      <c r="AO25" s="28">
        <f t="shared" si="16"/>
        <v>4.5772543814117474E-2</v>
      </c>
      <c r="AP25" s="28">
        <f t="shared" ref="AP25:AP28" si="25">IF(AO25-(2.51/(AH25*AK25))&gt;0, AO25-(2.51/(AH25*AK25)), AO25)</f>
        <v>4.576436897438884E-2</v>
      </c>
      <c r="AQ25" s="57">
        <f>AP25*3.7*$S$7</f>
        <v>28.853519350972679</v>
      </c>
      <c r="AV25" s="60">
        <v>0.03</v>
      </c>
      <c r="AW25" s="64" t="e">
        <f>$AT23/4/$AS$2*100</f>
        <v>#REF!</v>
      </c>
      <c r="AX25" s="64" t="e">
        <f>$AT23/2/$AS$2*100</f>
        <v>#REF!</v>
      </c>
      <c r="AY25" s="64" t="e">
        <f>$AT23*3/4/$AS$2*100</f>
        <v>#REF!</v>
      </c>
      <c r="AZ25" s="64" t="e">
        <f>$AT23/$AS$2*100</f>
        <v>#REF!</v>
      </c>
    </row>
    <row r="26" spans="1:54" ht="15.75" x14ac:dyDescent="0.25">
      <c r="A26" s="53">
        <f t="shared" si="17"/>
        <v>8.4785131029531424</v>
      </c>
      <c r="B26" s="34">
        <v>696.06734297146147</v>
      </c>
      <c r="C26" s="34">
        <v>8.5228282877922137</v>
      </c>
      <c r="D26" s="34">
        <f t="shared" si="18"/>
        <v>1.005226763738047</v>
      </c>
      <c r="E26" s="56">
        <f>A26*$S$7/1000/AX$2</f>
        <v>1440417.3806014112</v>
      </c>
      <c r="F26" s="62">
        <f>(C26/$AU$2)*($S$7/1000)*2*$AU$2/((A26^2)*$AT$2)</f>
        <v>3.6732564362944753E-2</v>
      </c>
      <c r="G26" s="56">
        <f>((3.7^2)/(10^(1/(F26^0.5))))^0.5*$S$7</f>
        <v>1.5518499365603355</v>
      </c>
      <c r="H26" s="56"/>
      <c r="I26" s="62">
        <f t="shared" si="2"/>
        <v>0.19165741405681325</v>
      </c>
      <c r="J26" s="62">
        <f t="shared" si="3"/>
        <v>5.2176431833916359</v>
      </c>
      <c r="K26" s="62">
        <f t="shared" si="4"/>
        <v>165060.51028260766</v>
      </c>
      <c r="L26" s="62">
        <f t="shared" si="5"/>
        <v>6.0583842754869365E-6</v>
      </c>
      <c r="M26" s="62">
        <f t="shared" si="6"/>
        <v>2.4613785315320633E-3</v>
      </c>
      <c r="N26" s="62">
        <f t="shared" si="19"/>
        <v>2.4522865248910127E-3</v>
      </c>
      <c r="O26" s="62">
        <f>N26*3.7*$S$7</f>
        <v>1.5461176082132859</v>
      </c>
      <c r="P26" s="62">
        <f t="shared" si="20"/>
        <v>8.5152523505582014</v>
      </c>
      <c r="Q26" s="34">
        <v>699.08355467659135</v>
      </c>
      <c r="R26" s="34">
        <v>20.381060980457352</v>
      </c>
      <c r="S26" s="35">
        <f t="shared" si="21"/>
        <v>2.3934770387775188</v>
      </c>
      <c r="T26" s="35">
        <f>P26*$S$7/1000/$AX$2</f>
        <v>1446659.0234647235</v>
      </c>
      <c r="U26" s="35">
        <f>(R26/$AU$2)*($S$7/1000)*2*$AU$2/((P26^2)*$AT$2)</f>
        <v>8.7084055040248604E-2</v>
      </c>
      <c r="V26" s="56">
        <f>((3.7^2)/(10^(1/(U26^0.5))))^0.5*$S$7</f>
        <v>12.744736221113603</v>
      </c>
      <c r="W26" s="35">
        <f t="shared" si="7"/>
        <v>0.29510007631352553</v>
      </c>
      <c r="X26" s="35">
        <f t="shared" si="8"/>
        <v>3.3886809264581892</v>
      </c>
      <c r="Y26" s="35">
        <f t="shared" si="9"/>
        <v>2447.2645906320317</v>
      </c>
      <c r="Z26" s="35">
        <f t="shared" si="10"/>
        <v>4.0861948635547395E-4</v>
      </c>
      <c r="AA26" s="35">
        <f t="shared" si="11"/>
        <v>2.0214338632650684E-2</v>
      </c>
      <c r="AB26" s="35">
        <f t="shared" si="22"/>
        <v>2.0208459162099953E-2</v>
      </c>
      <c r="AC26" s="56">
        <f>AB26*3.7*$S$7</f>
        <v>12.74102933252078</v>
      </c>
      <c r="AD26" s="35">
        <f t="shared" si="23"/>
        <v>8.5397451822949098</v>
      </c>
      <c r="AE26" s="34">
        <v>701.09436248001134</v>
      </c>
      <c r="AF26" s="34">
        <v>32.189301123827953</v>
      </c>
      <c r="AG26" s="35">
        <f t="shared" si="24"/>
        <v>3.7693514779064672</v>
      </c>
      <c r="AH26" s="28">
        <f>AD26*$S$7/1000/$AX$2</f>
        <v>1450820.1187069318</v>
      </c>
      <c r="AI26" s="28">
        <f>(AF26/$AU$2)*($S$7/1000)*2*$AU$2/((AD26^2)*$AT$2)</f>
        <v>0.13675040608235436</v>
      </c>
      <c r="AJ26" s="63">
        <f>((3.7^2)/(10^(1/(AI26^0.5))))^0.5*$S$7</f>
        <v>28.027285046952947</v>
      </c>
      <c r="AK26" s="28">
        <f t="shared" si="12"/>
        <v>0.36979779080242536</v>
      </c>
      <c r="AL26" s="28">
        <f t="shared" si="13"/>
        <v>2.7041805680615263</v>
      </c>
      <c r="AM26" s="28">
        <f t="shared" si="14"/>
        <v>506.03501413195499</v>
      </c>
      <c r="AN26" s="28">
        <f t="shared" si="15"/>
        <v>1.9761478397209041E-3</v>
      </c>
      <c r="AO26" s="28">
        <f t="shared" si="16"/>
        <v>4.4453884416560313E-2</v>
      </c>
      <c r="AP26" s="28">
        <f t="shared" si="25"/>
        <v>4.4449206032839056E-2</v>
      </c>
      <c r="AQ26" s="57">
        <f>AP26*3.7*$S$7</f>
        <v>28.024335419584368</v>
      </c>
      <c r="AV26" s="60">
        <v>0.04</v>
      </c>
      <c r="AW26" s="64" t="e">
        <f>$AT22/4/$AS$2*100</f>
        <v>#REF!</v>
      </c>
      <c r="AX26" s="64" t="e">
        <f>$AT22/2/$AS$2*100</f>
        <v>#REF!</v>
      </c>
      <c r="AY26" s="64" t="e">
        <f>$AT22*3/4/$AS$2*100</f>
        <v>#REF!</v>
      </c>
      <c r="AZ26" s="64" t="e">
        <f>$AT22/$AS$2*100</f>
        <v>#REF!</v>
      </c>
    </row>
    <row r="27" spans="1:54" x14ac:dyDescent="0.2">
      <c r="A27" s="53">
        <f t="shared" si="17"/>
        <v>12.287148438011025</v>
      </c>
      <c r="B27" s="34">
        <v>1008.7479564032639</v>
      </c>
      <c r="C27" s="34">
        <v>18.181388811497545</v>
      </c>
      <c r="D27" s="34">
        <f t="shared" si="18"/>
        <v>1.4797077534485004</v>
      </c>
      <c r="E27" s="56">
        <f>A27*$S$7/1000/AX$2</f>
        <v>2087467.6907647841</v>
      </c>
      <c r="F27" s="62">
        <f>(C27/$AU$2)*($S$7/1000)*2*$AU$2/((A27^2)*$AT$2)</f>
        <v>3.7310558109436377E-2</v>
      </c>
      <c r="G27" s="56">
        <f>((3.7^2)/(10^(1/(F27^0.5))))^0.5*$S$7</f>
        <v>1.6260570460182107</v>
      </c>
      <c r="H27" s="56"/>
      <c r="I27" s="62">
        <f t="shared" si="2"/>
        <v>0.19315941113348936</v>
      </c>
      <c r="J27" s="62">
        <f t="shared" si="3"/>
        <v>5.1770710737408292</v>
      </c>
      <c r="K27" s="62">
        <f t="shared" si="4"/>
        <v>150338.79804174451</v>
      </c>
      <c r="L27" s="62">
        <f t="shared" si="5"/>
        <v>6.6516429093861086E-6</v>
      </c>
      <c r="M27" s="62">
        <f t="shared" si="6"/>
        <v>2.579077918440253E-3</v>
      </c>
      <c r="N27" s="62">
        <f t="shared" si="19"/>
        <v>2.5728529366345087E-3</v>
      </c>
      <c r="O27" s="62">
        <f>N27*3.7*$S$7</f>
        <v>1.6221323194893251</v>
      </c>
      <c r="P27" s="62">
        <f t="shared" si="20"/>
        <v>12.238162774537612</v>
      </c>
      <c r="Q27" s="34">
        <v>1004.726340796424</v>
      </c>
      <c r="R27" s="34">
        <v>41.307942115152244</v>
      </c>
      <c r="S27" s="35">
        <f t="shared" si="21"/>
        <v>3.3753385108667149</v>
      </c>
      <c r="T27" s="35">
        <f>P27*$S$7/1000/$AX$2</f>
        <v>2079145.5002803681</v>
      </c>
      <c r="U27" s="35">
        <f>(R27/$AU$2)*($S$7/1000)*2*$AU$2/((P27^2)*$AT$2)</f>
        <v>8.5449201789778079E-2</v>
      </c>
      <c r="V27" s="56">
        <f>((3.7^2)/(10^(1/(U27^0.5))))^0.5*$S$7</f>
        <v>12.280023460496707</v>
      </c>
      <c r="W27" s="35">
        <f t="shared" si="7"/>
        <v>0.29231695433172888</v>
      </c>
      <c r="X27" s="35">
        <f t="shared" si="8"/>
        <v>3.4209442359787792</v>
      </c>
      <c r="Y27" s="35">
        <f t="shared" si="9"/>
        <v>2635.9928989056266</v>
      </c>
      <c r="Z27" s="35">
        <f t="shared" si="10"/>
        <v>3.7936369267730789E-4</v>
      </c>
      <c r="AA27" s="35">
        <f t="shared" si="11"/>
        <v>1.9477260913108595E-2</v>
      </c>
      <c r="AB27" s="35">
        <f t="shared" si="22"/>
        <v>1.9473131057823743E-2</v>
      </c>
      <c r="AC27" s="56">
        <f>AB27*3.7*$S$7</f>
        <v>12.277419669336714</v>
      </c>
      <c r="AD27" s="35">
        <f t="shared" si="23"/>
        <v>12.213669942800907</v>
      </c>
      <c r="AE27" s="34">
        <v>1002.7155329930041</v>
      </c>
      <c r="AF27" s="34">
        <v>63.881169568888168</v>
      </c>
      <c r="AG27" s="35">
        <f t="shared" si="24"/>
        <v>5.2303009552457729</v>
      </c>
      <c r="AH27" s="28">
        <f>AD27*$S$7/1000/$AX$2</f>
        <v>2074984.4050381605</v>
      </c>
      <c r="AI27" s="28">
        <f>(AF27/$AU$2)*($S$7/1000)*2*$AU$2/((AD27^2)*$AT$2)</f>
        <v>0.13267448194563999</v>
      </c>
      <c r="AJ27" s="63">
        <f>((3.7^2)/(10^(1/(AI27^0.5))))^0.5*$S$7</f>
        <v>26.728168192933722</v>
      </c>
      <c r="AK27" s="28">
        <f t="shared" si="12"/>
        <v>0.36424508499860364</v>
      </c>
      <c r="AL27" s="28">
        <f t="shared" si="13"/>
        <v>2.7454042379290677</v>
      </c>
      <c r="AM27" s="28">
        <f t="shared" si="14"/>
        <v>556.42192951869242</v>
      </c>
      <c r="AN27" s="28">
        <f t="shared" si="15"/>
        <v>1.7971973190650569E-3</v>
      </c>
      <c r="AO27" s="28">
        <f t="shared" si="16"/>
        <v>4.2393364092332388E-2</v>
      </c>
      <c r="AP27" s="28">
        <f t="shared" si="25"/>
        <v>4.2390043120560036E-2</v>
      </c>
      <c r="AQ27" s="57">
        <f>AP27*3.7*$S$7</f>
        <v>26.726074386650694</v>
      </c>
      <c r="AS27" s="28">
        <f>0.000050265*441</f>
        <v>2.2166865000000001E-2</v>
      </c>
    </row>
    <row r="28" spans="1:54" ht="15.75" x14ac:dyDescent="0.25">
      <c r="A28" s="53">
        <f t="shared" si="17"/>
        <v>16.83056872517011</v>
      </c>
      <c r="B28" s="34">
        <v>1381.752803937665</v>
      </c>
      <c r="C28" s="65">
        <v>32.819207244939165</v>
      </c>
      <c r="D28" s="34">
        <f t="shared" si="18"/>
        <v>1.9499761286056869</v>
      </c>
      <c r="E28" s="56">
        <f>A28*$S$7/1000/AX$2</f>
        <v>2859350.8581944038</v>
      </c>
      <c r="F28" s="62">
        <f>(C28/$AU$2)*($S$7/1000)*2*$AU$2/((A28^2)*$AT$2)</f>
        <v>3.5895284860456483E-2</v>
      </c>
      <c r="G28" s="56">
        <f>((3.7^2)/(10^(1/(F28^0.5))))^0.5*$S$7</f>
        <v>1.4474345330015723</v>
      </c>
      <c r="H28" s="56"/>
      <c r="I28" s="62">
        <f t="shared" si="2"/>
        <v>0.18946051002902026</v>
      </c>
      <c r="J28" s="62">
        <f t="shared" si="3"/>
        <v>5.2781447693074766</v>
      </c>
      <c r="K28" s="62">
        <f t="shared" si="4"/>
        <v>189733.82814753926</v>
      </c>
      <c r="L28" s="62">
        <f t="shared" si="5"/>
        <v>5.2705414198589204E-6</v>
      </c>
      <c r="M28" s="62">
        <f t="shared" si="6"/>
        <v>2.2957659767186465E-3</v>
      </c>
      <c r="N28" s="62">
        <f t="shared" si="19"/>
        <v>2.2911327071312524E-3</v>
      </c>
      <c r="O28" s="62">
        <f>N28*3.7*$S$7</f>
        <v>1.4445133491921121</v>
      </c>
      <c r="P28" s="62">
        <f t="shared" si="20"/>
        <v>16.548901160197982</v>
      </c>
      <c r="Q28" s="34">
        <v>1358.6285141983356</v>
      </c>
      <c r="R28" s="34">
        <v>73.709997776830761</v>
      </c>
      <c r="S28" s="35">
        <f t="shared" si="21"/>
        <v>4.4540720295140694</v>
      </c>
      <c r="T28" s="35">
        <f>P28*$S$7/1000/$AX$2</f>
        <v>2811498.2629090091</v>
      </c>
      <c r="U28" s="35">
        <f>(R28/$AU$2)*($S$7/1000)*2*$AU$2/((P28^2)*$AT$2)</f>
        <v>8.3386352031046801E-2</v>
      </c>
      <c r="V28" s="56">
        <f>((3.7^2)/(10^(1/(U28^0.5))))^0.5*$S$7</f>
        <v>11.699605840615115</v>
      </c>
      <c r="W28" s="35">
        <f t="shared" si="7"/>
        <v>0.2887669510713558</v>
      </c>
      <c r="X28" s="35">
        <f t="shared" si="8"/>
        <v>3.4630001677473641</v>
      </c>
      <c r="Y28" s="35">
        <f t="shared" si="9"/>
        <v>2904.0237761509106</v>
      </c>
      <c r="Z28" s="35">
        <f t="shared" si="10"/>
        <v>3.4434979775731488E-4</v>
      </c>
      <c r="AA28" s="35">
        <f t="shared" si="11"/>
        <v>1.8556664510555633E-2</v>
      </c>
      <c r="AB28" s="35">
        <f t="shared" si="22"/>
        <v>1.8553572874136816E-2</v>
      </c>
      <c r="AC28" s="56">
        <f>AB28*3.7*$S$7</f>
        <v>11.697656625685779</v>
      </c>
      <c r="AD28" s="35">
        <f t="shared" si="23"/>
        <v>15.152809751205703</v>
      </c>
      <c r="AE28" s="34">
        <v>1244.0124694033982</v>
      </c>
      <c r="AF28" s="34">
        <v>98.49704266746113</v>
      </c>
      <c r="AG28" s="35">
        <f t="shared" si="24"/>
        <v>6.500249411474579</v>
      </c>
      <c r="AH28" s="28">
        <f>AD28*$S$7/1000/$AX$2</f>
        <v>2574315.8341031424</v>
      </c>
      <c r="AI28" s="28">
        <f>(AF28/$AU$2)*($S$7/1000)*2*$AU$2/((AD28^2)*$AT$2)</f>
        <v>0.13290574402331656</v>
      </c>
      <c r="AJ28" s="63">
        <f>((3.7^2)/(10^(1/(AI28^0.5))))^0.5*$S$7</f>
        <v>26.801802202436459</v>
      </c>
      <c r="AK28" s="28">
        <f t="shared" si="12"/>
        <v>0.3645624007262907</v>
      </c>
      <c r="AL28" s="28">
        <f t="shared" si="13"/>
        <v>2.7430146334558199</v>
      </c>
      <c r="AM28" s="28">
        <f t="shared" si="14"/>
        <v>553.36875453852042</v>
      </c>
      <c r="AN28" s="28">
        <f t="shared" si="15"/>
        <v>1.8071132347071996E-3</v>
      </c>
      <c r="AO28" s="28">
        <f t="shared" si="16"/>
        <v>4.2510154489335837E-2</v>
      </c>
      <c r="AP28" s="28">
        <f t="shared" si="25"/>
        <v>4.2507480005250099E-2</v>
      </c>
      <c r="AQ28" s="57">
        <f>AP28*3.7*$S$7</f>
        <v>26.800115993710087</v>
      </c>
      <c r="AV28" s="28" t="s">
        <v>162</v>
      </c>
      <c r="AW28" s="60" t="s">
        <v>158</v>
      </c>
      <c r="AX28" s="60"/>
      <c r="AY28" s="60"/>
      <c r="AZ28" s="60"/>
    </row>
    <row r="29" spans="1:54" s="48" customFormat="1" x14ac:dyDescent="0.2">
      <c r="A29" s="66"/>
      <c r="B29" s="59"/>
      <c r="C29" s="59"/>
      <c r="D29" s="59"/>
      <c r="E29" s="67"/>
      <c r="F29" s="68"/>
      <c r="G29" s="67">
        <f>AVERAGE(G27:G28)</f>
        <v>1.5367457895098915</v>
      </c>
      <c r="H29" s="67"/>
      <c r="I29" s="68"/>
      <c r="J29" s="68"/>
      <c r="K29" s="68"/>
      <c r="L29" s="68"/>
      <c r="M29" s="68"/>
      <c r="N29" s="68"/>
      <c r="O29" s="68">
        <f>AVERAGE(O27:O28)</f>
        <v>1.5333228343407186</v>
      </c>
      <c r="P29" s="68"/>
      <c r="Q29" s="59"/>
      <c r="R29" s="59"/>
      <c r="S29" s="59"/>
      <c r="T29" s="59"/>
      <c r="U29" s="59"/>
      <c r="V29" s="67">
        <f>AVERAGE(V27:V28)</f>
        <v>11.98981465055591</v>
      </c>
      <c r="W29" s="59"/>
      <c r="X29" s="59"/>
      <c r="Y29" s="59"/>
      <c r="Z29" s="59"/>
      <c r="AA29" s="59"/>
      <c r="AB29" s="59"/>
      <c r="AC29" s="67">
        <f>AVERAGE(AC27:AC28)</f>
        <v>11.987538147511247</v>
      </c>
      <c r="AD29" s="59"/>
      <c r="AE29" s="59"/>
      <c r="AF29" s="59"/>
      <c r="AG29" s="59"/>
      <c r="AJ29" s="69">
        <f>AVERAGE(AJ27:AJ28)</f>
        <v>26.764985197685093</v>
      </c>
      <c r="AQ29" s="70">
        <f>AVERAGE(AQ24:AQ28)</f>
        <v>30.656475249175706</v>
      </c>
    </row>
    <row r="30" spans="1:54" s="48" customFormat="1" ht="15.75" x14ac:dyDescent="0.25">
      <c r="A30" s="66"/>
      <c r="B30" s="59"/>
      <c r="C30" s="59"/>
      <c r="D30" s="59"/>
      <c r="E30" s="67"/>
      <c r="F30" s="68"/>
      <c r="G30" s="67">
        <f>STDEV(G27:G28)</f>
        <v>0.12630519022664732</v>
      </c>
      <c r="H30" s="67"/>
      <c r="I30" s="68"/>
      <c r="J30" s="68"/>
      <c r="K30" s="68"/>
      <c r="L30" s="68"/>
      <c r="M30" s="68"/>
      <c r="N30" s="68"/>
      <c r="O30" s="68">
        <f>STDEV(O27:O28)</f>
        <v>0.12559557836453134</v>
      </c>
      <c r="P30" s="68"/>
      <c r="Q30" s="59"/>
      <c r="R30" s="59"/>
      <c r="S30" s="59"/>
      <c r="T30" s="59"/>
      <c r="U30" s="59"/>
      <c r="V30" s="67">
        <f>STDEV(V27:V28)</f>
        <v>0.41041723493842958</v>
      </c>
      <c r="W30" s="59"/>
      <c r="X30" s="59"/>
      <c r="Y30" s="59"/>
      <c r="Z30" s="59"/>
      <c r="AA30" s="59"/>
      <c r="AB30" s="59"/>
      <c r="AC30" s="67">
        <f>STDEV(AC27:AC28)</f>
        <v>0.4099543796469286</v>
      </c>
      <c r="AD30" s="59"/>
      <c r="AE30" s="59"/>
      <c r="AF30" s="59"/>
      <c r="AG30" s="59"/>
      <c r="AJ30" s="69">
        <f>STDEV(AJ27:AJ28)</f>
        <v>5.2067107445339711E-2</v>
      </c>
      <c r="AQ30" s="70">
        <f>STDEV(AQ24:AQ28)</f>
        <v>6.8897047835137304</v>
      </c>
      <c r="AU30" s="60" t="s">
        <v>163</v>
      </c>
      <c r="AV30" s="86">
        <v>0.25</v>
      </c>
      <c r="AW30" s="87"/>
      <c r="AY30" s="88" t="s">
        <v>164</v>
      </c>
      <c r="AZ30" s="89"/>
    </row>
    <row r="31" spans="1:54" ht="15.75" x14ac:dyDescent="0.25">
      <c r="A31" s="53"/>
      <c r="B31" s="90">
        <v>1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Q31" s="57"/>
      <c r="AU31" s="71" t="s">
        <v>165</v>
      </c>
      <c r="AV31" s="72" t="s">
        <v>166</v>
      </c>
      <c r="AW31" s="72" t="s">
        <v>167</v>
      </c>
      <c r="AY31" s="48" t="s">
        <v>168</v>
      </c>
      <c r="AZ31" s="48" t="s">
        <v>169</v>
      </c>
    </row>
    <row r="32" spans="1:54" ht="15.75" x14ac:dyDescent="0.25">
      <c r="A32" s="53"/>
      <c r="B32" s="85" t="s">
        <v>170</v>
      </c>
      <c r="C32" s="85"/>
      <c r="D32" s="85"/>
      <c r="E32" s="47"/>
      <c r="F32" s="47"/>
      <c r="G32" s="47" t="s">
        <v>123</v>
      </c>
      <c r="H32" s="47"/>
      <c r="I32" s="47"/>
      <c r="J32" s="47"/>
      <c r="K32" s="47"/>
      <c r="L32" s="47"/>
      <c r="M32" s="47"/>
      <c r="N32" s="47"/>
      <c r="O32" s="47" t="s">
        <v>137</v>
      </c>
      <c r="P32" s="47"/>
      <c r="Q32" s="85" t="s">
        <v>171</v>
      </c>
      <c r="R32" s="85"/>
      <c r="S32" s="85"/>
      <c r="T32" s="47"/>
      <c r="U32" s="47"/>
      <c r="V32" s="47" t="s">
        <v>123</v>
      </c>
      <c r="W32" s="47"/>
      <c r="X32" s="47"/>
      <c r="Y32" s="47"/>
      <c r="Z32" s="47"/>
      <c r="AA32" s="47"/>
      <c r="AB32" s="47"/>
      <c r="AC32" s="47" t="s">
        <v>137</v>
      </c>
      <c r="AD32" s="47"/>
      <c r="AE32" s="85" t="s">
        <v>172</v>
      </c>
      <c r="AF32" s="85"/>
      <c r="AG32" s="85"/>
      <c r="AJ32" s="28" t="s">
        <v>123</v>
      </c>
      <c r="AQ32" s="57"/>
      <c r="AT32" s="28">
        <v>20</v>
      </c>
      <c r="AU32" s="73" t="e">
        <f>AW24</f>
        <v>#REF!</v>
      </c>
      <c r="AV32" s="74" t="e">
        <f>G19</f>
        <v>#DIV/0!</v>
      </c>
      <c r="AW32" s="74" t="e">
        <f>G20</f>
        <v>#DIV/0!</v>
      </c>
      <c r="AY32" s="53">
        <f>A14</f>
        <v>0</v>
      </c>
      <c r="AZ32" s="53">
        <f>A18</f>
        <v>0</v>
      </c>
    </row>
    <row r="33" spans="1:53" ht="15" x14ac:dyDescent="0.2">
      <c r="A33" s="48" t="s">
        <v>118</v>
      </c>
      <c r="B33" s="31" t="s">
        <v>119</v>
      </c>
      <c r="C33" s="32" t="s">
        <v>120</v>
      </c>
      <c r="D33" s="31" t="s">
        <v>140</v>
      </c>
      <c r="E33" s="31" t="s">
        <v>141</v>
      </c>
      <c r="F33" s="31" t="s">
        <v>122</v>
      </c>
      <c r="G33" s="31" t="s">
        <v>142</v>
      </c>
      <c r="H33" s="31"/>
      <c r="I33" s="31" t="s">
        <v>144</v>
      </c>
      <c r="J33" s="31" t="s">
        <v>145</v>
      </c>
      <c r="K33" s="31" t="s">
        <v>146</v>
      </c>
      <c r="L33" s="31" t="s">
        <v>147</v>
      </c>
      <c r="M33" s="31" t="s">
        <v>148</v>
      </c>
      <c r="N33" s="31" t="s">
        <v>149</v>
      </c>
      <c r="O33" s="31" t="s">
        <v>116</v>
      </c>
      <c r="P33" s="31" t="s">
        <v>118</v>
      </c>
      <c r="Q33" s="31" t="s">
        <v>119</v>
      </c>
      <c r="R33" s="32" t="s">
        <v>120</v>
      </c>
      <c r="S33" s="31" t="s">
        <v>121</v>
      </c>
      <c r="T33" s="31" t="s">
        <v>141</v>
      </c>
      <c r="U33" s="31" t="s">
        <v>122</v>
      </c>
      <c r="V33" s="31" t="s">
        <v>142</v>
      </c>
      <c r="W33" s="31" t="s">
        <v>144</v>
      </c>
      <c r="X33" s="31" t="s">
        <v>145</v>
      </c>
      <c r="Y33" s="31" t="s">
        <v>146</v>
      </c>
      <c r="Z33" s="31" t="s">
        <v>147</v>
      </c>
      <c r="AA33" s="31" t="s">
        <v>148</v>
      </c>
      <c r="AB33" s="31" t="s">
        <v>149</v>
      </c>
      <c r="AC33" s="31" t="s">
        <v>116</v>
      </c>
      <c r="AD33" s="31" t="s">
        <v>118</v>
      </c>
      <c r="AE33" s="31" t="s">
        <v>119</v>
      </c>
      <c r="AF33" s="32" t="s">
        <v>120</v>
      </c>
      <c r="AG33" s="31" t="s">
        <v>121</v>
      </c>
      <c r="AH33" s="50" t="s">
        <v>141</v>
      </c>
      <c r="AI33" s="50" t="s">
        <v>122</v>
      </c>
      <c r="AJ33" s="50" t="s">
        <v>142</v>
      </c>
      <c r="AK33" s="51" t="s">
        <v>144</v>
      </c>
      <c r="AL33" s="51" t="s">
        <v>145</v>
      </c>
      <c r="AM33" s="51" t="s">
        <v>146</v>
      </c>
      <c r="AN33" s="51" t="s">
        <v>147</v>
      </c>
      <c r="AO33" s="51" t="s">
        <v>148</v>
      </c>
      <c r="AP33" s="51" t="s">
        <v>149</v>
      </c>
      <c r="AQ33" s="61" t="s">
        <v>116</v>
      </c>
      <c r="AT33" s="51">
        <v>30</v>
      </c>
      <c r="AU33" s="75" t="e">
        <f>AW25</f>
        <v>#REF!</v>
      </c>
      <c r="AV33" s="76" t="e">
        <f>V19</f>
        <v>#DIV/0!</v>
      </c>
      <c r="AW33" s="76" t="e">
        <f>V20</f>
        <v>#DIV/0!</v>
      </c>
      <c r="AY33" s="77">
        <f>P14</f>
        <v>0</v>
      </c>
      <c r="AZ33" s="77">
        <f>P18</f>
        <v>0</v>
      </c>
    </row>
    <row r="34" spans="1:53" ht="15" x14ac:dyDescent="0.2">
      <c r="A34" s="53"/>
      <c r="B34" s="35"/>
      <c r="C34" s="35"/>
      <c r="D34" s="35"/>
      <c r="E34" s="56"/>
      <c r="F34" s="62" t="e">
        <f>(C34/$AU$2)*($S$7/1000)*2*$AU$2/((A34^2)*$AT$2)</f>
        <v>#DIV/0!</v>
      </c>
      <c r="G34" s="56" t="e">
        <f>((3.7^2)/(10^(1/(F34^0.5))))^0.5*$S$7</f>
        <v>#DIV/0!</v>
      </c>
      <c r="H34" s="56"/>
      <c r="I34" s="62" t="e">
        <f t="shared" ref="I34:I38" si="26">F34^0.5</f>
        <v>#DIV/0!</v>
      </c>
      <c r="J34" s="62" t="e">
        <f t="shared" ref="J34:J38" si="27">1/I34</f>
        <v>#DIV/0!</v>
      </c>
      <c r="K34" s="62" t="e">
        <f t="shared" ref="K34:K38" si="28">10^J34</f>
        <v>#DIV/0!</v>
      </c>
      <c r="L34" s="62" t="e">
        <f t="shared" ref="L34:L38" si="29">1/K34</f>
        <v>#DIV/0!</v>
      </c>
      <c r="M34" s="62" t="e">
        <f t="shared" ref="M34:M38" si="30">L34^0.5</f>
        <v>#DIV/0!</v>
      </c>
      <c r="N34" s="62" t="e">
        <f>IF(M34-(2.51/(E34*I34))&gt;0, M34-(2.51/(E34*I34)), M34)</f>
        <v>#DIV/0!</v>
      </c>
      <c r="O34" s="35" t="e">
        <f>N34*3.7*$S$7</f>
        <v>#DIV/0!</v>
      </c>
      <c r="P34" s="62">
        <f>(Q34/3600)/(PI()*($S$7/1000/2)^2)</f>
        <v>1.2189648122579506</v>
      </c>
      <c r="Q34" s="34">
        <v>100.07433942026512</v>
      </c>
      <c r="R34" s="34">
        <v>1.4959270176248545</v>
      </c>
      <c r="S34" s="35">
        <f>R34/P34</f>
        <v>1.2272109929521859</v>
      </c>
      <c r="T34" s="35">
        <f>P34*$S$7/1000/$AX$2</f>
        <v>207090.33300972564</v>
      </c>
      <c r="U34" s="55">
        <f>(R34/$AU$2)*($S$7/1000)*2*$AU$2/((P34^2)*$AT$2)</f>
        <v>0.31191407226878448</v>
      </c>
      <c r="V34" s="56">
        <f>((3.7^2)/(10^(1/(U34^0.5))))^0.5*$S$7</f>
        <v>80.242496321839766</v>
      </c>
      <c r="W34" s="55">
        <f t="shared" ref="W34:W38" si="31">U34^0.5</f>
        <v>0.55849267879604692</v>
      </c>
      <c r="X34" s="55">
        <f t="shared" ref="X34:X38" si="32">1/W34</f>
        <v>1.79053376698817</v>
      </c>
      <c r="Y34" s="55">
        <f t="shared" ref="Y34:Y38" si="33">10^X34</f>
        <v>61.735329008282122</v>
      </c>
      <c r="Z34" s="55">
        <f t="shared" ref="Z34:Z38" si="34">1/Y34</f>
        <v>1.619818045945531E-2</v>
      </c>
      <c r="AA34" s="55">
        <f t="shared" ref="AA34:AA38" si="35">Z34^0.5</f>
        <v>0.12727207258253992</v>
      </c>
      <c r="AB34" s="55">
        <f>IF(AA34-(2.51/(T34*W34))&gt;0, AA34-(2.51/(T34*W34)), AA34)</f>
        <v>0.12725037074986709</v>
      </c>
      <c r="AC34" s="35">
        <f>AB34*3.7*$S$7</f>
        <v>80.228813750376204</v>
      </c>
      <c r="AD34" s="55">
        <f>(AE34/3600)/(PI()*($S$7/1000/2)^2)</f>
        <v>0.72982030271067866</v>
      </c>
      <c r="AE34" s="34">
        <v>59.91664726890702</v>
      </c>
      <c r="AF34" s="34">
        <v>1.0769050187405576</v>
      </c>
      <c r="AG34" s="35">
        <f>AF34/AD34</f>
        <v>1.4755755831137423</v>
      </c>
      <c r="AH34" s="28">
        <f>AD34*$S$7/1000/$AX$2</f>
        <v>123989.41134785609</v>
      </c>
      <c r="AI34" s="28">
        <f>(AF34/$AU$2)*($S$7/1000)*2*$AU$2/((AD34^2)*$AT$2)</f>
        <v>0.6264009682899081</v>
      </c>
      <c r="AJ34" s="63">
        <f>((3.7^2)/(10^(1/(AI34^0.5))))^0.5*$S$7</f>
        <v>147.20529540553403</v>
      </c>
      <c r="AK34" s="28">
        <f t="shared" si="12"/>
        <v>0.79145496921170955</v>
      </c>
      <c r="AL34" s="28">
        <f t="shared" si="13"/>
        <v>1.2634957627418799</v>
      </c>
      <c r="AM34" s="28">
        <f t="shared" si="14"/>
        <v>18.344072693655352</v>
      </c>
      <c r="AN34" s="28">
        <f t="shared" si="15"/>
        <v>5.4513521435502657E-2</v>
      </c>
      <c r="AO34" s="28">
        <f t="shared" si="16"/>
        <v>0.23348130853561416</v>
      </c>
      <c r="AP34" s="28">
        <f>IF(AO34-(2.51/(AH34*AK34))&gt;0, AO34-(2.51/(AH34*AK34)), AO34)</f>
        <v>0.23345573075175338</v>
      </c>
      <c r="AQ34" s="57">
        <f>AP34*3.7*$S$7</f>
        <v>147.18916912436549</v>
      </c>
      <c r="AT34" s="51">
        <v>40</v>
      </c>
      <c r="AU34" s="78" t="e">
        <f>AW26</f>
        <v>#REF!</v>
      </c>
      <c r="AV34" s="79" t="e">
        <f>AJ19</f>
        <v>#DIV/0!</v>
      </c>
      <c r="AW34" s="76" t="e">
        <f>AJ20</f>
        <v>#DIV/0!</v>
      </c>
      <c r="AY34" s="80">
        <f>AD14</f>
        <v>0</v>
      </c>
      <c r="AZ34" s="80">
        <f>AD18</f>
        <v>0</v>
      </c>
    </row>
    <row r="35" spans="1:53" ht="15.75" x14ac:dyDescent="0.25">
      <c r="A35" s="53"/>
      <c r="B35" s="35"/>
      <c r="C35" s="35"/>
      <c r="D35" s="35"/>
      <c r="E35" s="56"/>
      <c r="F35" s="62" t="e">
        <f>(C35/$AU$2)*($S$7/1000)*2*$AU$2/((A35^2)*$AT$2)</f>
        <v>#DIV/0!</v>
      </c>
      <c r="G35" s="56" t="e">
        <f>((3.7^2)/(10^(1/(F35^0.5))))^0.5*$S$7</f>
        <v>#DIV/0!</v>
      </c>
      <c r="H35" s="56"/>
      <c r="I35" s="62" t="e">
        <f t="shared" si="26"/>
        <v>#DIV/0!</v>
      </c>
      <c r="J35" s="62" t="e">
        <f t="shared" si="27"/>
        <v>#DIV/0!</v>
      </c>
      <c r="K35" s="62" t="e">
        <f t="shared" si="28"/>
        <v>#DIV/0!</v>
      </c>
      <c r="L35" s="62" t="e">
        <f t="shared" si="29"/>
        <v>#DIV/0!</v>
      </c>
      <c r="M35" s="62" t="e">
        <f t="shared" si="30"/>
        <v>#DIV/0!</v>
      </c>
      <c r="N35" s="62" t="e">
        <f t="shared" ref="N35:N38" si="36">IF(M35-(2.51/(E35*I35))&gt;0, M35-(2.51/(E35*I35)), M35)</f>
        <v>#DIV/0!</v>
      </c>
      <c r="O35" s="35" t="e">
        <f>N35*3.7*$S$7</f>
        <v>#DIV/0!</v>
      </c>
      <c r="P35" s="62">
        <f t="shared" ref="P35:P38" si="37">(Q35/3600)/(PI()*($S$7/1000/2)^2)</f>
        <v>3.0185785675326153</v>
      </c>
      <c r="Q35" s="34">
        <v>247.8186844248886</v>
      </c>
      <c r="R35" s="34">
        <v>6.6631054540352856</v>
      </c>
      <c r="S35" s="35">
        <f t="shared" ref="S35:S38" si="38">R35/P35</f>
        <v>2.2073652565159847</v>
      </c>
      <c r="T35" s="35">
        <f>P35*$S$7/1000/$AX$2</f>
        <v>512827.30598958896</v>
      </c>
      <c r="U35" s="55">
        <f>(R35/$AU$2)*($S$7/1000)*2*$AU$2/((P35^2)*$AT$2)</f>
        <v>0.22655759162214273</v>
      </c>
      <c r="V35" s="56">
        <f>((3.7^2)/(10^(1/(U35^0.5))))^0.5*$S$7</f>
        <v>56.131735830524718</v>
      </c>
      <c r="W35" s="55">
        <f t="shared" si="31"/>
        <v>0.47598066307586773</v>
      </c>
      <c r="X35" s="55">
        <f t="shared" si="32"/>
        <v>2.1009256836986414</v>
      </c>
      <c r="Y35" s="55">
        <f t="shared" si="33"/>
        <v>126.16116296313113</v>
      </c>
      <c r="Z35" s="55">
        <f t="shared" si="34"/>
        <v>7.9263695460086731E-3</v>
      </c>
      <c r="AA35" s="55">
        <f t="shared" si="35"/>
        <v>8.9030160878258963E-2</v>
      </c>
      <c r="AB35" s="55">
        <f t="shared" ref="AB35:AB38" si="39">IF(AA35-(2.51/(T35*W35))&gt;0, AA35-(2.51/(T35*W35)), AA35)</f>
        <v>8.9019878033713654E-2</v>
      </c>
      <c r="AC35" s="35">
        <f>AB35*3.7*$S$7</f>
        <v>56.125252702695796</v>
      </c>
      <c r="AD35" s="55">
        <f t="shared" ref="AD35:AD38" si="40">(AE35/3600)/(PI()*($S$7/1000/2)^2)</f>
        <v>2.5805387082365505</v>
      </c>
      <c r="AE35" s="34">
        <v>211.85657205053803</v>
      </c>
      <c r="AF35" s="34">
        <v>10.44254218070259</v>
      </c>
      <c r="AG35" s="35">
        <f t="shared" ref="AG35:AG38" si="41">AF35/AD35</f>
        <v>4.0466520216775423</v>
      </c>
      <c r="AH35" s="28">
        <f>AD35*$S$7/1000/$AX$2</f>
        <v>438408.57017298928</v>
      </c>
      <c r="AI35" s="28">
        <f>(AF35/$AU$2)*($S$7/1000)*2*$AU$2/((AD35^2)*$AT$2)</f>
        <v>0.4858390102056474</v>
      </c>
      <c r="AJ35" s="63">
        <f>((3.7^2)/(10^(1/(AI35^0.5))))^0.5*$S$7</f>
        <v>120.87412845259287</v>
      </c>
      <c r="AK35" s="28">
        <f t="shared" si="12"/>
        <v>0.69702152779211013</v>
      </c>
      <c r="AL35" s="28">
        <f t="shared" si="13"/>
        <v>1.4346759176400281</v>
      </c>
      <c r="AM35" s="28">
        <f t="shared" si="14"/>
        <v>27.206703121609284</v>
      </c>
      <c r="AN35" s="28">
        <f t="shared" si="15"/>
        <v>3.6755647883176874E-2</v>
      </c>
      <c r="AO35" s="28">
        <f t="shared" si="16"/>
        <v>0.19171762538477488</v>
      </c>
      <c r="AP35" s="28">
        <f t="shared" ref="AP35:AP38" si="42">IF(AO35-(2.51/(AH35*AK35))&gt;0, AO35-(2.51/(AH35*AK35)), AO35)</f>
        <v>0.19170941150211321</v>
      </c>
      <c r="AQ35" s="57">
        <f>AP35*3.7*$S$7</f>
        <v>120.86894976385234</v>
      </c>
      <c r="AU35" s="72"/>
      <c r="AV35" s="72"/>
      <c r="AW35" s="72"/>
      <c r="AX35" s="72"/>
      <c r="AY35" s="72"/>
      <c r="AZ35" s="72"/>
      <c r="BA35" s="72"/>
    </row>
    <row r="36" spans="1:53" ht="15.75" x14ac:dyDescent="0.25">
      <c r="A36" s="53"/>
      <c r="B36" s="35"/>
      <c r="C36" s="35"/>
      <c r="D36" s="35"/>
      <c r="E36" s="56"/>
      <c r="F36" s="81" t="e">
        <f>(C36/$AU$2)*($S$7/1000)*2*$AU$2/((A36^2)*$AT$2)</f>
        <v>#DIV/0!</v>
      </c>
      <c r="G36" s="56" t="e">
        <f>((3.7^2)/(10^(1/(F36^0.5))))^0.5*$S$7</f>
        <v>#DIV/0!</v>
      </c>
      <c r="H36" s="56"/>
      <c r="I36" s="62" t="e">
        <f t="shared" si="26"/>
        <v>#DIV/0!</v>
      </c>
      <c r="J36" s="62" t="e">
        <f t="shared" si="27"/>
        <v>#DIV/0!</v>
      </c>
      <c r="K36" s="62" t="e">
        <f t="shared" si="28"/>
        <v>#DIV/0!</v>
      </c>
      <c r="L36" s="62" t="e">
        <f t="shared" si="29"/>
        <v>#DIV/0!</v>
      </c>
      <c r="M36" s="62" t="e">
        <f t="shared" si="30"/>
        <v>#DIV/0!</v>
      </c>
      <c r="N36" s="62" t="e">
        <f t="shared" si="36"/>
        <v>#DIV/0!</v>
      </c>
      <c r="O36" s="35" t="e">
        <f>N36*3.7*$S$7</f>
        <v>#DIV/0!</v>
      </c>
      <c r="P36" s="62">
        <f t="shared" si="37"/>
        <v>6.1149548403609497</v>
      </c>
      <c r="Q36" s="34">
        <v>502.02438994143608</v>
      </c>
      <c r="R36" s="34">
        <v>26.820101329594241</v>
      </c>
      <c r="S36" s="35">
        <f t="shared" si="38"/>
        <v>4.3859851838269863</v>
      </c>
      <c r="T36" s="35">
        <f>P36*$S$7/1000/$AX$2</f>
        <v>1038871.6897283209</v>
      </c>
      <c r="U36" s="55">
        <f>(R36/$AU$2)*($S$7/1000)*2*$AU$2/((P36^2)*$AT$2)</f>
        <v>0.2222188046534373</v>
      </c>
      <c r="V36" s="56">
        <f>((3.7^2)/(10^(1/(U36^0.5))))^0.5*$S$7</f>
        <v>54.828073543787163</v>
      </c>
      <c r="W36" s="55">
        <f t="shared" si="31"/>
        <v>0.47140089589800027</v>
      </c>
      <c r="X36" s="55">
        <f t="shared" si="32"/>
        <v>2.121336655703717</v>
      </c>
      <c r="Y36" s="55">
        <f t="shared" si="33"/>
        <v>132.23202711155216</v>
      </c>
      <c r="Z36" s="55">
        <f t="shared" si="34"/>
        <v>7.562464418369619E-3</v>
      </c>
      <c r="AA36" s="55">
        <f t="shared" si="35"/>
        <v>8.6962431074399132E-2</v>
      </c>
      <c r="AB36" s="55">
        <f t="shared" si="39"/>
        <v>8.6957305749435082E-2</v>
      </c>
      <c r="AC36" s="35">
        <f>AB36*3.7*$S$7</f>
        <v>54.824842128903839</v>
      </c>
      <c r="AD36" s="55">
        <f t="shared" si="40"/>
        <v>4.9025596693939697</v>
      </c>
      <c r="AE36" s="34">
        <v>402.48940367214846</v>
      </c>
      <c r="AF36" s="34">
        <v>35.978736360354162</v>
      </c>
      <c r="AG36" s="35">
        <f t="shared" si="41"/>
        <v>7.3387656217556403</v>
      </c>
      <c r="AH36" s="28">
        <f>AD36*$S$7/1000/$AX$2</f>
        <v>832897.47523901542</v>
      </c>
      <c r="AI36" s="28">
        <f>(AF36/$AU$2)*($S$7/1000)*2*$AU$2/((AD36^2)*$AT$2)</f>
        <v>0.46377467589357713</v>
      </c>
      <c r="AJ36" s="63">
        <f>((3.7^2)/(10^(1/(AI36^0.5))))^0.5*$S$7</f>
        <v>116.27002057456612</v>
      </c>
      <c r="AK36" s="28">
        <f t="shared" si="12"/>
        <v>0.68101004096384443</v>
      </c>
      <c r="AL36" s="28">
        <f t="shared" si="13"/>
        <v>1.4684071303628417</v>
      </c>
      <c r="AM36" s="28">
        <f t="shared" si="14"/>
        <v>29.40404849628662</v>
      </c>
      <c r="AN36" s="28">
        <f t="shared" si="15"/>
        <v>3.4008922279062631E-2</v>
      </c>
      <c r="AO36" s="28">
        <f t="shared" si="16"/>
        <v>0.18441508148484664</v>
      </c>
      <c r="AP36" s="28">
        <f t="shared" si="42"/>
        <v>0.18441065632808151</v>
      </c>
      <c r="AQ36" s="57">
        <f>AP36*3.7*$S$7</f>
        <v>116.26723060172884</v>
      </c>
      <c r="AU36" s="60" t="s">
        <v>163</v>
      </c>
      <c r="AV36" s="86">
        <v>0.5</v>
      </c>
      <c r="AW36" s="87"/>
      <c r="AY36" s="88" t="s">
        <v>164</v>
      </c>
      <c r="AZ36" s="89"/>
    </row>
    <row r="37" spans="1:53" ht="15.75" x14ac:dyDescent="0.25">
      <c r="A37" s="53"/>
      <c r="B37" s="35"/>
      <c r="C37" s="35"/>
      <c r="D37" s="35"/>
      <c r="E37" s="56"/>
      <c r="F37" s="81" t="e">
        <f>(C37/$AU$2)*($S$7/1000)*2*$AU$2/((A37^2)*$AT$2)</f>
        <v>#DIV/0!</v>
      </c>
      <c r="G37" s="56" t="e">
        <f>((3.7^2)/(10^(1/(F37^0.5))))^0.5*$S$7</f>
        <v>#DIV/0!</v>
      </c>
      <c r="H37" s="56"/>
      <c r="I37" s="62" t="e">
        <f t="shared" si="26"/>
        <v>#DIV/0!</v>
      </c>
      <c r="J37" s="62" t="e">
        <f t="shared" si="27"/>
        <v>#DIV/0!</v>
      </c>
      <c r="K37" s="62" t="e">
        <f t="shared" si="28"/>
        <v>#DIV/0!</v>
      </c>
      <c r="L37" s="62" t="e">
        <f t="shared" si="29"/>
        <v>#DIV/0!</v>
      </c>
      <c r="M37" s="62" t="e">
        <f t="shared" si="30"/>
        <v>#DIV/0!</v>
      </c>
      <c r="N37" s="62" t="e">
        <f t="shared" si="36"/>
        <v>#DIV/0!</v>
      </c>
      <c r="O37" s="35" t="e">
        <f>N37*3.7*$S$7</f>
        <v>#DIV/0!</v>
      </c>
      <c r="P37" s="62">
        <f t="shared" si="37"/>
        <v>9.1398195598442218</v>
      </c>
      <c r="Q37" s="34">
        <v>750.35915366380016</v>
      </c>
      <c r="R37" s="34">
        <v>58.891764405344581</v>
      </c>
      <c r="S37" s="35">
        <f t="shared" si="38"/>
        <v>6.4434274680963535</v>
      </c>
      <c r="T37" s="35">
        <f>P37*$S$7/1000/$AX$2</f>
        <v>1552766.9521410323</v>
      </c>
      <c r="U37" s="55">
        <f>(R37/$AU$2)*($S$7/1000)*2*$AU$2/((P37^2)*$AT$2)</f>
        <v>0.21841689212483392</v>
      </c>
      <c r="V37" s="56">
        <f>((3.7^2)/(10^(1/(U37^0.5))))^0.5*$S$7</f>
        <v>53.679870137908686</v>
      </c>
      <c r="W37" s="55">
        <f t="shared" si="31"/>
        <v>0.46735093037762737</v>
      </c>
      <c r="X37" s="55">
        <f t="shared" si="32"/>
        <v>2.1397197159573071</v>
      </c>
      <c r="Y37" s="55">
        <f t="shared" si="33"/>
        <v>137.94936825741493</v>
      </c>
      <c r="Z37" s="55">
        <f t="shared" si="34"/>
        <v>7.2490364590433627E-3</v>
      </c>
      <c r="AA37" s="55">
        <f t="shared" si="35"/>
        <v>8.5141273534305104E-2</v>
      </c>
      <c r="AB37" s="55">
        <f t="shared" si="39"/>
        <v>8.5137814743222739E-2</v>
      </c>
      <c r="AC37" s="35">
        <f>AB37*3.7*$S$7</f>
        <v>53.67768943930708</v>
      </c>
      <c r="AD37" s="55">
        <f t="shared" si="40"/>
        <v>6.6905363861735552</v>
      </c>
      <c r="AE37" s="34">
        <v>549.27837332180491</v>
      </c>
      <c r="AF37" s="34">
        <v>66.200893011657925</v>
      </c>
      <c r="AG37" s="35">
        <f t="shared" si="41"/>
        <v>9.8947063718936707</v>
      </c>
      <c r="AH37" s="28">
        <f>AD37*$S$7/1000/$AX$2</f>
        <v>1136657.4279202132</v>
      </c>
      <c r="AI37" s="28">
        <f>(AF37/$AU$2)*($S$7/1000)*2*$AU$2/((AD37^2)*$AT$2)</f>
        <v>0.45819344830110503</v>
      </c>
      <c r="AJ37" s="63">
        <f>((3.7^2)/(10^(1/(AI37^0.5))))^0.5*$S$7</f>
        <v>115.08259304818054</v>
      </c>
      <c r="AK37" s="28">
        <f t="shared" si="12"/>
        <v>0.67689988055923389</v>
      </c>
      <c r="AL37" s="28">
        <f t="shared" si="13"/>
        <v>1.4773233512374544</v>
      </c>
      <c r="AM37" s="28">
        <f t="shared" si="14"/>
        <v>30.013963581561896</v>
      </c>
      <c r="AN37" s="28">
        <f t="shared" si="15"/>
        <v>3.3317825460890398E-2</v>
      </c>
      <c r="AO37" s="28">
        <f t="shared" si="16"/>
        <v>0.18253171083647465</v>
      </c>
      <c r="AP37" s="28">
        <f t="shared" si="42"/>
        <v>0.18252844856807213</v>
      </c>
      <c r="AQ37" s="57">
        <f>AP37*3.7*$S$7</f>
        <v>115.08053625319813</v>
      </c>
      <c r="AU37" s="71" t="s">
        <v>165</v>
      </c>
      <c r="AV37" s="72" t="s">
        <v>166</v>
      </c>
      <c r="AW37" s="72" t="s">
        <v>167</v>
      </c>
      <c r="AY37" s="48" t="s">
        <v>168</v>
      </c>
      <c r="AZ37" s="48" t="s">
        <v>169</v>
      </c>
    </row>
    <row r="38" spans="1:53" ht="15.75" x14ac:dyDescent="0.25">
      <c r="A38" s="53"/>
      <c r="B38" s="35"/>
      <c r="C38" s="35"/>
      <c r="D38" s="35"/>
      <c r="E38" s="56"/>
      <c r="F38" s="62" t="e">
        <f>(C38/$AU$2)*($S$7/1000)*2*$AU$2/((A38^2)*$AT$2)</f>
        <v>#DIV/0!</v>
      </c>
      <c r="G38" s="56" t="e">
        <f>((3.7^2)/(10^(1/(F38^0.5))))^0.5*$S$7</f>
        <v>#DIV/0!</v>
      </c>
      <c r="H38" s="56"/>
      <c r="I38" s="62" t="e">
        <f t="shared" si="26"/>
        <v>#DIV/0!</v>
      </c>
      <c r="J38" s="62" t="e">
        <f t="shared" si="27"/>
        <v>#DIV/0!</v>
      </c>
      <c r="K38" s="62" t="e">
        <f t="shared" si="28"/>
        <v>#DIV/0!</v>
      </c>
      <c r="L38" s="62" t="e">
        <f t="shared" si="29"/>
        <v>#DIV/0!</v>
      </c>
      <c r="M38" s="62" t="e">
        <f t="shared" si="30"/>
        <v>#DIV/0!</v>
      </c>
      <c r="N38" s="62" t="e">
        <f t="shared" si="36"/>
        <v>#DIV/0!</v>
      </c>
      <c r="O38" s="35" t="e">
        <f>N38*3.7*$S$7</f>
        <v>#DIV/0!</v>
      </c>
      <c r="P38" s="62">
        <f t="shared" si="37"/>
        <v>12.238162774537612</v>
      </c>
      <c r="Q38" s="34">
        <v>1004.726340796424</v>
      </c>
      <c r="R38" s="34">
        <v>102.09661352693148</v>
      </c>
      <c r="S38" s="35">
        <f t="shared" si="38"/>
        <v>8.3424788024025069</v>
      </c>
      <c r="T38" s="35">
        <f>P38*$S$7/1000/$AX$2</f>
        <v>2079145.5002803681</v>
      </c>
      <c r="U38" s="55">
        <f>(R38/$AU$2)*($S$7/1000)*2*$AU$2/((P38^2)*$AT$2)</f>
        <v>0.21119604813515175</v>
      </c>
      <c r="V38" s="56">
        <f>((3.7^2)/(10^(1/(U38^0.5))))^0.5*$S$7</f>
        <v>51.484415398137813</v>
      </c>
      <c r="W38" s="55">
        <f t="shared" si="31"/>
        <v>0.45956071213187027</v>
      </c>
      <c r="X38" s="55">
        <f t="shared" si="32"/>
        <v>2.1759910575494352</v>
      </c>
      <c r="Y38" s="55">
        <f t="shared" si="33"/>
        <v>149.96539561797155</v>
      </c>
      <c r="Z38" s="55">
        <f t="shared" si="34"/>
        <v>6.6682049940870623E-3</v>
      </c>
      <c r="AA38" s="55">
        <f t="shared" si="35"/>
        <v>8.1659077842497471E-2</v>
      </c>
      <c r="AB38" s="55">
        <f t="shared" si="39"/>
        <v>8.165645092795315E-2</v>
      </c>
      <c r="AC38" s="35">
        <f>AB38*3.7*$S$7</f>
        <v>51.482759181055904</v>
      </c>
      <c r="AD38" s="55">
        <f t="shared" si="40"/>
        <v>8.4662666870847882</v>
      </c>
      <c r="AE38" s="34">
        <v>695.06193906975147</v>
      </c>
      <c r="AF38" s="34">
        <v>104.81628928742016</v>
      </c>
      <c r="AG38" s="35">
        <f t="shared" si="41"/>
        <v>12.380461561329794</v>
      </c>
      <c r="AH38" s="28">
        <f>AD38*$S$7/1000/$AX$2</f>
        <v>1438336.8329803071</v>
      </c>
      <c r="AI38" s="28">
        <f>(AF38/$AU$2)*($S$7/1000)*2*$AU$2/((AD38^2)*$AT$2)</f>
        <v>0.45305590206039664</v>
      </c>
      <c r="AJ38" s="63">
        <f>((3.7^2)/(10^(1/(AI38^0.5))))^0.5*$S$7</f>
        <v>113.9812252651372</v>
      </c>
      <c r="AK38" s="28">
        <f t="shared" si="12"/>
        <v>0.67309427427396573</v>
      </c>
      <c r="AL38" s="28">
        <f t="shared" si="13"/>
        <v>1.4856759865899196</v>
      </c>
      <c r="AM38" s="28">
        <f t="shared" si="14"/>
        <v>30.596798513442209</v>
      </c>
      <c r="AN38" s="28">
        <f t="shared" si="15"/>
        <v>3.2683157996437638E-2</v>
      </c>
      <c r="AO38" s="28">
        <f t="shared" si="16"/>
        <v>0.18078483895625108</v>
      </c>
      <c r="AP38" s="28">
        <f t="shared" si="42"/>
        <v>0.18078224634606352</v>
      </c>
      <c r="AQ38" s="57">
        <f>AP38*3.7*$S$7</f>
        <v>113.97959067626614</v>
      </c>
      <c r="AT38" s="28">
        <v>20</v>
      </c>
      <c r="AU38" s="80" t="e">
        <f>AX24</f>
        <v>#REF!</v>
      </c>
      <c r="AV38" s="82">
        <f>G29</f>
        <v>1.5367457895098915</v>
      </c>
      <c r="AW38" s="74">
        <f>G30</f>
        <v>0.12630519022664732</v>
      </c>
      <c r="AY38" s="80">
        <f>A24</f>
        <v>2.5562031604978803</v>
      </c>
      <c r="AZ38" s="80" t="e">
        <f>#REF!</f>
        <v>#REF!</v>
      </c>
    </row>
    <row r="39" spans="1:53" s="48" customFormat="1" ht="15.75" x14ac:dyDescent="0.25">
      <c r="A39" s="48" t="s">
        <v>70</v>
      </c>
      <c r="G39" s="69" t="e">
        <f>AVERAGE(G34:G38)</f>
        <v>#DIV/0!</v>
      </c>
      <c r="H39" s="69"/>
      <c r="I39" s="69"/>
      <c r="J39" s="69"/>
      <c r="K39" s="69"/>
      <c r="L39" s="69"/>
      <c r="M39" s="69"/>
      <c r="N39" s="69"/>
      <c r="O39" s="69" t="e">
        <f>AVERAGE(O34:O38)</f>
        <v>#DIV/0!</v>
      </c>
      <c r="P39" s="69"/>
      <c r="Q39" s="69"/>
      <c r="R39" s="69"/>
      <c r="S39" s="69"/>
      <c r="T39" s="69"/>
      <c r="U39" s="69"/>
      <c r="V39" s="69">
        <f>AVERAGE(V37:V38)</f>
        <v>52.582142768023246</v>
      </c>
      <c r="W39" s="69"/>
      <c r="X39" s="69"/>
      <c r="Y39" s="69"/>
      <c r="Z39" s="69"/>
      <c r="AA39" s="69"/>
      <c r="AB39" s="69"/>
      <c r="AC39" s="69">
        <f>AVERAGE(AC37:AC38)</f>
        <v>52.580224310181492</v>
      </c>
      <c r="AD39" s="69"/>
      <c r="AE39" s="69"/>
      <c r="AF39" s="69"/>
      <c r="AG39" s="69"/>
      <c r="AH39" s="69"/>
      <c r="AI39" s="69"/>
      <c r="AJ39" s="69">
        <f>AVERAGE(AJ37:AJ38)</f>
        <v>114.53190915665887</v>
      </c>
      <c r="AK39" s="69"/>
      <c r="AL39" s="69"/>
      <c r="AM39" s="69"/>
      <c r="AN39" s="69"/>
      <c r="AO39" s="69"/>
      <c r="AP39" s="69"/>
      <c r="AQ39" s="69">
        <f>AVERAGE(AQ34:AQ38)</f>
        <v>122.67709528388221</v>
      </c>
      <c r="AT39" s="48">
        <v>20</v>
      </c>
      <c r="AU39" s="83" t="e">
        <f>AY24</f>
        <v>#REF!</v>
      </c>
      <c r="AV39" s="84" t="e">
        <f>G39</f>
        <v>#DIV/0!</v>
      </c>
      <c r="AW39" s="74" t="e">
        <f>G40</f>
        <v>#DIV/0!</v>
      </c>
      <c r="AY39" s="83">
        <f>A34</f>
        <v>0</v>
      </c>
      <c r="AZ39" s="83" t="e">
        <f>#REF!</f>
        <v>#REF!</v>
      </c>
    </row>
    <row r="40" spans="1:53" s="48" customFormat="1" ht="15.75" x14ac:dyDescent="0.25">
      <c r="A40" s="48" t="s">
        <v>150</v>
      </c>
      <c r="G40" s="69" t="e">
        <f>STDEV(G34:G38)</f>
        <v>#DIV/0!</v>
      </c>
      <c r="H40" s="69"/>
      <c r="I40" s="69"/>
      <c r="J40" s="69"/>
      <c r="K40" s="69"/>
      <c r="L40" s="69"/>
      <c r="M40" s="69"/>
      <c r="N40" s="69"/>
      <c r="O40" s="69" t="e">
        <f>STDEV(O34:O38)</f>
        <v>#DIV/0!</v>
      </c>
      <c r="P40" s="69"/>
      <c r="Q40" s="69"/>
      <c r="R40" s="69"/>
      <c r="S40" s="69"/>
      <c r="T40" s="69"/>
      <c r="U40" s="69"/>
      <c r="V40" s="69">
        <f>STDEV(V37:V38)</f>
        <v>1.5524209342801318</v>
      </c>
      <c r="W40" s="69"/>
      <c r="X40" s="69"/>
      <c r="Y40" s="69"/>
      <c r="Z40" s="69"/>
      <c r="AA40" s="69"/>
      <c r="AB40" s="69"/>
      <c r="AC40" s="69">
        <f>STDEV(AC37:AC38)</f>
        <v>1.5520500698409467</v>
      </c>
      <c r="AD40" s="69"/>
      <c r="AE40" s="69"/>
      <c r="AF40" s="69"/>
      <c r="AG40" s="69"/>
      <c r="AH40" s="69"/>
      <c r="AI40" s="69"/>
      <c r="AJ40" s="69">
        <f>STDEV(AJ37:AJ38)</f>
        <v>0.77878462797034254</v>
      </c>
      <c r="AK40" s="69"/>
      <c r="AL40" s="69"/>
      <c r="AM40" s="69"/>
      <c r="AN40" s="69"/>
      <c r="AO40" s="69"/>
      <c r="AP40" s="69"/>
      <c r="AQ40" s="69">
        <f>STDEV(AQ34:AQ38)</f>
        <v>13.951270685250908</v>
      </c>
      <c r="AT40" s="48">
        <v>30</v>
      </c>
      <c r="AU40" s="66" t="e">
        <f t="shared" ref="AU40:AU41" si="43">AY25</f>
        <v>#REF!</v>
      </c>
      <c r="AV40" s="74">
        <f>V39</f>
        <v>52.582142768023246</v>
      </c>
      <c r="AW40" s="74">
        <f>V40</f>
        <v>1.5524209342801318</v>
      </c>
      <c r="AY40" s="70">
        <f>P34</f>
        <v>1.2189648122579506</v>
      </c>
      <c r="AZ40" s="70" t="e">
        <f>#REF!</f>
        <v>#REF!</v>
      </c>
    </row>
    <row r="41" spans="1:53" ht="15.75" x14ac:dyDescent="0.25">
      <c r="AT41" s="28">
        <v>40</v>
      </c>
      <c r="AU41" s="66" t="e">
        <f t="shared" si="43"/>
        <v>#REF!</v>
      </c>
      <c r="AV41" s="74">
        <f>AQ39</f>
        <v>122.67709528388221</v>
      </c>
      <c r="AW41" s="74">
        <f>AQ40</f>
        <v>13.951270685250908</v>
      </c>
      <c r="AY41" s="77">
        <f>AD34</f>
        <v>0.72982030271067866</v>
      </c>
      <c r="AZ41" s="77" t="e">
        <f>#REF!</f>
        <v>#REF!</v>
      </c>
    </row>
    <row r="43" spans="1:53" x14ac:dyDescent="0.2">
      <c r="I43" s="28" t="s">
        <v>179</v>
      </c>
      <c r="J43" s="28" t="s">
        <v>174</v>
      </c>
      <c r="K43" s="28" t="s">
        <v>167</v>
      </c>
    </row>
    <row r="44" spans="1:53" x14ac:dyDescent="0.2">
      <c r="I44" s="28" t="s">
        <v>173</v>
      </c>
      <c r="J44" s="63">
        <f>G29</f>
        <v>1.5367457895098915</v>
      </c>
      <c r="K44" s="63">
        <f>G30</f>
        <v>0.12630519022664732</v>
      </c>
    </row>
    <row r="45" spans="1:53" x14ac:dyDescent="0.2">
      <c r="I45" s="28" t="s">
        <v>175</v>
      </c>
      <c r="J45" s="63">
        <f>V29</f>
        <v>11.98981465055591</v>
      </c>
      <c r="K45" s="63">
        <f>V30</f>
        <v>0.41041723493842958</v>
      </c>
    </row>
    <row r="46" spans="1:53" x14ac:dyDescent="0.2">
      <c r="I46" s="28" t="s">
        <v>176</v>
      </c>
      <c r="J46" s="63">
        <f>V39</f>
        <v>52.582142768023246</v>
      </c>
      <c r="K46" s="63">
        <f>V40</f>
        <v>1.5524209342801318</v>
      </c>
    </row>
    <row r="47" spans="1:53" x14ac:dyDescent="0.2">
      <c r="I47" s="28" t="s">
        <v>177</v>
      </c>
      <c r="J47" s="28">
        <v>26.764985197685093</v>
      </c>
      <c r="K47" s="28">
        <v>5.2067107445339711E-2</v>
      </c>
    </row>
    <row r="48" spans="1:53" x14ac:dyDescent="0.2">
      <c r="I48" s="28" t="s">
        <v>178</v>
      </c>
      <c r="J48" s="28">
        <v>114.53190915665887</v>
      </c>
      <c r="K48" s="28">
        <v>0.77878462797034254</v>
      </c>
    </row>
  </sheetData>
  <mergeCells count="17">
    <mergeCell ref="B31:AG31"/>
    <mergeCell ref="B2:D2"/>
    <mergeCell ref="B11:AG11"/>
    <mergeCell ref="B12:D12"/>
    <mergeCell ref="Q12:S12"/>
    <mergeCell ref="AE12:AG12"/>
    <mergeCell ref="B21:AG21"/>
    <mergeCell ref="B22:D22"/>
    <mergeCell ref="Q22:S22"/>
    <mergeCell ref="AE22:AG22"/>
    <mergeCell ref="AV30:AW30"/>
    <mergeCell ref="AY30:AZ30"/>
    <mergeCell ref="B32:D32"/>
    <mergeCell ref="Q32:S32"/>
    <mergeCell ref="AE32:AG32"/>
    <mergeCell ref="AV36:AW36"/>
    <mergeCell ref="AY36:AZ3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I19" sqref="I19"/>
    </sheetView>
  </sheetViews>
  <sheetFormatPr baseColWidth="10" defaultRowHeight="12.75" x14ac:dyDescent="0.2"/>
  <cols>
    <col min="2" max="2" width="9.28515625" customWidth="1"/>
    <col min="3" max="3" width="5.85546875" customWidth="1"/>
    <col min="4" max="4" width="13.140625" customWidth="1"/>
    <col min="5" max="5" width="14.140625" customWidth="1"/>
  </cols>
  <sheetData>
    <row r="3" spans="2:7" ht="33" customHeight="1" x14ac:dyDescent="0.2">
      <c r="B3" s="93" t="s">
        <v>81</v>
      </c>
      <c r="C3" s="93"/>
      <c r="D3" s="20" t="s">
        <v>80</v>
      </c>
      <c r="E3" s="20" t="s">
        <v>79</v>
      </c>
    </row>
    <row r="4" spans="2:7" ht="15" x14ac:dyDescent="0.25">
      <c r="B4" s="92" t="s">
        <v>85</v>
      </c>
      <c r="C4" s="92"/>
      <c r="D4" s="22" t="s">
        <v>83</v>
      </c>
      <c r="E4" s="22" t="s">
        <v>84</v>
      </c>
      <c r="G4" s="17">
        <v>52.4</v>
      </c>
    </row>
    <row r="5" spans="2:7" x14ac:dyDescent="0.2">
      <c r="B5" s="94" t="s">
        <v>82</v>
      </c>
      <c r="C5" s="21">
        <v>0</v>
      </c>
      <c r="D5" s="95">
        <v>68</v>
      </c>
      <c r="E5" s="95"/>
    </row>
    <row r="6" spans="2:7" x14ac:dyDescent="0.2">
      <c r="B6" s="94"/>
      <c r="C6" s="21">
        <v>0</v>
      </c>
      <c r="D6" s="95">
        <v>110</v>
      </c>
      <c r="E6" s="95"/>
    </row>
    <row r="7" spans="2:7" x14ac:dyDescent="0.2">
      <c r="B7" s="94"/>
      <c r="C7" s="21">
        <v>0</v>
      </c>
      <c r="D7" s="96">
        <v>196</v>
      </c>
      <c r="E7" s="96"/>
    </row>
    <row r="8" spans="2:7" x14ac:dyDescent="0.2">
      <c r="B8" s="94"/>
      <c r="C8" s="21">
        <v>0</v>
      </c>
      <c r="D8" s="96">
        <v>251</v>
      </c>
      <c r="E8" s="96"/>
    </row>
    <row r="9" spans="2:7" x14ac:dyDescent="0.2">
      <c r="B9" s="92"/>
      <c r="C9" s="21">
        <v>0</v>
      </c>
      <c r="D9" s="96">
        <v>312</v>
      </c>
      <c r="E9" s="96"/>
    </row>
    <row r="10" spans="2:7" x14ac:dyDescent="0.2">
      <c r="B10" s="94" t="s">
        <v>82</v>
      </c>
      <c r="C10" s="21">
        <v>20</v>
      </c>
      <c r="D10" s="18">
        <v>58.294076921841672</v>
      </c>
      <c r="E10" s="19" t="s">
        <v>77</v>
      </c>
    </row>
    <row r="11" spans="2:7" x14ac:dyDescent="0.2">
      <c r="B11" s="94"/>
      <c r="C11" s="21">
        <v>20</v>
      </c>
      <c r="D11" s="18">
        <v>111.52333326956641</v>
      </c>
      <c r="E11" s="19" t="s">
        <v>77</v>
      </c>
    </row>
    <row r="12" spans="2:7" x14ac:dyDescent="0.2">
      <c r="B12" s="94"/>
      <c r="C12" s="21">
        <v>20</v>
      </c>
      <c r="D12" s="18">
        <v>193.35203971429502</v>
      </c>
      <c r="E12" s="19" t="s">
        <v>77</v>
      </c>
    </row>
    <row r="13" spans="2:7" x14ac:dyDescent="0.2">
      <c r="B13" s="94"/>
      <c r="C13" s="21">
        <v>20</v>
      </c>
      <c r="D13" s="18">
        <v>280.20776566757223</v>
      </c>
      <c r="E13" s="19" t="s">
        <v>77</v>
      </c>
    </row>
    <row r="14" spans="2:7" x14ac:dyDescent="0.2">
      <c r="B14" s="92"/>
      <c r="C14" s="21">
        <v>20</v>
      </c>
      <c r="D14" s="18">
        <v>383.82022331601945</v>
      </c>
      <c r="E14" s="19" t="s">
        <v>77</v>
      </c>
    </row>
    <row r="15" spans="2:7" ht="12.75" customHeight="1" x14ac:dyDescent="0.2">
      <c r="B15" s="94" t="s">
        <v>82</v>
      </c>
      <c r="C15" s="21">
        <v>30</v>
      </c>
      <c r="D15" s="18">
        <v>57.739106051866941</v>
      </c>
      <c r="E15" s="18">
        <v>27.79842761674028</v>
      </c>
    </row>
    <row r="16" spans="2:7" x14ac:dyDescent="0.2">
      <c r="B16" s="94"/>
      <c r="C16" s="21">
        <v>30</v>
      </c>
      <c r="D16" s="18">
        <v>111.24405440798027</v>
      </c>
      <c r="E16" s="18">
        <v>68.838523451358057</v>
      </c>
    </row>
    <row r="17" spans="2:5" x14ac:dyDescent="0.2">
      <c r="B17" s="94"/>
      <c r="C17" s="21">
        <v>30</v>
      </c>
      <c r="D17" s="18">
        <v>194.18987629905305</v>
      </c>
      <c r="E17" s="18">
        <v>139.45121942817667</v>
      </c>
    </row>
    <row r="18" spans="2:5" x14ac:dyDescent="0.2">
      <c r="B18" s="94"/>
      <c r="C18" s="21">
        <v>30</v>
      </c>
      <c r="D18" s="18">
        <v>279.0906502212278</v>
      </c>
      <c r="E18" s="18">
        <v>208.43309823994448</v>
      </c>
    </row>
    <row r="19" spans="2:5" x14ac:dyDescent="0.2">
      <c r="B19" s="92"/>
      <c r="C19" s="21">
        <v>30</v>
      </c>
      <c r="D19" s="18">
        <v>377.3968094995389</v>
      </c>
      <c r="E19" s="18">
        <v>279.0906502212278</v>
      </c>
    </row>
    <row r="20" spans="2:5" x14ac:dyDescent="0.2">
      <c r="B20" s="94" t="s">
        <v>82</v>
      </c>
      <c r="C20" s="21">
        <v>40</v>
      </c>
      <c r="D20" s="18">
        <v>41.644950822605281</v>
      </c>
      <c r="E20" s="18">
        <v>16.643513130251943</v>
      </c>
    </row>
    <row r="21" spans="2:5" x14ac:dyDescent="0.2">
      <c r="B21" s="94"/>
      <c r="C21" s="21">
        <v>40</v>
      </c>
      <c r="D21" s="18">
        <v>110.40621782322194</v>
      </c>
      <c r="E21" s="18">
        <v>58.849047791816112</v>
      </c>
    </row>
    <row r="22" spans="2:5" x14ac:dyDescent="0.2">
      <c r="B22" s="94"/>
      <c r="C22" s="21">
        <v>40</v>
      </c>
      <c r="D22" s="18">
        <v>194.74843402222527</v>
      </c>
      <c r="E22" s="18">
        <v>111.80261213115223</v>
      </c>
    </row>
    <row r="23" spans="2:5" x14ac:dyDescent="0.2">
      <c r="B23" s="94"/>
      <c r="C23" s="21">
        <v>40</v>
      </c>
      <c r="D23" s="18">
        <v>278.53209249805553</v>
      </c>
      <c r="E23" s="18">
        <v>152.57732592272362</v>
      </c>
    </row>
    <row r="24" spans="2:5" x14ac:dyDescent="0.2">
      <c r="B24" s="92"/>
      <c r="C24" s="21">
        <v>40</v>
      </c>
      <c r="D24" s="18">
        <v>345.55901927872225</v>
      </c>
      <c r="E24" s="18">
        <v>193.07276085270888</v>
      </c>
    </row>
  </sheetData>
  <mergeCells count="11">
    <mergeCell ref="B4:C4"/>
    <mergeCell ref="B3:C3"/>
    <mergeCell ref="B15:B19"/>
    <mergeCell ref="B20:B24"/>
    <mergeCell ref="D5:E5"/>
    <mergeCell ref="D6:E6"/>
    <mergeCell ref="D7:E7"/>
    <mergeCell ref="D8:E8"/>
    <mergeCell ref="D9:E9"/>
    <mergeCell ref="B5:B9"/>
    <mergeCell ref="B10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opLeftCell="U1" zoomScale="120" zoomScaleNormal="120" workbookViewId="0">
      <selection activeCell="W2" sqref="W2:W6"/>
    </sheetView>
  </sheetViews>
  <sheetFormatPr baseColWidth="10" defaultColWidth="9.140625" defaultRowHeight="12.75" x14ac:dyDescent="0.2"/>
  <cols>
    <col min="1" max="1" width="9"/>
    <col min="2" max="2" width="20"/>
    <col min="3" max="5" width="14.140625"/>
    <col min="6" max="6" width="14.42578125"/>
    <col min="7" max="8" width="11.5703125"/>
    <col min="10" max="10" width="12.7109375" bestFit="1" customWidth="1"/>
    <col min="11" max="12" width="12.7109375" customWidth="1"/>
    <col min="14" max="14" width="11.5703125"/>
    <col min="15" max="15" width="30.85546875" customWidth="1"/>
    <col min="16" max="19" width="11.5703125"/>
    <col min="20" max="20" width="17.7109375" customWidth="1"/>
    <col min="22" max="31" width="11.5703125"/>
    <col min="32" max="32" width="13.140625" bestFit="1" customWidth="1"/>
    <col min="33" max="1031" width="11.5703125"/>
  </cols>
  <sheetData>
    <row r="1" spans="1:32" s="5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  <c r="G1" s="1" t="s">
        <v>5</v>
      </c>
      <c r="H1" s="1" t="s">
        <v>21</v>
      </c>
      <c r="I1" s="1" t="s">
        <v>24</v>
      </c>
      <c r="J1" s="1" t="s">
        <v>26</v>
      </c>
      <c r="K1" s="1"/>
      <c r="L1" s="1"/>
      <c r="M1" s="1" t="s">
        <v>38</v>
      </c>
      <c r="N1" s="1" t="s">
        <v>6</v>
      </c>
      <c r="O1" s="1" t="s">
        <v>93</v>
      </c>
      <c r="P1" s="1" t="s">
        <v>7</v>
      </c>
      <c r="Q1" s="1" t="s">
        <v>8</v>
      </c>
      <c r="R1" s="2" t="s">
        <v>23</v>
      </c>
      <c r="S1" s="1"/>
      <c r="T1" s="1" t="s">
        <v>57</v>
      </c>
      <c r="U1" s="14" t="s">
        <v>67</v>
      </c>
      <c r="V1" s="14" t="s">
        <v>73</v>
      </c>
      <c r="W1" s="4" t="s">
        <v>25</v>
      </c>
      <c r="X1" s="1" t="s">
        <v>69</v>
      </c>
      <c r="Y1" s="5" t="s">
        <v>1</v>
      </c>
      <c r="Z1" s="5" t="s">
        <v>3</v>
      </c>
      <c r="AA1" s="5" t="s">
        <v>24</v>
      </c>
      <c r="AB1" s="5" t="s">
        <v>27</v>
      </c>
      <c r="AC1" s="5" t="s">
        <v>28</v>
      </c>
      <c r="AE1" s="5" t="s">
        <v>68</v>
      </c>
    </row>
    <row r="2" spans="1:32" x14ac:dyDescent="0.2">
      <c r="A2" t="s">
        <v>9</v>
      </c>
      <c r="B2">
        <v>245.82078929298001</v>
      </c>
      <c r="C2">
        <f>B2/3600</f>
        <v>6.8283552581383342E-2</v>
      </c>
      <c r="D2">
        <f>C2/$Q$2</f>
        <v>2.994243019793942</v>
      </c>
      <c r="E2">
        <v>0.378535020600063</v>
      </c>
      <c r="F2">
        <f>E2/10</f>
        <v>3.7853502060006303E-2</v>
      </c>
      <c r="G2" s="27">
        <f>F2*2*$O$2*$P$2/($N$2*D2^2)</f>
        <v>1.2828017681423234E-2</v>
      </c>
      <c r="H2">
        <f>E2/N$2</f>
        <v>0.34412274600005727</v>
      </c>
      <c r="I2">
        <f>(D2*P$2)/R$2</f>
        <v>392476.16197914432</v>
      </c>
      <c r="J2">
        <f>3.7*P$2*((10^(-1/(2*G2^0.5)))-(2.54/(I2*G2^0.5)))*1000</f>
        <v>-1.1754934565138589E-2</v>
      </c>
      <c r="K2">
        <f>J2</f>
        <v>-1.1754934565138589E-2</v>
      </c>
      <c r="M2">
        <f>Q2*N2</f>
        <v>2.5085441409725903E-2</v>
      </c>
      <c r="N2">
        <v>1.1000000000000001</v>
      </c>
      <c r="O2">
        <v>9.8066499999999994</v>
      </c>
      <c r="P2">
        <v>0.1704</v>
      </c>
      <c r="Q2">
        <f>PI()*P2*P2/4</f>
        <v>2.2804946736114454E-2</v>
      </c>
      <c r="R2">
        <v>1.3E-6</v>
      </c>
      <c r="T2">
        <f>(H2-AC2)^2</f>
        <v>2.4582422990849178E-4</v>
      </c>
      <c r="U2" s="15">
        <f>IF(I2&lt;=2300,64/I2,IF(AND(I2&gt;2300,I2&lt;4000),(1/((LOG((6.9/I2)+((V2/P$2)/3.7)^1.11))*-1.8))^2,(0.25/(LOG((V2/P$2)/3.7+5.74/(I2^0.9)))^2)))</f>
        <v>1.2828017681423229E-2</v>
      </c>
      <c r="V2" s="15">
        <f>((10^((0.25/G2)^0.5)-5.74/(I2^0.9))*3.7)*P$2</f>
        <v>16377.960968227891</v>
      </c>
      <c r="W2">
        <f>IF(I2&lt;=2300,64/I2,IF(AND(I2&gt;2300,I2&lt;4000),(1/((LOG((6.9/I2)+((X2/P$2)/3.7)^1.11))*-1.8))^2,(0.25/(LOG((X2/P$2)/3.7+5.74/(I2^0.9)))^2)))</f>
        <v>1.3676926052953068E-2</v>
      </c>
      <c r="X2">
        <v>1E-8</v>
      </c>
      <c r="Y2">
        <v>245.82078929298001</v>
      </c>
      <c r="Z2">
        <f>Y2/3600/$Q$2</f>
        <v>2.994243019793942</v>
      </c>
      <c r="AA2" s="7">
        <f>Z2*P$2/R$2</f>
        <v>392476.16197914432</v>
      </c>
      <c r="AB2" s="13">
        <f>0.25/(LOG((X2/P$2/3.7)+(5.74/(AA2^0.9))))^2</f>
        <v>1.3676926052953068E-2</v>
      </c>
      <c r="AC2">
        <f>AB2/P$2*(Z2^2)/(2)</f>
        <v>0.35980152879428245</v>
      </c>
      <c r="AE2">
        <f>X2</f>
        <v>1E-8</v>
      </c>
    </row>
    <row r="3" spans="1:32" x14ac:dyDescent="0.2">
      <c r="A3" t="s">
        <v>9</v>
      </c>
      <c r="B3">
        <v>395.45157636017899</v>
      </c>
      <c r="C3">
        <f>B3/3600</f>
        <v>0.10984766010004972</v>
      </c>
      <c r="D3">
        <f>C3/$Q$2</f>
        <v>4.8168347583155002</v>
      </c>
      <c r="E3">
        <v>0.89732416207585897</v>
      </c>
      <c r="F3">
        <f t="shared" ref="F3:F30" si="0">E3/10</f>
        <v>8.9732416207585902E-2</v>
      </c>
      <c r="G3" s="27">
        <f t="shared" ref="G3:G30" si="1">F3*2*$O$2*$P$2/($N$2*D3^2)</f>
        <v>1.1750421417029283E-2</v>
      </c>
      <c r="H3">
        <f>E3/N$2</f>
        <v>0.81574923825078083</v>
      </c>
      <c r="I3">
        <f>(D3*P$2)/R$2</f>
        <v>631375.87908997014</v>
      </c>
      <c r="J3">
        <f>3.7*P$2*((10^(-1/(2*G3^0.5)))-(2.54/(I3*G3^0.5)))*1000</f>
        <v>-8.0136069613083137E-3</v>
      </c>
      <c r="M3" t="s">
        <v>39</v>
      </c>
      <c r="T3">
        <f t="shared" ref="T3:T6" si="2">(H3-AC3)^2</f>
        <v>1.5568212459443798E-3</v>
      </c>
      <c r="U3" s="15">
        <f t="shared" ref="U3:U30" si="3">IF(I3&lt;=2300,64/I3,IF(AND(I3&gt;2300,I3&lt;4000),(1/((LOG((6.9/I3)+((V3/P$2)/3.7)^1.11))*-1.8))^2,(0.25/(LOG((V3/P$2)/3.7+5.74/(I3^0.9)))^2)))</f>
        <v>1.1750421417029283E-2</v>
      </c>
      <c r="V3" s="15">
        <f t="shared" ref="V3:V30" si="4">((10^((0.25/G3)^0.5)-5.74/(I3^0.9))*3.7)*P$2</f>
        <v>25837.151954200348</v>
      </c>
      <c r="W3">
        <f t="shared" ref="W3:W30" si="5">IF(I3&lt;=2300,64/I3,IF(AND(I3&gt;2300,I3&lt;4000),(1/((LOG((6.9/I3)+((X3/P$2)/3.7)^1.11))*-1.8))^2,(0.25/(LOG((X3/P$2)/3.7+5.74/(I3^0.9)))^2)))</f>
        <v>1.2561651306319454E-2</v>
      </c>
      <c r="X3">
        <v>1E-8</v>
      </c>
      <c r="Y3">
        <v>395.45157636017899</v>
      </c>
      <c r="Z3">
        <f t="shared" ref="Z3:Z30" si="6">Y3/3600/$Q$2</f>
        <v>4.8168347583155002</v>
      </c>
      <c r="AA3" s="7">
        <f t="shared" ref="AA3:AA30" si="7">Z3*P$2/R$2</f>
        <v>631375.87908997014</v>
      </c>
      <c r="AB3" s="13">
        <f>0.25/(LOG((X3/P$2/3.7)+(5.74/(AA3^0.9))))^2</f>
        <v>1.2561651306319454E-2</v>
      </c>
      <c r="AC3">
        <f>AB3/P$2*(Z3^2)/(2)</f>
        <v>0.85520581242979921</v>
      </c>
      <c r="AE3">
        <f t="shared" ref="AE3:AE6" si="8">X3</f>
        <v>1E-8</v>
      </c>
    </row>
    <row r="4" spans="1:32" x14ac:dyDescent="0.2">
      <c r="A4" t="s">
        <v>9</v>
      </c>
      <c r="B4">
        <v>704.11057418514099</v>
      </c>
      <c r="C4">
        <f>B4/3600</f>
        <v>0.19558627060698361</v>
      </c>
      <c r="D4">
        <f>C4/$Q$2</f>
        <v>8.5764844298999634</v>
      </c>
      <c r="E4">
        <v>2.7529930142777399</v>
      </c>
      <c r="F4">
        <f t="shared" si="0"/>
        <v>0.27529930142777398</v>
      </c>
      <c r="G4" s="27">
        <f t="shared" si="1"/>
        <v>1.1371403726556355E-2</v>
      </c>
      <c r="H4">
        <f>E4/N$2</f>
        <v>2.5027209220706723</v>
      </c>
      <c r="I4">
        <f>(D4*P$2)/R$2</f>
        <v>1124179.1898884259</v>
      </c>
      <c r="J4">
        <f>3.7*P$2*((10^(-1/(2*G4^0.5)))-(2.54/(I4*G4^0.5)))*1000</f>
        <v>-4.5068217986701537E-4</v>
      </c>
      <c r="T4" s="11">
        <f t="shared" si="2"/>
        <v>1.8297269664709655E-5</v>
      </c>
      <c r="U4" s="15">
        <f t="shared" si="3"/>
        <v>1.1371403726556357E-2</v>
      </c>
      <c r="V4" s="15">
        <f t="shared" si="4"/>
        <v>30795.331278751564</v>
      </c>
      <c r="W4">
        <f t="shared" si="5"/>
        <v>1.1615423396815339E-2</v>
      </c>
      <c r="X4">
        <v>1.5E-6</v>
      </c>
      <c r="Y4">
        <v>704.11057418514099</v>
      </c>
      <c r="Z4">
        <f t="shared" si="6"/>
        <v>8.5764844298999634</v>
      </c>
      <c r="AA4" s="7">
        <f t="shared" si="7"/>
        <v>1124179.1898884259</v>
      </c>
      <c r="AB4" s="13">
        <f>0.25/(LOG((X4/P$2/3.7)+(5.74/(AA4^0.9))))^2</f>
        <v>1.1615423396815339E-2</v>
      </c>
      <c r="AC4">
        <f>AB4/P$2*(Z4^2)/(2)</f>
        <v>2.5069984528612932</v>
      </c>
      <c r="AE4">
        <f t="shared" si="8"/>
        <v>1.5E-6</v>
      </c>
    </row>
    <row r="5" spans="1:32" x14ac:dyDescent="0.2">
      <c r="A5" t="s">
        <v>9</v>
      </c>
      <c r="B5">
        <v>905.19135452713601</v>
      </c>
      <c r="C5">
        <f>B5/3600</f>
        <v>0.25144204292420447</v>
      </c>
      <c r="D5">
        <f>C5/$Q$2</f>
        <v>11.025767603570628</v>
      </c>
      <c r="E5">
        <v>4.4091275812966302</v>
      </c>
      <c r="F5">
        <f t="shared" si="0"/>
        <v>0.44091275812966302</v>
      </c>
      <c r="G5" s="27">
        <f t="shared" si="1"/>
        <v>1.1019517359890707E-2</v>
      </c>
      <c r="H5">
        <f>E5/N$2</f>
        <v>4.0082978011787542</v>
      </c>
      <c r="I5">
        <f>(D5*P$2)/R$2</f>
        <v>1445223.6920372576</v>
      </c>
      <c r="J5">
        <f>3.7*P$2*((10^(-1/(2*G5^0.5)))-(2.54/(I5*G5^0.5)))*1000</f>
        <v>3.2308762342289252E-4</v>
      </c>
      <c r="T5" s="10">
        <f t="shared" si="2"/>
        <v>7.3309317880726528E-5</v>
      </c>
      <c r="U5" s="15">
        <f t="shared" si="3"/>
        <v>1.1019517359890705E-2</v>
      </c>
      <c r="V5" s="15">
        <f t="shared" si="4"/>
        <v>36539.327143183153</v>
      </c>
      <c r="W5">
        <f t="shared" si="5"/>
        <v>1.1260783288975715E-2</v>
      </c>
      <c r="X5">
        <v>1.9E-6</v>
      </c>
      <c r="Y5">
        <v>905.19135452713601</v>
      </c>
      <c r="Z5">
        <f t="shared" si="6"/>
        <v>11.025767603570628</v>
      </c>
      <c r="AA5" s="7">
        <f t="shared" si="7"/>
        <v>1445223.6920372576</v>
      </c>
      <c r="AB5" s="13">
        <f>0.25/(LOG((X5/P$2/3.7)+(5.74/(AA5^0.9))))^2</f>
        <v>1.1260783288975715E-2</v>
      </c>
      <c r="AC5">
        <f>AB5/P$2*(Z5^2)/(2)</f>
        <v>4.0168598872493755</v>
      </c>
      <c r="AE5">
        <f t="shared" si="8"/>
        <v>1.9E-6</v>
      </c>
    </row>
    <row r="6" spans="1:32" x14ac:dyDescent="0.2">
      <c r="A6" t="s">
        <v>9</v>
      </c>
      <c r="B6">
        <v>1124.36940509991</v>
      </c>
      <c r="C6">
        <f>B6/3600</f>
        <v>0.31232483474997497</v>
      </c>
      <c r="D6">
        <f>C6/$Q$2</f>
        <v>13.695486262871642</v>
      </c>
      <c r="E6">
        <v>6.6131129047407402</v>
      </c>
      <c r="F6">
        <f t="shared" si="0"/>
        <v>0.661311290474074</v>
      </c>
      <c r="G6" s="27">
        <f t="shared" si="1"/>
        <v>1.0712198228220225E-2</v>
      </c>
      <c r="H6">
        <f>E6/N$2</f>
        <v>6.0119208224915814</v>
      </c>
      <c r="I6">
        <f>(D6*P$2)/R$2</f>
        <v>1795162.1993794828</v>
      </c>
      <c r="J6">
        <f>3.7*P$2*((10^(-1/(2*G6^0.5)))-(2.54/(I6*G6^0.5)))*1000</f>
        <v>6.8644167202202742E-4</v>
      </c>
      <c r="T6" s="10">
        <f t="shared" si="2"/>
        <v>1.9268475526119704E-5</v>
      </c>
      <c r="U6" s="15">
        <f t="shared" si="3"/>
        <v>1.0712198228220221E-2</v>
      </c>
      <c r="V6" s="15">
        <f t="shared" si="4"/>
        <v>42717.011596866272</v>
      </c>
      <c r="W6">
        <f t="shared" si="5"/>
        <v>1.0931377901515266E-2</v>
      </c>
      <c r="X6">
        <v>1.9E-6</v>
      </c>
      <c r="Y6">
        <v>1124.36940509991</v>
      </c>
      <c r="Z6">
        <f t="shared" si="6"/>
        <v>13.695486262871642</v>
      </c>
      <c r="AA6" s="7">
        <f t="shared" si="7"/>
        <v>1795162.1993794828</v>
      </c>
      <c r="AB6" s="13">
        <f>0.25/(LOG((X6/P$2/3.7)+(5.74/(AA6^0.9))))^2</f>
        <v>1.0931377901515266E-2</v>
      </c>
      <c r="AC6">
        <f>AB6/P$2*(Z6^2)/(2)</f>
        <v>6.0163104096619335</v>
      </c>
      <c r="AE6">
        <f t="shared" si="8"/>
        <v>1.9E-6</v>
      </c>
    </row>
    <row r="7" spans="1:32" x14ac:dyDescent="0.2">
      <c r="F7">
        <f t="shared" si="0"/>
        <v>0</v>
      </c>
      <c r="G7" s="3"/>
      <c r="K7">
        <f>AVERAGE(J2:J6)</f>
        <v>-3.8419388821737989E-3</v>
      </c>
      <c r="U7" s="15"/>
      <c r="V7" s="15"/>
      <c r="AA7" s="7"/>
      <c r="AB7" s="4"/>
      <c r="AD7" s="9" t="s">
        <v>71</v>
      </c>
    </row>
    <row r="8" spans="1:32" x14ac:dyDescent="0.2">
      <c r="F8">
        <f t="shared" si="0"/>
        <v>0</v>
      </c>
      <c r="G8" s="3"/>
      <c r="K8">
        <f>STDEV(J2:J6)</f>
        <v>5.687104129035528E-3</v>
      </c>
      <c r="T8">
        <f>(SUM(T2:T6)/COUNT(T2:T6))^0.5</f>
        <v>1.9562824637175621E-2</v>
      </c>
      <c r="U8" s="15"/>
      <c r="V8" s="15"/>
      <c r="AA8" s="7"/>
      <c r="AB8" s="4"/>
      <c r="AD8" t="s">
        <v>70</v>
      </c>
      <c r="AE8" s="9">
        <f>AVERAGE(AE2:AE6)</f>
        <v>1.0639999999999999E-6</v>
      </c>
      <c r="AF8">
        <f>STDEV(AE2:AE6)</f>
        <v>9.7592520205187864E-7</v>
      </c>
    </row>
    <row r="9" spans="1:32" x14ac:dyDescent="0.2">
      <c r="F9">
        <f t="shared" si="0"/>
        <v>0</v>
      </c>
      <c r="G9" s="3"/>
      <c r="P9" s="97" t="s">
        <v>10</v>
      </c>
      <c r="Q9" s="97"/>
      <c r="U9" s="15"/>
      <c r="V9" s="15"/>
      <c r="AA9" s="7"/>
      <c r="AB9" s="4"/>
    </row>
    <row r="10" spans="1:32" x14ac:dyDescent="0.2">
      <c r="A10" t="s">
        <v>11</v>
      </c>
      <c r="B10">
        <v>209.85867691863001</v>
      </c>
      <c r="C10">
        <f>B10/3600</f>
        <v>5.8294076921841673E-2</v>
      </c>
      <c r="D10">
        <f>C10/$Q$2</f>
        <v>2.5562031604978839</v>
      </c>
      <c r="E10">
        <v>1.3511873031797501</v>
      </c>
      <c r="F10">
        <f t="shared" si="0"/>
        <v>0.135118730317975</v>
      </c>
      <c r="G10" s="3">
        <f t="shared" si="1"/>
        <v>6.2827878785084168E-2</v>
      </c>
      <c r="H10">
        <f>E10/N$2</f>
        <v>1.2283520937997727</v>
      </c>
      <c r="I10">
        <f>(D10*P$2)/R$2</f>
        <v>335059.24503756873</v>
      </c>
      <c r="J10">
        <f>3.7*P$2*((10^(-1/(2*G10^0.5)))-(2.54/(I10*G10^0.5)))*1000</f>
        <v>6.3620506185438161</v>
      </c>
      <c r="K10">
        <f>J10</f>
        <v>6.3620506185438161</v>
      </c>
      <c r="T10">
        <f>(H10-AC10)^2</f>
        <v>2.7227658094007121E-3</v>
      </c>
      <c r="U10" s="15">
        <f t="shared" si="3"/>
        <v>6.282787878508414E-2</v>
      </c>
      <c r="V10" s="15">
        <f t="shared" si="4"/>
        <v>62.293902135338506</v>
      </c>
      <c r="W10">
        <f t="shared" si="5"/>
        <v>6.1345071176350428E-2</v>
      </c>
      <c r="X10">
        <v>6.0000000000000001E-3</v>
      </c>
      <c r="Y10">
        <v>209.85867691863001</v>
      </c>
      <c r="Z10">
        <f t="shared" si="6"/>
        <v>2.5562031604978839</v>
      </c>
      <c r="AA10" s="7">
        <f t="shared" si="7"/>
        <v>335059.24503756873</v>
      </c>
      <c r="AB10" s="13">
        <f>0.25/(LOG((X10/P$2/3.7)+(5.74/(AA10^0.9))))^2</f>
        <v>6.1345071176350428E-2</v>
      </c>
      <c r="AC10">
        <f>AB10/P$2*(Z10^2)/(2)</f>
        <v>1.1761719653081648</v>
      </c>
      <c r="AE10">
        <f>X10</f>
        <v>6.0000000000000001E-3</v>
      </c>
    </row>
    <row r="11" spans="1:32" x14ac:dyDescent="0.2">
      <c r="A11" t="s">
        <v>11</v>
      </c>
      <c r="B11">
        <v>401.48399977043903</v>
      </c>
      <c r="C11">
        <f>B11/3600</f>
        <v>0.1115233332695664</v>
      </c>
      <c r="D11">
        <f>C11/$Q$2</f>
        <v>4.8903132535256226</v>
      </c>
      <c r="E11">
        <v>2.6174467261195402</v>
      </c>
      <c r="F11">
        <f t="shared" si="0"/>
        <v>0.261744672611954</v>
      </c>
      <c r="G11" s="3">
        <f t="shared" si="1"/>
        <v>3.3253094711721123E-2</v>
      </c>
      <c r="H11">
        <f>E11/N$2</f>
        <v>2.3794970237450364</v>
      </c>
      <c r="I11">
        <f>(D11*P$2)/R$2</f>
        <v>641007.21415443532</v>
      </c>
      <c r="J11">
        <f>3.7*P$2*((10^(-1/(2*G11^0.5)))-(2.54/(I11*G11^0.5)))*1000</f>
        <v>1.1285373588793213</v>
      </c>
      <c r="P11" s="97" t="s">
        <v>12</v>
      </c>
      <c r="Q11" s="97"/>
      <c r="T11" s="12">
        <f t="shared" ref="T11:T14" si="9">(H11-AC11)^2</f>
        <v>1.7070489841540064E-3</v>
      </c>
      <c r="U11" s="15">
        <f t="shared" si="3"/>
        <v>3.3253094711721123E-2</v>
      </c>
      <c r="V11" s="15">
        <f t="shared" si="4"/>
        <v>348.00555439917673</v>
      </c>
      <c r="W11">
        <f t="shared" si="5"/>
        <v>3.3319945001187984E-2</v>
      </c>
      <c r="X11">
        <v>1.1280000000000001E-3</v>
      </c>
      <c r="Y11">
        <v>401.48399977043903</v>
      </c>
      <c r="Z11">
        <f t="shared" si="6"/>
        <v>4.8903132535256226</v>
      </c>
      <c r="AA11" s="7">
        <f t="shared" si="7"/>
        <v>641007.21415443532</v>
      </c>
      <c r="AB11" s="13">
        <f>0.25/(LOG((X11/P$2/3.7)+(5.74/(AA11^0.9))))^2</f>
        <v>3.3319945001187984E-2</v>
      </c>
      <c r="AC11">
        <f>AB11/P$2*(Z11^2)/(2)</f>
        <v>2.3381805744281601</v>
      </c>
      <c r="AE11">
        <f t="shared" ref="AE11:AE14" si="10">X11</f>
        <v>1.1280000000000001E-3</v>
      </c>
    </row>
    <row r="12" spans="1:32" x14ac:dyDescent="0.2">
      <c r="A12" t="s">
        <v>11</v>
      </c>
      <c r="B12">
        <v>696.06734297146204</v>
      </c>
      <c r="C12">
        <f>B12/3600</f>
        <v>0.19335203971429502</v>
      </c>
      <c r="D12">
        <f>C12/$Q$2</f>
        <v>8.4785131029531478</v>
      </c>
      <c r="E12">
        <v>5.6000842877922103</v>
      </c>
      <c r="F12">
        <f t="shared" si="0"/>
        <v>0.56000842877922108</v>
      </c>
      <c r="G12" s="3">
        <f t="shared" si="1"/>
        <v>2.3669154736580163E-2</v>
      </c>
      <c r="H12">
        <f>E12/N$2</f>
        <v>5.0909857161747363</v>
      </c>
      <c r="I12">
        <f>(D12*P$2)/R$2</f>
        <v>1111337.4098024741</v>
      </c>
      <c r="J12">
        <f>3.7*P$2*((10^(-1/(2*G12^0.5)))-(2.54/(I12*G12^0.5)))*1000</f>
        <v>0.34520757025085186</v>
      </c>
      <c r="T12">
        <f t="shared" si="9"/>
        <v>7.1318655000602721E-3</v>
      </c>
      <c r="U12" s="15">
        <f t="shared" si="3"/>
        <v>2.3669154736580156E-2</v>
      </c>
      <c r="V12" s="15">
        <f t="shared" si="4"/>
        <v>1121.0781937221607</v>
      </c>
      <c r="W12">
        <f t="shared" si="5"/>
        <v>2.3735450612219915E-2</v>
      </c>
      <c r="X12">
        <v>3.4519999999999999E-4</v>
      </c>
      <c r="Y12">
        <v>696.06734297146204</v>
      </c>
      <c r="Z12">
        <f t="shared" si="6"/>
        <v>8.4785131029531478</v>
      </c>
      <c r="AA12" s="7">
        <f t="shared" si="7"/>
        <v>1111337.4098024741</v>
      </c>
      <c r="AB12" s="13">
        <f>0.25/(LOG((X12/P$2/3.7)+(5.74/(AA12^0.9))))^2</f>
        <v>2.3735450612219915E-2</v>
      </c>
      <c r="AC12">
        <f>AB12/P$2*(Z12^2)/(2)</f>
        <v>5.006535343173427</v>
      </c>
      <c r="AE12">
        <f t="shared" si="10"/>
        <v>3.4519999999999999E-4</v>
      </c>
    </row>
    <row r="13" spans="1:32" x14ac:dyDescent="0.2">
      <c r="A13" t="s">
        <v>11</v>
      </c>
      <c r="B13">
        <v>1008.74795640326</v>
      </c>
      <c r="C13">
        <f>B13/3600</f>
        <v>0.28020776566757222</v>
      </c>
      <c r="D13">
        <f>C13/$Q$2</f>
        <v>12.287148438010977</v>
      </c>
      <c r="E13">
        <v>12.5230888114975</v>
      </c>
      <c r="F13">
        <f t="shared" si="0"/>
        <v>1.25230888114975</v>
      </c>
      <c r="G13" s="3">
        <f t="shared" si="1"/>
        <v>2.5202105614057953E-2</v>
      </c>
      <c r="H13">
        <f>E13/N$2</f>
        <v>11.384626192270453</v>
      </c>
      <c r="I13">
        <f>(D13*P$2)/R$2</f>
        <v>1610561.6106439002</v>
      </c>
      <c r="J13">
        <f>3.7*P$2*((10^(-1/(2*G13^0.5)))-(2.54/(I13*G13^0.5)))*1000</f>
        <v>0.44052199219326077</v>
      </c>
      <c r="T13">
        <f t="shared" si="9"/>
        <v>3.9476372674313635E-2</v>
      </c>
      <c r="U13" s="15">
        <f t="shared" si="3"/>
        <v>2.5202105614057953E-2</v>
      </c>
      <c r="V13" s="15">
        <f t="shared" si="4"/>
        <v>889.7001655871228</v>
      </c>
      <c r="W13">
        <f t="shared" si="5"/>
        <v>2.5250492030715582E-2</v>
      </c>
      <c r="X13">
        <v>4.4052000000000002E-4</v>
      </c>
      <c r="Y13">
        <v>1008.74795640326</v>
      </c>
      <c r="Z13">
        <f t="shared" si="6"/>
        <v>12.287148438010977</v>
      </c>
      <c r="AA13" s="7">
        <f t="shared" si="7"/>
        <v>1610561.6106439002</v>
      </c>
      <c r="AB13" s="13">
        <f>0.25/(LOG((X13/P$2/3.7)+(5.74/(AA13^0.9))))^2</f>
        <v>2.5250492030715582E-2</v>
      </c>
      <c r="AC13">
        <f>AB13/P$2*(Z13^2)/(2)</f>
        <v>11.185939573007067</v>
      </c>
      <c r="AE13">
        <f t="shared" si="10"/>
        <v>4.4052000000000002E-4</v>
      </c>
    </row>
    <row r="14" spans="1:32" x14ac:dyDescent="0.2">
      <c r="A14" t="s">
        <v>11</v>
      </c>
      <c r="B14">
        <v>1381.75280393767</v>
      </c>
      <c r="C14">
        <f>B14/3600</f>
        <v>0.38382022331601945</v>
      </c>
      <c r="D14">
        <f>C14/$Q$2</f>
        <v>16.830568725170171</v>
      </c>
      <c r="E14">
        <v>22.885503244939201</v>
      </c>
      <c r="F14">
        <f t="shared" si="0"/>
        <v>2.28855032449392</v>
      </c>
      <c r="G14" s="3">
        <f t="shared" si="1"/>
        <v>2.454654996018666E-2</v>
      </c>
      <c r="H14">
        <f>E14/N$2</f>
        <v>20.805002949944726</v>
      </c>
      <c r="I14">
        <f>(D14*P$2)/R$2</f>
        <v>2206099.1621299977</v>
      </c>
      <c r="J14">
        <f>3.7*P$2*((10^(-1/(2*G14^0.5)))-(2.54/(I14*G14^0.5)))*1000</f>
        <v>0.40117310514006593</v>
      </c>
      <c r="T14">
        <f t="shared" si="9"/>
        <v>0.13619325297759163</v>
      </c>
      <c r="U14" s="15">
        <f t="shared" si="3"/>
        <v>2.4546549960186664E-2</v>
      </c>
      <c r="V14" s="15">
        <f t="shared" si="4"/>
        <v>979.54364824838399</v>
      </c>
      <c r="W14">
        <f t="shared" si="5"/>
        <v>2.4586518208485449E-2</v>
      </c>
      <c r="X14">
        <v>4.0117000000000001E-4</v>
      </c>
      <c r="Y14">
        <v>1381.75280393767</v>
      </c>
      <c r="Z14">
        <f t="shared" si="6"/>
        <v>16.830568725170171</v>
      </c>
      <c r="AA14" s="7">
        <f t="shared" si="7"/>
        <v>2206099.1621299977</v>
      </c>
      <c r="AB14" s="13">
        <f>0.25/(LOG((X14/P$2/3.7)+(5.74/(AA14^0.9))))^2</f>
        <v>2.4586518208485449E-2</v>
      </c>
      <c r="AC14">
        <f>AB14/P$2*(Z14^2)/(2)</f>
        <v>20.435959249310788</v>
      </c>
      <c r="AE14">
        <f t="shared" si="10"/>
        <v>4.0117000000000001E-4</v>
      </c>
    </row>
    <row r="15" spans="1:32" x14ac:dyDescent="0.2">
      <c r="F15">
        <f t="shared" si="0"/>
        <v>0</v>
      </c>
      <c r="G15" s="3"/>
      <c r="K15">
        <f>AVERAGE(J10:J14)</f>
        <v>1.7354981290014631</v>
      </c>
      <c r="U15" s="15"/>
      <c r="V15" s="15"/>
      <c r="AA15" s="7"/>
      <c r="AB15" s="4"/>
    </row>
    <row r="16" spans="1:32" x14ac:dyDescent="0.2">
      <c r="F16">
        <f t="shared" si="0"/>
        <v>0</v>
      </c>
      <c r="G16" s="3"/>
      <c r="K16">
        <f>STDEV(J10:J14)</f>
        <v>2.6059395434715245</v>
      </c>
      <c r="T16">
        <f>(SUM(T10:T14)/COUNT(T10:T14))^0.5</f>
        <v>0.19351036455214499</v>
      </c>
      <c r="U16" s="15"/>
      <c r="V16" s="15"/>
      <c r="AA16" s="7"/>
      <c r="AB16" s="4"/>
      <c r="AD16" t="s">
        <v>70</v>
      </c>
      <c r="AE16" s="9">
        <f>AVERAGE(AE10:AE14)</f>
        <v>1.6629780000000001E-3</v>
      </c>
      <c r="AF16">
        <f>STDEV(AE10:AE14)</f>
        <v>2.4453559626810982E-3</v>
      </c>
    </row>
    <row r="17" spans="1:32" x14ac:dyDescent="0.2">
      <c r="F17">
        <f t="shared" si="0"/>
        <v>0</v>
      </c>
      <c r="G17" s="3"/>
      <c r="U17" s="15"/>
      <c r="V17" s="15"/>
      <c r="AA17" s="7"/>
      <c r="AB17" s="4"/>
    </row>
    <row r="18" spans="1:32" x14ac:dyDescent="0.2">
      <c r="A18" t="s">
        <v>13</v>
      </c>
      <c r="B18">
        <v>207.86078178672099</v>
      </c>
      <c r="C18">
        <f>B18/3600</f>
        <v>5.773910605186694E-2</v>
      </c>
      <c r="D18">
        <f>C18/$Q$2</f>
        <v>2.5318676127592057</v>
      </c>
      <c r="E18">
        <v>2.3162958720581499</v>
      </c>
      <c r="F18">
        <f t="shared" si="0"/>
        <v>0.231629587205815</v>
      </c>
      <c r="G18" s="3">
        <f t="shared" si="1"/>
        <v>0.10978414474931389</v>
      </c>
      <c r="H18">
        <f>E18/N$2</f>
        <v>2.1057235200528632</v>
      </c>
      <c r="I18">
        <f>(D18*P$2)/R$2</f>
        <v>331869.41631859122</v>
      </c>
      <c r="J18">
        <f>3.7*P$2*((10^(-1/(2*G18^0.5)))-(2.54/(I18*G18^0.5)))*1000</f>
        <v>19.512334367158797</v>
      </c>
      <c r="K18">
        <f>J18</f>
        <v>19.512334367158797</v>
      </c>
      <c r="T18">
        <f>(H18-AC18)^2</f>
        <v>1.5409215781548708E-3</v>
      </c>
      <c r="U18" s="15">
        <f t="shared" si="3"/>
        <v>0.10978414474931385</v>
      </c>
      <c r="V18" s="15">
        <f t="shared" si="4"/>
        <v>20.35675468787775</v>
      </c>
      <c r="W18">
        <f t="shared" si="5"/>
        <v>0.10986174239816897</v>
      </c>
      <c r="X18">
        <v>1.9512000000000002E-2</v>
      </c>
      <c r="Y18">
        <v>207.86078178672099</v>
      </c>
      <c r="Z18">
        <f t="shared" si="6"/>
        <v>2.5318676127592057</v>
      </c>
      <c r="AA18" s="7">
        <f t="shared" si="7"/>
        <v>331869.41631859122</v>
      </c>
      <c r="AB18" s="13">
        <f>0.25/(LOG((X18/P$2/3.7)+(5.74/(AA18^0.9))))^2</f>
        <v>0.10986174239816897</v>
      </c>
      <c r="AC18">
        <f>AB18/P$2*(Z18^2)/(2)</f>
        <v>2.0664689460753651</v>
      </c>
      <c r="AE18">
        <f>X18</f>
        <v>1.9512000000000002E-2</v>
      </c>
    </row>
    <row r="19" spans="1:32" x14ac:dyDescent="0.2">
      <c r="A19" t="s">
        <v>13</v>
      </c>
      <c r="B19">
        <v>400.47859586872897</v>
      </c>
      <c r="C19">
        <f>B19/3600</f>
        <v>0.11124405440798027</v>
      </c>
      <c r="D19">
        <f>C19/$Q$2</f>
        <v>4.8780668376572685</v>
      </c>
      <c r="E19">
        <v>5.7748816117778201</v>
      </c>
      <c r="F19">
        <f t="shared" si="0"/>
        <v>0.57748816117778201</v>
      </c>
      <c r="G19" s="3">
        <f t="shared" si="1"/>
        <v>7.3735251981898189E-2</v>
      </c>
      <c r="H19">
        <f>E19/N$2</f>
        <v>5.2498923743434727</v>
      </c>
      <c r="I19">
        <f>(D19*P$2)/R$2</f>
        <v>639401.99164369109</v>
      </c>
      <c r="J19">
        <f>3.7*P$2*((10^(-1/(2*G19^0.5)))-(2.54/(I19*G19^0.5)))*1000</f>
        <v>9.0760491115794117</v>
      </c>
      <c r="T19">
        <f t="shared" ref="T19:T22" si="11">(H19-AC19)^2</f>
        <v>9.6483944111351531E-3</v>
      </c>
      <c r="U19" s="15">
        <f t="shared" si="3"/>
        <v>7.3735251981898162E-2</v>
      </c>
      <c r="V19" s="15">
        <f t="shared" si="4"/>
        <v>43.752659249985946</v>
      </c>
      <c r="W19">
        <f t="shared" si="5"/>
        <v>7.3782234319082179E-2</v>
      </c>
      <c r="X19">
        <v>9.0760000000000007E-3</v>
      </c>
      <c r="Y19">
        <v>400.47859586872897</v>
      </c>
      <c r="Z19">
        <f t="shared" si="6"/>
        <v>4.8780668376572685</v>
      </c>
      <c r="AA19" s="7">
        <f t="shared" si="7"/>
        <v>639401.99164369109</v>
      </c>
      <c r="AB19" s="13">
        <f>0.25/(LOG((X19/P$2/3.7)+(5.74/(AA19^0.9))))^2</f>
        <v>7.3782234319082179E-2</v>
      </c>
      <c r="AC19">
        <f>AB19/P$2*(Z19^2)/(2)</f>
        <v>5.1516661333936371</v>
      </c>
      <c r="AE19">
        <f t="shared" ref="AE19:AE22" si="12">X19</f>
        <v>9.0760000000000007E-3</v>
      </c>
    </row>
    <row r="20" spans="1:32" x14ac:dyDescent="0.2">
      <c r="A20" t="s">
        <v>13</v>
      </c>
      <c r="B20">
        <v>699.08355467659101</v>
      </c>
      <c r="C20">
        <f>B20/3600</f>
        <v>0.19418987629905304</v>
      </c>
      <c r="D20">
        <f>C20/$Q$2</f>
        <v>8.5152523505581961</v>
      </c>
      <c r="E20">
        <v>17.435624980457401</v>
      </c>
      <c r="F20">
        <f t="shared" si="0"/>
        <v>1.74356249804574</v>
      </c>
      <c r="G20" s="3">
        <f t="shared" si="1"/>
        <v>7.3058382046611137E-2</v>
      </c>
      <c r="H20">
        <f>E20/N$2</f>
        <v>15.850568164052182</v>
      </c>
      <c r="I20">
        <f>(D20*P$2)/R$2</f>
        <v>1116153.077334705</v>
      </c>
      <c r="J20">
        <f>3.7*P$2*((10^(-1/(2*G20^0.5)))-(2.54/(I20*G20^0.5)))*1000</f>
        <v>8.9036690863900976</v>
      </c>
      <c r="T20">
        <f t="shared" si="11"/>
        <v>9.0081606286235641E-2</v>
      </c>
      <c r="U20" s="15">
        <f t="shared" si="3"/>
        <v>7.3058382046611123E-2</v>
      </c>
      <c r="V20" s="15">
        <f t="shared" si="4"/>
        <v>44.618467632924023</v>
      </c>
      <c r="W20">
        <f t="shared" si="5"/>
        <v>7.3088155856957771E-2</v>
      </c>
      <c r="X20">
        <v>8.9036600000000007E-3</v>
      </c>
      <c r="Y20">
        <v>699.08355467659101</v>
      </c>
      <c r="Z20">
        <f t="shared" si="6"/>
        <v>8.5152523505581961</v>
      </c>
      <c r="AA20" s="7">
        <f t="shared" si="7"/>
        <v>1116153.077334705</v>
      </c>
      <c r="AB20" s="13">
        <f>0.25/(LOG((X20/P$2/3.7)+(5.74/(AA20^0.9))))^2</f>
        <v>7.3088155856957771E-2</v>
      </c>
      <c r="AC20">
        <f>AB20/P$2*(Z20^2)/(2)</f>
        <v>15.550432184392569</v>
      </c>
      <c r="AE20">
        <f t="shared" si="12"/>
        <v>8.9036600000000007E-3</v>
      </c>
    </row>
    <row r="21" spans="1:32" x14ac:dyDescent="0.2">
      <c r="A21" t="s">
        <v>13</v>
      </c>
      <c r="B21">
        <v>1004.72634079642</v>
      </c>
      <c r="C21">
        <f>B21/3600</f>
        <v>0.27909065022122775</v>
      </c>
      <c r="D21">
        <f>C21/$Q$2</f>
        <v>12.23816277453756</v>
      </c>
      <c r="E21">
        <v>35.689738115152203</v>
      </c>
      <c r="F21">
        <f t="shared" si="0"/>
        <v>3.5689738115152201</v>
      </c>
      <c r="G21" s="3">
        <f t="shared" si="1"/>
        <v>7.2399986827353574E-2</v>
      </c>
      <c r="H21">
        <f>E21/N$2</f>
        <v>32.445216468320183</v>
      </c>
      <c r="I21">
        <f>(D21*P$2)/R$2</f>
        <v>1604140.7206009233</v>
      </c>
      <c r="J21">
        <f>3.7*P$2*((10^(-1/(2*G21^0.5)))-(2.54/(I21*G21^0.5)))*1000</f>
        <v>8.7347674848651966</v>
      </c>
      <c r="T21">
        <f t="shared" si="11"/>
        <v>0.38146793055246003</v>
      </c>
      <c r="U21" s="15">
        <f t="shared" si="3"/>
        <v>7.2399986827353574E-2</v>
      </c>
      <c r="V21" s="15">
        <f t="shared" si="4"/>
        <v>45.489038709855009</v>
      </c>
      <c r="W21">
        <f t="shared" si="5"/>
        <v>7.2422052674380302E-2</v>
      </c>
      <c r="X21">
        <v>8.7347599999999994E-3</v>
      </c>
      <c r="Y21">
        <v>1004.72634079642</v>
      </c>
      <c r="Z21">
        <f t="shared" si="6"/>
        <v>12.23816277453756</v>
      </c>
      <c r="AA21" s="7">
        <f t="shared" si="7"/>
        <v>1604140.7206009233</v>
      </c>
      <c r="AB21" s="13">
        <f>0.25/(LOG((X21/P$2/3.7)+(5.74/(AA21^0.9))))^2</f>
        <v>7.2422052674380302E-2</v>
      </c>
      <c r="AC21">
        <f>AB21/P$2*(Z21^2)/(2)</f>
        <v>31.827585566767759</v>
      </c>
      <c r="AE21">
        <f t="shared" si="12"/>
        <v>8.7347599999999994E-3</v>
      </c>
    </row>
    <row r="22" spans="1:32" x14ac:dyDescent="0.2">
      <c r="A22" t="s">
        <v>13</v>
      </c>
      <c r="B22">
        <v>1358.6285141983401</v>
      </c>
      <c r="C22">
        <f>B22/3600</f>
        <v>0.37739680949953891</v>
      </c>
      <c r="D22">
        <f>C22/$Q$2</f>
        <v>16.548901160198035</v>
      </c>
      <c r="E22">
        <v>64.073361776830794</v>
      </c>
      <c r="F22">
        <f t="shared" si="0"/>
        <v>6.4073361776830797</v>
      </c>
      <c r="G22" s="3">
        <f t="shared" si="1"/>
        <v>7.1083166085208496E-2</v>
      </c>
      <c r="H22">
        <f>E22/N$2</f>
        <v>58.248510706209807</v>
      </c>
      <c r="I22">
        <f>(D22*P$2)/R$2</f>
        <v>2169179.0443828809</v>
      </c>
      <c r="J22">
        <f>3.7*P$2*((10^(-1/(2*G22^0.5)))-(2.54/(I22*G22^0.5)))*1000</f>
        <v>8.3976855979456264</v>
      </c>
      <c r="T22">
        <f t="shared" si="11"/>
        <v>1.2373374496291734</v>
      </c>
      <c r="U22" s="15">
        <f t="shared" si="3"/>
        <v>7.1083166085208482E-2</v>
      </c>
      <c r="V22" s="15">
        <f t="shared" si="4"/>
        <v>47.319459260817105</v>
      </c>
      <c r="W22">
        <f t="shared" si="5"/>
        <v>7.1100436223118221E-2</v>
      </c>
      <c r="X22">
        <v>8.3976850000000002E-3</v>
      </c>
      <c r="Y22">
        <v>1358.6285141983401</v>
      </c>
      <c r="Z22">
        <f t="shared" si="6"/>
        <v>16.548901160198035</v>
      </c>
      <c r="AA22" s="7">
        <f t="shared" si="7"/>
        <v>2169179.0443828809</v>
      </c>
      <c r="AB22" s="13">
        <f>0.25/(LOG((X22/P$2/3.7)+(5.74/(AA22^0.9))))^2</f>
        <v>7.1100436223118221E-2</v>
      </c>
      <c r="AC22">
        <f>AB22/P$2*(Z22^2)/(2)</f>
        <v>57.136153996503261</v>
      </c>
      <c r="AE22">
        <f t="shared" si="12"/>
        <v>8.3976850000000002E-3</v>
      </c>
    </row>
    <row r="23" spans="1:32" x14ac:dyDescent="0.2">
      <c r="F23">
        <f t="shared" si="0"/>
        <v>0</v>
      </c>
      <c r="G23" s="3"/>
      <c r="K23">
        <f>AVERAGE(J18:J22)</f>
        <v>10.924901129587825</v>
      </c>
      <c r="U23" s="15"/>
      <c r="V23" s="15"/>
      <c r="AA23" s="7"/>
      <c r="AB23" s="4"/>
    </row>
    <row r="24" spans="1:32" x14ac:dyDescent="0.2">
      <c r="F24">
        <f t="shared" si="0"/>
        <v>0</v>
      </c>
      <c r="G24" s="3"/>
      <c r="K24">
        <f>STDEV(J18:J22)</f>
        <v>4.8070559101127959</v>
      </c>
      <c r="T24">
        <f>(SUM(T18:T22)/COUNT(T18:T22))^0.5</f>
        <v>0.58652814126129693</v>
      </c>
      <c r="U24" s="15"/>
      <c r="V24" s="15"/>
      <c r="AA24" s="7"/>
      <c r="AB24" s="4"/>
      <c r="AD24" t="s">
        <v>70</v>
      </c>
      <c r="AE24" s="9">
        <f>AVERAGE(AE18:AE22)</f>
        <v>1.0924821000000001E-2</v>
      </c>
      <c r="AF24">
        <f>STDEV(AE18:AE22)</f>
        <v>4.8069131883730753E-3</v>
      </c>
    </row>
    <row r="25" spans="1:32" x14ac:dyDescent="0.2">
      <c r="F25">
        <f t="shared" si="0"/>
        <v>0</v>
      </c>
      <c r="G25" s="3"/>
      <c r="U25" s="15"/>
      <c r="V25" s="15"/>
      <c r="AA25" s="7"/>
      <c r="AB25" s="4"/>
    </row>
    <row r="26" spans="1:32" x14ac:dyDescent="0.2">
      <c r="A26" t="s">
        <v>14</v>
      </c>
      <c r="B26">
        <v>149.92182296137901</v>
      </c>
      <c r="C26">
        <f>B26/3600</f>
        <v>4.1644950822605283E-2</v>
      </c>
      <c r="D26">
        <f>C26/$Q$2</f>
        <v>1.8261367283377756</v>
      </c>
      <c r="E26">
        <v>1.97300930206405</v>
      </c>
      <c r="F26">
        <f t="shared" si="0"/>
        <v>0.19730093020640499</v>
      </c>
      <c r="G26" s="3">
        <f t="shared" si="1"/>
        <v>0.17975878608739629</v>
      </c>
      <c r="H26">
        <f>E26/N$2</f>
        <v>1.7936448200582271</v>
      </c>
      <c r="I26">
        <f>(D26*P$2)/R$2</f>
        <v>239364.38346827458</v>
      </c>
      <c r="J26">
        <f>3.7*P$2*((10^(-1/(2*G26^0.5)))-(2.54/(I26*G26^0.5)))*1000</f>
        <v>41.706647853917083</v>
      </c>
      <c r="K26">
        <f>J26</f>
        <v>41.706647853917083</v>
      </c>
      <c r="T26">
        <f>(H26-AC26)^2</f>
        <v>1.1257076758997941E-3</v>
      </c>
      <c r="U26" s="15">
        <f t="shared" si="3"/>
        <v>0.17975878608739621</v>
      </c>
      <c r="V26" s="15">
        <f t="shared" si="4"/>
        <v>9.5273184331391718</v>
      </c>
      <c r="W26">
        <f t="shared" si="5"/>
        <v>0.17987411967533459</v>
      </c>
      <c r="X26">
        <v>4.1706600000000003E-2</v>
      </c>
      <c r="Y26">
        <v>149.92182296137901</v>
      </c>
      <c r="Z26">
        <f t="shared" si="6"/>
        <v>1.8261367283377756</v>
      </c>
      <c r="AA26" s="7">
        <f t="shared" si="7"/>
        <v>239364.38346827458</v>
      </c>
      <c r="AB26" s="13">
        <f>0.25/(LOG((X26/P$2/3.7)+(5.74/(AA26^0.9))))^2</f>
        <v>0.17987411967533459</v>
      </c>
      <c r="AC26">
        <f>AB26/P$2*(Z26^2)/(2)</f>
        <v>1.7600932526447695</v>
      </c>
      <c r="AE26">
        <f>X26</f>
        <v>4.1706600000000003E-2</v>
      </c>
    </row>
    <row r="27" spans="1:32" x14ac:dyDescent="0.2">
      <c r="A27" t="s">
        <v>14</v>
      </c>
      <c r="B27">
        <v>397.46238416359898</v>
      </c>
      <c r="C27">
        <f>B27/3600</f>
        <v>0.11040621782322194</v>
      </c>
      <c r="D27">
        <f>C27/$Q$2</f>
        <v>4.8413275900522068</v>
      </c>
      <c r="E27">
        <v>9.5098912792916703</v>
      </c>
      <c r="F27">
        <f t="shared" si="0"/>
        <v>0.95098912792916701</v>
      </c>
      <c r="G27" s="3">
        <f t="shared" si="1"/>
        <v>0.12327476628358275</v>
      </c>
      <c r="H27">
        <f>E27/N$2</f>
        <v>8.6453557084469725</v>
      </c>
      <c r="I27">
        <f>(D27*P$2)/R$2</f>
        <v>634586.3241114585</v>
      </c>
      <c r="J27">
        <f>3.7*P$2*((10^(-1/(2*G27^0.5)))-(2.54/(I27*G27^0.5)))*1000</f>
        <v>23.739123812149234</v>
      </c>
      <c r="T27">
        <f t="shared" ref="T27:T30" si="13">(H27-AC27)^2</f>
        <v>2.6904515189400798E-2</v>
      </c>
      <c r="U27" s="15">
        <f t="shared" si="3"/>
        <v>0.12327476628358271</v>
      </c>
      <c r="V27" s="15">
        <f t="shared" si="4"/>
        <v>16.739632113560891</v>
      </c>
      <c r="W27">
        <f t="shared" si="5"/>
        <v>0.12332030612668138</v>
      </c>
      <c r="X27">
        <v>2.3739E-2</v>
      </c>
      <c r="Y27">
        <v>397.46238416359898</v>
      </c>
      <c r="Z27">
        <f t="shared" si="6"/>
        <v>4.8413275900522068</v>
      </c>
      <c r="AA27" s="7">
        <f t="shared" si="7"/>
        <v>634586.3241114585</v>
      </c>
      <c r="AB27" s="13">
        <f>0.25/(LOG((X27/P$2/3.7)+(5.74/(AA27^0.9))))^2</f>
        <v>0.12332030612668138</v>
      </c>
      <c r="AC27">
        <f>AB27/P$2*(Z27^2)/(2)</f>
        <v>8.4813297495581406</v>
      </c>
      <c r="AE27">
        <f t="shared" ref="AE27:AE30" si="14">X27</f>
        <v>2.3739E-2</v>
      </c>
    </row>
    <row r="28" spans="1:32" x14ac:dyDescent="0.2">
      <c r="A28" t="s">
        <v>14</v>
      </c>
      <c r="B28">
        <v>701.094362480011</v>
      </c>
      <c r="C28">
        <f>B28/3600</f>
        <v>0.19474843402222528</v>
      </c>
      <c r="D28">
        <f>C28/$Q$2</f>
        <v>8.5397451822949026</v>
      </c>
      <c r="E28">
        <v>29.228697123827999</v>
      </c>
      <c r="F28">
        <f t="shared" si="0"/>
        <v>2.9228697123827998</v>
      </c>
      <c r="G28" s="3">
        <f t="shared" si="1"/>
        <v>0.12177193567880372</v>
      </c>
      <c r="H28">
        <f>E28/N$2</f>
        <v>26.571542839843634</v>
      </c>
      <c r="I28">
        <f>(D28*P$2)/R$2</f>
        <v>1119363.5223561933</v>
      </c>
      <c r="J28">
        <f>3.7*P$2*((10^(-1/(2*G28^0.5)))-(2.54/(I28*G28^0.5)))*1000</f>
        <v>23.268001339306391</v>
      </c>
      <c r="T28">
        <f t="shared" si="13"/>
        <v>0.25776855781071228</v>
      </c>
      <c r="U28" s="15">
        <f t="shared" si="3"/>
        <v>0.12177193567880369</v>
      </c>
      <c r="V28" s="15">
        <f t="shared" si="4"/>
        <v>17.080740818156965</v>
      </c>
      <c r="W28">
        <f t="shared" si="5"/>
        <v>0.12180021596666764</v>
      </c>
      <c r="X28">
        <v>2.3268E-2</v>
      </c>
      <c r="Y28">
        <v>701.094362480011</v>
      </c>
      <c r="Z28">
        <f t="shared" si="6"/>
        <v>8.5397451822949026</v>
      </c>
      <c r="AA28" s="7">
        <f t="shared" si="7"/>
        <v>1119363.5223561933</v>
      </c>
      <c r="AB28" s="13">
        <f>0.25/(LOG((X28/P$2/3.7)+(5.74/(AA28^0.9))))^2</f>
        <v>0.12180021596666764</v>
      </c>
      <c r="AC28">
        <f>AB28/P$2*(Z28^2)/(2)</f>
        <v>26.063833712674629</v>
      </c>
      <c r="AE28">
        <f t="shared" si="14"/>
        <v>2.3268E-2</v>
      </c>
    </row>
    <row r="29" spans="1:32" x14ac:dyDescent="0.2">
      <c r="A29" t="s">
        <v>14</v>
      </c>
      <c r="B29">
        <v>1002.715532993</v>
      </c>
      <c r="C29">
        <f>B29/3600</f>
        <v>0.27853209249805555</v>
      </c>
      <c r="D29">
        <f>C29/$Q$2</f>
        <v>12.213669942800854</v>
      </c>
      <c r="E29">
        <v>58.282965568888201</v>
      </c>
      <c r="F29">
        <f t="shared" si="0"/>
        <v>5.8282965568888203</v>
      </c>
      <c r="G29" s="3">
        <f t="shared" si="1"/>
        <v>0.1187071446785766</v>
      </c>
      <c r="H29">
        <f>E29/N$2</f>
        <v>52.984514153534725</v>
      </c>
      <c r="I29">
        <f>(D29*P$2)/R$2</f>
        <v>1600930.2755794351</v>
      </c>
      <c r="J29">
        <f>3.7*P$2*((10^(-1/(2*G29^0.5)))-(2.54/(I29*G29^0.5)))*1000</f>
        <v>22.304906255453194</v>
      </c>
      <c r="T29">
        <f t="shared" si="13"/>
        <v>1.030958827761943</v>
      </c>
      <c r="U29" s="15">
        <f t="shared" si="3"/>
        <v>0.11870714467857654</v>
      </c>
      <c r="V29" s="15">
        <f t="shared" si="4"/>
        <v>17.819087916847636</v>
      </c>
      <c r="W29">
        <f t="shared" si="5"/>
        <v>0.11872792104188803</v>
      </c>
      <c r="X29">
        <v>2.2304899999999999E-2</v>
      </c>
      <c r="Y29">
        <v>1002.715532993</v>
      </c>
      <c r="Z29">
        <f t="shared" si="6"/>
        <v>12.213669942800854</v>
      </c>
      <c r="AA29" s="7">
        <f t="shared" si="7"/>
        <v>1600930.2755794351</v>
      </c>
      <c r="AB29" s="13">
        <f>0.25/(LOG((X29/P$2/3.7)+(5.74/(AA29^0.9))))^2</f>
        <v>0.11872792104188803</v>
      </c>
      <c r="AC29">
        <f>AB29/P$2*(Z29^2)/(2)</f>
        <v>51.969152726375931</v>
      </c>
      <c r="AE29">
        <f t="shared" si="14"/>
        <v>2.2304899999999999E-2</v>
      </c>
    </row>
    <row r="30" spans="1:32" x14ac:dyDescent="0.2">
      <c r="A30" t="s">
        <v>14</v>
      </c>
      <c r="B30">
        <v>1244.0124694034</v>
      </c>
      <c r="C30">
        <f>B30/3600</f>
        <v>0.34555901927872223</v>
      </c>
      <c r="D30">
        <f>C30/$Q$2</f>
        <v>15.152809751205723</v>
      </c>
      <c r="E30">
        <v>90.270358667461096</v>
      </c>
      <c r="F30">
        <f t="shared" si="0"/>
        <v>9.0270358667461092</v>
      </c>
      <c r="G30" s="3">
        <f t="shared" si="1"/>
        <v>0.11945006858469148</v>
      </c>
      <c r="H30">
        <f>E30/N$2</f>
        <v>82.063962424964629</v>
      </c>
      <c r="I30">
        <f>(D30*P$2)/R$2</f>
        <v>1986183.6781580425</v>
      </c>
      <c r="J30">
        <f>3.7*P$2*((10^(-1/(2*G30^0.5)))-(2.54/(I30*G30^0.5)))*1000</f>
        <v>22.53886061244663</v>
      </c>
      <c r="T30">
        <f t="shared" si="13"/>
        <v>2.4812051181104087</v>
      </c>
      <c r="U30" s="15">
        <f t="shared" si="3"/>
        <v>0.11945006858469143</v>
      </c>
      <c r="V30" s="15">
        <f t="shared" si="4"/>
        <v>17.634596651168682</v>
      </c>
      <c r="W30">
        <f t="shared" si="5"/>
        <v>0.11946717118769402</v>
      </c>
      <c r="X30">
        <v>2.2538800000000001E-2</v>
      </c>
      <c r="Y30">
        <v>1244.0124694034</v>
      </c>
      <c r="Z30">
        <f t="shared" si="6"/>
        <v>15.152809751205723</v>
      </c>
      <c r="AA30" s="7">
        <f t="shared" si="7"/>
        <v>1986183.6781580425</v>
      </c>
      <c r="AB30" s="13">
        <f>0.25/(LOG((X30/P$2/3.7)+(5.74/(AA30^0.9))))^2</f>
        <v>0.11946717118769402</v>
      </c>
      <c r="AC30">
        <f>AB30/P$2*(Z30^2)/(2)</f>
        <v>80.488778271251036</v>
      </c>
      <c r="AE30">
        <f t="shared" si="14"/>
        <v>2.2538800000000001E-2</v>
      </c>
    </row>
    <row r="31" spans="1:32" x14ac:dyDescent="0.2">
      <c r="K31">
        <f>AVERAGE(J26:J30)</f>
        <v>26.711507974654506</v>
      </c>
    </row>
    <row r="32" spans="1:32" x14ac:dyDescent="0.2">
      <c r="K32">
        <f>STDEV(J26:J30)</f>
        <v>8.4020258015085041</v>
      </c>
      <c r="T32">
        <f>(SUM(T26:T30)/COUNT(T26:T30))^0.5</f>
        <v>0.87154606608582252</v>
      </c>
      <c r="AD32" t="s">
        <v>70</v>
      </c>
      <c r="AE32" s="9">
        <f>AVERAGE(AE26:AE30)</f>
        <v>2.6711460000000003E-2</v>
      </c>
      <c r="AF32">
        <f>STDEV(AE26:AE30)</f>
        <v>8.402023883446165E-3</v>
      </c>
    </row>
    <row r="33" spans="15:37" x14ac:dyDescent="0.2">
      <c r="W33" t="s">
        <v>40</v>
      </c>
      <c r="X33" t="s">
        <v>41</v>
      </c>
    </row>
    <row r="34" spans="15:37" x14ac:dyDescent="0.2">
      <c r="X34" t="s">
        <v>102</v>
      </c>
      <c r="AF34" s="9" t="s">
        <v>87</v>
      </c>
      <c r="AG34" s="9" t="s">
        <v>106</v>
      </c>
    </row>
    <row r="35" spans="15:37" x14ac:dyDescent="0.2">
      <c r="X35" t="s">
        <v>32</v>
      </c>
      <c r="Y35" t="s">
        <v>52</v>
      </c>
      <c r="Z35" t="s">
        <v>53</v>
      </c>
      <c r="AA35" t="s">
        <v>56</v>
      </c>
      <c r="AB35" t="s">
        <v>54</v>
      </c>
      <c r="AC35" t="s">
        <v>72</v>
      </c>
      <c r="AD35" t="s">
        <v>86</v>
      </c>
      <c r="AE35" t="s">
        <v>72</v>
      </c>
      <c r="AF35" s="9" t="s">
        <v>86</v>
      </c>
      <c r="AG35" s="9" t="s">
        <v>72</v>
      </c>
      <c r="AJ35" t="s">
        <v>58</v>
      </c>
    </row>
    <row r="36" spans="15:37" x14ac:dyDescent="0.2">
      <c r="O36" t="s">
        <v>45</v>
      </c>
      <c r="S36" t="s">
        <v>91</v>
      </c>
      <c r="AF36" s="9"/>
      <c r="AG36" s="9"/>
      <c r="AJ36" t="s">
        <v>32</v>
      </c>
    </row>
    <row r="37" spans="15:37" x14ac:dyDescent="0.2">
      <c r="O37" t="s">
        <v>42</v>
      </c>
      <c r="P37">
        <f>P38*P39</f>
        <v>441</v>
      </c>
      <c r="R37" t="s">
        <v>30</v>
      </c>
      <c r="S37">
        <v>40</v>
      </c>
      <c r="T37" t="s">
        <v>103</v>
      </c>
      <c r="V37" t="s">
        <v>33</v>
      </c>
      <c r="X37">
        <f>todos_tornillos!T32*1000</f>
        <v>118.63260000000001</v>
      </c>
      <c r="Y37">
        <f>P$37*P$44*S37</f>
        <v>886683.11054918321</v>
      </c>
      <c r="Z37" s="6">
        <f>Y37/((1000)^3)/M$2*100</f>
        <v>3.5346522154695128</v>
      </c>
      <c r="AA37" s="16">
        <f>P38*P$40*S37/1000^2/Q$2*100</f>
        <v>29.46729092490293</v>
      </c>
      <c r="AB37">
        <f>X37</f>
        <v>118.63260000000001</v>
      </c>
      <c r="AC37">
        <f>todos_tornillos!U32*1000</f>
        <v>15.078607853512228</v>
      </c>
      <c r="AD37">
        <f>todos_tornillos!K31</f>
        <v>118.63361301318605</v>
      </c>
      <c r="AE37">
        <f>todos_tornillos!K32</f>
        <v>15.078143565804087</v>
      </c>
      <c r="AF37" s="9">
        <f>todos_tornillos!K27</f>
        <v>130.99776427591303</v>
      </c>
      <c r="AG37" s="9">
        <f>todos_tornillos!L27</f>
        <v>19.941048403817188</v>
      </c>
      <c r="AJ37" t="s">
        <v>59</v>
      </c>
      <c r="AK37" t="s">
        <v>33</v>
      </c>
    </row>
    <row r="38" spans="15:37" x14ac:dyDescent="0.2">
      <c r="O38" t="s">
        <v>43</v>
      </c>
      <c r="P38">
        <v>21</v>
      </c>
      <c r="R38" s="8">
        <v>1</v>
      </c>
      <c r="S38">
        <v>30</v>
      </c>
      <c r="T38" t="s">
        <v>103</v>
      </c>
      <c r="V38" t="s">
        <v>34</v>
      </c>
      <c r="X38">
        <f>todos_tornillos!T24*1000</f>
        <v>54.924000000000007</v>
      </c>
      <c r="Y38">
        <f t="shared" ref="Y38:Y39" si="15">P$37*P$44*S38</f>
        <v>665012.33291188744</v>
      </c>
      <c r="Z38" s="6">
        <f t="shared" ref="Z38:Z44" si="16">Y38/((1000)^3)/M$2*100</f>
        <v>2.6509891616021348</v>
      </c>
      <c r="AA38" s="16">
        <f>P38*P$40*S38/1000^2/Q$2*100</f>
        <v>22.100468193677195</v>
      </c>
      <c r="AB38">
        <f t="shared" ref="AB38:AB43" si="17">X38</f>
        <v>54.924000000000007</v>
      </c>
      <c r="AC38">
        <f>todos_tornillos!U24*1000</f>
        <v>13.306225234828958</v>
      </c>
      <c r="AD38">
        <f>todos_tornillos!K23</f>
        <v>54.957286235140749</v>
      </c>
      <c r="AE38">
        <f>todos_tornillos!K24</f>
        <v>13.327651101323131</v>
      </c>
      <c r="AF38" s="9">
        <f>todos_tornillos!J18</f>
        <v>78.617960978162628</v>
      </c>
      <c r="AG38" s="9">
        <v>0</v>
      </c>
      <c r="AJ38" t="s">
        <v>61</v>
      </c>
      <c r="AK38" t="s">
        <v>34</v>
      </c>
    </row>
    <row r="39" spans="15:37" x14ac:dyDescent="0.2">
      <c r="O39" t="s">
        <v>44</v>
      </c>
      <c r="P39">
        <v>21</v>
      </c>
      <c r="R39">
        <v>100</v>
      </c>
      <c r="S39">
        <v>20</v>
      </c>
      <c r="T39" t="s">
        <v>104</v>
      </c>
      <c r="Y39">
        <f t="shared" si="15"/>
        <v>443341.55527459161</v>
      </c>
      <c r="Z39" s="6">
        <f t="shared" si="16"/>
        <v>1.7673261077347564</v>
      </c>
      <c r="AA39" s="16"/>
      <c r="AF39" s="9"/>
      <c r="AG39" s="9"/>
      <c r="AJ39" t="s">
        <v>62</v>
      </c>
      <c r="AK39" t="s">
        <v>60</v>
      </c>
    </row>
    <row r="40" spans="15:37" x14ac:dyDescent="0.2">
      <c r="O40" t="s">
        <v>51</v>
      </c>
      <c r="P40">
        <v>8</v>
      </c>
      <c r="Q40" t="s">
        <v>46</v>
      </c>
      <c r="R40" s="9">
        <v>100</v>
      </c>
      <c r="S40" s="9">
        <v>0</v>
      </c>
      <c r="T40" t="s">
        <v>104</v>
      </c>
      <c r="V40" t="s">
        <v>31</v>
      </c>
      <c r="Z40" s="6">
        <f t="shared" si="16"/>
        <v>0</v>
      </c>
      <c r="AA40" s="16"/>
      <c r="AF40" s="9"/>
      <c r="AG40" s="9"/>
      <c r="AJ40" t="s">
        <v>63</v>
      </c>
      <c r="AK40" t="s">
        <v>35</v>
      </c>
    </row>
    <row r="41" spans="15:37" x14ac:dyDescent="0.2">
      <c r="O41" t="s">
        <v>47</v>
      </c>
      <c r="P41">
        <v>170.4</v>
      </c>
      <c r="Q41" t="s">
        <v>46</v>
      </c>
      <c r="R41">
        <v>50</v>
      </c>
      <c r="S41">
        <v>40</v>
      </c>
      <c r="T41" t="s">
        <v>105</v>
      </c>
      <c r="V41" t="s">
        <v>35</v>
      </c>
      <c r="X41">
        <f>AE32*1000</f>
        <v>26.711460000000002</v>
      </c>
      <c r="Y41">
        <f>P$37/2*P$44*S41</f>
        <v>443341.55527459161</v>
      </c>
      <c r="Z41" s="6">
        <f t="shared" si="16"/>
        <v>1.7673261077347564</v>
      </c>
      <c r="AA41" s="16">
        <f>P38/2*P$40*S41/1000^2/Q$2*100</f>
        <v>14.733645462451465</v>
      </c>
      <c r="AB41">
        <f t="shared" si="17"/>
        <v>26.711460000000002</v>
      </c>
      <c r="AC41">
        <f>AF32*1000</f>
        <v>8.4020238834461658</v>
      </c>
      <c r="AD41">
        <f>K31</f>
        <v>26.711507974654506</v>
      </c>
      <c r="AE41">
        <f>K32</f>
        <v>8.4020258015085041</v>
      </c>
      <c r="AF41" s="9">
        <v>42.822070852051787</v>
      </c>
      <c r="AG41" s="9">
        <v>0</v>
      </c>
      <c r="AJ41" t="s">
        <v>64</v>
      </c>
      <c r="AK41" t="s">
        <v>36</v>
      </c>
    </row>
    <row r="42" spans="15:37" x14ac:dyDescent="0.2">
      <c r="O42" t="s">
        <v>48</v>
      </c>
      <c r="P42">
        <f>2*PI()*P41/2</f>
        <v>535.32738817170082</v>
      </c>
      <c r="Q42" t="s">
        <v>46</v>
      </c>
      <c r="R42">
        <v>50</v>
      </c>
      <c r="S42">
        <v>30</v>
      </c>
      <c r="T42" t="s">
        <v>105</v>
      </c>
      <c r="V42" t="s">
        <v>37</v>
      </c>
      <c r="X42">
        <f>AE24*1000</f>
        <v>10.924821000000001</v>
      </c>
      <c r="Y42">
        <f t="shared" ref="Y42:Y44" si="18">P$37/2*P$44*S42</f>
        <v>332506.16645594372</v>
      </c>
      <c r="Z42" s="6">
        <f t="shared" si="16"/>
        <v>1.3254945808010674</v>
      </c>
      <c r="AA42" s="16">
        <f>P38/2*P$40*S42/1000^2/Q$2*100</f>
        <v>11.050234096838597</v>
      </c>
      <c r="AB42">
        <f t="shared" si="17"/>
        <v>10.924821000000001</v>
      </c>
      <c r="AC42">
        <f>AF24*1000</f>
        <v>4.8069131883730751</v>
      </c>
      <c r="AD42">
        <f>K23</f>
        <v>10.924901129587825</v>
      </c>
      <c r="AE42">
        <f>K24</f>
        <v>4.8070559101127959</v>
      </c>
      <c r="AF42" s="9">
        <v>20.182867366771958</v>
      </c>
      <c r="AG42" s="9">
        <v>0</v>
      </c>
      <c r="AJ42" t="s">
        <v>65</v>
      </c>
      <c r="AK42" t="s">
        <v>66</v>
      </c>
    </row>
    <row r="43" spans="15:37" x14ac:dyDescent="0.2">
      <c r="O43" t="s">
        <v>49</v>
      </c>
      <c r="P43">
        <f>P42/P38</f>
        <v>25.491780389128611</v>
      </c>
      <c r="Q43">
        <v>22</v>
      </c>
      <c r="R43">
        <v>50</v>
      </c>
      <c r="S43">
        <v>20</v>
      </c>
      <c r="T43" t="s">
        <v>105</v>
      </c>
      <c r="V43" t="s">
        <v>36</v>
      </c>
      <c r="X43">
        <f>AE16*1000</f>
        <v>1.6629780000000001</v>
      </c>
      <c r="Y43">
        <f t="shared" si="18"/>
        <v>221670.7776372958</v>
      </c>
      <c r="Z43" s="6">
        <f t="shared" si="16"/>
        <v>0.8836630538673782</v>
      </c>
      <c r="AA43" s="26">
        <f>P38/2*P$40*S43/1000^2/Q$2*100</f>
        <v>7.3668227312257324</v>
      </c>
      <c r="AB43">
        <f t="shared" si="17"/>
        <v>1.6629780000000001</v>
      </c>
      <c r="AC43">
        <f>AF16*1000</f>
        <v>2.4453559626810981</v>
      </c>
      <c r="AD43">
        <f>K15</f>
        <v>1.7354981290014631</v>
      </c>
      <c r="AE43">
        <f>K16</f>
        <v>2.6059395434715245</v>
      </c>
      <c r="AF43" s="9">
        <v>6.6534151542836195</v>
      </c>
      <c r="AG43" s="9">
        <v>0</v>
      </c>
    </row>
    <row r="44" spans="15:37" x14ac:dyDescent="0.2">
      <c r="O44" t="s">
        <v>50</v>
      </c>
      <c r="P44">
        <f>PI()*(P40/2)^2</f>
        <v>50.26548245743669</v>
      </c>
      <c r="R44" s="9">
        <v>50</v>
      </c>
      <c r="S44" s="9">
        <v>0</v>
      </c>
      <c r="T44" t="s">
        <v>105</v>
      </c>
      <c r="V44" t="s">
        <v>31</v>
      </c>
      <c r="X44">
        <f>AE8*1000</f>
        <v>1.0639999999999998E-3</v>
      </c>
      <c r="Y44">
        <f t="shared" si="18"/>
        <v>0</v>
      </c>
      <c r="Z44" s="6">
        <f t="shared" si="16"/>
        <v>0</v>
      </c>
      <c r="AA44">
        <v>0</v>
      </c>
      <c r="AB44">
        <v>1.6000000000000001E-3</v>
      </c>
      <c r="AC44">
        <f>AF8*1000</f>
        <v>9.7592520205187869E-4</v>
      </c>
      <c r="AD44">
        <v>1.5E-3</v>
      </c>
      <c r="AE44">
        <f>K8</f>
        <v>5.687104129035528E-3</v>
      </c>
      <c r="AF44" s="9">
        <v>-8.8859042892375211E-3</v>
      </c>
      <c r="AG44" s="9">
        <v>0</v>
      </c>
    </row>
    <row r="45" spans="15:37" x14ac:dyDescent="0.2">
      <c r="O45" t="s">
        <v>55</v>
      </c>
    </row>
  </sheetData>
  <mergeCells count="2">
    <mergeCell ref="P9:Q9"/>
    <mergeCell ref="P11:Q1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P1" zoomScale="120" zoomScaleNormal="120" workbookViewId="0">
      <selection activeCell="V26" sqref="V26"/>
    </sheetView>
  </sheetViews>
  <sheetFormatPr baseColWidth="10" defaultColWidth="9.140625" defaultRowHeight="12.75" x14ac:dyDescent="0.2"/>
  <cols>
    <col min="1" max="1" width="9"/>
    <col min="2" max="2" width="20"/>
    <col min="3" max="5" width="14.140625"/>
    <col min="6" max="6" width="14.42578125"/>
    <col min="7" max="7" width="11.5703125" style="3"/>
    <col min="8" max="10" width="9.140625" style="3"/>
    <col min="11" max="11" width="11.5703125"/>
    <col min="12" max="12" width="12.7109375" bestFit="1" customWidth="1"/>
    <col min="13" max="1028" width="11.5703125"/>
  </cols>
  <sheetData>
    <row r="1" spans="1:27" s="1" customFormat="1" x14ac:dyDescent="0.2">
      <c r="A1" s="1" t="s">
        <v>0</v>
      </c>
      <c r="B1" s="1" t="s">
        <v>15</v>
      </c>
      <c r="C1" s="1" t="s">
        <v>16</v>
      </c>
      <c r="D1" s="1" t="s">
        <v>3</v>
      </c>
      <c r="E1" s="1" t="s">
        <v>4</v>
      </c>
      <c r="F1" s="1" t="s">
        <v>95</v>
      </c>
      <c r="G1" s="1" t="s">
        <v>5</v>
      </c>
      <c r="H1" s="1" t="s">
        <v>21</v>
      </c>
      <c r="I1" s="1" t="s">
        <v>24</v>
      </c>
      <c r="J1" s="1" t="s">
        <v>26</v>
      </c>
      <c r="M1" s="1" t="s">
        <v>6</v>
      </c>
      <c r="N1" s="1" t="s">
        <v>94</v>
      </c>
      <c r="O1" s="1" t="s">
        <v>7</v>
      </c>
      <c r="P1" s="1" t="s">
        <v>8</v>
      </c>
      <c r="Q1" s="2" t="s">
        <v>23</v>
      </c>
      <c r="S1" s="1" t="s">
        <v>29</v>
      </c>
      <c r="U1" s="1" t="s">
        <v>25</v>
      </c>
      <c r="V1" s="1" t="s">
        <v>22</v>
      </c>
      <c r="W1" s="1" t="s">
        <v>1</v>
      </c>
      <c r="X1" s="1" t="s">
        <v>3</v>
      </c>
      <c r="Y1" s="1" t="s">
        <v>24</v>
      </c>
      <c r="Z1" s="1" t="s">
        <v>27</v>
      </c>
      <c r="AA1" s="1" t="s">
        <v>28</v>
      </c>
    </row>
    <row r="2" spans="1:27" x14ac:dyDescent="0.2">
      <c r="A2" t="s">
        <v>17</v>
      </c>
      <c r="B2">
        <v>245.82078929298024</v>
      </c>
      <c r="C2">
        <f>B2/3600</f>
        <v>6.8283552581383397E-2</v>
      </c>
      <c r="D2">
        <f>C2/$P$2</f>
        <v>2.9942430197939442</v>
      </c>
      <c r="E2">
        <v>0.37853502060006283</v>
      </c>
      <c r="F2">
        <f>E2/10</f>
        <v>3.7853502060006282E-2</v>
      </c>
      <c r="G2" s="3">
        <f>F2*2*$N$2*$O$2/($M$2*D2^2)</f>
        <v>1.2828017681423207E-2</v>
      </c>
      <c r="H2" s="3">
        <f>E2/M$2</f>
        <v>0.3441227460000571</v>
      </c>
      <c r="I2" s="3">
        <f>(D2*O$2)/Q$2</f>
        <v>392476.16197914467</v>
      </c>
      <c r="J2" s="3">
        <f>3.7*O$2*((10^(-1/(2*G2^0.5)))-(2.54/(I2*G2^0.5)))*1000</f>
        <v>-1.1754934565138896E-2</v>
      </c>
      <c r="K2">
        <f>J2</f>
        <v>-1.1754934565138896E-2</v>
      </c>
      <c r="L2">
        <v>0</v>
      </c>
      <c r="M2">
        <v>1.1000000000000001</v>
      </c>
      <c r="N2">
        <v>9.8066499999999994</v>
      </c>
      <c r="O2">
        <v>0.1704</v>
      </c>
      <c r="P2">
        <f>PI()*O2*O2/4</f>
        <v>2.2804946736114454E-2</v>
      </c>
      <c r="Q2">
        <v>1.3E-6</v>
      </c>
      <c r="S2">
        <f>(H2-AA2)^2</f>
        <v>2.5899355695033617E-4</v>
      </c>
      <c r="V2">
        <v>1.9999999999999999E-7</v>
      </c>
      <c r="W2">
        <v>245.82078929298024</v>
      </c>
      <c r="X2">
        <f>W2/3600/$P$2</f>
        <v>2.9942430197939442</v>
      </c>
      <c r="Y2">
        <f>X2*O$2/Q$2</f>
        <v>392476.16197914467</v>
      </c>
      <c r="Z2">
        <f>0.25/(LOG((V2/O$2/3.7)+(5.74/(Y2^0.9))))^2</f>
        <v>1.3692681970863534E-2</v>
      </c>
      <c r="AA2">
        <f>Z2/O$2*(X2^2)/(2)</f>
        <v>0.36021602276243014</v>
      </c>
    </row>
    <row r="3" spans="1:27" x14ac:dyDescent="0.2">
      <c r="A3" t="s">
        <v>17</v>
      </c>
      <c r="B3">
        <v>395.45157636017865</v>
      </c>
      <c r="C3">
        <f>B3/3600</f>
        <v>0.10984766010004962</v>
      </c>
      <c r="D3">
        <f>C3/$P$2</f>
        <v>4.8168347583154958</v>
      </c>
      <c r="E3">
        <v>0.89732416207585897</v>
      </c>
      <c r="F3">
        <f t="shared" ref="F3:F30" si="0">E3/10</f>
        <v>8.9732416207585902E-2</v>
      </c>
      <c r="G3" s="3">
        <f t="shared" ref="G3:G30" si="1">F3*2*$N$2*$O$2/($M$2*D3^2)</f>
        <v>1.1750421417029306E-2</v>
      </c>
      <c r="H3" s="3">
        <f>E3/M$2</f>
        <v>0.81574923825078083</v>
      </c>
      <c r="I3" s="3">
        <f>(D3*O$2)/Q$2</f>
        <v>631375.87908996956</v>
      </c>
      <c r="J3" s="3">
        <f>3.7*O$2*((10^(-1/(2*G3^0.5)))-(2.54/(I3*G3^0.5)))*1000</f>
        <v>-8.0136069613081472E-3</v>
      </c>
      <c r="S3">
        <f t="shared" ref="S3:S6" si="2">(H3-AA3)^2</f>
        <v>2.93628740894769E-3</v>
      </c>
      <c r="V3">
        <v>1.9999999999999999E-6</v>
      </c>
      <c r="W3">
        <v>395.45157636017865</v>
      </c>
      <c r="X3">
        <f t="shared" ref="X3:X30" si="3">W3/3600/$P$2</f>
        <v>4.8168347583154958</v>
      </c>
      <c r="Y3">
        <f t="shared" ref="Y3:Y30" si="4">X3*O$2/Q$2</f>
        <v>631375.87908996956</v>
      </c>
      <c r="Z3">
        <f>0.25/(LOG((V3/O$2/3.7)+(5.74/(Y3^0.9))))^2</f>
        <v>1.2778026139138782E-2</v>
      </c>
      <c r="AA3">
        <f>Z3/O$2*(X3^2)/(2)</f>
        <v>0.8699367590369147</v>
      </c>
    </row>
    <row r="4" spans="1:27" x14ac:dyDescent="0.2">
      <c r="A4" t="s">
        <v>17</v>
      </c>
      <c r="B4">
        <v>704.11057418514122</v>
      </c>
      <c r="C4">
        <f>B4/3600</f>
        <v>0.19558627060698366</v>
      </c>
      <c r="D4">
        <f>C4/$P$2</f>
        <v>8.576484429899967</v>
      </c>
      <c r="E4">
        <v>2.7529930142777448</v>
      </c>
      <c r="F4">
        <f t="shared" si="0"/>
        <v>0.27529930142777448</v>
      </c>
      <c r="G4" s="3">
        <f t="shared" si="1"/>
        <v>1.1371403726556366E-2</v>
      </c>
      <c r="H4" s="3">
        <f>E4/M$2</f>
        <v>2.5027209220706768</v>
      </c>
      <c r="I4" s="3">
        <f>(D4*O$2)/Q$2</f>
        <v>1124179.1898884263</v>
      </c>
      <c r="J4" s="3">
        <f>3.7*O$2*((10^(-1/(2*G4^0.5)))-(2.54/(I4*G4^0.5)))*1000</f>
        <v>-4.5068217986695769E-4</v>
      </c>
      <c r="S4">
        <f t="shared" si="2"/>
        <v>4.1218315256312023E-4</v>
      </c>
      <c r="V4">
        <v>1.9999999999999999E-6</v>
      </c>
      <c r="W4">
        <v>704.11057418514122</v>
      </c>
      <c r="X4">
        <f t="shared" si="3"/>
        <v>8.576484429899967</v>
      </c>
      <c r="Y4">
        <f t="shared" si="4"/>
        <v>1124179.1898884263</v>
      </c>
      <c r="Z4">
        <f>0.25/(LOG((V4/O$2/3.7)+(5.74/(Y4^0.9))))^2</f>
        <v>1.1689669319231651E-2</v>
      </c>
      <c r="AA4">
        <f>Z4/O$2*(X4^2)/(2)</f>
        <v>2.5230232163391362</v>
      </c>
    </row>
    <row r="5" spans="1:27" x14ac:dyDescent="0.2">
      <c r="A5" t="s">
        <v>17</v>
      </c>
      <c r="B5">
        <v>905.19135452713635</v>
      </c>
      <c r="C5">
        <f>B5/3600</f>
        <v>0.25144204292420452</v>
      </c>
      <c r="D5">
        <f>C5/$P$2</f>
        <v>11.02576760357063</v>
      </c>
      <c r="E5">
        <v>4.409127581296632</v>
      </c>
      <c r="F5">
        <f t="shared" si="0"/>
        <v>0.44091275812966318</v>
      </c>
      <c r="G5" s="3">
        <f t="shared" si="1"/>
        <v>1.1019517359890709E-2</v>
      </c>
      <c r="H5" s="3">
        <f>E5/M$2</f>
        <v>4.008297801178756</v>
      </c>
      <c r="I5" s="3">
        <f>(D5*O$2)/Q$2</f>
        <v>1445223.6920372578</v>
      </c>
      <c r="J5" s="3">
        <f>3.7*O$2*((10^(-1/(2*G5^0.5)))-(2.54/(I5*G5^0.5)))*1000</f>
        <v>3.2308762342291388E-4</v>
      </c>
      <c r="S5">
        <f t="shared" si="2"/>
        <v>2.129432655106181E-4</v>
      </c>
      <c r="V5">
        <v>1.9999999999999999E-6</v>
      </c>
      <c r="W5">
        <v>905.19135452713635</v>
      </c>
      <c r="X5">
        <f t="shared" si="3"/>
        <v>11.02576760357063</v>
      </c>
      <c r="Y5">
        <f t="shared" si="4"/>
        <v>1445223.6920372578</v>
      </c>
      <c r="Z5">
        <f>0.25/(LOG((V5/O$2/3.7)+(5.74/(Y5^0.9))))^2</f>
        <v>1.1277689040913757E-2</v>
      </c>
      <c r="AA5">
        <f>Z5/O$2*(X5^2)/(2)</f>
        <v>4.0228903768770561</v>
      </c>
    </row>
    <row r="6" spans="1:27" x14ac:dyDescent="0.2">
      <c r="A6" t="s">
        <v>17</v>
      </c>
      <c r="B6">
        <v>1124.3694050999111</v>
      </c>
      <c r="C6">
        <f>B6/3600</f>
        <v>0.3123248347499753</v>
      </c>
      <c r="D6">
        <f>C6/$P$2</f>
        <v>13.695486262871656</v>
      </c>
      <c r="E6">
        <v>6.6131129047407446</v>
      </c>
      <c r="F6">
        <f t="shared" si="0"/>
        <v>0.66131129047407444</v>
      </c>
      <c r="G6" s="3">
        <f t="shared" si="1"/>
        <v>1.0712198228220209E-2</v>
      </c>
      <c r="H6" s="3">
        <f>E6/M$2</f>
        <v>6.0119208224915859</v>
      </c>
      <c r="I6" s="3">
        <f>(D6*O$2)/Q$2</f>
        <v>1795162.1993794846</v>
      </c>
      <c r="J6" s="3">
        <f>3.7*O$2*((10^(-1/(2*G6^0.5)))-(2.54/(I6*G6^0.5)))*1000</f>
        <v>6.8644167202196443E-4</v>
      </c>
      <c r="S6">
        <f t="shared" si="2"/>
        <v>2.2054609932227611E-4</v>
      </c>
      <c r="V6">
        <v>1.9999999999999999E-6</v>
      </c>
      <c r="W6">
        <v>1124.3694050999111</v>
      </c>
      <c r="X6">
        <f t="shared" si="3"/>
        <v>13.695486262871656</v>
      </c>
      <c r="Y6">
        <f t="shared" si="4"/>
        <v>1795162.1993794846</v>
      </c>
      <c r="Z6">
        <f>0.25/(LOG((V6/O$2/3.7)+(5.74/(Y6^0.9))))^2</f>
        <v>1.0950385466549464E-2</v>
      </c>
      <c r="AA6">
        <f>Z6/O$2*(X6^2)/(2)</f>
        <v>6.0267716170603043</v>
      </c>
    </row>
    <row r="7" spans="1:27" x14ac:dyDescent="0.2">
      <c r="H7"/>
      <c r="I7"/>
      <c r="J7"/>
      <c r="K7">
        <f>AVERAGE(J2:J6)</f>
        <v>-3.8419388821738245E-3</v>
      </c>
    </row>
    <row r="8" spans="1:27" x14ac:dyDescent="0.2">
      <c r="H8"/>
      <c r="I8"/>
      <c r="J8"/>
      <c r="K8">
        <f>STDEV(J2:J6)</f>
        <v>5.6871041290356044E-3</v>
      </c>
      <c r="S8">
        <f>(SUM(S2:S6)/COUNT(S2:S6))^0.5</f>
        <v>2.8428694951735087E-2</v>
      </c>
    </row>
    <row r="9" spans="1:27" x14ac:dyDescent="0.2">
      <c r="H9"/>
      <c r="I9"/>
      <c r="J9"/>
      <c r="O9" s="97" t="s">
        <v>10</v>
      </c>
      <c r="P9" s="97"/>
      <c r="S9" t="s">
        <v>70</v>
      </c>
      <c r="T9" s="9">
        <f>AVERAGE(V2:V6)</f>
        <v>1.64E-6</v>
      </c>
      <c r="U9">
        <f>STDEV(V2:V6)</f>
        <v>8.0498447189992414E-7</v>
      </c>
    </row>
    <row r="10" spans="1:27" x14ac:dyDescent="0.2">
      <c r="A10" t="s">
        <v>18</v>
      </c>
      <c r="C10">
        <f>B10/3600</f>
        <v>0</v>
      </c>
      <c r="D10">
        <f>C10/$P$2</f>
        <v>0</v>
      </c>
    </row>
    <row r="11" spans="1:27" x14ac:dyDescent="0.2">
      <c r="A11" t="s">
        <v>18</v>
      </c>
      <c r="C11">
        <f>B11/3600</f>
        <v>0</v>
      </c>
      <c r="D11">
        <f>C11/$P$2</f>
        <v>0</v>
      </c>
      <c r="O11" s="97" t="s">
        <v>12</v>
      </c>
      <c r="P11" s="97"/>
    </row>
    <row r="12" spans="1:27" x14ac:dyDescent="0.2">
      <c r="A12" t="s">
        <v>18</v>
      </c>
      <c r="C12">
        <f>B12/3600</f>
        <v>0</v>
      </c>
      <c r="D12">
        <f>C12/$P$2</f>
        <v>0</v>
      </c>
    </row>
    <row r="13" spans="1:27" x14ac:dyDescent="0.2">
      <c r="A13" t="s">
        <v>18</v>
      </c>
      <c r="C13">
        <f>B13/3600</f>
        <v>0</v>
      </c>
      <c r="D13">
        <f>C13/$P$2</f>
        <v>0</v>
      </c>
    </row>
    <row r="14" spans="1:27" x14ac:dyDescent="0.2">
      <c r="A14" t="s">
        <v>18</v>
      </c>
      <c r="C14">
        <f>B14/3600</f>
        <v>0</v>
      </c>
      <c r="D14">
        <f>C14/$P$2</f>
        <v>0</v>
      </c>
    </row>
    <row r="15" spans="1:27" x14ac:dyDescent="0.2">
      <c r="H15"/>
      <c r="I15"/>
      <c r="J15"/>
    </row>
    <row r="16" spans="1:27" x14ac:dyDescent="0.2">
      <c r="H16"/>
      <c r="I16"/>
      <c r="J16"/>
      <c r="S16" t="e">
        <f>(SUM(S10:S14)/COUNT(S10:S14))^0.5</f>
        <v>#DIV/0!</v>
      </c>
    </row>
    <row r="17" spans="1:27" x14ac:dyDescent="0.2">
      <c r="H17"/>
      <c r="I17"/>
      <c r="J17"/>
    </row>
    <row r="18" spans="1:27" x14ac:dyDescent="0.2">
      <c r="A18" t="s">
        <v>19</v>
      </c>
      <c r="B18">
        <v>100.07433942026501</v>
      </c>
      <c r="C18">
        <f>B18/3600</f>
        <v>2.7798427616740281E-2</v>
      </c>
      <c r="D18">
        <f>C18/$P$2</f>
        <v>1.2189648122579491</v>
      </c>
      <c r="E18">
        <v>1.4959270176248545</v>
      </c>
      <c r="F18">
        <f t="shared" si="0"/>
        <v>0.14959270176248546</v>
      </c>
      <c r="G18" s="3">
        <f t="shared" si="1"/>
        <v>0.30588321368146831</v>
      </c>
      <c r="H18" s="3">
        <f>E18/M$2</f>
        <v>1.3599336523862313</v>
      </c>
      <c r="I18" s="3">
        <f>(D18*O$2)/Q$2</f>
        <v>159778.15692981117</v>
      </c>
      <c r="J18" s="3">
        <f>3.7*O$2*((10^(-1/(2*G18^0.5)))-(2.54/(I18*G18^0.5)))*1000</f>
        <v>78.617960978162628</v>
      </c>
      <c r="S18">
        <f>(H18-AA18)^2</f>
        <v>7.0086747409842597E-4</v>
      </c>
      <c r="V18">
        <v>7.8549999999999995E-2</v>
      </c>
      <c r="W18">
        <v>100.07433942026501</v>
      </c>
      <c r="X18">
        <f t="shared" si="3"/>
        <v>1.2189648122579491</v>
      </c>
      <c r="Y18">
        <f t="shared" si="4"/>
        <v>159778.15692981117</v>
      </c>
      <c r="Z18">
        <f>0.25/(LOG((V18/O$2/3.7)+(5.74/(Y18^0.9))))^2</f>
        <v>0.30584202420191786</v>
      </c>
      <c r="AA18">
        <f>Z18/O$2*(X18^2)/(2)</f>
        <v>1.3334597506318917</v>
      </c>
    </row>
    <row r="19" spans="1:27" x14ac:dyDescent="0.2">
      <c r="A19" t="s">
        <v>19</v>
      </c>
      <c r="B19">
        <v>247.818684424889</v>
      </c>
      <c r="C19">
        <f>B19/3600</f>
        <v>6.8838523451358061E-2</v>
      </c>
      <c r="D19">
        <f>C19/$P$2</f>
        <v>3.0185785675326198</v>
      </c>
      <c r="E19">
        <v>6.312889454035286</v>
      </c>
      <c r="F19">
        <f t="shared" si="0"/>
        <v>0.63128894540352865</v>
      </c>
      <c r="G19" s="3">
        <f t="shared" si="1"/>
        <v>0.21049936623492951</v>
      </c>
      <c r="H19" s="3">
        <f>E19/M$2</f>
        <v>5.7389904127593505</v>
      </c>
      <c r="I19" s="3">
        <f>(D19*O$2)/Q$2</f>
        <v>395665.99069812184</v>
      </c>
      <c r="J19" s="3">
        <f>3.7*O$2*((10^(-1/(2*G19^0.5)))-(2.54/(I19*G19^0.5)))*1000</f>
        <v>51.262772834985881</v>
      </c>
      <c r="K19">
        <f>AVERAGE(J18:J19)</f>
        <v>64.940366906574255</v>
      </c>
      <c r="L19">
        <f>STDEV(J18:J19)</f>
        <v>19.343039036674067</v>
      </c>
      <c r="S19">
        <f t="shared" ref="S19:S22" si="5">(H19-AA19)^2</f>
        <v>1.3069795097061857E-2</v>
      </c>
      <c r="V19">
        <v>5.1200000000000002E-2</v>
      </c>
      <c r="W19">
        <v>247.818684424889</v>
      </c>
      <c r="X19">
        <f t="shared" si="3"/>
        <v>3.0185785675326198</v>
      </c>
      <c r="Y19">
        <f t="shared" si="4"/>
        <v>395665.99069812184</v>
      </c>
      <c r="Z19">
        <f>0.25/(LOG((V19/O$2/3.7)+(5.74/(Y19^0.9))))^2</f>
        <v>0.21037370212375686</v>
      </c>
      <c r="AA19">
        <f>Z19/O$2*(X19^2)/(2)</f>
        <v>5.6246672082159952</v>
      </c>
    </row>
    <row r="20" spans="1:27" x14ac:dyDescent="0.2">
      <c r="A20" t="s">
        <v>19</v>
      </c>
      <c r="B20">
        <v>502.02438994143603</v>
      </c>
      <c r="C20">
        <f>B20/3600</f>
        <v>0.13945121942817668</v>
      </c>
      <c r="D20">
        <f>C20/$P$2</f>
        <v>6.1149548403609479</v>
      </c>
      <c r="E20">
        <v>25.20589732959424</v>
      </c>
      <c r="F20">
        <f t="shared" si="0"/>
        <v>2.520589732959424</v>
      </c>
      <c r="G20" s="3">
        <f t="shared" si="1"/>
        <v>0.20480626206478439</v>
      </c>
      <c r="H20" s="3">
        <f>E20/M$2</f>
        <v>22.914452117812942</v>
      </c>
      <c r="I20" s="3">
        <f>(D20*O$2)/Q$2</f>
        <v>801529.46522885037</v>
      </c>
      <c r="J20" s="3">
        <f>3.7*O$2*((10^(-1/(2*G20^0.5)))-(2.54/(I20*G20^0.5)))*1000</f>
        <v>49.521654331223559</v>
      </c>
      <c r="S20">
        <f t="shared" si="5"/>
        <v>0.1989860290176293</v>
      </c>
      <c r="V20">
        <v>4.9500000000000002E-2</v>
      </c>
      <c r="W20">
        <v>502.02438994143603</v>
      </c>
      <c r="X20">
        <f t="shared" si="3"/>
        <v>6.1149548403609479</v>
      </c>
      <c r="Y20">
        <f t="shared" si="4"/>
        <v>801529.46522885037</v>
      </c>
      <c r="Z20">
        <f>0.25/(LOG((V20/O$2/3.7)+(5.74/(Y20^0.9))))^2</f>
        <v>0.20477866854098389</v>
      </c>
      <c r="AA20">
        <f>Z20/O$2*(X20^2)/(2)</f>
        <v>22.468373616854166</v>
      </c>
    </row>
    <row r="21" spans="1:27" x14ac:dyDescent="0.2">
      <c r="A21" t="s">
        <v>19</v>
      </c>
      <c r="B21">
        <v>750.35915366380004</v>
      </c>
      <c r="C21">
        <f>B21/3600</f>
        <v>0.20843309823994446</v>
      </c>
      <c r="D21">
        <f>C21/$P$2</f>
        <v>9.1398195598442182</v>
      </c>
      <c r="E21">
        <v>55.549548405344581</v>
      </c>
      <c r="F21">
        <f t="shared" si="0"/>
        <v>5.5549548405344584</v>
      </c>
      <c r="G21" s="3">
        <f t="shared" si="1"/>
        <v>0.20203790912971545</v>
      </c>
      <c r="H21" s="3">
        <f>E21/M$2</f>
        <v>50.499589459404163</v>
      </c>
      <c r="I21" s="3">
        <f>(D21*O$2)/Q$2</f>
        <v>1198019.4253826574</v>
      </c>
      <c r="J21" s="3">
        <f>3.7*O$2*((10^(-1/(2*G21^0.5)))-(2.54/(I21*G21^0.5)))*1000</f>
        <v>48.670269917767541</v>
      </c>
      <c r="S21">
        <f t="shared" si="5"/>
        <v>0.93946124735299752</v>
      </c>
      <c r="V21">
        <v>4.8669999999999998E-2</v>
      </c>
      <c r="W21">
        <v>750.35915366380004</v>
      </c>
      <c r="X21">
        <f t="shared" si="3"/>
        <v>9.1398195598442182</v>
      </c>
      <c r="Y21">
        <f t="shared" si="4"/>
        <v>1198019.4253826574</v>
      </c>
      <c r="Z21">
        <f>0.25/(LOG((V21/O$2/3.7)+(5.74/(Y21^0.9))))^2</f>
        <v>0.20206708472487983</v>
      </c>
      <c r="AA21">
        <f>Z21/O$2*(X21^2)/(2)</f>
        <v>49.530331368206056</v>
      </c>
    </row>
    <row r="22" spans="1:27" x14ac:dyDescent="0.2">
      <c r="A22" t="s">
        <v>19</v>
      </c>
      <c r="B22">
        <v>1004.72634079642</v>
      </c>
      <c r="C22">
        <f>B22/3600</f>
        <v>0.27909065022122775</v>
      </c>
      <c r="D22">
        <f>C22/$P$2</f>
        <v>12.23816277453756</v>
      </c>
      <c r="E22">
        <v>96.478409526931472</v>
      </c>
      <c r="F22">
        <f t="shared" si="0"/>
        <v>9.6478409526931479</v>
      </c>
      <c r="G22" s="3">
        <f t="shared" si="1"/>
        <v>0.19571551789864056</v>
      </c>
      <c r="H22" s="3">
        <f>E22/M$2</f>
        <v>87.707645024483156</v>
      </c>
      <c r="I22" s="3">
        <f>(D22*O$2)/Q$2</f>
        <v>1604140.7206009233</v>
      </c>
      <c r="J22" s="3">
        <f>3.7*O$2*((10^(-1/(2*G22^0.5)))-(2.54/(I22*G22^0.5)))*1000</f>
        <v>46.713773113564095</v>
      </c>
      <c r="S22">
        <f t="shared" si="5"/>
        <v>2.9076574980940801</v>
      </c>
      <c r="V22">
        <v>4.6699999999999998E-2</v>
      </c>
      <c r="W22">
        <v>1004.72634079642</v>
      </c>
      <c r="X22">
        <f t="shared" si="3"/>
        <v>12.23816277453756</v>
      </c>
      <c r="Y22">
        <f t="shared" si="4"/>
        <v>1604140.7206009233</v>
      </c>
      <c r="Z22">
        <f>0.25/(LOG((V22/O$2/3.7)+(5.74/(Y22^0.9))))^2</f>
        <v>0.19569422388894342</v>
      </c>
      <c r="AA22">
        <f>Z22/O$2*(X22^2)/(2)</f>
        <v>86.002459551259179</v>
      </c>
    </row>
    <row r="23" spans="1:27" x14ac:dyDescent="0.2">
      <c r="H23"/>
      <c r="I23"/>
      <c r="J23"/>
      <c r="K23">
        <f>AVERAGE(J18:J22)</f>
        <v>54.957286235140749</v>
      </c>
    </row>
    <row r="24" spans="1:27" x14ac:dyDescent="0.2">
      <c r="H24"/>
      <c r="I24"/>
      <c r="J24"/>
      <c r="K24">
        <f>STDEV(J18:J22)</f>
        <v>13.327651101323131</v>
      </c>
      <c r="S24">
        <f>(SUM(S18:S22)/COUNT(S18:S22))^0.5</f>
        <v>0.90109660270537772</v>
      </c>
      <c r="T24" s="9">
        <f>AVERAGE(V18:V22)</f>
        <v>5.4924000000000008E-2</v>
      </c>
      <c r="U24">
        <f>STDEV(V18:V22)</f>
        <v>1.3306225234828958E-2</v>
      </c>
    </row>
    <row r="25" spans="1:27" x14ac:dyDescent="0.2">
      <c r="H25"/>
      <c r="I25"/>
      <c r="J25"/>
    </row>
    <row r="26" spans="1:27" x14ac:dyDescent="0.2">
      <c r="A26" t="s">
        <v>20</v>
      </c>
      <c r="B26">
        <v>59.916647268906999</v>
      </c>
      <c r="C26">
        <f>B26/3600</f>
        <v>1.6643513130251943E-2</v>
      </c>
      <c r="D26">
        <f>C26/$P$2</f>
        <v>0.72982030271067821</v>
      </c>
      <c r="E26">
        <v>1.07690501874056</v>
      </c>
      <c r="F26">
        <f t="shared" si="0"/>
        <v>0.107690501874056</v>
      </c>
      <c r="G26" s="3">
        <f t="shared" si="1"/>
        <v>0.61428950556802497</v>
      </c>
      <c r="H26" s="3">
        <f>E26/M$2</f>
        <v>0.9790045624914181</v>
      </c>
      <c r="I26" s="3">
        <f>(D26*O$2)/Q$2</f>
        <v>95662.599678384271</v>
      </c>
      <c r="J26" s="3">
        <f>3.7*O$2*((10^(-1/(2*G26^0.5)))-(2.54/(I26*G26^0.5)))*1000</f>
        <v>145.09821482622135</v>
      </c>
      <c r="S26">
        <f>(H26-AA26)^2</f>
        <v>3.2581173030139235E-4</v>
      </c>
      <c r="V26">
        <v>0.145098</v>
      </c>
      <c r="W26">
        <v>59.916647268906999</v>
      </c>
      <c r="X26">
        <f t="shared" si="3"/>
        <v>0.72982030271067821</v>
      </c>
      <c r="Y26">
        <f t="shared" si="4"/>
        <v>95662.599678384271</v>
      </c>
      <c r="Z26">
        <f>0.25/(LOG((V26/O$2/3.7)+(5.74/(Y26^0.9))))^2</f>
        <v>0.6148517906126163</v>
      </c>
      <c r="AA26">
        <f>Z26/O$2*(X26^2)/(2)</f>
        <v>0.96095430680620986</v>
      </c>
    </row>
    <row r="27" spans="1:27" x14ac:dyDescent="0.2">
      <c r="A27" t="s">
        <v>20</v>
      </c>
      <c r="B27">
        <v>211.85657205053801</v>
      </c>
      <c r="C27">
        <f>B27/3600</f>
        <v>5.8849047791816114E-2</v>
      </c>
      <c r="D27">
        <f>C27/$P$2</f>
        <v>2.5805387082365496</v>
      </c>
      <c r="E27">
        <v>10.230566180702599</v>
      </c>
      <c r="F27">
        <f t="shared" si="0"/>
        <v>1.0230566180702598</v>
      </c>
      <c r="G27" s="3">
        <f t="shared" si="1"/>
        <v>0.46677382012971297</v>
      </c>
      <c r="H27" s="3">
        <f>E27/M$2</f>
        <v>9.3005147097296348</v>
      </c>
      <c r="I27" s="3">
        <f>(D27*O$2)/Q$2</f>
        <v>338249.07375654468</v>
      </c>
      <c r="J27" s="3">
        <f>3.7*O$2*((10^(-1/(2*G27^0.5)))-(2.54/(I27*G27^0.5)))*1000</f>
        <v>116.8973137256047</v>
      </c>
      <c r="K27">
        <f>AVERAGE(J26:J27)</f>
        <v>130.99776427591303</v>
      </c>
      <c r="L27">
        <f>STDEV(J26:J27)</f>
        <v>19.941048403817188</v>
      </c>
      <c r="S27">
        <f t="shared" ref="S27:S30" si="6">(H27-AA27)^2</f>
        <v>3.1313779218382909E-2</v>
      </c>
      <c r="V27">
        <v>0.116897</v>
      </c>
      <c r="W27">
        <v>211.85657205053801</v>
      </c>
      <c r="X27">
        <f t="shared" si="3"/>
        <v>2.5805387082365496</v>
      </c>
      <c r="Y27">
        <f t="shared" si="4"/>
        <v>338249.07375654468</v>
      </c>
      <c r="Z27">
        <f>0.25/(LOG((V27/O$2/3.7)+(5.74/(Y27^0.9))))^2</f>
        <v>0.46692062033866438</v>
      </c>
      <c r="AA27">
        <f>Z27/O$2*(X27^2)/(2)</f>
        <v>9.1235577115114719</v>
      </c>
    </row>
    <row r="28" spans="1:27" x14ac:dyDescent="0.2">
      <c r="A28" t="s">
        <v>20</v>
      </c>
      <c r="B28">
        <v>402.489403672148</v>
      </c>
      <c r="C28">
        <f>B28/3600</f>
        <v>0.11180261213115222</v>
      </c>
      <c r="D28">
        <f>C28/$P$2</f>
        <v>4.9025596693939635</v>
      </c>
      <c r="E28">
        <v>34.920120360354197</v>
      </c>
      <c r="F28">
        <f t="shared" si="0"/>
        <v>3.4920120360354199</v>
      </c>
      <c r="G28" s="3">
        <f t="shared" si="1"/>
        <v>0.44142561631575145</v>
      </c>
      <c r="H28" s="3">
        <f>E28/M$2</f>
        <v>31.745563963958357</v>
      </c>
      <c r="I28" s="3">
        <f>(D28*O$2)/Q$2</f>
        <v>642612.43666517793</v>
      </c>
      <c r="J28" s="3">
        <f>3.7*O$2*((10^(-1/(2*G28^0.5)))-(2.54/(I28*G28^0.5)))*1000</f>
        <v>111.4542190816031</v>
      </c>
      <c r="S28">
        <f t="shared" si="6"/>
        <v>0.37143487627678246</v>
      </c>
      <c r="V28">
        <v>0.11144999999999999</v>
      </c>
      <c r="W28">
        <v>402.489403672148</v>
      </c>
      <c r="X28">
        <f t="shared" si="3"/>
        <v>4.9025596693939635</v>
      </c>
      <c r="Y28">
        <f t="shared" si="4"/>
        <v>642612.43666517793</v>
      </c>
      <c r="Z28">
        <f>0.25/(LOG((V28/O$2/3.7)+(5.74/(Y28^0.9))))^2</f>
        <v>0.44148723808805923</v>
      </c>
      <c r="AA28">
        <f>Z28/O$2*(X28^2)/(2)</f>
        <v>31.136109391183009</v>
      </c>
    </row>
    <row r="29" spans="1:27" x14ac:dyDescent="0.2">
      <c r="A29" t="s">
        <v>20</v>
      </c>
      <c r="B29">
        <v>549.27837332180502</v>
      </c>
      <c r="C29">
        <f>B29/3600</f>
        <v>0.15257732592272361</v>
      </c>
      <c r="D29">
        <f>C29/$P$2</f>
        <v>6.6905363861735552</v>
      </c>
      <c r="E29">
        <v>64.295477011657894</v>
      </c>
      <c r="F29">
        <f t="shared" si="0"/>
        <v>6.4295477011657898</v>
      </c>
      <c r="G29" s="3">
        <f t="shared" si="1"/>
        <v>0.43640139016266632</v>
      </c>
      <c r="H29" s="3">
        <f>E29/M$2</f>
        <v>58.45043364696172</v>
      </c>
      <c r="I29" s="3">
        <f>(D29*O$2)/Q$2</f>
        <v>876974.92323382583</v>
      </c>
      <c r="J29" s="3">
        <f>3.7*O$2*((10^(-1/(2*G29^0.5)))-(2.54/(I29*G29^0.5)))*1000</f>
        <v>110.35209663454609</v>
      </c>
      <c r="S29">
        <f t="shared" si="6"/>
        <v>1.2592860558279069</v>
      </c>
      <c r="V29">
        <v>0.11035200000000001</v>
      </c>
      <c r="W29">
        <v>549.27837332180502</v>
      </c>
      <c r="X29">
        <f t="shared" si="3"/>
        <v>6.6905363861735552</v>
      </c>
      <c r="Y29">
        <f t="shared" si="4"/>
        <v>876974.92323382583</v>
      </c>
      <c r="Z29">
        <f>0.25/(LOG((V29/O$2/3.7)+(5.74/(Y29^0.9))))^2</f>
        <v>0.43646199254083234</v>
      </c>
      <c r="AA29">
        <f>Z29/O$2*(X29^2)/(2)</f>
        <v>57.3282544920012</v>
      </c>
    </row>
    <row r="30" spans="1:27" x14ac:dyDescent="0.2">
      <c r="A30" t="s">
        <v>20</v>
      </c>
      <c r="B30">
        <v>695.06193906975204</v>
      </c>
      <c r="C30">
        <f>B30/3600</f>
        <v>0.19307276085270891</v>
      </c>
      <c r="D30">
        <f>C30/$P$2</f>
        <v>8.4662666870847954</v>
      </c>
      <c r="E30">
        <v>101.90109328742</v>
      </c>
      <c r="F30">
        <f t="shared" si="0"/>
        <v>10.190109328742</v>
      </c>
      <c r="G30" s="3">
        <f t="shared" si="1"/>
        <v>0.43193911171885163</v>
      </c>
      <c r="H30" s="3">
        <f>E30/M$2</f>
        <v>92.637357534018165</v>
      </c>
      <c r="I30" s="3">
        <f>(D30*O$2)/Q$2</f>
        <v>1109732.18729173</v>
      </c>
      <c r="J30" s="3">
        <f>3.7*O$2*((10^(-1/(2*G30^0.5)))-(2.54/(I30*G30^0.5)))*1000</f>
        <v>109.3662207979549</v>
      </c>
      <c r="S30">
        <f t="shared" si="6"/>
        <v>3.1719382166866086</v>
      </c>
      <c r="V30">
        <v>0.109366</v>
      </c>
      <c r="W30">
        <v>695.06193906975204</v>
      </c>
      <c r="X30">
        <f t="shared" si="3"/>
        <v>8.4662666870847954</v>
      </c>
      <c r="Y30">
        <f t="shared" si="4"/>
        <v>1109732.18729173</v>
      </c>
      <c r="Z30">
        <f>0.25/(LOG((V30/O$2/3.7)+(5.74/(Y30^0.9))))^2</f>
        <v>0.43198736969228685</v>
      </c>
      <c r="AA30">
        <f>Z30/O$2*(X30^2)/(2)</f>
        <v>90.856363930243404</v>
      </c>
    </row>
    <row r="31" spans="1:27" x14ac:dyDescent="0.2">
      <c r="K31">
        <f>AVERAGE(J26:J30)</f>
        <v>118.63361301318605</v>
      </c>
    </row>
    <row r="32" spans="1:27" x14ac:dyDescent="0.2">
      <c r="K32">
        <f>STDEV(J26:J30)</f>
        <v>15.078143565804087</v>
      </c>
      <c r="S32">
        <f>(SUM(S26:S30)/COUNT(S26:S30))^0.5</f>
        <v>0.98329026637509043</v>
      </c>
      <c r="T32" s="9">
        <f>AVERAGE(V26:V30)</f>
        <v>0.1186326</v>
      </c>
      <c r="U32">
        <f>STDEV(V26:V30)</f>
        <v>1.5078607853512229E-2</v>
      </c>
    </row>
  </sheetData>
  <mergeCells count="2">
    <mergeCell ref="O9:P9"/>
    <mergeCell ref="O11:P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workbookViewId="0">
      <selection activeCell="C2" sqref="C2"/>
    </sheetView>
  </sheetViews>
  <sheetFormatPr baseColWidth="10" defaultRowHeight="12.75" x14ac:dyDescent="0.2"/>
  <cols>
    <col min="7" max="7" width="16.28515625" customWidth="1"/>
    <col min="14" max="14" width="13.7109375" customWidth="1"/>
    <col min="19" max="21" width="12.42578125" bestFit="1" customWidth="1"/>
  </cols>
  <sheetData>
    <row r="1" spans="1:36" ht="25.5" x14ac:dyDescent="0.2">
      <c r="A1" s="98" t="s">
        <v>76</v>
      </c>
      <c r="B1" s="98"/>
      <c r="C1" s="98"/>
      <c r="D1" s="98"/>
      <c r="E1" s="98"/>
      <c r="F1" s="98"/>
      <c r="G1" s="98"/>
      <c r="H1" s="99" t="s">
        <v>89</v>
      </c>
      <c r="I1" s="99"/>
      <c r="J1" s="100"/>
      <c r="K1" s="100"/>
      <c r="L1" s="101" t="s">
        <v>88</v>
      </c>
      <c r="M1" s="101"/>
      <c r="N1" s="101"/>
      <c r="O1" s="101"/>
      <c r="T1" t="s">
        <v>6</v>
      </c>
      <c r="U1" t="s">
        <v>99</v>
      </c>
      <c r="V1" t="s">
        <v>7</v>
      </c>
      <c r="W1" t="s">
        <v>8</v>
      </c>
      <c r="X1" t="s">
        <v>23</v>
      </c>
      <c r="Y1" t="s">
        <v>107</v>
      </c>
      <c r="Z1" t="s">
        <v>75</v>
      </c>
      <c r="AA1" t="s">
        <v>28</v>
      </c>
    </row>
    <row r="2" spans="1:36" x14ac:dyDescent="0.2">
      <c r="A2" s="15" t="s">
        <v>0</v>
      </c>
      <c r="B2" s="15" t="s">
        <v>1</v>
      </c>
      <c r="C2" s="15" t="s">
        <v>3</v>
      </c>
      <c r="D2" s="15" t="s">
        <v>4</v>
      </c>
      <c r="E2" s="15" t="s">
        <v>21</v>
      </c>
      <c r="F2" s="15" t="s">
        <v>24</v>
      </c>
      <c r="G2" s="15" t="s">
        <v>74</v>
      </c>
      <c r="H2" t="s">
        <v>75</v>
      </c>
      <c r="I2" t="s">
        <v>28</v>
      </c>
      <c r="J2" s="15" t="s">
        <v>96</v>
      </c>
      <c r="L2" t="s">
        <v>75</v>
      </c>
      <c r="M2" t="s">
        <v>28</v>
      </c>
      <c r="N2" s="15" t="s">
        <v>97</v>
      </c>
      <c r="O2" t="s">
        <v>90</v>
      </c>
      <c r="P2" t="s">
        <v>78</v>
      </c>
      <c r="Q2" s="15" t="s">
        <v>98</v>
      </c>
      <c r="R2" s="15" t="s">
        <v>100</v>
      </c>
      <c r="S2" s="15" t="s">
        <v>101</v>
      </c>
      <c r="T2">
        <v>1.1000000000000001</v>
      </c>
      <c r="U2">
        <v>9.8066499999999994</v>
      </c>
      <c r="V2">
        <v>0.1704</v>
      </c>
      <c r="W2">
        <v>2.2804946736114454E-2</v>
      </c>
      <c r="X2">
        <v>1.3E-6</v>
      </c>
    </row>
    <row r="3" spans="1:36" x14ac:dyDescent="0.2">
      <c r="A3" s="15" t="s">
        <v>9</v>
      </c>
      <c r="B3" s="15">
        <v>245.82078929298001</v>
      </c>
      <c r="C3" s="15">
        <v>2.994243019793942</v>
      </c>
      <c r="D3" s="15">
        <v>0.378535020600063</v>
      </c>
      <c r="E3" s="15">
        <v>0.34412274600005727</v>
      </c>
      <c r="F3" s="23">
        <v>392476.16197914432</v>
      </c>
      <c r="G3" s="15">
        <f>D3/10*2*U$2*V$2/(T$2*C3^2)</f>
        <v>1.2828017681423234E-2</v>
      </c>
      <c r="H3" s="9">
        <f>0.25/(LOG((ABS(J3/1000)/V$2/3.7)+(5.74/(F3^0.9))))^2</f>
        <v>1.4553276987038719E-2</v>
      </c>
      <c r="I3" s="9">
        <f>H3/V$2*(C3^2)/(2)</f>
        <v>0.38285586166290497</v>
      </c>
      <c r="J3" s="9">
        <f>3.7*V$2*((10^(-1/(2*G3^0.5)))-(2.54/(F3*G3^0.5)))*1000</f>
        <v>-1.1754934565138589E-2</v>
      </c>
      <c r="L3">
        <f>0.25/(LOG((ABS(N3)/V$2/3.7)+(5.74/(F3^0.9))))^2</f>
        <v>1.3838966997560053E-2</v>
      </c>
      <c r="M3">
        <f>L3/V$2*(C3^2)/(2)</f>
        <v>0.36406437114432022</v>
      </c>
      <c r="N3">
        <v>1.9999999999999999E-6</v>
      </c>
      <c r="O3">
        <f>N3*1000</f>
        <v>2E-3</v>
      </c>
      <c r="P3" s="7">
        <f>B3*1000/3600</f>
        <v>68.283552581383333</v>
      </c>
      <c r="Q3">
        <f t="shared" ref="Q3:Q63" si="0">N3*1000</f>
        <v>2E-3</v>
      </c>
      <c r="R3">
        <f>J3/V$2</f>
        <v>-6.8984357776634905E-2</v>
      </c>
      <c r="S3">
        <f>Q3/(V$2*1000)</f>
        <v>1.1737089201877934E-5</v>
      </c>
      <c r="Y3">
        <v>1E-3</v>
      </c>
      <c r="Z3">
        <f>0.25/(LOG((ABS(Y3)/V$2/3.7)+(5.74/(F3^0.9))))^2</f>
        <v>3.222315472889925E-2</v>
      </c>
      <c r="AA3">
        <f>Z3/V$2*(C3^2)/(2)</f>
        <v>0.84770073985516248</v>
      </c>
    </row>
    <row r="4" spans="1:36" x14ac:dyDescent="0.2">
      <c r="A4" s="15" t="s">
        <v>9</v>
      </c>
      <c r="B4" s="15">
        <v>395.45157636017899</v>
      </c>
      <c r="C4" s="15">
        <v>4.8168347583155002</v>
      </c>
      <c r="D4" s="15">
        <v>0.89732416207585897</v>
      </c>
      <c r="E4" s="15">
        <v>0.81574923825078083</v>
      </c>
      <c r="F4" s="23">
        <v>631375.87908997014</v>
      </c>
      <c r="G4" s="15">
        <f t="shared" ref="G4:G63" si="1">D4/10*2*U$2*V$2/(T$2*C4^2)</f>
        <v>1.1750421417029283E-2</v>
      </c>
      <c r="H4" s="9">
        <f t="shared" ref="H4:H63" si="2">0.25/(LOG((ABS(J4/1000)/V$2/3.7)+(5.74/(F4^0.9))))^2</f>
        <v>1.3362778309451906E-2</v>
      </c>
      <c r="I4" s="9">
        <f>H4/V$2*(C4^2)/(2)</f>
        <v>0.90974708673094662</v>
      </c>
      <c r="J4" s="9">
        <f>3.7*V$2*((10^(-1/(2*G4^0.5)))-(2.54/(F4*G4^0.5)))*1000</f>
        <v>-8.0136069613083137E-3</v>
      </c>
      <c r="L4">
        <f>0.25/(LOG((ABS(N4)/V$2/3.7)+(5.74/(F4^0.9))))^2</f>
        <v>1.2778026139138782E-2</v>
      </c>
      <c r="M4">
        <f>L4/V$2*(C4^2)/(2)</f>
        <v>0.86993675903691625</v>
      </c>
      <c r="N4">
        <v>1.9999999999999999E-6</v>
      </c>
      <c r="O4">
        <f t="shared" ref="O4:O63" si="3">N4*1000</f>
        <v>2E-3</v>
      </c>
      <c r="P4" s="7">
        <f t="shared" ref="P4:P63" si="4">B4*1000/3600</f>
        <v>109.84766010004972</v>
      </c>
      <c r="Q4">
        <f t="shared" si="0"/>
        <v>2E-3</v>
      </c>
      <c r="R4">
        <f t="shared" ref="R4:R63" si="5">J4/V$2</f>
        <v>-4.7028209866832829E-2</v>
      </c>
      <c r="S4">
        <f t="shared" ref="S4:S63" si="6">Q4/(V$2*1000)</f>
        <v>1.1737089201877934E-5</v>
      </c>
      <c r="Y4">
        <v>1E-3</v>
      </c>
      <c r="Z4">
        <f>0.25/(LOG((ABS(Y4)/V$2/3.7)+(5.74/(F4^0.9))))^2</f>
        <v>3.2109655405440023E-2</v>
      </c>
      <c r="AA4">
        <f>Z4/V$2*(C4^2)/(2)</f>
        <v>2.1860473012839958</v>
      </c>
    </row>
    <row r="5" spans="1:36" x14ac:dyDescent="0.2">
      <c r="A5" s="15" t="s">
        <v>9</v>
      </c>
      <c r="B5" s="15">
        <v>704.11057418514099</v>
      </c>
      <c r="C5" s="15">
        <v>8.5764844298999634</v>
      </c>
      <c r="D5" s="15">
        <v>2.7529930142777399</v>
      </c>
      <c r="E5" s="15">
        <v>2.5027209220706723</v>
      </c>
      <c r="F5" s="23">
        <v>1124179.1898884259</v>
      </c>
      <c r="G5" s="15">
        <f t="shared" si="1"/>
        <v>1.1371403726556355E-2</v>
      </c>
      <c r="H5" s="9">
        <f t="shared" si="2"/>
        <v>1.1453388725958323E-2</v>
      </c>
      <c r="I5" s="9">
        <f>H5/V$2*(C5^2)/(2)</f>
        <v>2.4720259292372462</v>
      </c>
      <c r="J5" s="9">
        <f>3.7*V$2*((10^(-1/(2*G5^0.5)))-(2.54/(F5*G5^0.5)))*1000</f>
        <v>-4.5068217986701537E-4</v>
      </c>
      <c r="L5">
        <f>0.25/(LOG((ABS(N5)/V$2/3.7)+(5.74/(F5^0.9))))^2</f>
        <v>1.1615423396815339E-2</v>
      </c>
      <c r="M5">
        <f>L5/V$2*(C5^2)/(2)</f>
        <v>2.5069984528612932</v>
      </c>
      <c r="N5">
        <v>1.5E-6</v>
      </c>
      <c r="O5">
        <f t="shared" si="3"/>
        <v>1.5E-3</v>
      </c>
      <c r="P5" s="7">
        <f t="shared" si="4"/>
        <v>195.58627060698362</v>
      </c>
      <c r="Q5">
        <f t="shared" si="0"/>
        <v>1.5E-3</v>
      </c>
      <c r="R5">
        <f t="shared" si="5"/>
        <v>-2.6448484733979775E-3</v>
      </c>
      <c r="S5">
        <f t="shared" si="6"/>
        <v>8.8028169014084512E-6</v>
      </c>
      <c r="Y5">
        <v>1E-3</v>
      </c>
      <c r="Z5">
        <f>0.25/(LOG((ABS(Y5)/V$2/3.7)+(5.74/(F5^0.9))))^2</f>
        <v>3.2023112457279443E-2</v>
      </c>
      <c r="AA5">
        <f>Z5/V$2*(C5^2)/(2)</f>
        <v>6.9116631089155192</v>
      </c>
    </row>
    <row r="6" spans="1:36" x14ac:dyDescent="0.2">
      <c r="A6" s="15" t="s">
        <v>9</v>
      </c>
      <c r="B6" s="15">
        <v>905.19135452713601</v>
      </c>
      <c r="C6" s="15">
        <v>11.025767603570628</v>
      </c>
      <c r="D6" s="15">
        <v>4.4091275812966302</v>
      </c>
      <c r="E6" s="15">
        <v>4.0082978011787542</v>
      </c>
      <c r="F6" s="23">
        <v>1445223.6920372576</v>
      </c>
      <c r="G6" s="15">
        <f t="shared" si="1"/>
        <v>1.1019517359890707E-2</v>
      </c>
      <c r="H6" s="9">
        <f t="shared" si="2"/>
        <v>1.09799166250431E-2</v>
      </c>
      <c r="I6" s="9">
        <f>H6/V$2*(C6^2)/(2)</f>
        <v>3.9166712940525787</v>
      </c>
      <c r="J6" s="9">
        <f>3.7*V$2*((10^(-1/(2*G6^0.5)))-(2.54/(F6*G6^0.5)))*1000</f>
        <v>3.2308762342289252E-4</v>
      </c>
      <c r="L6">
        <f>0.25/(LOG((ABS(N6)/V$2/3.7)+(5.74/(F6^0.9))))^2</f>
        <v>1.1174721891319902E-2</v>
      </c>
      <c r="M6">
        <f>L6/V$2*(C6^2)/(2)</f>
        <v>3.9861607282998657</v>
      </c>
      <c r="N6">
        <v>1.3999999999999999E-6</v>
      </c>
      <c r="O6">
        <f t="shared" si="3"/>
        <v>1.4E-3</v>
      </c>
      <c r="P6" s="7">
        <f t="shared" si="4"/>
        <v>251.44204292420443</v>
      </c>
      <c r="Q6">
        <f t="shared" si="0"/>
        <v>1.4E-3</v>
      </c>
      <c r="R6">
        <f t="shared" si="5"/>
        <v>1.8960541280686181E-3</v>
      </c>
      <c r="S6">
        <f t="shared" si="6"/>
        <v>8.2159624413145535E-6</v>
      </c>
      <c r="Y6">
        <v>1E-3</v>
      </c>
      <c r="Z6">
        <f>0.25/(LOG((ABS(Y6)/V$2/3.7)+(5.74/(F6^0.9))))^2</f>
        <v>3.1997308456509249E-2</v>
      </c>
      <c r="AA6">
        <f>Z6/V$2*(C6^2)/(2)</f>
        <v>11.413833437743765</v>
      </c>
    </row>
    <row r="7" spans="1:36" x14ac:dyDescent="0.2">
      <c r="A7" s="15" t="s">
        <v>9</v>
      </c>
      <c r="B7" s="15">
        <v>1124.36940509991</v>
      </c>
      <c r="C7" s="15">
        <v>13.695486262871642</v>
      </c>
      <c r="D7" s="15">
        <v>6.6131129047407402</v>
      </c>
      <c r="E7" s="15">
        <v>6.0119208224915814</v>
      </c>
      <c r="F7" s="23">
        <v>1795162.1993794828</v>
      </c>
      <c r="G7" s="15">
        <f t="shared" si="1"/>
        <v>1.0712198228220225E-2</v>
      </c>
      <c r="H7" s="9">
        <f t="shared" si="2"/>
        <v>1.0689356982699769E-2</v>
      </c>
      <c r="I7" s="9">
        <f>H7/V$2*(C7^2)/(2)</f>
        <v>5.8831091804716236</v>
      </c>
      <c r="J7" s="9">
        <f>3.7*V$2*((10^(-1/(2*G7^0.5)))-(2.54/(F7*G7^0.5)))*1000</f>
        <v>6.8644167202202742E-4</v>
      </c>
      <c r="L7">
        <f>0.25/(LOG((ABS(N7)/V$2/3.7)+(5.74/(F7^0.9))))^2</f>
        <v>1.0814450465747137E-2</v>
      </c>
      <c r="M7">
        <f>L7/V$2*(C7^2)/(2)</f>
        <v>5.951956971758249</v>
      </c>
      <c r="N7">
        <v>1.3E-6</v>
      </c>
      <c r="O7">
        <f t="shared" si="3"/>
        <v>1.2999999999999999E-3</v>
      </c>
      <c r="P7" s="7">
        <f t="shared" si="4"/>
        <v>312.32483474997497</v>
      </c>
      <c r="Q7">
        <f t="shared" si="0"/>
        <v>1.2999999999999999E-3</v>
      </c>
      <c r="R7">
        <f t="shared" si="5"/>
        <v>4.0284135682043861E-3</v>
      </c>
      <c r="S7">
        <f t="shared" si="6"/>
        <v>7.6291079812206567E-6</v>
      </c>
      <c r="Y7">
        <v>1E-3</v>
      </c>
      <c r="Z7">
        <f>0.25/(LOG((ABS(Y7)/V$2/3.7)+(5.74/(F7^0.9))))^2</f>
        <v>3.1979254377369509E-2</v>
      </c>
      <c r="AA7">
        <f>Z7/V$2*(C7^2)/(2)</f>
        <v>17.60044550075666</v>
      </c>
    </row>
    <row r="8" spans="1:36" x14ac:dyDescent="0.2">
      <c r="A8" s="15"/>
      <c r="B8" s="15"/>
      <c r="C8" s="15"/>
      <c r="D8" s="15"/>
      <c r="E8" s="15"/>
      <c r="F8" s="23"/>
      <c r="G8" s="15"/>
      <c r="H8" s="9"/>
      <c r="I8" s="9"/>
      <c r="J8" s="9"/>
      <c r="K8" s="1">
        <f>AVERAGE(J3:J7)</f>
        <v>-3.8419388821737989E-3</v>
      </c>
      <c r="N8" s="1"/>
      <c r="P8" s="25">
        <f>AVERAGE(O3:O7)</f>
        <v>1.6399999999999997E-3</v>
      </c>
      <c r="Q8">
        <f>STDEV(O3:O7)</f>
        <v>3.3615472627943223E-4</v>
      </c>
      <c r="T8" s="1">
        <f>AVERAGE(S3:S7)</f>
        <v>9.6244131455399058E-6</v>
      </c>
      <c r="U8" s="1">
        <f>STDEV(S3:S7)</f>
        <v>1.9727390039872786E-6</v>
      </c>
      <c r="V8" s="1"/>
      <c r="W8" s="1"/>
      <c r="X8" s="1"/>
      <c r="Y8" s="2"/>
      <c r="AB8" s="1"/>
      <c r="AC8" s="4"/>
      <c r="AD8" s="1"/>
      <c r="AE8" s="5"/>
      <c r="AF8" s="5"/>
      <c r="AG8" s="5"/>
      <c r="AH8" s="5"/>
      <c r="AI8" s="5"/>
      <c r="AJ8" s="5"/>
    </row>
    <row r="9" spans="1:36" x14ac:dyDescent="0.2">
      <c r="A9" s="15"/>
      <c r="B9" s="15"/>
      <c r="C9" s="15"/>
      <c r="D9" s="15"/>
      <c r="E9" s="15"/>
      <c r="F9" s="23"/>
      <c r="G9" s="15"/>
      <c r="H9" s="9"/>
      <c r="I9" s="9"/>
      <c r="J9" s="9"/>
      <c r="K9">
        <f>STDEV(J3:J7)</f>
        <v>5.687104129035528E-3</v>
      </c>
      <c r="P9" s="7"/>
      <c r="AG9" s="7"/>
    </row>
    <row r="10" spans="1:36" x14ac:dyDescent="0.2">
      <c r="A10" s="15"/>
      <c r="B10" s="15"/>
      <c r="C10" s="15"/>
      <c r="D10" s="15"/>
      <c r="E10" s="15"/>
      <c r="F10" s="23"/>
      <c r="G10" s="15"/>
      <c r="H10" s="9"/>
      <c r="I10" s="9"/>
      <c r="J10" s="9"/>
      <c r="P10" s="7"/>
      <c r="AG10" s="7"/>
    </row>
    <row r="11" spans="1:36" x14ac:dyDescent="0.2">
      <c r="A11" s="15" t="s">
        <v>112</v>
      </c>
      <c r="B11" s="15">
        <v>209.85867691863001</v>
      </c>
      <c r="C11" s="15">
        <v>2.5562031604978839</v>
      </c>
      <c r="D11" s="15">
        <v>1.3511873031797501</v>
      </c>
      <c r="E11" s="15">
        <v>1.2283520937997727</v>
      </c>
      <c r="F11" s="23">
        <v>335059.24503756873</v>
      </c>
      <c r="G11" s="15">
        <f t="shared" si="1"/>
        <v>6.2827878785084168E-2</v>
      </c>
      <c r="H11" s="9">
        <f t="shared" si="2"/>
        <v>6.2911338684159129E-2</v>
      </c>
      <c r="I11" s="9">
        <f>H11/V$2*(C11^2)/(2)</f>
        <v>1.2062020866778485</v>
      </c>
      <c r="J11" s="9">
        <f>3.7*V$2*((10^(-1/(2*G11^0.5)))-(2.54/(F11*G11^0.5)))*1000</f>
        <v>6.3620506185438161</v>
      </c>
      <c r="L11">
        <f>0.25/(LOG((ABS(N11)/V$2/3.7)+(5.74/(F11^0.9))))^2</f>
        <v>6.1345071176350428E-2</v>
      </c>
      <c r="M11">
        <f>L11/V$2*(C11^2)/(2)</f>
        <v>1.1761719653081648</v>
      </c>
      <c r="N11">
        <v>6.0000000000000001E-3</v>
      </c>
      <c r="O11">
        <f t="shared" si="3"/>
        <v>6</v>
      </c>
      <c r="P11" s="7">
        <f t="shared" si="4"/>
        <v>58.294076921841672</v>
      </c>
      <c r="Q11">
        <f t="shared" si="0"/>
        <v>6</v>
      </c>
      <c r="R11">
        <f t="shared" si="5"/>
        <v>37.335977808355729</v>
      </c>
      <c r="S11">
        <f t="shared" si="6"/>
        <v>3.5211267605633804E-2</v>
      </c>
      <c r="Y11">
        <v>7.0000000000000001E-3</v>
      </c>
      <c r="Z11">
        <f>0.25/(LOG((ABS(Y11)/V$2/3.7)+(5.74/(F11^0.9))))^2</f>
        <v>6.5598899963127844E-2</v>
      </c>
      <c r="AA11">
        <f>Z11/V$2*(C11^2)/(2)</f>
        <v>1.2577308268154814</v>
      </c>
      <c r="AG11" s="7"/>
    </row>
    <row r="12" spans="1:36" x14ac:dyDescent="0.2">
      <c r="A12" s="15" t="s">
        <v>112</v>
      </c>
      <c r="B12" s="15">
        <v>401.48399977043903</v>
      </c>
      <c r="C12" s="15">
        <v>4.8903132535256226</v>
      </c>
      <c r="D12" s="15">
        <v>2.6174467261195402</v>
      </c>
      <c r="E12" s="15">
        <v>2.3794970237450364</v>
      </c>
      <c r="F12" s="23">
        <v>641007.21415443532</v>
      </c>
      <c r="G12" s="15">
        <f t="shared" si="1"/>
        <v>3.3253094711721123E-2</v>
      </c>
      <c r="H12" s="9">
        <f t="shared" si="2"/>
        <v>3.3324883597755914E-2</v>
      </c>
      <c r="I12" s="9">
        <f>H12/V$2*(C12^2)/(2)</f>
        <v>2.3385271335404174</v>
      </c>
      <c r="J12" s="9">
        <f>3.7*V$2*((10^(-1/(2*G12^0.5)))-(2.54/(F12*G12^0.5)))*1000</f>
        <v>1.1285373588793213</v>
      </c>
      <c r="L12">
        <f>0.25/(LOG((ABS(N12)/V$2/3.7)+(5.74/(F12^0.9))))^2</f>
        <v>3.3319945001187984E-2</v>
      </c>
      <c r="M12">
        <f>L12/V$2*(C12^2)/(2)</f>
        <v>2.3381805744281601</v>
      </c>
      <c r="N12">
        <v>1.1280000000000001E-3</v>
      </c>
      <c r="O12">
        <f t="shared" si="3"/>
        <v>1.1280000000000001</v>
      </c>
      <c r="P12" s="7">
        <f t="shared" si="4"/>
        <v>111.52333326956641</v>
      </c>
      <c r="Q12">
        <f t="shared" si="0"/>
        <v>1.1280000000000001</v>
      </c>
      <c r="R12">
        <f t="shared" si="5"/>
        <v>6.6228718244091622</v>
      </c>
      <c r="S12">
        <f t="shared" si="6"/>
        <v>6.619718309859155E-3</v>
      </c>
      <c r="Y12">
        <v>7.0000000000000001E-3</v>
      </c>
      <c r="Z12">
        <f>0.25/(LOG((ABS(Y12)/V$2/3.7)+(5.74/(F12^0.9))))^2</f>
        <v>6.5528181716740269E-2</v>
      </c>
      <c r="AA12">
        <f>Z12/V$2*(C12^2)/(2)</f>
        <v>4.5983485735711103</v>
      </c>
      <c r="AG12" s="7"/>
    </row>
    <row r="13" spans="1:36" x14ac:dyDescent="0.2">
      <c r="A13" s="15" t="s">
        <v>112</v>
      </c>
      <c r="B13" s="15">
        <v>696.06734297146204</v>
      </c>
      <c r="C13" s="15">
        <v>8.4785131029531478</v>
      </c>
      <c r="D13" s="15">
        <v>5.6000842877922103</v>
      </c>
      <c r="E13" s="15">
        <v>5.0909857161747363</v>
      </c>
      <c r="F13" s="23">
        <v>1111337.4098024741</v>
      </c>
      <c r="G13" s="15">
        <f t="shared" si="1"/>
        <v>2.3669154736580163E-2</v>
      </c>
      <c r="H13" s="9">
        <f t="shared" si="2"/>
        <v>2.3735584826705687E-2</v>
      </c>
      <c r="I13" s="9">
        <f>H13/V$2*(C13^2)/(2)</f>
        <v>5.0065636531296001</v>
      </c>
      <c r="J13" s="9">
        <f>3.7*V$2*((10^(-1/(2*G13^0.5)))-(2.54/(F13*G13^0.5)))*1000</f>
        <v>0.34520757025085186</v>
      </c>
      <c r="L13">
        <f>0.25/(LOG((ABS(N13)/V$2/3.7)+(5.74/(F13^0.9))))^2</f>
        <v>2.3735450612219915E-2</v>
      </c>
      <c r="M13">
        <f>L13/V$2*(C13^2)/(2)</f>
        <v>5.006535343173427</v>
      </c>
      <c r="N13">
        <v>3.4519999999999999E-4</v>
      </c>
      <c r="O13">
        <f t="shared" si="3"/>
        <v>0.34520000000000001</v>
      </c>
      <c r="P13" s="7">
        <f t="shared" si="4"/>
        <v>193.35203971429502</v>
      </c>
      <c r="Q13">
        <f t="shared" si="0"/>
        <v>0.34520000000000001</v>
      </c>
      <c r="R13">
        <f t="shared" si="5"/>
        <v>2.0258660225988958</v>
      </c>
      <c r="S13">
        <f t="shared" si="6"/>
        <v>2.0258215962441315E-3</v>
      </c>
      <c r="Y13">
        <v>7.0000000000000001E-3</v>
      </c>
      <c r="Z13">
        <f>0.25/(LOG((ABS(Y13)/V$2/3.7)+(5.74/(F13^0.9))))^2</f>
        <v>6.5493326965454859E-2</v>
      </c>
      <c r="AA13">
        <f>Z13/V$2*(C13^2)/(2)</f>
        <v>13.814553662855271</v>
      </c>
      <c r="AG13" s="7"/>
    </row>
    <row r="14" spans="1:36" x14ac:dyDescent="0.2">
      <c r="A14" s="15" t="s">
        <v>112</v>
      </c>
      <c r="B14" s="15">
        <v>1008.74795640326</v>
      </c>
      <c r="C14" s="15">
        <v>12.287148438010977</v>
      </c>
      <c r="D14" s="15">
        <v>12.5230888114975</v>
      </c>
      <c r="E14" s="15">
        <v>11.384626192270453</v>
      </c>
      <c r="F14" s="23">
        <v>1610561.6106439002</v>
      </c>
      <c r="G14" s="15">
        <f t="shared" si="1"/>
        <v>2.5202105614057953E-2</v>
      </c>
      <c r="H14" s="9">
        <f t="shared" si="2"/>
        <v>2.5250522895402749E-2</v>
      </c>
      <c r="I14" s="9">
        <f>H14/V$2*(C14^2)/(2)</f>
        <v>11.185953246028772</v>
      </c>
      <c r="J14" s="9">
        <f>3.7*V$2*((10^(-1/(2*G14^0.5)))-(2.54/(F14*G14^0.5)))*1000</f>
        <v>0.44052199219326077</v>
      </c>
      <c r="L14">
        <f>0.25/(LOG((ABS(N14)/V$2/3.7)+(5.74/(F14^0.9))))^2</f>
        <v>2.5250492030715582E-2</v>
      </c>
      <c r="M14">
        <f>L14/V$2*(C14^2)/(2)</f>
        <v>11.185939573007067</v>
      </c>
      <c r="N14">
        <v>4.4052000000000002E-4</v>
      </c>
      <c r="O14">
        <f t="shared" si="3"/>
        <v>0.44052000000000002</v>
      </c>
      <c r="P14" s="7">
        <f t="shared" si="4"/>
        <v>280.20776566757223</v>
      </c>
      <c r="Q14">
        <f t="shared" si="0"/>
        <v>0.44052000000000002</v>
      </c>
      <c r="R14">
        <f t="shared" si="5"/>
        <v>2.5852229588806384</v>
      </c>
      <c r="S14">
        <f t="shared" si="6"/>
        <v>2.5852112676056339E-3</v>
      </c>
      <c r="Y14">
        <v>7.0000000000000001E-3</v>
      </c>
      <c r="Z14">
        <f>0.25/(LOG((ABS(Y14)/V$2/3.7)+(5.74/(F14^0.9))))^2</f>
        <v>6.5477883844809237E-2</v>
      </c>
      <c r="AA14">
        <f>Z14/V$2*(C14^2)/(2)</f>
        <v>29.006628907090455</v>
      </c>
      <c r="AG14" s="7"/>
    </row>
    <row r="15" spans="1:36" x14ac:dyDescent="0.2">
      <c r="A15" s="15" t="s">
        <v>112</v>
      </c>
      <c r="B15" s="15">
        <v>1381.75280393767</v>
      </c>
      <c r="C15" s="15">
        <v>16.830568725170171</v>
      </c>
      <c r="D15" s="15">
        <v>22.885503244939201</v>
      </c>
      <c r="E15" s="15">
        <v>20.805002949944726</v>
      </c>
      <c r="F15" s="23">
        <v>2206099.1621299977</v>
      </c>
      <c r="G15" s="15">
        <f t="shared" si="1"/>
        <v>2.454654996018666E-2</v>
      </c>
      <c r="H15" s="9">
        <f t="shared" si="2"/>
        <v>2.4586569148166527E-2</v>
      </c>
      <c r="I15" s="9">
        <f>H15/V$2*(C15^2)/(2)</f>
        <v>20.436001589638838</v>
      </c>
      <c r="J15" s="9">
        <f>3.7*V$2*((10^(-1/(2*G15^0.5)))-(2.54/(F15*G15^0.5)))*1000</f>
        <v>0.40117310514006593</v>
      </c>
      <c r="L15">
        <f>0.25/(LOG((ABS(N15)/V$2/3.7)+(5.74/(F15^0.9))))^2</f>
        <v>2.4586518208485449E-2</v>
      </c>
      <c r="M15">
        <f>L15/V$2*(C15^2)/(2)</f>
        <v>20.435959249310788</v>
      </c>
      <c r="N15">
        <v>4.0117000000000001E-4</v>
      </c>
      <c r="O15">
        <f t="shared" si="3"/>
        <v>0.40117000000000003</v>
      </c>
      <c r="P15" s="7">
        <f t="shared" si="4"/>
        <v>383.82022331601945</v>
      </c>
      <c r="Q15">
        <f t="shared" si="0"/>
        <v>0.40117000000000003</v>
      </c>
      <c r="R15">
        <f t="shared" si="5"/>
        <v>2.3543022602116546</v>
      </c>
      <c r="S15">
        <f t="shared" si="6"/>
        <v>2.3542840375586857E-3</v>
      </c>
      <c r="Y15">
        <v>7.0000000000000001E-3</v>
      </c>
      <c r="Z15">
        <f>0.25/(LOG((ABS(Y15)/V$2/3.7)+(5.74/(F15^0.9))))^2</f>
        <v>6.5468275398975803E-2</v>
      </c>
      <c r="AA15">
        <f>Z15/V$2*(C15^2)/(2)</f>
        <v>54.416286065034562</v>
      </c>
      <c r="AG15" s="7"/>
    </row>
    <row r="16" spans="1:36" x14ac:dyDescent="0.2">
      <c r="A16" s="15"/>
      <c r="B16" s="15"/>
      <c r="C16" s="15"/>
      <c r="D16" s="15"/>
      <c r="E16" s="15"/>
      <c r="F16" s="23"/>
      <c r="G16" s="15"/>
      <c r="H16" s="9"/>
      <c r="I16" s="9"/>
      <c r="J16" s="9"/>
      <c r="K16">
        <f>AVERAGE(J11:J15)</f>
        <v>1.7354981290014631</v>
      </c>
      <c r="P16" s="24">
        <f>AVERAGE(O11:O15)</f>
        <v>1.6629780000000001</v>
      </c>
      <c r="Q16">
        <f>STDEV(O11:O15)</f>
        <v>2.4453559626810981</v>
      </c>
      <c r="T16">
        <f>AVERAGE(S11:S15)</f>
        <v>9.7592605633802822E-3</v>
      </c>
      <c r="AG16" s="7"/>
    </row>
    <row r="17" spans="1:33" x14ac:dyDescent="0.2">
      <c r="A17" s="15"/>
      <c r="B17" s="15"/>
      <c r="C17" s="15"/>
      <c r="D17" s="15"/>
      <c r="E17" s="15"/>
      <c r="F17" s="23"/>
      <c r="G17" s="15"/>
      <c r="H17" s="9"/>
      <c r="I17" s="9"/>
      <c r="J17" s="9"/>
      <c r="K17">
        <f>STDEV(J11:J15)</f>
        <v>2.6059395434715245</v>
      </c>
      <c r="P17" s="7"/>
      <c r="AG17" s="7"/>
    </row>
    <row r="18" spans="1:33" x14ac:dyDescent="0.2">
      <c r="A18" s="15"/>
      <c r="B18" s="15"/>
      <c r="C18" s="15"/>
      <c r="D18" s="15"/>
      <c r="E18" s="15"/>
      <c r="F18" s="23"/>
      <c r="G18" s="15"/>
      <c r="H18" s="9"/>
      <c r="I18" s="9"/>
      <c r="J18" s="9"/>
      <c r="P18" s="7"/>
      <c r="AG18" s="7"/>
    </row>
    <row r="19" spans="1:33" x14ac:dyDescent="0.2">
      <c r="A19" s="15" t="s">
        <v>113</v>
      </c>
      <c r="B19" s="15">
        <v>207.86078178672099</v>
      </c>
      <c r="C19" s="15">
        <v>2.5318676127592057</v>
      </c>
      <c r="D19" s="15">
        <v>2.3162958720581499</v>
      </c>
      <c r="E19" s="15">
        <v>2.1057235200528632</v>
      </c>
      <c r="F19" s="23">
        <v>331869.41631859122</v>
      </c>
      <c r="G19" s="15">
        <f t="shared" si="1"/>
        <v>0.10978414474931389</v>
      </c>
      <c r="H19" s="9">
        <f t="shared" si="2"/>
        <v>0.10986282425764174</v>
      </c>
      <c r="I19" s="9">
        <f>H19/V$2*(C19^2)/(2)</f>
        <v>2.066489295552405</v>
      </c>
      <c r="J19" s="9">
        <f>3.7*V$2*((10^(-1/(2*G19^0.5)))-(2.54/(F19*G19^0.5)))*1000</f>
        <v>19.512334367158797</v>
      </c>
      <c r="L19">
        <f>0.25/(LOG((ABS(N19)/V$2/3.7)+(5.74/(F19^0.9))))^2</f>
        <v>0.10986174239816897</v>
      </c>
      <c r="M19">
        <f>L19/V$2*(C19^2)/(2)</f>
        <v>2.0664689460753651</v>
      </c>
      <c r="N19">
        <v>1.9512000000000002E-2</v>
      </c>
      <c r="O19">
        <f t="shared" si="3"/>
        <v>19.512</v>
      </c>
      <c r="P19" s="7">
        <f t="shared" si="4"/>
        <v>57.739106051866941</v>
      </c>
      <c r="Q19">
        <f t="shared" si="0"/>
        <v>19.512</v>
      </c>
      <c r="R19">
        <f t="shared" si="5"/>
        <v>114.50900450210561</v>
      </c>
      <c r="S19">
        <f t="shared" si="6"/>
        <v>0.11450704225352112</v>
      </c>
      <c r="Y19">
        <v>0.05</v>
      </c>
      <c r="Z19">
        <f>0.25/(LOG((ABS(Y19)/V$2/3.7)+(5.74/(F19^0.9))))^2</f>
        <v>0.20647499466719466</v>
      </c>
      <c r="AA19">
        <f>Z19/V$2*(C19^2)/(2)</f>
        <v>3.8837374622591607</v>
      </c>
      <c r="AG19" s="7"/>
    </row>
    <row r="20" spans="1:33" x14ac:dyDescent="0.2">
      <c r="A20" s="15" t="s">
        <v>113</v>
      </c>
      <c r="B20" s="15">
        <v>400.47859586872897</v>
      </c>
      <c r="C20" s="15">
        <v>4.8780668376572685</v>
      </c>
      <c r="D20" s="15">
        <v>5.7748816117778201</v>
      </c>
      <c r="E20" s="15">
        <v>5.2498923743434727</v>
      </c>
      <c r="F20" s="23">
        <v>639401.99164369109</v>
      </c>
      <c r="G20" s="15">
        <f t="shared" si="1"/>
        <v>7.3735251981898189E-2</v>
      </c>
      <c r="H20" s="9">
        <f t="shared" si="2"/>
        <v>7.3782422264290451E-2</v>
      </c>
      <c r="I20" s="9">
        <f>H20/V$2*(C20^2)/(2)</f>
        <v>5.1516792562134235</v>
      </c>
      <c r="J20" s="9">
        <f>3.7*V$2*((10^(-1/(2*G20^0.5)))-(2.54/(F20*G20^0.5)))*1000</f>
        <v>9.0760491115794117</v>
      </c>
      <c r="L20">
        <f>0.25/(LOG((ABS(N20)/V$2/3.7)+(5.74/(F20^0.9))))^2</f>
        <v>7.3782234319082179E-2</v>
      </c>
      <c r="M20">
        <f>L20/V$2*(C20^2)/(2)</f>
        <v>5.1516661333936371</v>
      </c>
      <c r="N20">
        <v>9.0760000000000007E-3</v>
      </c>
      <c r="O20">
        <f t="shared" si="3"/>
        <v>9.0760000000000005</v>
      </c>
      <c r="P20" s="7">
        <f t="shared" si="4"/>
        <v>111.24405440798027</v>
      </c>
      <c r="Q20">
        <f t="shared" si="0"/>
        <v>9.0760000000000005</v>
      </c>
      <c r="R20">
        <f t="shared" si="5"/>
        <v>53.263199011616265</v>
      </c>
      <c r="S20">
        <f t="shared" si="6"/>
        <v>5.3262910798122065E-2</v>
      </c>
      <c r="Y20">
        <v>0.05</v>
      </c>
      <c r="Z20">
        <f>0.25/(LOG((ABS(Y20)/V$2/3.7)+(5.74/(F20^0.9))))^2</f>
        <v>0.20641854418576089</v>
      </c>
      <c r="AA20">
        <f>Z20/V$2*(C20^2)/(2)</f>
        <v>14.412675804684559</v>
      </c>
      <c r="AG20" s="7"/>
    </row>
    <row r="21" spans="1:33" x14ac:dyDescent="0.2">
      <c r="A21" s="15" t="s">
        <v>113</v>
      </c>
      <c r="B21" s="15">
        <v>699.08355467659101</v>
      </c>
      <c r="C21" s="15">
        <v>8.5152523505581961</v>
      </c>
      <c r="D21" s="15">
        <v>17.435624980457401</v>
      </c>
      <c r="E21" s="15">
        <v>15.850568164052182</v>
      </c>
      <c r="F21" s="23">
        <v>1116153.077334705</v>
      </c>
      <c r="G21" s="15">
        <f t="shared" si="1"/>
        <v>7.3058382046611137E-2</v>
      </c>
      <c r="H21" s="9">
        <f t="shared" si="2"/>
        <v>7.3088190835479239E-2</v>
      </c>
      <c r="I21" s="9">
        <f>H21/V$2*(C21^2)/(2)</f>
        <v>15.550439626516667</v>
      </c>
      <c r="J21" s="9">
        <f>3.7*V$2*((10^(-1/(2*G21^0.5)))-(2.54/(F21*G21^0.5)))*1000</f>
        <v>8.9036690863900976</v>
      </c>
      <c r="L21">
        <f>0.25/(LOG((ABS(N21)/V$2/3.7)+(5.74/(F21^0.9))))^2</f>
        <v>7.3088155856957771E-2</v>
      </c>
      <c r="M21">
        <f>L21/V$2*(C21^2)/(2)</f>
        <v>15.550432184392569</v>
      </c>
      <c r="N21">
        <v>8.9036600000000007E-3</v>
      </c>
      <c r="O21">
        <f t="shared" si="3"/>
        <v>8.9036600000000004</v>
      </c>
      <c r="P21" s="7">
        <f t="shared" si="4"/>
        <v>194.18987629905305</v>
      </c>
      <c r="Q21">
        <f t="shared" si="0"/>
        <v>8.9036600000000004</v>
      </c>
      <c r="R21">
        <f t="shared" si="5"/>
        <v>52.251579145481791</v>
      </c>
      <c r="S21">
        <f t="shared" si="6"/>
        <v>5.2251525821596242E-2</v>
      </c>
      <c r="Y21">
        <v>0.05</v>
      </c>
      <c r="Z21">
        <f>0.25/(LOG((ABS(Y21)/V$2/3.7)+(5.74/(F21^0.9))))^2</f>
        <v>0.20639087248383353</v>
      </c>
      <c r="AA21">
        <f>Z21/V$2*(C21^2)/(2)</f>
        <v>43.912275914017833</v>
      </c>
      <c r="AG21" s="7"/>
    </row>
    <row r="22" spans="1:33" x14ac:dyDescent="0.2">
      <c r="A22" s="15" t="s">
        <v>113</v>
      </c>
      <c r="B22" s="15">
        <v>1004.72634079642</v>
      </c>
      <c r="C22" s="15">
        <v>12.23816277453756</v>
      </c>
      <c r="D22" s="15">
        <v>35.689738115152203</v>
      </c>
      <c r="E22" s="15">
        <v>32.445216468320183</v>
      </c>
      <c r="F22" s="23">
        <v>1604140.7206009233</v>
      </c>
      <c r="G22" s="15">
        <f t="shared" si="1"/>
        <v>7.2399986827353574E-2</v>
      </c>
      <c r="H22" s="9">
        <f t="shared" si="2"/>
        <v>7.2422081655528409E-2</v>
      </c>
      <c r="I22" s="9">
        <f>H22/V$2*(C22^2)/(2)</f>
        <v>31.827598303219393</v>
      </c>
      <c r="J22" s="9">
        <f>3.7*V$2*((10^(-1/(2*G22^0.5)))-(2.54/(F22*G22^0.5)))*1000</f>
        <v>8.7347674848651966</v>
      </c>
      <c r="L22">
        <f>0.25/(LOG((ABS(N22)/V$2/3.7)+(5.74/(F22^0.9))))^2</f>
        <v>7.2422052674380302E-2</v>
      </c>
      <c r="M22">
        <f>L22/V$2*(C22^2)/(2)</f>
        <v>31.827585566767759</v>
      </c>
      <c r="N22">
        <v>8.7347599999999994E-3</v>
      </c>
      <c r="O22">
        <f t="shared" si="3"/>
        <v>8.7347599999999996</v>
      </c>
      <c r="P22" s="7">
        <f t="shared" si="4"/>
        <v>279.0906502212278</v>
      </c>
      <c r="Q22">
        <f t="shared" si="0"/>
        <v>8.7347599999999996</v>
      </c>
      <c r="R22">
        <f t="shared" si="5"/>
        <v>51.260372563762893</v>
      </c>
      <c r="S22">
        <f t="shared" si="6"/>
        <v>5.1260328638497651E-2</v>
      </c>
      <c r="Y22">
        <v>0.05</v>
      </c>
      <c r="Z22">
        <f>0.25/(LOG((ABS(Y22)/V$2/3.7)+(5.74/(F22^0.9))))^2</f>
        <v>0.20637903501048754</v>
      </c>
      <c r="AA22">
        <f>Z22/V$2*(C22^2)/(2)</f>
        <v>90.698152750742324</v>
      </c>
      <c r="AG22" s="7"/>
    </row>
    <row r="23" spans="1:33" x14ac:dyDescent="0.2">
      <c r="A23" s="15" t="s">
        <v>113</v>
      </c>
      <c r="B23" s="15">
        <v>1358.6285141983401</v>
      </c>
      <c r="C23" s="15">
        <v>16.548901160198035</v>
      </c>
      <c r="D23" s="15">
        <v>64.073361776830794</v>
      </c>
      <c r="E23" s="15">
        <v>58.248510706209807</v>
      </c>
      <c r="F23" s="23">
        <v>2169179.0443828809</v>
      </c>
      <c r="G23" s="15">
        <f t="shared" si="1"/>
        <v>7.1083166085208496E-2</v>
      </c>
      <c r="H23" s="9">
        <f t="shared" si="2"/>
        <v>7.1100438566180466E-2</v>
      </c>
      <c r="I23" s="9">
        <f>H23/V$2*(C23^2)/(2)</f>
        <v>57.136155879382919</v>
      </c>
      <c r="J23" s="9">
        <f>3.7*V$2*((10^(-1/(2*G23^0.5)))-(2.54/(F23*G23^0.5)))*1000</f>
        <v>8.3976855979456264</v>
      </c>
      <c r="L23">
        <f>0.25/(LOG((ABS(N23)/V$2/3.7)+(5.74/(F23^0.9))))^2</f>
        <v>7.1100436223118221E-2</v>
      </c>
      <c r="M23">
        <f>L23/V$2*(C23^2)/(2)</f>
        <v>57.136153996503261</v>
      </c>
      <c r="N23">
        <v>8.3976850000000002E-3</v>
      </c>
      <c r="O23">
        <f t="shared" si="3"/>
        <v>8.397685000000001</v>
      </c>
      <c r="P23" s="7">
        <f t="shared" si="4"/>
        <v>377.3968094995389</v>
      </c>
      <c r="Q23">
        <f t="shared" si="0"/>
        <v>8.397685000000001</v>
      </c>
      <c r="R23">
        <f t="shared" si="5"/>
        <v>49.282192476206731</v>
      </c>
      <c r="S23">
        <f t="shared" si="6"/>
        <v>4.9282188967136153E-2</v>
      </c>
      <c r="Y23">
        <v>0.05</v>
      </c>
      <c r="Z23">
        <f>0.25/(LOG((ABS(Y23)/V$2/3.7)+(5.74/(F23^0.9))))^2</f>
        <v>0.20637174179405465</v>
      </c>
      <c r="AA23">
        <f>Z23/V$2*(C23^2)/(2)</f>
        <v>165.83987730637568</v>
      </c>
      <c r="AG23" s="7"/>
    </row>
    <row r="24" spans="1:33" x14ac:dyDescent="0.2">
      <c r="A24" s="15"/>
      <c r="B24" s="15"/>
      <c r="C24" s="15"/>
      <c r="D24" s="15"/>
      <c r="E24" s="15"/>
      <c r="F24" s="23"/>
      <c r="G24" s="15"/>
      <c r="H24" s="9"/>
      <c r="I24" s="9"/>
      <c r="J24" s="9"/>
      <c r="K24">
        <f>AVERAGE(J19:J23)</f>
        <v>10.924901129587825</v>
      </c>
      <c r="P24" s="7">
        <f>AVERAGE(O19:O23)</f>
        <v>10.924821000000001</v>
      </c>
      <c r="Q24">
        <f>STDEV(O19:O23)</f>
        <v>4.8069131883730716</v>
      </c>
      <c r="T24">
        <f>AVERAGE(S19:S23)</f>
        <v>6.4112799295774653E-2</v>
      </c>
      <c r="AG24" s="7"/>
    </row>
    <row r="25" spans="1:33" x14ac:dyDescent="0.2">
      <c r="A25" s="15"/>
      <c r="B25" s="15"/>
      <c r="C25" s="15"/>
      <c r="D25" s="15"/>
      <c r="E25" s="15"/>
      <c r="F25" s="23"/>
      <c r="G25" s="15"/>
      <c r="H25" s="9"/>
      <c r="I25" s="9"/>
      <c r="J25" s="9"/>
      <c r="K25">
        <f>STDEV(J19:J23)</f>
        <v>4.8070559101127959</v>
      </c>
      <c r="P25" s="7"/>
      <c r="AG25" s="7"/>
    </row>
    <row r="26" spans="1:33" x14ac:dyDescent="0.2">
      <c r="A26" s="15"/>
      <c r="B26" s="15"/>
      <c r="C26" s="15"/>
      <c r="D26" s="15"/>
      <c r="E26" s="15"/>
      <c r="F26" s="23"/>
      <c r="G26" s="15"/>
      <c r="H26" s="9"/>
      <c r="I26" s="9"/>
      <c r="J26" s="9"/>
      <c r="P26" s="7"/>
      <c r="AG26" s="7"/>
    </row>
    <row r="27" spans="1:33" x14ac:dyDescent="0.2">
      <c r="A27" s="15" t="s">
        <v>114</v>
      </c>
      <c r="B27" s="15">
        <v>149.92182296137901</v>
      </c>
      <c r="C27" s="15">
        <v>1.8261367283377756</v>
      </c>
      <c r="D27" s="15">
        <v>1.97300930206405</v>
      </c>
      <c r="E27" s="15">
        <v>1.7936448200582271</v>
      </c>
      <c r="F27" s="23">
        <v>239364.38346827458</v>
      </c>
      <c r="G27" s="15">
        <f t="shared" si="1"/>
        <v>0.17975878608739629</v>
      </c>
      <c r="H27" s="9">
        <f t="shared" si="2"/>
        <v>0.17987427154363569</v>
      </c>
      <c r="I27" s="9">
        <f>H27/V$2*(C27^2)/(2)</f>
        <v>1.7600947386971961</v>
      </c>
      <c r="J27" s="9">
        <f>3.7*V$2*((10^(-1/(2*G27^0.5)))-(2.54/(F27*G27^0.5)))*1000</f>
        <v>41.706647853917083</v>
      </c>
      <c r="L27">
        <f>0.25/(LOG((ABS(N27)/V$2/3.7)+(5.74/(F27^0.9))))^2</f>
        <v>0.17987411967533459</v>
      </c>
      <c r="M27">
        <f>L27/V$2*(C27^2)/(2)</f>
        <v>1.7600932526447695</v>
      </c>
      <c r="N27">
        <v>4.1706600000000003E-2</v>
      </c>
      <c r="O27">
        <f t="shared" si="3"/>
        <v>41.706600000000002</v>
      </c>
      <c r="P27" s="7">
        <f t="shared" si="4"/>
        <v>41.644950822605281</v>
      </c>
      <c r="Q27">
        <f t="shared" si="0"/>
        <v>41.706600000000002</v>
      </c>
      <c r="R27">
        <f t="shared" si="5"/>
        <v>244.75732308636788</v>
      </c>
      <c r="S27">
        <f t="shared" si="6"/>
        <v>0.24475704225352113</v>
      </c>
      <c r="Y27">
        <v>0.09</v>
      </c>
      <c r="Z27">
        <f>0.25/(LOG((ABS(Y27)/V$2/3.7)+(5.74/(F27^0.9))))^2</f>
        <v>0.34998105689485537</v>
      </c>
      <c r="AA27">
        <f>Z27/V$2*(C27^2)/(2)</f>
        <v>3.4246132679118797</v>
      </c>
      <c r="AG27" s="7"/>
    </row>
    <row r="28" spans="1:33" x14ac:dyDescent="0.2">
      <c r="A28" s="15" t="s">
        <v>114</v>
      </c>
      <c r="B28" s="15">
        <v>397.46238416359898</v>
      </c>
      <c r="C28" s="15">
        <v>4.8413275900522068</v>
      </c>
      <c r="D28" s="15">
        <v>9.5098912792916703</v>
      </c>
      <c r="E28" s="15">
        <v>8.6453557084469725</v>
      </c>
      <c r="F28" s="23">
        <v>634586.3241114585</v>
      </c>
      <c r="G28" s="15">
        <f t="shared" si="1"/>
        <v>0.12327476628358275</v>
      </c>
      <c r="H28" s="9">
        <f t="shared" si="2"/>
        <v>0.12332069813947176</v>
      </c>
      <c r="I28" s="9">
        <f>H28/V$2*(C28^2)/(2)</f>
        <v>8.48135671016054</v>
      </c>
      <c r="J28" s="9">
        <f>3.7*V$2*((10^(-1/(2*G28^0.5)))-(2.54/(F28*G28^0.5)))*1000</f>
        <v>23.739123812149234</v>
      </c>
      <c r="L28">
        <f>0.25/(LOG((ABS(N28)/V$2/3.7)+(5.74/(F28^0.9))))^2</f>
        <v>0.12332030612668138</v>
      </c>
      <c r="M28">
        <f>L28/V$2*(C28^2)/(2)</f>
        <v>8.4813297495581406</v>
      </c>
      <c r="N28">
        <v>2.3739E-2</v>
      </c>
      <c r="O28">
        <f t="shared" si="3"/>
        <v>23.739000000000001</v>
      </c>
      <c r="P28" s="7">
        <f t="shared" si="4"/>
        <v>110.40621782322194</v>
      </c>
      <c r="Q28">
        <f t="shared" si="0"/>
        <v>23.739000000000001</v>
      </c>
      <c r="R28">
        <f t="shared" si="5"/>
        <v>139.31410687881007</v>
      </c>
      <c r="S28">
        <f t="shared" si="6"/>
        <v>0.13931338028169013</v>
      </c>
      <c r="Y28">
        <v>0.09</v>
      </c>
      <c r="Z28">
        <f>0.25/(LOG((ABS(Y28)/V$2/3.7)+(5.74/(F28^0.9))))^2</f>
        <v>0.34985934058752899</v>
      </c>
      <c r="AA28">
        <f>Z28/V$2*(C28^2)/(2)</f>
        <v>24.061507197668309</v>
      </c>
      <c r="AG28" s="7"/>
    </row>
    <row r="29" spans="1:33" x14ac:dyDescent="0.2">
      <c r="A29" s="15" t="s">
        <v>114</v>
      </c>
      <c r="B29" s="15">
        <v>701.094362480011</v>
      </c>
      <c r="C29" s="15">
        <v>8.5397451822949026</v>
      </c>
      <c r="D29" s="15">
        <v>29.228697123827999</v>
      </c>
      <c r="E29" s="15">
        <v>26.571542839843634</v>
      </c>
      <c r="F29" s="23">
        <v>1119363.5223561933</v>
      </c>
      <c r="G29" s="15">
        <f t="shared" si="1"/>
        <v>0.12177193567880372</v>
      </c>
      <c r="H29" s="9">
        <f t="shared" si="2"/>
        <v>0.12180022021476421</v>
      </c>
      <c r="I29" s="9">
        <f>H29/V$2*(C29^2)/(2)</f>
        <v>26.063834621718033</v>
      </c>
      <c r="J29" s="9">
        <f>3.7*V$2*((10^(-1/(2*G29^0.5)))-(2.54/(F29*G29^0.5)))*1000</f>
        <v>23.268001339306391</v>
      </c>
      <c r="L29">
        <f>0.25/(LOG((ABS(N29)/V$2/3.7)+(5.74/(F29^0.9))))^2</f>
        <v>0.12180021596666764</v>
      </c>
      <c r="M29">
        <f>L29/V$2*(C29^2)/(2)</f>
        <v>26.063833712674629</v>
      </c>
      <c r="N29">
        <v>2.3268E-2</v>
      </c>
      <c r="O29">
        <f t="shared" si="3"/>
        <v>23.268000000000001</v>
      </c>
      <c r="P29" s="7">
        <f t="shared" si="4"/>
        <v>194.74843402222527</v>
      </c>
      <c r="Q29">
        <f t="shared" si="0"/>
        <v>23.268000000000001</v>
      </c>
      <c r="R29">
        <f t="shared" si="5"/>
        <v>136.54930363442719</v>
      </c>
      <c r="S29">
        <f t="shared" si="6"/>
        <v>0.13654929577464789</v>
      </c>
      <c r="Y29">
        <v>0.09</v>
      </c>
      <c r="Z29">
        <f>0.25/(LOG((ABS(Y29)/V$2/3.7)+(5.74/(F29^0.9))))^2</f>
        <v>0.34982469060396165</v>
      </c>
      <c r="AA29">
        <f>Z29/V$2*(C29^2)/(2)</f>
        <v>74.858426909396584</v>
      </c>
      <c r="AG29" s="7"/>
    </row>
    <row r="30" spans="1:33" x14ac:dyDescent="0.2">
      <c r="A30" s="15" t="s">
        <v>114</v>
      </c>
      <c r="B30" s="15">
        <v>1002.715532993</v>
      </c>
      <c r="C30" s="15">
        <v>12.213669942800854</v>
      </c>
      <c r="D30" s="15">
        <v>58.282965568888201</v>
      </c>
      <c r="E30" s="15">
        <v>52.984514153534725</v>
      </c>
      <c r="F30" s="23">
        <v>1600930.2755794351</v>
      </c>
      <c r="G30" s="15">
        <f t="shared" si="1"/>
        <v>0.1187071446785766</v>
      </c>
      <c r="H30" s="9">
        <f t="shared" si="2"/>
        <v>0.1187279409646002</v>
      </c>
      <c r="I30" s="9">
        <f>H30/V$2*(C30^2)/(2)</f>
        <v>51.96916144687286</v>
      </c>
      <c r="J30" s="9">
        <f>3.7*V$2*((10^(-1/(2*G30^0.5)))-(2.54/(F30*G30^0.5)))*1000</f>
        <v>22.304906255453194</v>
      </c>
      <c r="L30">
        <f>0.25/(LOG((ABS(N30)/V$2/3.7)+(5.74/(F30^0.9))))^2</f>
        <v>0.11872792104188803</v>
      </c>
      <c r="M30">
        <f>L30/V$2*(C30^2)/(2)</f>
        <v>51.969152726375931</v>
      </c>
      <c r="N30">
        <v>2.2304899999999999E-2</v>
      </c>
      <c r="O30">
        <f t="shared" si="3"/>
        <v>22.3049</v>
      </c>
      <c r="P30" s="7">
        <f t="shared" si="4"/>
        <v>278.53209249805553</v>
      </c>
      <c r="Q30">
        <f t="shared" si="0"/>
        <v>22.3049</v>
      </c>
      <c r="R30">
        <f t="shared" si="5"/>
        <v>130.89733717988963</v>
      </c>
      <c r="S30">
        <f t="shared" si="6"/>
        <v>0.13089730046948356</v>
      </c>
      <c r="Y30">
        <v>0.09</v>
      </c>
      <c r="Z30">
        <f>0.25/(LOG((ABS(Y30)/V$2/3.7)+(5.74/(F30^0.9))))^2</f>
        <v>0.34981037939091986</v>
      </c>
      <c r="AA30">
        <f>Z30/V$2*(C30^2)/(2)</f>
        <v>153.1177238875801</v>
      </c>
      <c r="AG30" s="7"/>
    </row>
    <row r="31" spans="1:33" x14ac:dyDescent="0.2">
      <c r="A31" s="15" t="s">
        <v>114</v>
      </c>
      <c r="B31" s="15">
        <v>1244.0124694034</v>
      </c>
      <c r="C31" s="15">
        <v>15.152809751205723</v>
      </c>
      <c r="D31" s="15">
        <v>90.270358667461096</v>
      </c>
      <c r="E31" s="15">
        <v>82.063962424964629</v>
      </c>
      <c r="F31" s="23">
        <v>1986183.6781580425</v>
      </c>
      <c r="G31" s="15">
        <f t="shared" si="1"/>
        <v>0.11945006858469148</v>
      </c>
      <c r="H31" s="9">
        <f t="shared" si="2"/>
        <v>0.11946736402829072</v>
      </c>
      <c r="I31" s="9">
        <f>H31/V$2*(C31^2)/(2)</f>
        <v>80.488908194006171</v>
      </c>
      <c r="J31" s="9">
        <f>3.7*V$2*((10^(-1/(2*G31^0.5)))-(2.54/(F31*G31^0.5)))*1000</f>
        <v>22.53886061244663</v>
      </c>
      <c r="L31">
        <f>0.25/(LOG((ABS(N31)/V$2/3.7)+(5.74/(F31^0.9))))^2</f>
        <v>0.11946717118769402</v>
      </c>
      <c r="M31">
        <f>L31/V$2*(C31^2)/(2)</f>
        <v>80.488778271251036</v>
      </c>
      <c r="N31">
        <v>2.2538800000000001E-2</v>
      </c>
      <c r="O31">
        <f t="shared" si="3"/>
        <v>22.538800000000002</v>
      </c>
      <c r="P31" s="7">
        <f t="shared" si="4"/>
        <v>345.55901927872225</v>
      </c>
      <c r="Q31">
        <f t="shared" si="0"/>
        <v>22.538800000000002</v>
      </c>
      <c r="R31">
        <f t="shared" si="5"/>
        <v>132.27030875848962</v>
      </c>
      <c r="S31">
        <f t="shared" si="6"/>
        <v>0.13226995305164321</v>
      </c>
      <c r="Y31">
        <v>0.09</v>
      </c>
      <c r="Z31">
        <f>0.25/(LOG((ABS(Y31)/V$2/3.7)+(5.74/(F31^0.9))))^2</f>
        <v>0.34980373518083746</v>
      </c>
      <c r="AA31">
        <f>Z31/V$2*(C31^2)/(2)</f>
        <v>235.67374199554192</v>
      </c>
      <c r="AG31" s="7"/>
    </row>
    <row r="32" spans="1:33" x14ac:dyDescent="0.2">
      <c r="A32" s="15"/>
      <c r="B32" s="15"/>
      <c r="C32" s="15"/>
      <c r="D32" s="15"/>
      <c r="E32" s="15"/>
      <c r="F32" s="23"/>
      <c r="G32" s="15"/>
      <c r="H32" s="9"/>
      <c r="I32" s="9"/>
      <c r="J32" s="9"/>
      <c r="K32">
        <f>AVERAGE(J27:J31)</f>
        <v>26.711507974654506</v>
      </c>
      <c r="P32" s="7">
        <f>AVERAGE(O27:O31)</f>
        <v>26.711459999999999</v>
      </c>
      <c r="Q32">
        <f>STDEV(O27:O31)</f>
        <v>8.4020238834461836</v>
      </c>
      <c r="T32">
        <f>AVERAGE(S27:S31)</f>
        <v>0.15675739436619721</v>
      </c>
      <c r="AG32" s="7"/>
    </row>
    <row r="33" spans="1:33" x14ac:dyDescent="0.2">
      <c r="A33" s="15"/>
      <c r="B33" s="15"/>
      <c r="C33" s="15"/>
      <c r="D33" s="15"/>
      <c r="E33" s="15"/>
      <c r="F33" s="23"/>
      <c r="G33" s="15"/>
      <c r="H33" s="9"/>
      <c r="I33" s="9"/>
      <c r="J33" s="9"/>
      <c r="K33">
        <f>STDEV(J27:J31)</f>
        <v>8.4020258015085041</v>
      </c>
      <c r="P33" s="7"/>
      <c r="AG33" s="7"/>
    </row>
    <row r="34" spans="1:33" x14ac:dyDescent="0.2">
      <c r="A34" s="15"/>
      <c r="B34" s="15"/>
      <c r="C34" s="15"/>
      <c r="D34" s="15"/>
      <c r="E34" s="15"/>
      <c r="F34" s="23"/>
      <c r="G34" s="15"/>
      <c r="H34" s="9"/>
      <c r="I34" s="9"/>
      <c r="J34" s="9"/>
      <c r="P34" s="7"/>
      <c r="AG34" s="7"/>
    </row>
    <row r="35" spans="1:33" x14ac:dyDescent="0.2">
      <c r="A35" s="15" t="s">
        <v>108</v>
      </c>
      <c r="B35" s="15">
        <v>245.82078929298024</v>
      </c>
      <c r="C35" s="15">
        <v>2.9942430197939442</v>
      </c>
      <c r="D35" s="15">
        <v>0.37853502060006283</v>
      </c>
      <c r="E35" s="15">
        <v>0.3441227460000571</v>
      </c>
      <c r="F35" s="23">
        <v>392476.16197914467</v>
      </c>
      <c r="G35" s="15">
        <f t="shared" si="1"/>
        <v>1.2828017681423207E-2</v>
      </c>
      <c r="H35" s="9">
        <f t="shared" si="2"/>
        <v>1.4553276987038739E-2</v>
      </c>
      <c r="I35" s="9">
        <f>H35/V$2*(C35^2)/(2)</f>
        <v>0.38285586166290608</v>
      </c>
      <c r="J35" s="9">
        <f>3.7*V$2*((10^(-1/(2*G35^0.5)))-(2.54/(F35*G35^0.5)))*1000</f>
        <v>-1.1754934565138896E-2</v>
      </c>
      <c r="L35">
        <f>0.25/(LOG((ABS(N35)/V$2/3.7)+(5.74/(F35^0.9))))^2</f>
        <v>1.3692681970863534E-2</v>
      </c>
      <c r="M35">
        <f>L35/V$2*(C35^2)/(2)</f>
        <v>0.36021602276243014</v>
      </c>
      <c r="N35">
        <v>1.9999999999999999E-7</v>
      </c>
      <c r="O35">
        <f t="shared" si="3"/>
        <v>1.9999999999999998E-4</v>
      </c>
      <c r="P35" s="7">
        <f t="shared" si="4"/>
        <v>68.283552581383404</v>
      </c>
      <c r="Q35">
        <f t="shared" si="0"/>
        <v>1.9999999999999998E-4</v>
      </c>
      <c r="R35">
        <f t="shared" si="5"/>
        <v>-6.8984357776636709E-2</v>
      </c>
      <c r="S35">
        <f t="shared" si="6"/>
        <v>1.1737089201877934E-6</v>
      </c>
      <c r="Y35">
        <v>1E-3</v>
      </c>
      <c r="Z35">
        <f>0.25/(LOG((ABS(Y35)/V$2/3.7)+(5.74/(F35^0.9))))^2</f>
        <v>3.222315472889925E-2</v>
      </c>
      <c r="AA35">
        <f>Z35/V$2*(C35^2)/(2)</f>
        <v>0.84770073985516381</v>
      </c>
      <c r="AG35" s="7"/>
    </row>
    <row r="36" spans="1:33" x14ac:dyDescent="0.2">
      <c r="A36" s="15" t="s">
        <v>108</v>
      </c>
      <c r="B36" s="15">
        <v>395.45157636017865</v>
      </c>
      <c r="C36" s="15">
        <v>4.8168347583154958</v>
      </c>
      <c r="D36" s="15">
        <v>0.89732416207585897</v>
      </c>
      <c r="E36" s="15">
        <v>0.81574923825078083</v>
      </c>
      <c r="F36" s="23">
        <v>631375.87908996956</v>
      </c>
      <c r="G36" s="15">
        <f t="shared" si="1"/>
        <v>1.1750421417029306E-2</v>
      </c>
      <c r="H36" s="9">
        <f t="shared" si="2"/>
        <v>1.3362778309451892E-2</v>
      </c>
      <c r="I36" s="9">
        <f>H36/V$2*(C36^2)/(2)</f>
        <v>0.90974708673094395</v>
      </c>
      <c r="J36" s="9">
        <f>3.7*V$2*((10^(-1/(2*G36^0.5)))-(2.54/(F36*G36^0.5)))*1000</f>
        <v>-8.0136069613081472E-3</v>
      </c>
      <c r="L36">
        <f>0.25/(LOG((ABS(N36)/V$2/3.7)+(5.74/(F36^0.9))))^2</f>
        <v>1.2778026139138782E-2</v>
      </c>
      <c r="M36">
        <f>L36/V$2*(C36^2)/(2)</f>
        <v>0.8699367590369147</v>
      </c>
      <c r="N36">
        <v>1.9999999999999999E-6</v>
      </c>
      <c r="O36">
        <f t="shared" si="3"/>
        <v>2E-3</v>
      </c>
      <c r="P36" s="7">
        <f t="shared" si="4"/>
        <v>109.84766010004962</v>
      </c>
      <c r="Q36">
        <f t="shared" si="0"/>
        <v>2E-3</v>
      </c>
      <c r="R36">
        <f t="shared" si="5"/>
        <v>-4.7028209866831851E-2</v>
      </c>
      <c r="S36">
        <f t="shared" si="6"/>
        <v>1.1737089201877934E-5</v>
      </c>
      <c r="Y36">
        <v>1E-3</v>
      </c>
      <c r="Z36">
        <f>0.25/(LOG((ABS(Y36)/V$2/3.7)+(5.74/(F36^0.9))))^2</f>
        <v>3.2109655405440023E-2</v>
      </c>
      <c r="AA36">
        <f>Z36/V$2*(C36^2)/(2)</f>
        <v>2.1860473012839918</v>
      </c>
      <c r="AG36" s="7"/>
    </row>
    <row r="37" spans="1:33" x14ac:dyDescent="0.2">
      <c r="A37" s="15" t="s">
        <v>108</v>
      </c>
      <c r="B37" s="15">
        <v>704.11057418514122</v>
      </c>
      <c r="C37" s="15">
        <v>8.576484429899967</v>
      </c>
      <c r="D37" s="15">
        <v>2.7529930142777448</v>
      </c>
      <c r="E37" s="15">
        <v>2.5027209220706768</v>
      </c>
      <c r="F37" s="23">
        <v>1124179.1898884263</v>
      </c>
      <c r="G37" s="15">
        <f t="shared" si="1"/>
        <v>1.1371403726556366E-2</v>
      </c>
      <c r="H37" s="9">
        <f t="shared" si="2"/>
        <v>1.1453388725958314E-2</v>
      </c>
      <c r="I37" s="9">
        <f>H37/V$2*(C37^2)/(2)</f>
        <v>2.4720259292372466</v>
      </c>
      <c r="J37" s="9">
        <f>3.7*V$2*((10^(-1/(2*G37^0.5)))-(2.54/(F37*G37^0.5)))*1000</f>
        <v>-4.5068217986695769E-4</v>
      </c>
      <c r="L37">
        <f>0.25/(LOG((ABS(N37)/V$2/3.7)+(5.74/(F37^0.9))))^2</f>
        <v>1.1689669319231651E-2</v>
      </c>
      <c r="M37">
        <f>L37/V$2*(C37^2)/(2)</f>
        <v>2.5230232163391362</v>
      </c>
      <c r="N37">
        <v>1.9999999999999999E-6</v>
      </c>
      <c r="O37">
        <f t="shared" si="3"/>
        <v>2E-3</v>
      </c>
      <c r="P37" s="7">
        <f t="shared" si="4"/>
        <v>195.58627060698367</v>
      </c>
      <c r="Q37">
        <f t="shared" si="0"/>
        <v>2E-3</v>
      </c>
      <c r="R37">
        <f t="shared" si="5"/>
        <v>-2.6448484733976392E-3</v>
      </c>
      <c r="S37">
        <f t="shared" si="6"/>
        <v>1.1737089201877934E-5</v>
      </c>
      <c r="Y37">
        <v>1E-3</v>
      </c>
      <c r="Z37">
        <f>0.25/(LOG((ABS(Y37)/V$2/3.7)+(5.74/(F37^0.9))))^2</f>
        <v>3.2023112457279443E-2</v>
      </c>
      <c r="AA37">
        <f>Z37/V$2*(C37^2)/(2)</f>
        <v>6.9116631089155245</v>
      </c>
      <c r="AG37" s="7"/>
    </row>
    <row r="38" spans="1:33" x14ac:dyDescent="0.2">
      <c r="A38" s="15" t="s">
        <v>108</v>
      </c>
      <c r="B38" s="15">
        <v>905.19135452713635</v>
      </c>
      <c r="C38" s="15">
        <v>11.02576760357063</v>
      </c>
      <c r="D38" s="15">
        <v>4.409127581296632</v>
      </c>
      <c r="E38" s="15">
        <v>4.008297801178756</v>
      </c>
      <c r="F38" s="23">
        <v>1445223.6920372578</v>
      </c>
      <c r="G38" s="15">
        <f t="shared" si="1"/>
        <v>1.1019517359890709E-2</v>
      </c>
      <c r="H38" s="9">
        <f t="shared" si="2"/>
        <v>1.0979916625043103E-2</v>
      </c>
      <c r="I38" s="9">
        <f>H38/V$2*(C38^2)/(2)</f>
        <v>3.9166712940525814</v>
      </c>
      <c r="J38" s="9">
        <f>3.7*V$2*((10^(-1/(2*G38^0.5)))-(2.54/(F38*G38^0.5)))*1000</f>
        <v>3.2308762342291388E-4</v>
      </c>
      <c r="L38">
        <f>0.25/(LOG((ABS(N38)/V$2/3.7)+(5.74/(F38^0.9))))^2</f>
        <v>1.1277689040913757E-2</v>
      </c>
      <c r="M38">
        <f>L38/V$2*(C38^2)/(2)</f>
        <v>4.0228903768770561</v>
      </c>
      <c r="N38">
        <v>1.9999999999999999E-6</v>
      </c>
      <c r="O38">
        <f t="shared" si="3"/>
        <v>2E-3</v>
      </c>
      <c r="P38" s="7">
        <f t="shared" si="4"/>
        <v>251.44204292420454</v>
      </c>
      <c r="Q38">
        <f t="shared" si="0"/>
        <v>2E-3</v>
      </c>
      <c r="R38">
        <f t="shared" si="5"/>
        <v>1.8960541280687434E-3</v>
      </c>
      <c r="S38">
        <f t="shared" si="6"/>
        <v>1.1737089201877934E-5</v>
      </c>
      <c r="Y38">
        <v>1E-3</v>
      </c>
      <c r="Z38">
        <f>0.25/(LOG((ABS(Y38)/V$2/3.7)+(5.74/(F38^0.9))))^2</f>
        <v>3.1997308456509249E-2</v>
      </c>
      <c r="AA38">
        <f>Z38/V$2*(C38^2)/(2)</f>
        <v>11.413833437743769</v>
      </c>
    </row>
    <row r="39" spans="1:33" x14ac:dyDescent="0.2">
      <c r="A39" s="15" t="s">
        <v>108</v>
      </c>
      <c r="B39" s="15">
        <v>1124.3694050999111</v>
      </c>
      <c r="C39" s="15">
        <v>13.695486262871656</v>
      </c>
      <c r="D39" s="15">
        <v>6.6131129047407446</v>
      </c>
      <c r="E39" s="15">
        <v>6.0119208224915859</v>
      </c>
      <c r="F39" s="23">
        <v>1795162.1993794846</v>
      </c>
      <c r="G39" s="15">
        <f t="shared" si="1"/>
        <v>1.0712198228220209E-2</v>
      </c>
      <c r="H39" s="9">
        <f t="shared" si="2"/>
        <v>1.0689356982699754E-2</v>
      </c>
      <c r="I39" s="9">
        <f>H39/V$2*(C39^2)/(2)</f>
        <v>5.883109180471628</v>
      </c>
      <c r="J39" s="9">
        <f>3.7*V$2*((10^(-1/(2*G39^0.5)))-(2.54/(F39*G39^0.5)))*1000</f>
        <v>6.8644167202196443E-4</v>
      </c>
      <c r="L39">
        <f>0.25/(LOG((ABS(N39)/V$2/3.7)+(5.74/(F39^0.9))))^2</f>
        <v>1.0950385466549464E-2</v>
      </c>
      <c r="M39">
        <f>L39/V$2*(C39^2)/(2)</f>
        <v>6.0267716170603043</v>
      </c>
      <c r="N39">
        <v>1.9999999999999999E-6</v>
      </c>
      <c r="O39">
        <f t="shared" si="3"/>
        <v>2E-3</v>
      </c>
      <c r="P39" s="7">
        <f t="shared" si="4"/>
        <v>312.32483474997531</v>
      </c>
      <c r="Q39">
        <f t="shared" si="0"/>
        <v>2E-3</v>
      </c>
      <c r="R39">
        <f t="shared" si="5"/>
        <v>4.0284135682040166E-3</v>
      </c>
      <c r="S39">
        <f t="shared" si="6"/>
        <v>1.1737089201877934E-5</v>
      </c>
      <c r="Y39">
        <v>1E-3</v>
      </c>
      <c r="Z39">
        <f>0.25/(LOG((ABS(Y39)/V$2/3.7)+(5.74/(F39^0.9))))^2</f>
        <v>3.1979254377369509E-2</v>
      </c>
      <c r="AA39">
        <f>Z39/V$2*(C39^2)/(2)</f>
        <v>17.600445500756695</v>
      </c>
    </row>
    <row r="40" spans="1:33" x14ac:dyDescent="0.2">
      <c r="A40" s="15"/>
      <c r="B40" s="15"/>
      <c r="C40" s="15"/>
      <c r="D40" s="15"/>
      <c r="E40" s="15"/>
      <c r="F40" s="23"/>
      <c r="G40" s="15"/>
      <c r="H40" s="9"/>
      <c r="I40" s="9"/>
      <c r="J40" s="9"/>
      <c r="K40">
        <f>AVERAGE(J35:J39)</f>
        <v>-3.8419388821738245E-3</v>
      </c>
      <c r="P40" s="7">
        <f>AVERAGE(O35:O39)</f>
        <v>1.6400000000000002E-3</v>
      </c>
      <c r="Q40">
        <f>STDEV(O35:O39)</f>
        <v>8.0498447189992443E-4</v>
      </c>
      <c r="T40">
        <f>AVERAGE(S35:S39)</f>
        <v>9.6244131455399058E-6</v>
      </c>
    </row>
    <row r="41" spans="1:33" x14ac:dyDescent="0.2">
      <c r="A41" s="15"/>
      <c r="B41" s="15"/>
      <c r="C41" s="15"/>
      <c r="D41" s="15"/>
      <c r="E41" s="15"/>
      <c r="F41" s="23"/>
      <c r="G41" s="15"/>
      <c r="H41" s="9"/>
      <c r="I41" s="9"/>
      <c r="J41" s="9"/>
      <c r="K41">
        <f>STDEV(J35:J39)</f>
        <v>5.6871041290356044E-3</v>
      </c>
      <c r="P41" s="7"/>
    </row>
    <row r="42" spans="1:33" x14ac:dyDescent="0.2">
      <c r="A42" s="15"/>
      <c r="B42" s="15"/>
      <c r="C42" s="15"/>
      <c r="D42" s="15"/>
      <c r="E42" s="15"/>
      <c r="F42" s="23"/>
      <c r="G42" s="15"/>
      <c r="H42" s="9"/>
      <c r="I42" s="9"/>
      <c r="J42" s="9"/>
      <c r="P42" s="7"/>
    </row>
    <row r="43" spans="1:33" x14ac:dyDescent="0.2">
      <c r="A43" s="15" t="s">
        <v>109</v>
      </c>
      <c r="B43" s="15"/>
      <c r="C43" s="15"/>
      <c r="D43" s="15"/>
      <c r="E43" s="15"/>
      <c r="F43" s="23"/>
      <c r="G43" s="15"/>
      <c r="H43" s="9"/>
      <c r="I43" s="9"/>
      <c r="J43" s="9"/>
      <c r="P43" s="7"/>
    </row>
    <row r="44" spans="1:33" x14ac:dyDescent="0.2">
      <c r="A44" s="15" t="s">
        <v>109</v>
      </c>
      <c r="B44" s="15"/>
      <c r="C44" s="15"/>
      <c r="D44" s="15"/>
      <c r="E44" s="15"/>
      <c r="F44" s="23"/>
      <c r="G44" s="15"/>
      <c r="H44" s="9"/>
      <c r="I44" s="9"/>
      <c r="J44" s="9"/>
      <c r="P44" s="7"/>
    </row>
    <row r="45" spans="1:33" x14ac:dyDescent="0.2">
      <c r="A45" s="15" t="s">
        <v>109</v>
      </c>
      <c r="B45" s="15"/>
      <c r="C45" s="15"/>
      <c r="D45" s="15"/>
      <c r="E45" s="15"/>
      <c r="F45" s="23"/>
      <c r="G45" s="15"/>
      <c r="H45" s="9"/>
      <c r="I45" s="9"/>
      <c r="J45" s="9"/>
      <c r="P45" s="7"/>
    </row>
    <row r="46" spans="1:33" x14ac:dyDescent="0.2">
      <c r="A46" s="15" t="s">
        <v>109</v>
      </c>
      <c r="B46" s="15"/>
      <c r="C46" s="15"/>
      <c r="D46" s="15"/>
      <c r="E46" s="15"/>
      <c r="F46" s="23"/>
      <c r="G46" s="15"/>
      <c r="H46" s="9"/>
      <c r="I46" s="9"/>
      <c r="J46" s="9"/>
      <c r="P46" s="7"/>
    </row>
    <row r="47" spans="1:33" x14ac:dyDescent="0.2">
      <c r="A47" s="15" t="s">
        <v>109</v>
      </c>
      <c r="B47" s="15"/>
      <c r="C47" s="15"/>
      <c r="D47" s="15"/>
      <c r="E47" s="15"/>
      <c r="F47" s="23"/>
      <c r="G47" s="15"/>
      <c r="H47" s="9"/>
      <c r="I47" s="9"/>
      <c r="J47" s="9"/>
      <c r="P47" s="7"/>
    </row>
    <row r="48" spans="1:33" x14ac:dyDescent="0.2">
      <c r="A48" s="15"/>
      <c r="B48" s="15"/>
      <c r="C48" s="15"/>
      <c r="D48" s="15"/>
      <c r="E48" s="15"/>
      <c r="F48" s="23"/>
      <c r="G48" s="15"/>
      <c r="H48" s="9"/>
      <c r="I48" s="9"/>
      <c r="J48" s="9"/>
      <c r="P48" s="7"/>
    </row>
    <row r="49" spans="1:27" x14ac:dyDescent="0.2">
      <c r="A49" s="15"/>
      <c r="B49" s="15"/>
      <c r="C49" s="15"/>
      <c r="D49" s="15"/>
      <c r="E49" s="15"/>
      <c r="F49" s="23"/>
      <c r="G49" s="15"/>
      <c r="H49" s="9"/>
      <c r="I49" s="9"/>
      <c r="J49" s="9"/>
      <c r="P49" s="7"/>
    </row>
    <row r="50" spans="1:27" x14ac:dyDescent="0.2">
      <c r="A50" s="15"/>
      <c r="B50" s="15"/>
      <c r="C50" s="15"/>
      <c r="D50" s="15"/>
      <c r="E50" s="15"/>
      <c r="F50" s="23"/>
      <c r="G50" s="15"/>
      <c r="H50" s="9"/>
      <c r="I50" s="9"/>
      <c r="J50" s="9"/>
      <c r="P50" s="7"/>
    </row>
    <row r="51" spans="1:27" x14ac:dyDescent="0.2">
      <c r="A51" s="15" t="s">
        <v>110</v>
      </c>
      <c r="B51" s="15">
        <v>100.07433942026501</v>
      </c>
      <c r="C51" s="15">
        <v>1.2189648122579491</v>
      </c>
      <c r="D51" s="15">
        <v>1.4959270176248545</v>
      </c>
      <c r="E51" s="15">
        <v>1.3599336523862313</v>
      </c>
      <c r="F51" s="23">
        <v>159778.15692981117</v>
      </c>
      <c r="G51" s="15">
        <f t="shared" si="1"/>
        <v>0.30588321368146831</v>
      </c>
      <c r="H51" s="9">
        <f t="shared" si="2"/>
        <v>0.30609604628120374</v>
      </c>
      <c r="I51" s="9">
        <f>H51/V$2*(C51^2)/(2)</f>
        <v>1.3345672773669226</v>
      </c>
      <c r="J51" s="9">
        <f>3.7*V$2*((10^(-1/(2*G51^0.5)))-(2.54/(F51*G51^0.5)))*1000</f>
        <v>78.617960978162628</v>
      </c>
      <c r="L51">
        <f>0.25/(LOG((ABS(N51)/V$2/3.7)+(5.74/(F51^0.9))))^2</f>
        <v>0.30584202420191786</v>
      </c>
      <c r="M51">
        <f>L51/V$2*(C51^2)/(2)</f>
        <v>1.3334597506318917</v>
      </c>
      <c r="N51">
        <v>7.8549999999999995E-2</v>
      </c>
      <c r="O51">
        <f t="shared" si="3"/>
        <v>78.55</v>
      </c>
      <c r="P51" s="7">
        <f t="shared" si="4"/>
        <v>27.79842761674028</v>
      </c>
      <c r="Q51">
        <f t="shared" si="0"/>
        <v>78.55</v>
      </c>
      <c r="R51">
        <f t="shared" si="5"/>
        <v>461.37301043522672</v>
      </c>
      <c r="S51">
        <f t="shared" si="6"/>
        <v>0.46097417840375582</v>
      </c>
      <c r="Y51">
        <v>0.14499999999999999</v>
      </c>
      <c r="Z51">
        <f>0.25/(LOG((ABS(Y51)/V$2/3.7)+(5.74/(F51^0.9))))^2</f>
        <v>0.61403300631536673</v>
      </c>
      <c r="AA51">
        <f>Z51/V$2*(C51^2)/(2)</f>
        <v>2.6771608696274947</v>
      </c>
    </row>
    <row r="52" spans="1:27" x14ac:dyDescent="0.2">
      <c r="A52" s="15" t="s">
        <v>110</v>
      </c>
      <c r="B52" s="15">
        <v>247.818684424889</v>
      </c>
      <c r="C52" s="15">
        <v>3.0185785675326198</v>
      </c>
      <c r="D52" s="15">
        <v>6.312889454035286</v>
      </c>
      <c r="E52" s="15">
        <v>5.7389904127593505</v>
      </c>
      <c r="F52" s="23">
        <v>395665.99069812184</v>
      </c>
      <c r="G52" s="15">
        <f t="shared" si="1"/>
        <v>0.21049936623492951</v>
      </c>
      <c r="H52" s="9">
        <f t="shared" si="2"/>
        <v>0.21057910371051933</v>
      </c>
      <c r="I52" s="9">
        <f>H52/V$2*(C52^2)/(2)</f>
        <v>5.6301589382084583</v>
      </c>
      <c r="J52" s="9">
        <f>3.7*V$2*((10^(-1/(2*G52^0.5)))-(2.54/(F52*G52^0.5)))*1000</f>
        <v>51.262772834985881</v>
      </c>
      <c r="L52">
        <f>0.25/(LOG((ABS(N52)/V$2/3.7)+(5.74/(F52^0.9))))^2</f>
        <v>0.21037370212375686</v>
      </c>
      <c r="M52">
        <f>L52/V$2*(C52^2)/(2)</f>
        <v>5.6246672082159952</v>
      </c>
      <c r="N52">
        <v>5.1200000000000002E-2</v>
      </c>
      <c r="O52">
        <f t="shared" si="3"/>
        <v>51.2</v>
      </c>
      <c r="P52" s="7">
        <f t="shared" si="4"/>
        <v>68.838523451358057</v>
      </c>
      <c r="Q52">
        <f t="shared" si="0"/>
        <v>51.2</v>
      </c>
      <c r="R52">
        <f t="shared" si="5"/>
        <v>300.83786874991716</v>
      </c>
      <c r="S52">
        <f t="shared" si="6"/>
        <v>0.30046948356807512</v>
      </c>
      <c r="Y52">
        <v>0.14499999999999999</v>
      </c>
      <c r="Z52">
        <f>0.25/(LOG((ABS(Y52)/V$2/3.7)+(5.74/(F52^0.9))))^2</f>
        <v>0.61379178890719233</v>
      </c>
      <c r="AA52">
        <f>Z52/V$2*(C52^2)/(2)</f>
        <v>16.410675445106659</v>
      </c>
    </row>
    <row r="53" spans="1:27" x14ac:dyDescent="0.2">
      <c r="A53" s="15" t="s">
        <v>110</v>
      </c>
      <c r="B53" s="15">
        <v>502.02438994143603</v>
      </c>
      <c r="C53" s="15">
        <v>6.1149548403609479</v>
      </c>
      <c r="D53" s="15">
        <v>25.20589732959424</v>
      </c>
      <c r="E53" s="15">
        <v>22.914452117812942</v>
      </c>
      <c r="F53" s="23">
        <v>801529.46522885037</v>
      </c>
      <c r="G53" s="15">
        <f t="shared" si="1"/>
        <v>0.20480626206478439</v>
      </c>
      <c r="H53" s="9">
        <f t="shared" si="2"/>
        <v>0.20484906871681857</v>
      </c>
      <c r="I53" s="9">
        <f>H53/V$2*(C53^2)/(2)</f>
        <v>22.476097944122312</v>
      </c>
      <c r="J53" s="9">
        <f>3.7*V$2*((10^(-1/(2*G53^0.5)))-(2.54/(F53*G53^0.5)))*1000</f>
        <v>49.521654331223559</v>
      </c>
      <c r="L53">
        <f>0.25/(LOG((ABS(N53)/V$2/3.7)+(5.74/(F53^0.9))))^2</f>
        <v>0.20477866854098389</v>
      </c>
      <c r="M53">
        <f>L53/V$2*(C53^2)/(2)</f>
        <v>22.468373616854166</v>
      </c>
      <c r="N53">
        <v>4.9500000000000002E-2</v>
      </c>
      <c r="O53">
        <f t="shared" si="3"/>
        <v>49.5</v>
      </c>
      <c r="P53" s="7">
        <f t="shared" si="4"/>
        <v>139.45121942817667</v>
      </c>
      <c r="Q53">
        <f t="shared" si="0"/>
        <v>49.5</v>
      </c>
      <c r="R53">
        <f t="shared" si="5"/>
        <v>290.62003715506785</v>
      </c>
      <c r="S53">
        <f t="shared" si="6"/>
        <v>0.29049295774647887</v>
      </c>
      <c r="Y53">
        <v>0.14499999999999999</v>
      </c>
      <c r="Z53">
        <f>0.25/(LOG((ABS(Y53)/V$2/3.7)+(5.74/(F53^0.9))))^2</f>
        <v>0.6137019005715979</v>
      </c>
      <c r="AA53">
        <f>Z53/V$2*(C53^2)/(2)</f>
        <v>67.335546664405015</v>
      </c>
    </row>
    <row r="54" spans="1:27" x14ac:dyDescent="0.2">
      <c r="A54" s="15" t="s">
        <v>110</v>
      </c>
      <c r="B54" s="15">
        <v>750.35915366380004</v>
      </c>
      <c r="C54" s="15">
        <v>9.1398195598442182</v>
      </c>
      <c r="D54" s="15">
        <v>55.549548405344581</v>
      </c>
      <c r="E54" s="15">
        <v>50.499589459404163</v>
      </c>
      <c r="F54" s="23">
        <v>1198019.4253826574</v>
      </c>
      <c r="G54" s="15">
        <f t="shared" si="1"/>
        <v>0.20203790912971545</v>
      </c>
      <c r="H54" s="9">
        <f t="shared" si="2"/>
        <v>0.20206795960539947</v>
      </c>
      <c r="I54" s="9">
        <f>H54/V$2*(C54^2)/(2)</f>
        <v>49.53054581739309</v>
      </c>
      <c r="J54" s="9">
        <f>3.7*V$2*((10^(-1/(2*G54^0.5)))-(2.54/(F54*G54^0.5)))*1000</f>
        <v>48.670269917767541</v>
      </c>
      <c r="L54">
        <f>0.25/(LOG((ABS(N54)/V$2/3.7)+(5.74/(F54^0.9))))^2</f>
        <v>0.20206708472487983</v>
      </c>
      <c r="M54">
        <f>L54/V$2*(C54^2)/(2)</f>
        <v>49.530331368206056</v>
      </c>
      <c r="N54">
        <v>4.8669999999999998E-2</v>
      </c>
      <c r="O54">
        <f t="shared" si="3"/>
        <v>48.669999999999995</v>
      </c>
      <c r="P54" s="7">
        <f t="shared" si="4"/>
        <v>208.43309823994448</v>
      </c>
      <c r="Q54">
        <f t="shared" si="0"/>
        <v>48.669999999999995</v>
      </c>
      <c r="R54">
        <f t="shared" si="5"/>
        <v>285.62364975215695</v>
      </c>
      <c r="S54">
        <f t="shared" si="6"/>
        <v>0.28562206572769949</v>
      </c>
      <c r="Y54">
        <v>0.14499999999999999</v>
      </c>
      <c r="Z54">
        <f>0.25/(LOG((ABS(Y54)/V$2/3.7)+(5.74/(F54^0.9))))^2</f>
        <v>0.61367116854168147</v>
      </c>
      <c r="AA54">
        <f>Z54/V$2*(C54^2)/(2)</f>
        <v>150.42200648545921</v>
      </c>
    </row>
    <row r="55" spans="1:27" x14ac:dyDescent="0.2">
      <c r="A55" s="15" t="s">
        <v>110</v>
      </c>
      <c r="B55" s="15">
        <v>1004.72634079642</v>
      </c>
      <c r="C55" s="15">
        <v>12.23816277453756</v>
      </c>
      <c r="D55" s="15">
        <v>96.478409526931472</v>
      </c>
      <c r="E55" s="15">
        <v>87.707645024483156</v>
      </c>
      <c r="F55" s="23">
        <v>1604140.7206009233</v>
      </c>
      <c r="G55" s="15">
        <f t="shared" si="1"/>
        <v>0.19571551789864056</v>
      </c>
      <c r="H55" s="9">
        <f t="shared" si="2"/>
        <v>0.19573856931025577</v>
      </c>
      <c r="I55" s="9">
        <f>H55/V$2*(C55^2)/(2)</f>
        <v>86.021948196487998</v>
      </c>
      <c r="J55" s="9">
        <f>3.7*V$2*((10^(-1/(2*G55^0.5)))-(2.54/(F55*G55^0.5)))*1000</f>
        <v>46.713773113564095</v>
      </c>
      <c r="L55">
        <f>0.25/(LOG((ABS(N55)/V$2/3.7)+(5.74/(F55^0.9))))^2</f>
        <v>0.19569422388894342</v>
      </c>
      <c r="M55">
        <f>L55/V$2*(C55^2)/(2)</f>
        <v>86.002459551259179</v>
      </c>
      <c r="N55">
        <v>4.6699999999999998E-2</v>
      </c>
      <c r="O55">
        <f t="shared" si="3"/>
        <v>46.699999999999996</v>
      </c>
      <c r="P55" s="7">
        <f t="shared" si="4"/>
        <v>279.0906502212278</v>
      </c>
      <c r="Q55">
        <f t="shared" si="0"/>
        <v>46.699999999999996</v>
      </c>
      <c r="R55">
        <f t="shared" si="5"/>
        <v>274.14186099509448</v>
      </c>
      <c r="S55">
        <f t="shared" si="6"/>
        <v>0.27406103286384975</v>
      </c>
      <c r="Y55">
        <v>0.14499999999999999</v>
      </c>
      <c r="Z55">
        <f>0.25/(LOG((ABS(Y55)/V$2/3.7)+(5.74/(F55^0.9))))^2</f>
        <v>0.61365487533173746</v>
      </c>
      <c r="AA55">
        <f>Z55/V$2*(C55^2)/(2)</f>
        <v>269.68516262442705</v>
      </c>
    </row>
    <row r="56" spans="1:27" x14ac:dyDescent="0.2">
      <c r="A56" s="15"/>
      <c r="B56" s="15"/>
      <c r="C56" s="15"/>
      <c r="D56" s="15"/>
      <c r="E56" s="15"/>
      <c r="F56" s="23"/>
      <c r="G56" s="15"/>
      <c r="H56" s="9"/>
      <c r="I56" s="9"/>
      <c r="J56" s="9"/>
      <c r="K56">
        <f>AVERAGE(J51:J55)</f>
        <v>54.957286235140749</v>
      </c>
      <c r="P56" s="7">
        <f>AVERAGE(O51:O55)</f>
        <v>54.923999999999999</v>
      </c>
      <c r="Q56">
        <f>STDEV(O51:O55)</f>
        <v>13.306225234828974</v>
      </c>
      <c r="T56">
        <f>AVERAGE(S51:S55)</f>
        <v>0.32232394366197187</v>
      </c>
    </row>
    <row r="57" spans="1:27" x14ac:dyDescent="0.2">
      <c r="A57" s="15"/>
      <c r="B57" s="15"/>
      <c r="C57" s="15"/>
      <c r="D57" s="15"/>
      <c r="E57" s="15"/>
      <c r="F57" s="23"/>
      <c r="G57" s="15"/>
      <c r="H57" s="9"/>
      <c r="I57" s="9"/>
      <c r="J57" s="9"/>
      <c r="K57">
        <f>STDEV(J51:J55)</f>
        <v>13.327651101323131</v>
      </c>
      <c r="P57" s="7"/>
    </row>
    <row r="58" spans="1:27" x14ac:dyDescent="0.2">
      <c r="A58" s="15"/>
      <c r="B58" s="15"/>
      <c r="C58" s="15"/>
      <c r="D58" s="15"/>
      <c r="E58" s="15"/>
      <c r="F58" s="23"/>
      <c r="G58" s="15"/>
      <c r="H58" s="9"/>
      <c r="I58" s="9"/>
      <c r="J58" s="9"/>
      <c r="P58" s="7"/>
    </row>
    <row r="59" spans="1:27" x14ac:dyDescent="0.2">
      <c r="A59" s="15" t="s">
        <v>111</v>
      </c>
      <c r="B59" s="15">
        <v>59.916647268906999</v>
      </c>
      <c r="C59" s="15">
        <v>0.72982030271067821</v>
      </c>
      <c r="D59" s="15">
        <v>1.07690501874056</v>
      </c>
      <c r="E59" s="15">
        <v>0.9790045624914181</v>
      </c>
      <c r="F59" s="23">
        <v>95662.599678384271</v>
      </c>
      <c r="G59" s="15">
        <f t="shared" si="1"/>
        <v>0.61428950556802497</v>
      </c>
      <c r="H59" s="9">
        <f t="shared" si="2"/>
        <v>0.61485302960839883</v>
      </c>
      <c r="I59" s="9">
        <f>H59/V$2*(C59^2)/(2)</f>
        <v>0.96095624323764184</v>
      </c>
      <c r="J59" s="9">
        <f>3.7*V$2*((10^(-1/(2*G59^0.5)))-(2.54/(F59*G59^0.5)))*1000</f>
        <v>145.09821482622135</v>
      </c>
      <c r="L59">
        <f>0.25/(LOG((ABS(N59)/V$2/3.7)+(5.74/(F59^0.9))))^2</f>
        <v>0.6148517906126163</v>
      </c>
      <c r="M59">
        <f>L59/V$2*(C59^2)/(2)</f>
        <v>0.96095430680620986</v>
      </c>
      <c r="N59">
        <v>0.145098</v>
      </c>
      <c r="O59">
        <f t="shared" si="3"/>
        <v>145.09800000000001</v>
      </c>
      <c r="P59" s="7">
        <f t="shared" si="4"/>
        <v>16.643513130251943</v>
      </c>
      <c r="Q59">
        <f t="shared" si="0"/>
        <v>145.09800000000001</v>
      </c>
      <c r="R59">
        <f t="shared" si="5"/>
        <v>851.5153452243037</v>
      </c>
      <c r="S59">
        <f t="shared" si="6"/>
        <v>0.85151408450704236</v>
      </c>
      <c r="Y59">
        <v>0.245</v>
      </c>
      <c r="Z59">
        <f>0.25/(LOG((ABS(Y59)/V$2/3.7)+(5.74/(F59^0.9))))^2</f>
        <v>1.4850782550186303</v>
      </c>
      <c r="AA59">
        <f>Z59/V$2*(C59^2)/(2)</f>
        <v>2.3210347060752641</v>
      </c>
    </row>
    <row r="60" spans="1:27" x14ac:dyDescent="0.2">
      <c r="A60" s="15" t="s">
        <v>111</v>
      </c>
      <c r="B60" s="15">
        <v>211.85657205053801</v>
      </c>
      <c r="C60" s="15">
        <v>2.5805387082365496</v>
      </c>
      <c r="D60" s="15">
        <v>10.230566180702599</v>
      </c>
      <c r="E60" s="15">
        <v>9.3005147097296348</v>
      </c>
      <c r="F60" s="23">
        <v>338249.07375654468</v>
      </c>
      <c r="G60" s="15">
        <f t="shared" si="1"/>
        <v>0.46677382012971297</v>
      </c>
      <c r="H60" s="9">
        <f t="shared" si="2"/>
        <v>0.46692210734895112</v>
      </c>
      <c r="I60" s="9">
        <f>H60/V$2*(C60^2)/(2)</f>
        <v>9.1235867674656905</v>
      </c>
      <c r="J60" s="9">
        <f>3.7*V$2*((10^(-1/(2*G60^0.5)))-(2.54/(F60*G60^0.5)))*1000</f>
        <v>116.8973137256047</v>
      </c>
      <c r="L60">
        <f>0.25/(LOG((ABS(N60)/V$2/3.7)+(5.74/(F60^0.9))))^2</f>
        <v>0.46692062033866438</v>
      </c>
      <c r="M60">
        <f>L60/V$2*(C60^2)/(2)</f>
        <v>9.1235577115114719</v>
      </c>
      <c r="N60">
        <v>0.116897</v>
      </c>
      <c r="O60">
        <f t="shared" si="3"/>
        <v>116.89700000000001</v>
      </c>
      <c r="P60" s="7">
        <f t="shared" si="4"/>
        <v>58.849047791816112</v>
      </c>
      <c r="Q60">
        <f t="shared" si="0"/>
        <v>116.89700000000001</v>
      </c>
      <c r="R60">
        <f t="shared" si="5"/>
        <v>686.01709932866606</v>
      </c>
      <c r="S60">
        <f t="shared" si="6"/>
        <v>0.68601525821596243</v>
      </c>
      <c r="Y60">
        <v>0.245</v>
      </c>
      <c r="Z60">
        <f>0.25/(LOG((ABS(Y60)/V$2/3.7)+(5.74/(F60^0.9))))^2</f>
        <v>1.4840412252514668</v>
      </c>
      <c r="AA60">
        <f>Z60/V$2*(C60^2)/(2)</f>
        <v>28.99793921078787</v>
      </c>
    </row>
    <row r="61" spans="1:27" x14ac:dyDescent="0.2">
      <c r="A61" s="15" t="s">
        <v>111</v>
      </c>
      <c r="B61" s="15">
        <v>402.489403672148</v>
      </c>
      <c r="C61" s="15">
        <v>4.9025596693939635</v>
      </c>
      <c r="D61" s="15">
        <v>34.920120360354197</v>
      </c>
      <c r="E61" s="15">
        <v>31.745563963958357</v>
      </c>
      <c r="F61" s="23">
        <v>642612.43666517793</v>
      </c>
      <c r="G61" s="15">
        <f t="shared" si="1"/>
        <v>0.44142561631575145</v>
      </c>
      <c r="H61" s="9">
        <f t="shared" si="2"/>
        <v>0.44150652584922151</v>
      </c>
      <c r="I61" s="9">
        <f>H61/V$2*(C61^2)/(2)</f>
        <v>31.137469670234474</v>
      </c>
      <c r="J61" s="9">
        <f>3.7*V$2*((10^(-1/(2*G61^0.5)))-(2.54/(F61*G61^0.5)))*1000</f>
        <v>111.4542190816031</v>
      </c>
      <c r="L61">
        <f>0.25/(LOG((ABS(N61)/V$2/3.7)+(5.74/(F61^0.9))))^2</f>
        <v>0.44148723808805923</v>
      </c>
      <c r="M61">
        <f>L61/V$2*(C61^2)/(2)</f>
        <v>31.136109391183009</v>
      </c>
      <c r="N61">
        <v>0.11144999999999999</v>
      </c>
      <c r="O61">
        <f t="shared" si="3"/>
        <v>111.44999999999999</v>
      </c>
      <c r="P61" s="7">
        <f t="shared" si="4"/>
        <v>111.80261213115223</v>
      </c>
      <c r="Q61">
        <f t="shared" si="0"/>
        <v>111.44999999999999</v>
      </c>
      <c r="R61">
        <f t="shared" si="5"/>
        <v>654.07405564321073</v>
      </c>
      <c r="S61">
        <f t="shared" si="6"/>
        <v>0.65404929577464777</v>
      </c>
      <c r="Y61">
        <v>0.245</v>
      </c>
      <c r="Z61">
        <f>0.25/(LOG((ABS(Y61)/V$2/3.7)+(5.74/(F61^0.9))))^2</f>
        <v>1.4838263277113124</v>
      </c>
      <c r="AA61">
        <f>Z61/V$2*(C61^2)/(2)</f>
        <v>104.64759764566875</v>
      </c>
    </row>
    <row r="62" spans="1:27" x14ac:dyDescent="0.2">
      <c r="A62" s="15" t="s">
        <v>111</v>
      </c>
      <c r="B62" s="15">
        <v>549.27837332180502</v>
      </c>
      <c r="C62" s="15">
        <v>6.6905363861735552</v>
      </c>
      <c r="D62" s="15">
        <v>64.295477011657894</v>
      </c>
      <c r="E62" s="15">
        <v>58.45043364696172</v>
      </c>
      <c r="F62" s="23">
        <v>876974.92323382583</v>
      </c>
      <c r="G62" s="15">
        <f t="shared" si="1"/>
        <v>0.43640139016266632</v>
      </c>
      <c r="H62" s="9">
        <f t="shared" si="2"/>
        <v>0.43646243112452698</v>
      </c>
      <c r="I62" s="9">
        <f>H62/V$2*(C62^2)/(2)</f>
        <v>57.328312098936273</v>
      </c>
      <c r="J62" s="9">
        <f>3.7*V$2*((10^(-1/(2*G62^0.5)))-(2.54/(F62*G62^0.5)))*1000</f>
        <v>110.35209663454609</v>
      </c>
      <c r="L62">
        <f>0.25/(LOG((ABS(N62)/V$2/3.7)+(5.74/(F62^0.9))))^2</f>
        <v>0.43646199254083234</v>
      </c>
      <c r="M62">
        <f>L62/V$2*(C62^2)/(2)</f>
        <v>57.3282544920012</v>
      </c>
      <c r="N62">
        <v>0.11035200000000001</v>
      </c>
      <c r="O62">
        <f t="shared" si="3"/>
        <v>110.352</v>
      </c>
      <c r="P62" s="7">
        <f t="shared" si="4"/>
        <v>152.57732592272362</v>
      </c>
      <c r="Q62">
        <f t="shared" si="0"/>
        <v>110.352</v>
      </c>
      <c r="R62">
        <f t="shared" si="5"/>
        <v>647.60620090696057</v>
      </c>
      <c r="S62">
        <f t="shared" si="6"/>
        <v>0.64760563380281688</v>
      </c>
      <c r="Y62">
        <v>0.245</v>
      </c>
      <c r="Z62">
        <f>0.25/(LOG((ABS(Y62)/V$2/3.7)+(5.74/(F62^0.9))))^2</f>
        <v>1.4837592316354664</v>
      </c>
      <c r="AA62">
        <f>Z62/V$2*(C62^2)/(2)</f>
        <v>194.88827959767067</v>
      </c>
    </row>
    <row r="63" spans="1:27" x14ac:dyDescent="0.2">
      <c r="A63" s="15" t="s">
        <v>111</v>
      </c>
      <c r="B63" s="15">
        <v>695.06193906975204</v>
      </c>
      <c r="C63" s="15">
        <v>8.4662666870847954</v>
      </c>
      <c r="D63" s="15">
        <v>101.90109328742</v>
      </c>
      <c r="E63" s="15">
        <v>92.637357534018165</v>
      </c>
      <c r="F63" s="23">
        <v>1109732.18729173</v>
      </c>
      <c r="G63" s="15">
        <f t="shared" si="1"/>
        <v>0.43193911171885163</v>
      </c>
      <c r="H63" s="9">
        <f t="shared" si="2"/>
        <v>0.43198836535402008</v>
      </c>
      <c r="I63" s="9">
        <f>H63/V$2*(C63^2)/(2)</f>
        <v>90.856573339617682</v>
      </c>
      <c r="J63" s="9">
        <f>3.7*V$2*((10^(-1/(2*G63^0.5)))-(2.54/(F63*G63^0.5)))*1000</f>
        <v>109.3662207979549</v>
      </c>
      <c r="L63">
        <f>0.25/(LOG((ABS(N63)/V$2/3.7)+(5.74/(F63^0.9))))^2</f>
        <v>0.43198736969228685</v>
      </c>
      <c r="M63">
        <f>L63/V$2*(C63^2)/(2)</f>
        <v>90.856363930243404</v>
      </c>
      <c r="N63">
        <v>0.109366</v>
      </c>
      <c r="O63">
        <f t="shared" si="3"/>
        <v>109.366</v>
      </c>
      <c r="P63" s="7">
        <f t="shared" si="4"/>
        <v>193.07276085270888</v>
      </c>
      <c r="Q63">
        <f t="shared" si="0"/>
        <v>109.366</v>
      </c>
      <c r="R63">
        <f t="shared" si="5"/>
        <v>641.8205445889372</v>
      </c>
      <c r="S63">
        <f t="shared" si="6"/>
        <v>0.64181924882629104</v>
      </c>
      <c r="Y63">
        <v>0.245</v>
      </c>
      <c r="Z63">
        <f>0.25/(LOG((ABS(Y63)/V$2/3.7)+(5.74/(F63^0.9))))^2</f>
        <v>1.4837195643774828</v>
      </c>
      <c r="AA63">
        <f>Z63/V$2*(C63^2)/(2)</f>
        <v>312.05857895226734</v>
      </c>
    </row>
    <row r="64" spans="1:27" x14ac:dyDescent="0.2">
      <c r="K64">
        <f>AVERAGE(J59:J63)</f>
        <v>118.63361301318605</v>
      </c>
      <c r="P64">
        <f>AVERAGE(O59:O63)</f>
        <v>118.6326</v>
      </c>
      <c r="Q64">
        <f>STDEV(O59:O63)</f>
        <v>15.078607853512278</v>
      </c>
      <c r="T64">
        <f>AVERAGE(S59:S63)</f>
        <v>0.69620070422535218</v>
      </c>
    </row>
    <row r="65" spans="11:11" x14ac:dyDescent="0.2">
      <c r="K65">
        <f>STDEV(J59:J63)</f>
        <v>15.078143565804087</v>
      </c>
    </row>
  </sheetData>
  <mergeCells count="3">
    <mergeCell ref="A1:G1"/>
    <mergeCell ref="H1:K1"/>
    <mergeCell ref="L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10</vt:i4>
      </vt:variant>
    </vt:vector>
  </HeadingPairs>
  <TitlesOfParts>
    <vt:vector size="15" baseType="lpstr">
      <vt:lpstr>DN200 PN16_Center I</vt:lpstr>
      <vt:lpstr>Table 2</vt:lpstr>
      <vt:lpstr>mitad_tornillos</vt:lpstr>
      <vt:lpstr>todos_tornillos</vt:lpstr>
      <vt:lpstr>Todos los datos</vt:lpstr>
      <vt:lpstr>Gráf V-Abso Rough</vt:lpstr>
      <vt:lpstr>Gráf V-Abso Rough (2)</vt:lpstr>
      <vt:lpstr>Graf_AbsRou-Volumen screws (2)</vt:lpstr>
      <vt:lpstr>Gráf Q-Hf</vt:lpstr>
      <vt:lpstr>Moody graf</vt:lpstr>
      <vt:lpstr>Graf_AbsRou-Cross-section</vt:lpstr>
      <vt:lpstr>Gráfico_coeficiente f</vt:lpstr>
      <vt:lpstr>Gráfico_Unitaire head losses</vt:lpstr>
      <vt:lpstr>Gráfico_Unitaire head losse-Bor</vt:lpstr>
      <vt:lpstr>Graf_Abs rough_Cross-sectio (2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Nery Zapata</dc:creator>
  <cp:lastModifiedBy>NZ</cp:lastModifiedBy>
  <cp:revision>8</cp:revision>
  <dcterms:created xsi:type="dcterms:W3CDTF">2018-06-18T16:16:17Z</dcterms:created>
  <dcterms:modified xsi:type="dcterms:W3CDTF">2023-11-15T15:00:28Z</dcterms:modified>
  <dc:language>es-ES</dc:language>
</cp:coreProperties>
</file>