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60" windowWidth="24840" windowHeight="13960" activeTab="2"/>
  </bookViews>
  <sheets>
    <sheet name="WFP CY2016 (2)" sheetId="8" r:id="rId1"/>
    <sheet name="WFP CY2016" sheetId="1" r:id="rId2"/>
    <sheet name="Admincost" sheetId="2" r:id="rId3"/>
    <sheet name="Grants" sheetId="3" r:id="rId4"/>
    <sheet name="PS" sheetId="4" r:id="rId5"/>
    <sheet name="NIR" sheetId="5" r:id="rId6"/>
    <sheet name="allotment sched" sheetId="6" r:id="rId7"/>
    <sheet name="working paper" sheetId="7" r:id="rId8"/>
  </sheets>
  <definedNames>
    <definedName name="_xlnm.Print_Area" localSheetId="2">Admincost!$J$1:$AE$27</definedName>
    <definedName name="_xlnm.Print_Area" localSheetId="3">Grants!$A$1:$H$31</definedName>
    <definedName name="_xlnm.Print_Area" localSheetId="1">'WFP CY2016'!$A$2:$J$30</definedName>
    <definedName name="_xlnm.Print_Area" localSheetId="0">'WFP CY2016 (2)'!$A$2:$J$27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6" l="1"/>
  <c r="F11" i="1"/>
  <c r="K20" i="6"/>
  <c r="G11" i="1"/>
  <c r="O20" i="6"/>
  <c r="H11" i="1"/>
  <c r="S20" i="6"/>
  <c r="I11" i="1"/>
  <c r="J11" i="1"/>
  <c r="C45" i="7"/>
  <c r="D3" i="7"/>
  <c r="E3" i="7"/>
  <c r="G3" i="7"/>
  <c r="D4" i="7"/>
  <c r="E4" i="7"/>
  <c r="G4" i="7"/>
  <c r="D5" i="7"/>
  <c r="E5" i="7"/>
  <c r="G5" i="7"/>
  <c r="D6" i="7"/>
  <c r="E6" i="7"/>
  <c r="G6" i="7"/>
  <c r="D7" i="7"/>
  <c r="E7" i="7"/>
  <c r="G7" i="7"/>
  <c r="D8" i="7"/>
  <c r="E8" i="7"/>
  <c r="G8" i="7"/>
  <c r="D9" i="7"/>
  <c r="E9" i="7"/>
  <c r="G9" i="7"/>
  <c r="D10" i="7"/>
  <c r="E10" i="7"/>
  <c r="G10" i="7"/>
  <c r="D11" i="7"/>
  <c r="E11" i="7"/>
  <c r="G11" i="7"/>
  <c r="D12" i="7"/>
  <c r="E12" i="7"/>
  <c r="G12" i="7"/>
  <c r="D13" i="7"/>
  <c r="E13" i="7"/>
  <c r="G13" i="7"/>
  <c r="D14" i="7"/>
  <c r="E14" i="7"/>
  <c r="G14" i="7"/>
  <c r="D15" i="7"/>
  <c r="E15" i="7"/>
  <c r="G15" i="7"/>
  <c r="D16" i="7"/>
  <c r="E16" i="7"/>
  <c r="G16" i="7"/>
  <c r="D17" i="7"/>
  <c r="E17" i="7"/>
  <c r="G17" i="7"/>
  <c r="D18" i="7"/>
  <c r="E18" i="7"/>
  <c r="G18" i="7"/>
  <c r="D19" i="7"/>
  <c r="E19" i="7"/>
  <c r="G19" i="7"/>
  <c r="E20" i="7"/>
  <c r="G20" i="7"/>
  <c r="G21" i="7"/>
  <c r="C52" i="7"/>
  <c r="G23" i="3"/>
  <c r="J26" i="2"/>
  <c r="AD26" i="2"/>
  <c r="H26" i="2"/>
  <c r="AF26" i="2"/>
  <c r="C13" i="5"/>
  <c r="C14" i="5"/>
  <c r="C15" i="5"/>
  <c r="C16" i="5"/>
  <c r="B25" i="2"/>
  <c r="D13" i="5"/>
  <c r="D14" i="5"/>
  <c r="D16" i="5"/>
  <c r="C25" i="2"/>
  <c r="E13" i="5"/>
  <c r="E14" i="5"/>
  <c r="E16" i="5"/>
  <c r="D25" i="2"/>
  <c r="F13" i="5"/>
  <c r="F14" i="5"/>
  <c r="F16" i="5"/>
  <c r="E25" i="2"/>
  <c r="G13" i="5"/>
  <c r="G14" i="5"/>
  <c r="G16" i="5"/>
  <c r="F25" i="2"/>
  <c r="H13" i="5"/>
  <c r="H14" i="5"/>
  <c r="H16" i="5"/>
  <c r="G25" i="2"/>
  <c r="H25" i="2"/>
  <c r="AF25" i="2"/>
  <c r="C19" i="5"/>
  <c r="C20" i="5"/>
  <c r="C21" i="5"/>
  <c r="C22" i="5"/>
  <c r="B24" i="2"/>
  <c r="D19" i="5"/>
  <c r="D20" i="5"/>
  <c r="D22" i="5"/>
  <c r="C24" i="2"/>
  <c r="E19" i="5"/>
  <c r="E20" i="5"/>
  <c r="E22" i="5"/>
  <c r="D24" i="2"/>
  <c r="F19" i="5"/>
  <c r="F20" i="5"/>
  <c r="F22" i="5"/>
  <c r="E24" i="2"/>
  <c r="G19" i="5"/>
  <c r="G20" i="5"/>
  <c r="G22" i="5"/>
  <c r="F24" i="2"/>
  <c r="H19" i="5"/>
  <c r="H20" i="5"/>
  <c r="H22" i="5"/>
  <c r="H24" i="2"/>
  <c r="AF24" i="2"/>
  <c r="C5" i="5"/>
  <c r="C6" i="5"/>
  <c r="C7" i="5"/>
  <c r="C8" i="5"/>
  <c r="J23" i="2"/>
  <c r="D5" i="5"/>
  <c r="D6" i="5"/>
  <c r="D7" i="5"/>
  <c r="D8" i="5"/>
  <c r="K23" i="2"/>
  <c r="E5" i="5"/>
  <c r="E6" i="5"/>
  <c r="E8" i="5"/>
  <c r="L23" i="2"/>
  <c r="F5" i="5"/>
  <c r="F8" i="5"/>
  <c r="M23" i="2"/>
  <c r="G5" i="5"/>
  <c r="G8" i="5"/>
  <c r="N23" i="2"/>
  <c r="H5" i="5"/>
  <c r="H6" i="5"/>
  <c r="H8" i="5"/>
  <c r="O23" i="2"/>
  <c r="AD23" i="2"/>
  <c r="H23" i="2"/>
  <c r="AF23" i="2"/>
  <c r="AD22" i="2"/>
  <c r="H22" i="2"/>
  <c r="AF22" i="2"/>
  <c r="AD21" i="2"/>
  <c r="H21" i="2"/>
  <c r="AF21" i="2"/>
  <c r="AD20" i="2"/>
  <c r="H20" i="2"/>
  <c r="AF20" i="2"/>
  <c r="AD19" i="2"/>
  <c r="H19" i="2"/>
  <c r="AF19" i="2"/>
  <c r="AD18" i="2"/>
  <c r="H18" i="2"/>
  <c r="AF18" i="2"/>
  <c r="AD17" i="2"/>
  <c r="H17" i="2"/>
  <c r="AF17" i="2"/>
  <c r="AD16" i="2"/>
  <c r="H16" i="2"/>
  <c r="AF16" i="2"/>
  <c r="AD15" i="2"/>
  <c r="B15" i="2"/>
  <c r="C15" i="2"/>
  <c r="D15" i="2"/>
  <c r="E15" i="2"/>
  <c r="F15" i="2"/>
  <c r="G15" i="2"/>
  <c r="H15" i="2"/>
  <c r="AF15" i="2"/>
  <c r="AD14" i="2"/>
  <c r="B14" i="2"/>
  <c r="C14" i="2"/>
  <c r="D14" i="2"/>
  <c r="E14" i="2"/>
  <c r="F14" i="2"/>
  <c r="G14" i="2"/>
  <c r="H14" i="2"/>
  <c r="AF14" i="2"/>
  <c r="AD13" i="2"/>
  <c r="H13" i="2"/>
  <c r="AF13" i="2"/>
  <c r="AD12" i="2"/>
  <c r="H12" i="2"/>
  <c r="AF12" i="2"/>
  <c r="AD11" i="2"/>
  <c r="H11" i="2"/>
  <c r="AF11" i="2"/>
  <c r="AD10" i="2"/>
  <c r="H10" i="2"/>
  <c r="AF10" i="2"/>
  <c r="AD9" i="2"/>
  <c r="H9" i="2"/>
  <c r="AF9" i="2"/>
  <c r="AD8" i="2"/>
  <c r="H8" i="2"/>
  <c r="AF8" i="2"/>
  <c r="AD7" i="2"/>
  <c r="H7" i="2"/>
  <c r="AF7" i="2"/>
  <c r="AD6" i="2"/>
  <c r="H6" i="2"/>
  <c r="AF6" i="2"/>
  <c r="F21" i="7"/>
  <c r="C21" i="7"/>
  <c r="D21" i="7"/>
  <c r="E21" i="7"/>
  <c r="F19" i="1"/>
  <c r="G19" i="1"/>
  <c r="H19" i="1"/>
  <c r="I19" i="1"/>
  <c r="J19" i="1"/>
  <c r="G17" i="6"/>
  <c r="F13" i="1"/>
  <c r="K17" i="6"/>
  <c r="G13" i="1"/>
  <c r="O17" i="6"/>
  <c r="H13" i="1"/>
  <c r="S17" i="6"/>
  <c r="I13" i="1"/>
  <c r="J13" i="1"/>
  <c r="D18" i="6"/>
  <c r="E18" i="6"/>
  <c r="F18" i="6"/>
  <c r="G18" i="6"/>
  <c r="F18" i="1"/>
  <c r="H18" i="6"/>
  <c r="I18" i="6"/>
  <c r="J18" i="6"/>
  <c r="K18" i="6"/>
  <c r="G18" i="1"/>
  <c r="L18" i="6"/>
  <c r="M18" i="6"/>
  <c r="N18" i="6"/>
  <c r="O18" i="6"/>
  <c r="H18" i="1"/>
  <c r="P18" i="6"/>
  <c r="Q18" i="6"/>
  <c r="R18" i="6"/>
  <c r="S18" i="6"/>
  <c r="I18" i="1"/>
  <c r="J18" i="1"/>
  <c r="J25" i="1"/>
  <c r="D5" i="3"/>
  <c r="F5" i="3"/>
  <c r="D6" i="3"/>
  <c r="F6" i="3"/>
  <c r="D7" i="3"/>
  <c r="F7" i="3"/>
  <c r="D8" i="3"/>
  <c r="F8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D22" i="3"/>
  <c r="F22" i="3"/>
  <c r="F23" i="3"/>
  <c r="R28" i="2"/>
  <c r="R27" i="2"/>
  <c r="R29" i="2"/>
  <c r="C13" i="8"/>
  <c r="F16" i="8"/>
  <c r="I15" i="8"/>
  <c r="H15" i="8"/>
  <c r="G15" i="8"/>
  <c r="F15" i="8"/>
  <c r="I12" i="8"/>
  <c r="H12" i="8"/>
  <c r="G12" i="8"/>
  <c r="F12" i="8"/>
  <c r="I11" i="8"/>
  <c r="I13" i="8"/>
  <c r="H11" i="8"/>
  <c r="G11" i="8"/>
  <c r="G13" i="8"/>
  <c r="F11" i="8"/>
  <c r="F13" i="8"/>
  <c r="H13" i="8"/>
  <c r="J15" i="8"/>
  <c r="G16" i="8"/>
  <c r="H16" i="8"/>
  <c r="I16" i="8"/>
  <c r="I17" i="8"/>
  <c r="I18" i="8"/>
  <c r="J12" i="8"/>
  <c r="J11" i="8"/>
  <c r="F17" i="8"/>
  <c r="F18" i="8"/>
  <c r="I20" i="1"/>
  <c r="F20" i="1"/>
  <c r="G20" i="1"/>
  <c r="H20" i="1"/>
  <c r="J20" i="1"/>
  <c r="H17" i="8"/>
  <c r="J16" i="8"/>
  <c r="J13" i="8"/>
  <c r="G17" i="8"/>
  <c r="H18" i="8"/>
  <c r="G18" i="8"/>
  <c r="J17" i="8"/>
  <c r="J18" i="8"/>
  <c r="D14" i="6"/>
  <c r="E14" i="6"/>
  <c r="F14" i="6"/>
  <c r="H14" i="6"/>
  <c r="I14" i="6"/>
  <c r="J14" i="6"/>
  <c r="L14" i="6"/>
  <c r="M14" i="6"/>
  <c r="N14" i="6"/>
  <c r="P14" i="6"/>
  <c r="Q14" i="6"/>
  <c r="R14" i="6"/>
  <c r="S14" i="6"/>
  <c r="O14" i="6"/>
  <c r="K14" i="6"/>
  <c r="G14" i="6"/>
  <c r="T14" i="6"/>
  <c r="T17" i="6"/>
  <c r="T18" i="6"/>
  <c r="T20" i="6"/>
  <c r="S21" i="6"/>
  <c r="O21" i="6"/>
  <c r="K21" i="6"/>
  <c r="G21" i="6"/>
  <c r="T21" i="6"/>
  <c r="T22" i="6"/>
  <c r="S22" i="6"/>
  <c r="R22" i="6"/>
  <c r="Q17" i="6"/>
  <c r="Q20" i="6"/>
  <c r="Q22" i="6"/>
  <c r="P17" i="6"/>
  <c r="P20" i="6"/>
  <c r="P21" i="6"/>
  <c r="P22" i="6"/>
  <c r="O22" i="6"/>
  <c r="N22" i="6"/>
  <c r="M17" i="6"/>
  <c r="M20" i="6"/>
  <c r="M22" i="6"/>
  <c r="L17" i="6"/>
  <c r="L20" i="6"/>
  <c r="L21" i="6"/>
  <c r="L22" i="6"/>
  <c r="K22" i="6"/>
  <c r="J22" i="6"/>
  <c r="H20" i="6"/>
  <c r="I20" i="6"/>
  <c r="I22" i="6"/>
  <c r="H17" i="6"/>
  <c r="H21" i="6"/>
  <c r="H22" i="6"/>
  <c r="G22" i="6"/>
  <c r="F17" i="6"/>
  <c r="F22" i="6"/>
  <c r="E17" i="6"/>
  <c r="E20" i="6"/>
  <c r="E21" i="6"/>
  <c r="E22" i="6"/>
  <c r="D22" i="6"/>
  <c r="C22" i="6"/>
  <c r="L41" i="5"/>
  <c r="L43" i="5"/>
  <c r="L36" i="5"/>
  <c r="L38" i="5"/>
  <c r="L44" i="5"/>
  <c r="C41" i="5"/>
  <c r="D41" i="5"/>
  <c r="E41" i="5"/>
  <c r="F41" i="5"/>
  <c r="G41" i="5"/>
  <c r="H41" i="5"/>
  <c r="I41" i="5"/>
  <c r="J41" i="5"/>
  <c r="K41" i="5"/>
  <c r="C42" i="5"/>
  <c r="K42" i="5"/>
  <c r="K43" i="5"/>
  <c r="C36" i="5"/>
  <c r="D36" i="5"/>
  <c r="E36" i="5"/>
  <c r="F36" i="5"/>
  <c r="G36" i="5"/>
  <c r="H36" i="5"/>
  <c r="I36" i="5"/>
  <c r="J36" i="5"/>
  <c r="K36" i="5"/>
  <c r="C37" i="5"/>
  <c r="K37" i="5"/>
  <c r="K38" i="5"/>
  <c r="K44" i="5"/>
  <c r="J43" i="5"/>
  <c r="J38" i="5"/>
  <c r="J44" i="5"/>
  <c r="I43" i="5"/>
  <c r="I38" i="5"/>
  <c r="I44" i="5"/>
  <c r="H43" i="5"/>
  <c r="H38" i="5"/>
  <c r="H44" i="5"/>
  <c r="G43" i="5"/>
  <c r="G38" i="5"/>
  <c r="G44" i="5"/>
  <c r="F43" i="5"/>
  <c r="F38" i="5"/>
  <c r="F44" i="5"/>
  <c r="E43" i="5"/>
  <c r="E38" i="5"/>
  <c r="E44" i="5"/>
  <c r="D43" i="5"/>
  <c r="D38" i="5"/>
  <c r="D44" i="5"/>
  <c r="C43" i="5"/>
  <c r="C38" i="5"/>
  <c r="C44" i="5"/>
  <c r="B43" i="5"/>
  <c r="B38" i="5"/>
  <c r="B44" i="5"/>
  <c r="I5" i="5"/>
  <c r="I6" i="5"/>
  <c r="I7" i="5"/>
  <c r="I8" i="5"/>
  <c r="I13" i="5"/>
  <c r="I14" i="5"/>
  <c r="I15" i="5"/>
  <c r="I16" i="5"/>
  <c r="I19" i="5"/>
  <c r="I20" i="5"/>
  <c r="I21" i="5"/>
  <c r="I22" i="5"/>
  <c r="I24" i="5"/>
  <c r="I27" i="5"/>
  <c r="H24" i="5"/>
  <c r="H27" i="5"/>
  <c r="G24" i="5"/>
  <c r="G27" i="5"/>
  <c r="F24" i="5"/>
  <c r="F27" i="5"/>
  <c r="E24" i="5"/>
  <c r="E27" i="5"/>
  <c r="D24" i="5"/>
  <c r="D27" i="5"/>
  <c r="C24" i="5"/>
  <c r="C27" i="5"/>
  <c r="B8" i="5"/>
  <c r="B16" i="5"/>
  <c r="B22" i="5"/>
  <c r="B24" i="5"/>
  <c r="B27" i="5"/>
  <c r="F28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E23" i="3"/>
  <c r="C23" i="3"/>
  <c r="E12" i="8"/>
  <c r="B23" i="3"/>
  <c r="E11" i="8"/>
  <c r="E13" i="8"/>
  <c r="F26" i="3"/>
  <c r="I3" i="3"/>
  <c r="B27" i="2"/>
  <c r="J27" i="2"/>
  <c r="B28" i="2"/>
  <c r="B32" i="2"/>
  <c r="AC27" i="2"/>
  <c r="AB27" i="2"/>
  <c r="AA27" i="2"/>
  <c r="Z27" i="2"/>
  <c r="Y27" i="2"/>
  <c r="X27" i="2"/>
  <c r="W27" i="2"/>
  <c r="V27" i="2"/>
  <c r="U27" i="2"/>
  <c r="T27" i="2"/>
  <c r="S27" i="2"/>
  <c r="Q27" i="2"/>
  <c r="P27" i="2"/>
  <c r="O27" i="2"/>
  <c r="N27" i="2"/>
  <c r="M27" i="2"/>
  <c r="L27" i="2"/>
  <c r="K27" i="2"/>
  <c r="I27" i="2"/>
  <c r="H27" i="2"/>
  <c r="F27" i="3"/>
  <c r="G27" i="2"/>
  <c r="F27" i="2"/>
  <c r="E27" i="2"/>
  <c r="D27" i="2"/>
  <c r="C27" i="2"/>
  <c r="AD27" i="2"/>
  <c r="AD28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I12" i="1"/>
  <c r="I14" i="1"/>
  <c r="I21" i="1"/>
  <c r="H12" i="1"/>
  <c r="H14" i="1"/>
  <c r="H21" i="1"/>
  <c r="G12" i="1"/>
  <c r="G14" i="1"/>
  <c r="G21" i="1"/>
  <c r="F12" i="1"/>
  <c r="F14" i="1"/>
  <c r="F21" i="1"/>
  <c r="C16" i="1"/>
  <c r="J12" i="1"/>
  <c r="J14" i="1"/>
  <c r="J21" i="1"/>
  <c r="J23" i="1"/>
  <c r="E13" i="1"/>
  <c r="E12" i="1"/>
  <c r="AD31" i="2"/>
  <c r="E15" i="8"/>
  <c r="E17" i="8"/>
  <c r="E18" i="8"/>
  <c r="K18" i="8"/>
  <c r="L18" i="8"/>
  <c r="H28" i="2"/>
  <c r="AD29" i="2"/>
  <c r="F29" i="3"/>
  <c r="K13" i="8"/>
  <c r="E11" i="1"/>
  <c r="E14" i="1"/>
  <c r="K14" i="1"/>
  <c r="D23" i="3"/>
  <c r="D27" i="3"/>
  <c r="F30" i="3"/>
  <c r="F31" i="3"/>
  <c r="G31" i="3"/>
  <c r="E18" i="1"/>
  <c r="E20" i="1"/>
  <c r="AE26" i="2"/>
  <c r="AE27" i="2"/>
  <c r="E21" i="1"/>
  <c r="K21" i="1"/>
  <c r="L21" i="1"/>
</calcChain>
</file>

<file path=xl/comments1.xml><?xml version="1.0" encoding="utf-8"?>
<comments xmlns="http://schemas.openxmlformats.org/spreadsheetml/2006/main">
  <authors>
    <author>user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Amount required for the COS of Creation of MOA SLP NPMO ( March - December )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Amount to be duducted to FO's EF to accommodate the requirements of SLP NPMO Creation of Staff ( March to Dec)</t>
        </r>
      </text>
    </comment>
  </commentList>
</comments>
</file>

<file path=xl/sharedStrings.xml><?xml version="1.0" encoding="utf-8"?>
<sst xmlns="http://schemas.openxmlformats.org/spreadsheetml/2006/main" count="381" uniqueCount="204">
  <si>
    <t>Department of Social Welfare and Development</t>
  </si>
  <si>
    <t>Sustainable Livelihood Program</t>
  </si>
  <si>
    <t>Work and Financial Plan 2016</t>
  </si>
  <si>
    <t>Major Final output/Programs, Activities, Projects</t>
  </si>
  <si>
    <t>Output Indicators</t>
  </si>
  <si>
    <t>Targets</t>
  </si>
  <si>
    <t>Unit Cost</t>
  </si>
  <si>
    <t>Total Cost</t>
  </si>
  <si>
    <t>Target Timeline</t>
  </si>
  <si>
    <t>1st Q</t>
  </si>
  <si>
    <t>2nd Q</t>
  </si>
  <si>
    <t>3rd Q</t>
  </si>
  <si>
    <t>4th Q</t>
  </si>
  <si>
    <t>Total</t>
  </si>
  <si>
    <t>I.         Program Grants</t>
  </si>
  <si>
    <t>No. of Participants</t>
  </si>
  <si>
    <t>Base on Cost Parameter</t>
  </si>
  <si>
    <t>No. of Approved Projects</t>
  </si>
  <si>
    <t>Subtotal - Program Grants</t>
  </si>
  <si>
    <t>II. Monitoring and Sustainability</t>
  </si>
  <si>
    <t>No. of Pantawid Pamilya Beneficiaries</t>
  </si>
  <si>
    <t>Cost will be charged to Administrative Cost for Monitoring of Beneficiaries such as Travelling Expenses of Field PDOs</t>
  </si>
  <si>
    <t>III. Personnel And Administrative Support</t>
  </si>
  <si>
    <t>Please see attached</t>
  </si>
  <si>
    <t>Subtotal</t>
  </si>
  <si>
    <t xml:space="preserve">Grand Total </t>
  </si>
  <si>
    <t>Prepared by:</t>
  </si>
  <si>
    <t>Reviewed by:</t>
  </si>
  <si>
    <t>Concurred by:</t>
  </si>
  <si>
    <t>Recommending Approval</t>
  </si>
  <si>
    <t>Approved by:</t>
  </si>
  <si>
    <t>KAREN KIMBERLY B PEDRO</t>
  </si>
  <si>
    <t>EDMON B. MONTEVERDE</t>
  </si>
  <si>
    <t>MYDA A. NIEVES</t>
  </si>
  <si>
    <t>GIL DENIS A. RAPOSA</t>
  </si>
  <si>
    <t>CAMILO G. GUDMALIN</t>
  </si>
  <si>
    <t>AO-V</t>
  </si>
  <si>
    <t>PDO IV- Finance Unit</t>
  </si>
  <si>
    <t xml:space="preserve">Deputy Program Manager </t>
  </si>
  <si>
    <t>Director , SLP NPMO</t>
  </si>
  <si>
    <t>Field Office</t>
  </si>
  <si>
    <t>MOA Cost of Service</t>
  </si>
  <si>
    <t>Travelling Expense</t>
  </si>
  <si>
    <t>Mobile Expense</t>
  </si>
  <si>
    <t>Internet</t>
  </si>
  <si>
    <t>Supplies</t>
  </si>
  <si>
    <t>Meeting</t>
  </si>
  <si>
    <t>Telephone @ 2,000/ mo</t>
  </si>
  <si>
    <t>Postage @ 5,000/mo</t>
  </si>
  <si>
    <t>Trainings/ Seminars/ Workshops</t>
  </si>
  <si>
    <t>Consultancy</t>
  </si>
  <si>
    <t>Fuel/Oil @ 10,000/mo</t>
  </si>
  <si>
    <t>Rental - vehicle (5,000 x 5 days/mo)</t>
  </si>
  <si>
    <t>Rental - office @10,000/ prov/mo)</t>
  </si>
  <si>
    <t>Advocacy @ 10,000/mo</t>
  </si>
  <si>
    <t>Water @2,000/RPMO &amp; prov/mo</t>
  </si>
  <si>
    <t>Electricity @5,000/RPMO &amp; prov/mo</t>
  </si>
  <si>
    <t>Janitorial @ 2,000/RPMO + 5,000/prov</t>
  </si>
  <si>
    <t>Security</t>
  </si>
  <si>
    <t>Repair - IT</t>
  </si>
  <si>
    <t>Repair - Office Eqpt</t>
  </si>
  <si>
    <t xml:space="preserve">Total </t>
  </si>
  <si>
    <t>NCR</t>
  </si>
  <si>
    <t>CAR</t>
  </si>
  <si>
    <t>I</t>
  </si>
  <si>
    <t>II</t>
  </si>
  <si>
    <t>III</t>
  </si>
  <si>
    <t>IV-A</t>
  </si>
  <si>
    <t>IV-B</t>
  </si>
  <si>
    <t>V</t>
  </si>
  <si>
    <t>VI</t>
  </si>
  <si>
    <t>VII</t>
  </si>
  <si>
    <t>VIII</t>
  </si>
  <si>
    <t>IX</t>
  </si>
  <si>
    <t>X</t>
  </si>
  <si>
    <t>XI</t>
  </si>
  <si>
    <t>XII</t>
  </si>
  <si>
    <t>CARAGA</t>
  </si>
  <si>
    <t>ARMM</t>
  </si>
  <si>
    <t>NIR</t>
  </si>
  <si>
    <t>CO</t>
  </si>
  <si>
    <t>TOTAL</t>
  </si>
  <si>
    <t>Grand Total</t>
  </si>
  <si>
    <t>Microenterprise Development (45% of overall target)</t>
  </si>
  <si>
    <t xml:space="preserve"> Employment Facilitation (55% of overall target) </t>
  </si>
  <si>
    <t xml:space="preserve"> Total Amount of Regular SLP Grants </t>
  </si>
  <si>
    <t>IVA</t>
  </si>
  <si>
    <t>IVB</t>
  </si>
  <si>
    <t xml:space="preserve"> Total </t>
  </si>
  <si>
    <t>Regional Grant Allocation CY 2016</t>
  </si>
  <si>
    <t>SLP-BUB</t>
  </si>
  <si>
    <t>PS</t>
  </si>
  <si>
    <t>Grants</t>
  </si>
  <si>
    <t>Admin DR</t>
  </si>
  <si>
    <t>Region</t>
  </si>
  <si>
    <t>Central Office</t>
  </si>
  <si>
    <t>Admin CMF</t>
  </si>
  <si>
    <t>VI - NIR</t>
  </si>
  <si>
    <t>VII - NIR</t>
  </si>
  <si>
    <t>ADMIN COST</t>
  </si>
  <si>
    <t>Particulars</t>
  </si>
  <si>
    <t># of Staff</t>
  </si>
  <si>
    <t>Administrative Cost</t>
  </si>
  <si>
    <t>Remarks</t>
  </si>
  <si>
    <t>Cost of Service</t>
  </si>
  <si>
    <t>I.  Field Office -NIR</t>
  </si>
  <si>
    <t>Allocation above the NEP</t>
  </si>
  <si>
    <t>Regional Project Coordinator (PDO III)</t>
  </si>
  <si>
    <t>RPMO Staff (PDO II)</t>
  </si>
  <si>
    <t>Administrative Assistant II</t>
  </si>
  <si>
    <t>II.  FO VI and VII NIR</t>
  </si>
  <si>
    <t>Allocation within the NEP</t>
  </si>
  <si>
    <t>FO VII NIR - Negros Oriental</t>
  </si>
  <si>
    <t>Provinicial Coordinator (PDO II)</t>
  </si>
  <si>
    <t>Field PDO (PDO II)</t>
  </si>
  <si>
    <t>Subtotal for Negros Oriental</t>
  </si>
  <si>
    <t>FO VI NIR - Negros Occidental</t>
  </si>
  <si>
    <t>Subtotal for Negros Occidental</t>
  </si>
  <si>
    <t>Grandtotal</t>
  </si>
  <si>
    <t>II. PAMANA NIR FUNDS 2016</t>
  </si>
  <si>
    <t>TOTAL ADMIN COST</t>
  </si>
  <si>
    <t>Capital Outlay</t>
  </si>
  <si>
    <t>LapTop @ P50,000/PDO</t>
  </si>
  <si>
    <t>I.  FO VI and VII NIR</t>
  </si>
  <si>
    <r>
      <t>I. NIR SLP GAA</t>
    </r>
    <r>
      <rPr>
        <sz val="12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 xml:space="preserve"> for CY 2016 </t>
    </r>
  </si>
  <si>
    <r>
      <t xml:space="preserve">Travel                             </t>
    </r>
    <r>
      <rPr>
        <b/>
        <sz val="9"/>
        <rFont val="Arial"/>
        <family val="2"/>
      </rPr>
      <t>P 5,000/mo</t>
    </r>
  </si>
  <si>
    <r>
      <t xml:space="preserve">Mobile 
</t>
    </r>
    <r>
      <rPr>
        <b/>
        <sz val="9"/>
        <rFont val="Arial"/>
        <family val="2"/>
      </rPr>
      <t>P 900/mo for RPC                 P 600/mo for RPMO PDO and Field PDOs</t>
    </r>
  </si>
  <si>
    <r>
      <t xml:space="preserve">Internet 
</t>
    </r>
    <r>
      <rPr>
        <b/>
        <sz val="9"/>
        <rFont val="Arial"/>
        <family val="2"/>
      </rPr>
      <t>P 1,500/mo for Field Office and per province</t>
    </r>
  </si>
  <si>
    <r>
      <t xml:space="preserve">Supplies                                           </t>
    </r>
    <r>
      <rPr>
        <b/>
        <sz val="9"/>
        <rFont val="Arial"/>
        <family val="2"/>
      </rPr>
      <t>P 10,000/mo for Field Office and P 500/Field PDO/mo</t>
    </r>
    <r>
      <rPr>
        <b/>
        <sz val="12"/>
        <rFont val="Arial"/>
        <family val="2"/>
      </rPr>
      <t xml:space="preserve"> </t>
    </r>
  </si>
  <si>
    <r>
      <t xml:space="preserve">Meetings
</t>
    </r>
    <r>
      <rPr>
        <b/>
        <sz val="9"/>
        <rFont val="Arial"/>
        <family val="2"/>
      </rPr>
      <t>P 350/PDO/mo</t>
    </r>
  </si>
  <si>
    <r>
      <t xml:space="preserve">Mobile 
</t>
    </r>
    <r>
      <rPr>
        <b/>
        <sz val="9"/>
        <rFont val="Arial"/>
        <family val="2"/>
      </rPr>
      <t xml:space="preserve">P 600/mo per PDO </t>
    </r>
  </si>
  <si>
    <r>
      <t xml:space="preserve">Internet 
</t>
    </r>
    <r>
      <rPr>
        <b/>
        <sz val="9"/>
        <rFont val="Arial"/>
        <family val="2"/>
      </rPr>
      <t>P 1,500/mo per province</t>
    </r>
  </si>
  <si>
    <r>
      <t xml:space="preserve">Supplies                                           </t>
    </r>
    <r>
      <rPr>
        <b/>
        <sz val="9"/>
        <rFont val="Arial"/>
        <family val="2"/>
      </rPr>
      <t>P 500/Field PDO/mo</t>
    </r>
    <r>
      <rPr>
        <b/>
        <sz val="12"/>
        <rFont val="Arial"/>
        <family val="2"/>
      </rPr>
      <t xml:space="preserve"> </t>
    </r>
  </si>
  <si>
    <r>
      <t xml:space="preserve">Vehicle Rental
</t>
    </r>
    <r>
      <rPr>
        <b/>
        <sz val="9"/>
        <rFont val="Arial"/>
        <family val="2"/>
      </rPr>
      <t>P 5,000/Bgry</t>
    </r>
  </si>
  <si>
    <r>
      <t xml:space="preserve">Gasoline
</t>
    </r>
    <r>
      <rPr>
        <b/>
        <sz val="9"/>
        <rFont val="Arial"/>
        <family val="2"/>
      </rPr>
      <t>P 5,000/Bgry</t>
    </r>
  </si>
  <si>
    <t>Personnel Service (PS) Total</t>
  </si>
  <si>
    <t>Undersecretary for OPG, Promotive</t>
  </si>
  <si>
    <t>CY 2016</t>
  </si>
  <si>
    <t>(in exact figures)</t>
  </si>
  <si>
    <t>PARTICULARS</t>
  </si>
  <si>
    <t>UACS CODE</t>
  </si>
  <si>
    <t>TOTAL PROGRAM</t>
  </si>
  <si>
    <t>FULL YEAR REQUIREMENT</t>
  </si>
  <si>
    <t>QUARTER 1</t>
  </si>
  <si>
    <t>QUARTER 2</t>
  </si>
  <si>
    <t>QUARTER 3</t>
  </si>
  <si>
    <t>QUARTER 4</t>
  </si>
  <si>
    <t>FULL YEAR</t>
  </si>
  <si>
    <t>JAN</t>
  </si>
  <si>
    <t>FEB</t>
  </si>
  <si>
    <t>MAR</t>
  </si>
  <si>
    <t>APR</t>
  </si>
  <si>
    <t>MAY</t>
  </si>
  <si>
    <t>JUNE</t>
  </si>
  <si>
    <t>JUL</t>
  </si>
  <si>
    <t>AUG</t>
  </si>
  <si>
    <t>SEP</t>
  </si>
  <si>
    <t>OCT</t>
  </si>
  <si>
    <t>NOV</t>
  </si>
  <si>
    <t>DEC</t>
  </si>
  <si>
    <t>9=6+7+8</t>
  </si>
  <si>
    <t>13=10+11+12</t>
  </si>
  <si>
    <t>17=14+15+16</t>
  </si>
  <si>
    <t>21=18+19+20</t>
  </si>
  <si>
    <t>I. NOTICE OF CASH ALLOCATION</t>
  </si>
  <si>
    <t xml:space="preserve">   A. Fiscal Year's (FY) Budget</t>
  </si>
  <si>
    <t xml:space="preserve">       Personnel Services (NPMO)</t>
  </si>
  <si>
    <t xml:space="preserve">       MOOE (CMF)</t>
  </si>
  <si>
    <t>A. Employment Faciliation</t>
  </si>
  <si>
    <t xml:space="preserve">           SLP Regular-Grants</t>
  </si>
  <si>
    <t xml:space="preserve">           Administrative Cost</t>
  </si>
  <si>
    <t xml:space="preserve">B. Micro Enterprise Development </t>
  </si>
  <si>
    <t xml:space="preserve">           SLP BUB Grants</t>
  </si>
  <si>
    <t>TOTAL PROGRAM COST</t>
  </si>
  <si>
    <t>EF</t>
  </si>
  <si>
    <t>MD</t>
  </si>
  <si>
    <t>BUB</t>
  </si>
  <si>
    <t xml:space="preserve"> Regional Direct Release MOOE and PS CY 2016</t>
  </si>
  <si>
    <t>Total Admin Cost</t>
  </si>
  <si>
    <r>
      <t xml:space="preserve">   </t>
    </r>
    <r>
      <rPr>
        <sz val="16"/>
        <color indexed="8"/>
        <rFont val="Arial"/>
        <family val="2"/>
      </rPr>
      <t>A. Assesment of the  Livelihood Projects through SLP- Information System ( SLPIS)</t>
    </r>
  </si>
  <si>
    <t>No. of Contractual Positions</t>
  </si>
  <si>
    <t>Base on the no. of Project of LGU's</t>
  </si>
  <si>
    <t>Base on the postions (PDO III, PDO II, Bookkeeper)</t>
  </si>
  <si>
    <t>Original Amount</t>
  </si>
  <si>
    <t>Allocation for NPMO- COS 
( Creation March to Dec 2016)</t>
  </si>
  <si>
    <t>Total EF</t>
  </si>
  <si>
    <t>Total ( Admincost</t>
  </si>
  <si>
    <t>CENTRALLY MANAGED FUND (CMF)-MOOE CY 2016</t>
  </si>
  <si>
    <t>II. Personnel And Administrative Support</t>
  </si>
  <si>
    <t>including BUB 674,642,000</t>
  </si>
  <si>
    <t>total net-off BUB</t>
  </si>
  <si>
    <t>net of BUB</t>
  </si>
  <si>
    <t>I. Grants</t>
  </si>
  <si>
    <t>II. Admin Cost</t>
  </si>
  <si>
    <t>III.</t>
  </si>
  <si>
    <t>Grant Funds originally allocated for ARMM</t>
  </si>
  <si>
    <t>IV. Grand Total</t>
  </si>
  <si>
    <t>DR</t>
  </si>
  <si>
    <t>MOOE</t>
  </si>
  <si>
    <t>CMF</t>
  </si>
  <si>
    <t>GRANTS</t>
  </si>
  <si>
    <t>GRANTS TOTAL</t>
  </si>
  <si>
    <t>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</si>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</sst>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(* #,##0.00_);_(* \(#,##0.00\);_(* \-??_);_(@_)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Mang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indexed="8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8"/>
      <color theme="0"/>
      <name val="Arial"/>
      <family val="2"/>
    </font>
    <font>
      <b/>
      <u/>
      <sz val="18"/>
      <color theme="1"/>
      <name val="Arial"/>
      <family val="2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12"/>
      <name val="Arial"/>
      <family val="2"/>
    </font>
    <font>
      <b/>
      <sz val="12"/>
      <color rgb="FFFF0000"/>
      <name val="Arial"/>
      <family val="2"/>
    </font>
    <font>
      <b/>
      <u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2"/>
      <color rgb="FFFF0000"/>
      <name val="Arial"/>
      <family val="2"/>
    </font>
    <font>
      <b/>
      <i/>
      <sz val="11"/>
      <color theme="1"/>
      <name val="Arial"/>
      <family val="2"/>
    </font>
    <font>
      <sz val="12"/>
      <color rgb="FF000000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Calibri"/>
      <family val="2"/>
      <scheme val="minor"/>
    </font>
    <font>
      <i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8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4"/>
      <name val="Arial"/>
    </font>
    <font>
      <b/>
      <sz val="48"/>
      <color theme="1"/>
      <name val="Arial"/>
    </font>
    <font>
      <sz val="28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65">
    <xf numFmtId="0" fontId="0" fillId="0" borderId="0"/>
    <xf numFmtId="164" fontId="1" fillId="0" borderId="0" applyFont="0" applyFill="0" applyBorder="0" applyAlignment="0" applyProtection="0"/>
    <xf numFmtId="166" fontId="3" fillId="0" borderId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379">
    <xf numFmtId="0" fontId="0" fillId="0" borderId="0" xfId="0"/>
    <xf numFmtId="0" fontId="6" fillId="0" borderId="0" xfId="0" applyFont="1"/>
    <xf numFmtId="165" fontId="0" fillId="0" borderId="0" xfId="1" applyNumberFormat="1" applyFont="1"/>
    <xf numFmtId="165" fontId="0" fillId="0" borderId="0" xfId="1" applyNumberFormat="1" applyFont="1"/>
    <xf numFmtId="0" fontId="8" fillId="0" borderId="1" xfId="3" applyFont="1" applyBorder="1" applyAlignment="1">
      <alignment vertical="center"/>
    </xf>
    <xf numFmtId="3" fontId="8" fillId="0" borderId="1" xfId="3" applyNumberFormat="1" applyFont="1" applyBorder="1" applyAlignment="1">
      <alignment horizontal="right" vertical="center"/>
    </xf>
    <xf numFmtId="165" fontId="4" fillId="0" borderId="1" xfId="4" applyNumberFormat="1" applyFont="1" applyBorder="1"/>
    <xf numFmtId="165" fontId="0" fillId="0" borderId="0" xfId="0" applyNumberFormat="1"/>
    <xf numFmtId="0" fontId="4" fillId="0" borderId="0" xfId="0" applyFont="1" applyBorder="1"/>
    <xf numFmtId="0" fontId="0" fillId="0" borderId="0" xfId="0"/>
    <xf numFmtId="164" fontId="8" fillId="0" borderId="1" xfId="1" applyFont="1" applyBorder="1" applyAlignment="1">
      <alignment horizontal="right" vertical="center"/>
    </xf>
    <xf numFmtId="3" fontId="4" fillId="0" borderId="1" xfId="0" applyNumberFormat="1" applyFont="1" applyBorder="1"/>
    <xf numFmtId="164" fontId="4" fillId="0" borderId="1" xfId="1" applyFont="1" applyBorder="1"/>
    <xf numFmtId="165" fontId="4" fillId="0" borderId="0" xfId="1" applyNumberFormat="1" applyFont="1"/>
    <xf numFmtId="0" fontId="8" fillId="2" borderId="1" xfId="3" applyFont="1" applyFill="1" applyBorder="1" applyAlignment="1">
      <alignment horizontal="center" vertical="center"/>
    </xf>
    <xf numFmtId="0" fontId="8" fillId="2" borderId="1" xfId="3" applyFont="1" applyFill="1" applyBorder="1" applyAlignment="1">
      <alignment horizontal="center" vertical="center" wrapText="1"/>
    </xf>
    <xf numFmtId="165" fontId="4" fillId="0" borderId="1" xfId="1" applyNumberFormat="1" applyFont="1" applyBorder="1"/>
    <xf numFmtId="165" fontId="11" fillId="0" borderId="1" xfId="1" applyNumberFormat="1" applyFont="1" applyBorder="1"/>
    <xf numFmtId="0" fontId="4" fillId="2" borderId="1" xfId="0" applyFont="1" applyFill="1" applyBorder="1" applyAlignment="1">
      <alignment horizontal="center" vertical="center"/>
    </xf>
    <xf numFmtId="0" fontId="9" fillId="2" borderId="1" xfId="3" applyFont="1" applyFill="1" applyBorder="1" applyAlignment="1">
      <alignment vertical="center"/>
    </xf>
    <xf numFmtId="3" fontId="10" fillId="2" borderId="1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 applyAlignment="1"/>
    <xf numFmtId="0" fontId="6" fillId="0" borderId="0" xfId="0" applyFont="1" applyFill="1"/>
    <xf numFmtId="0" fontId="7" fillId="0" borderId="1" xfId="0" applyFont="1" applyFill="1" applyBorder="1"/>
    <xf numFmtId="165" fontId="7" fillId="0" borderId="1" xfId="1" applyNumberFormat="1" applyFont="1" applyFill="1" applyBorder="1"/>
    <xf numFmtId="165" fontId="4" fillId="0" borderId="0" xfId="1" applyNumberFormat="1" applyFont="1" applyBorder="1"/>
    <xf numFmtId="0" fontId="14" fillId="0" borderId="2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vertical="top" wrapText="1"/>
    </xf>
    <xf numFmtId="0" fontId="15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/>
    </xf>
    <xf numFmtId="0" fontId="17" fillId="0" borderId="0" xfId="0" applyFont="1"/>
    <xf numFmtId="165" fontId="17" fillId="0" borderId="2" xfId="1" applyNumberFormat="1" applyFont="1" applyFill="1" applyBorder="1" applyAlignment="1">
      <alignment horizontal="center" vertical="center" wrapText="1"/>
    </xf>
    <xf numFmtId="165" fontId="17" fillId="0" borderId="1" xfId="0" applyNumberFormat="1" applyFont="1" applyFill="1" applyBorder="1" applyAlignment="1">
      <alignment horizontal="center" vertical="center" wrapText="1"/>
    </xf>
    <xf numFmtId="165" fontId="17" fillId="0" borderId="2" xfId="1" applyNumberFormat="1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left" vertical="center"/>
    </xf>
    <xf numFmtId="165" fontId="18" fillId="0" borderId="2" xfId="0" applyNumberFormat="1" applyFont="1" applyFill="1" applyBorder="1" applyAlignment="1">
      <alignment horizontal="center" vertical="center" wrapText="1"/>
    </xf>
    <xf numFmtId="165" fontId="18" fillId="0" borderId="2" xfId="1" applyNumberFormat="1" applyFont="1" applyFill="1" applyBorder="1" applyAlignment="1">
      <alignment horizontal="center" vertical="center" wrapText="1"/>
    </xf>
    <xf numFmtId="165" fontId="17" fillId="0" borderId="3" xfId="0" applyNumberFormat="1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 wrapText="1"/>
    </xf>
    <xf numFmtId="165" fontId="19" fillId="0" borderId="0" xfId="0" applyNumberFormat="1" applyFont="1" applyAlignment="1">
      <alignment wrapText="1"/>
    </xf>
    <xf numFmtId="165" fontId="17" fillId="0" borderId="0" xfId="0" applyNumberFormat="1" applyFont="1" applyBorder="1" applyAlignment="1">
      <alignment wrapText="1"/>
    </xf>
    <xf numFmtId="165" fontId="17" fillId="0" borderId="0" xfId="1" applyNumberFormat="1" applyFont="1" applyBorder="1"/>
    <xf numFmtId="0" fontId="17" fillId="0" borderId="0" xfId="0" applyFont="1" applyBorder="1" applyAlignment="1">
      <alignment wrapText="1"/>
    </xf>
    <xf numFmtId="0" fontId="18" fillId="0" borderId="0" xfId="0" applyFont="1"/>
    <xf numFmtId="165" fontId="18" fillId="0" borderId="0" xfId="0" applyNumberFormat="1" applyFont="1"/>
    <xf numFmtId="165" fontId="18" fillId="0" borderId="0" xfId="1" applyNumberFormat="1" applyFont="1"/>
    <xf numFmtId="165" fontId="17" fillId="0" borderId="0" xfId="0" applyNumberFormat="1" applyFont="1" applyAlignment="1">
      <alignment wrapText="1"/>
    </xf>
    <xf numFmtId="165" fontId="17" fillId="0" borderId="0" xfId="1" applyNumberFormat="1" applyFont="1"/>
    <xf numFmtId="0" fontId="21" fillId="0" borderId="0" xfId="0" applyFont="1"/>
    <xf numFmtId="165" fontId="17" fillId="0" borderId="0" xfId="0" applyNumberFormat="1" applyFont="1"/>
    <xf numFmtId="164" fontId="17" fillId="0" borderId="0" xfId="0" applyNumberFormat="1" applyFont="1"/>
    <xf numFmtId="3" fontId="8" fillId="0" borderId="1" xfId="0" applyNumberFormat="1" applyFont="1" applyBorder="1" applyAlignment="1">
      <alignment horizontal="right" vertical="center"/>
    </xf>
    <xf numFmtId="3" fontId="4" fillId="0" borderId="0" xfId="0" applyNumberFormat="1" applyFont="1" applyBorder="1"/>
    <xf numFmtId="165" fontId="2" fillId="0" borderId="0" xfId="1" applyNumberFormat="1" applyFont="1"/>
    <xf numFmtId="0" fontId="5" fillId="0" borderId="0" xfId="0" applyFont="1" applyFill="1" applyAlignment="1"/>
    <xf numFmtId="0" fontId="6" fillId="3" borderId="0" xfId="0" applyFont="1" applyFill="1"/>
    <xf numFmtId="165" fontId="20" fillId="0" borderId="2" xfId="1" applyNumberFormat="1" applyFont="1" applyFill="1" applyBorder="1" applyAlignment="1">
      <alignment horizontal="center" vertical="center" wrapText="1"/>
    </xf>
    <xf numFmtId="165" fontId="18" fillId="0" borderId="1" xfId="1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165" fontId="12" fillId="0" borderId="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5" fontId="17" fillId="0" borderId="1" xfId="1" applyNumberFormat="1" applyFont="1" applyFill="1" applyBorder="1" applyAlignment="1">
      <alignment horizontal="center" vertical="center" wrapText="1"/>
    </xf>
    <xf numFmtId="165" fontId="7" fillId="0" borderId="11" xfId="1" applyNumberFormat="1" applyFont="1" applyFill="1" applyBorder="1"/>
    <xf numFmtId="165" fontId="11" fillId="0" borderId="0" xfId="1" applyNumberFormat="1" applyFont="1" applyBorder="1"/>
    <xf numFmtId="164" fontId="22" fillId="0" borderId="1" xfId="1" applyFont="1" applyBorder="1" applyAlignment="1">
      <alignment horizontal="center"/>
    </xf>
    <xf numFmtId="165" fontId="24" fillId="0" borderId="1" xfId="1" applyNumberFormat="1" applyFont="1" applyBorder="1" applyAlignment="1">
      <alignment horizontal="center" vertical="center" wrapText="1"/>
    </xf>
    <xf numFmtId="165" fontId="25" fillId="0" borderId="1" xfId="1" applyNumberFormat="1" applyFont="1" applyFill="1" applyBorder="1" applyAlignment="1">
      <alignment horizontal="left"/>
    </xf>
    <xf numFmtId="165" fontId="26" fillId="0" borderId="1" xfId="1" applyNumberFormat="1" applyFont="1" applyFill="1" applyBorder="1" applyAlignment="1">
      <alignment horizontal="center"/>
    </xf>
    <xf numFmtId="165" fontId="4" fillId="0" borderId="0" xfId="0" applyNumberFormat="1" applyFont="1" applyBorder="1"/>
    <xf numFmtId="165" fontId="10" fillId="0" borderId="0" xfId="1" applyNumberFormat="1" applyFont="1" applyBorder="1"/>
    <xf numFmtId="0" fontId="10" fillId="0" borderId="1" xfId="0" applyFont="1" applyBorder="1"/>
    <xf numFmtId="165" fontId="10" fillId="0" borderId="1" xfId="0" applyNumberFormat="1" applyFont="1" applyBorder="1"/>
    <xf numFmtId="0" fontId="28" fillId="0" borderId="0" xfId="0" applyFont="1" applyFill="1"/>
    <xf numFmtId="0" fontId="4" fillId="0" borderId="0" xfId="0" applyFont="1"/>
    <xf numFmtId="0" fontId="10" fillId="0" borderId="0" xfId="0" applyFont="1"/>
    <xf numFmtId="3" fontId="13" fillId="0" borderId="1" xfId="0" applyNumberFormat="1" applyFont="1" applyFill="1" applyBorder="1" applyAlignment="1">
      <alignment horizontal="center" vertical="center" wrapText="1"/>
    </xf>
    <xf numFmtId="3" fontId="13" fillId="0" borderId="11" xfId="0" applyNumberFormat="1" applyFont="1" applyFill="1" applyBorder="1" applyAlignment="1">
      <alignment horizontal="center" vertical="center" wrapText="1"/>
    </xf>
    <xf numFmtId="0" fontId="23" fillId="0" borderId="16" xfId="0" applyFont="1" applyFill="1" applyBorder="1"/>
    <xf numFmtId="0" fontId="23" fillId="0" borderId="1" xfId="0" applyFont="1" applyFill="1" applyBorder="1"/>
    <xf numFmtId="165" fontId="7" fillId="0" borderId="1" xfId="1" applyNumberFormat="1" applyFont="1" applyFill="1" applyBorder="1" applyAlignment="1">
      <alignment horizontal="center" vertical="center" wrapText="1"/>
    </xf>
    <xf numFmtId="165" fontId="7" fillId="0" borderId="1" xfId="1" applyNumberFormat="1" applyFont="1" applyFill="1" applyBorder="1" applyAlignment="1">
      <alignment horizontal="right" vertical="center" wrapText="1"/>
    </xf>
    <xf numFmtId="0" fontId="23" fillId="0" borderId="24" xfId="0" applyFont="1" applyFill="1" applyBorder="1"/>
    <xf numFmtId="0" fontId="23" fillId="0" borderId="3" xfId="0" applyFont="1" applyFill="1" applyBorder="1"/>
    <xf numFmtId="165" fontId="7" fillId="0" borderId="3" xfId="1" applyNumberFormat="1" applyFont="1" applyFill="1" applyBorder="1" applyAlignment="1">
      <alignment horizontal="center" vertical="center" wrapText="1"/>
    </xf>
    <xf numFmtId="165" fontId="7" fillId="0" borderId="3" xfId="1" applyNumberFormat="1" applyFont="1" applyFill="1" applyBorder="1" applyAlignment="1">
      <alignment horizontal="right" vertical="center" wrapText="1"/>
    </xf>
    <xf numFmtId="165" fontId="7" fillId="0" borderId="5" xfId="1" applyNumberFormat="1" applyFont="1" applyFill="1" applyBorder="1"/>
    <xf numFmtId="0" fontId="30" fillId="0" borderId="25" xfId="0" applyFont="1" applyFill="1" applyBorder="1"/>
    <xf numFmtId="165" fontId="30" fillId="0" borderId="26" xfId="1" applyNumberFormat="1" applyFont="1" applyFill="1" applyBorder="1"/>
    <xf numFmtId="165" fontId="30" fillId="0" borderId="27" xfId="1" applyNumberFormat="1" applyFont="1" applyFill="1" applyBorder="1"/>
    <xf numFmtId="0" fontId="4" fillId="0" borderId="17" xfId="0" applyFont="1" applyBorder="1"/>
    <xf numFmtId="0" fontId="31" fillId="0" borderId="19" xfId="0" applyFont="1" applyFill="1" applyBorder="1" applyAlignment="1">
      <alignment horizontal="left"/>
    </xf>
    <xf numFmtId="0" fontId="23" fillId="0" borderId="20" xfId="0" applyFont="1" applyFill="1" applyBorder="1" applyAlignment="1">
      <alignment horizontal="left"/>
    </xf>
    <xf numFmtId="0" fontId="23" fillId="0" borderId="22" xfId="0" applyFont="1" applyFill="1" applyBorder="1" applyAlignment="1">
      <alignment horizontal="left"/>
    </xf>
    <xf numFmtId="0" fontId="23" fillId="0" borderId="16" xfId="0" applyFont="1" applyFill="1" applyBorder="1" applyAlignment="1">
      <alignment horizontal="left"/>
    </xf>
    <xf numFmtId="0" fontId="23" fillId="0" borderId="1" xfId="0" applyFont="1" applyFill="1" applyBorder="1" applyAlignment="1">
      <alignment horizontal="right"/>
    </xf>
    <xf numFmtId="165" fontId="7" fillId="0" borderId="17" xfId="1" applyNumberFormat="1" applyFont="1" applyFill="1" applyBorder="1"/>
    <xf numFmtId="165" fontId="7" fillId="0" borderId="1" xfId="1" applyNumberFormat="1" applyFont="1" applyFill="1" applyBorder="1" applyAlignment="1">
      <alignment horizontal="right"/>
    </xf>
    <xf numFmtId="165" fontId="23" fillId="0" borderId="24" xfId="1" applyNumberFormat="1" applyFont="1" applyFill="1" applyBorder="1" applyAlignment="1">
      <alignment horizontal="left"/>
    </xf>
    <xf numFmtId="165" fontId="23" fillId="0" borderId="3" xfId="1" applyNumberFormat="1" applyFont="1" applyFill="1" applyBorder="1" applyAlignment="1">
      <alignment horizontal="right"/>
    </xf>
    <xf numFmtId="165" fontId="5" fillId="0" borderId="3" xfId="1" applyNumberFormat="1" applyFont="1" applyFill="1" applyBorder="1" applyAlignment="1">
      <alignment horizontal="right"/>
    </xf>
    <xf numFmtId="165" fontId="10" fillId="0" borderId="0" xfId="1" applyNumberFormat="1" applyFont="1" applyAlignment="1">
      <alignment horizontal="right"/>
    </xf>
    <xf numFmtId="0" fontId="31" fillId="0" borderId="25" xfId="0" applyFont="1" applyFill="1" applyBorder="1" applyAlignment="1">
      <alignment horizontal="left"/>
    </xf>
    <xf numFmtId="165" fontId="31" fillId="0" borderId="26" xfId="1" applyNumberFormat="1" applyFont="1" applyFill="1" applyBorder="1" applyAlignment="1">
      <alignment horizontal="right"/>
    </xf>
    <xf numFmtId="165" fontId="31" fillId="0" borderId="31" xfId="1" applyNumberFormat="1" applyFont="1" applyFill="1" applyBorder="1" applyAlignment="1">
      <alignment horizontal="right"/>
    </xf>
    <xf numFmtId="0" fontId="23" fillId="0" borderId="20" xfId="0" applyFont="1" applyFill="1" applyBorder="1" applyAlignment="1">
      <alignment horizontal="right"/>
    </xf>
    <xf numFmtId="0" fontId="30" fillId="0" borderId="20" xfId="0" applyFont="1" applyFill="1" applyBorder="1" applyAlignment="1">
      <alignment horizontal="left"/>
    </xf>
    <xf numFmtId="0" fontId="30" fillId="0" borderId="22" xfId="0" applyFont="1" applyFill="1" applyBorder="1" applyAlignment="1">
      <alignment horizontal="left"/>
    </xf>
    <xf numFmtId="0" fontId="23" fillId="0" borderId="24" xfId="0" applyFont="1" applyFill="1" applyBorder="1" applyAlignment="1">
      <alignment horizontal="left"/>
    </xf>
    <xf numFmtId="0" fontId="23" fillId="0" borderId="3" xfId="0" applyFont="1" applyFill="1" applyBorder="1" applyAlignment="1">
      <alignment horizontal="right"/>
    </xf>
    <xf numFmtId="0" fontId="30" fillId="0" borderId="3" xfId="0" applyFont="1" applyFill="1" applyBorder="1" applyAlignment="1">
      <alignment horizontal="left"/>
    </xf>
    <xf numFmtId="165" fontId="31" fillId="0" borderId="25" xfId="1" applyNumberFormat="1" applyFont="1" applyFill="1" applyBorder="1"/>
    <xf numFmtId="165" fontId="31" fillId="0" borderId="26" xfId="1" applyNumberFormat="1" applyFont="1" applyFill="1" applyBorder="1"/>
    <xf numFmtId="165" fontId="31" fillId="0" borderId="31" xfId="1" applyNumberFormat="1" applyFont="1" applyFill="1" applyBorder="1"/>
    <xf numFmtId="0" fontId="32" fillId="0" borderId="0" xfId="0" applyFont="1"/>
    <xf numFmtId="165" fontId="13" fillId="4" borderId="25" xfId="1" applyNumberFormat="1" applyFont="1" applyFill="1" applyBorder="1"/>
    <xf numFmtId="165" fontId="13" fillId="4" borderId="26" xfId="1" applyNumberFormat="1" applyFont="1" applyFill="1" applyBorder="1"/>
    <xf numFmtId="165" fontId="13" fillId="4" borderId="27" xfId="1" applyNumberFormat="1" applyFont="1" applyFill="1" applyBorder="1"/>
    <xf numFmtId="165" fontId="13" fillId="0" borderId="15" xfId="1" applyNumberFormat="1" applyFont="1" applyFill="1" applyBorder="1" applyAlignment="1">
      <alignment horizontal="left"/>
    </xf>
    <xf numFmtId="165" fontId="13" fillId="0" borderId="0" xfId="1" applyNumberFormat="1" applyFont="1" applyFill="1" applyBorder="1" applyAlignment="1">
      <alignment horizontal="center"/>
    </xf>
    <xf numFmtId="0" fontId="5" fillId="0" borderId="25" xfId="0" applyFont="1" applyFill="1" applyBorder="1"/>
    <xf numFmtId="165" fontId="5" fillId="0" borderId="26" xfId="1" applyNumberFormat="1" applyFont="1" applyFill="1" applyBorder="1"/>
    <xf numFmtId="0" fontId="4" fillId="0" borderId="32" xfId="0" applyFont="1" applyBorder="1"/>
    <xf numFmtId="165" fontId="4" fillId="0" borderId="33" xfId="0" applyNumberFormat="1" applyFont="1" applyBorder="1"/>
    <xf numFmtId="0" fontId="4" fillId="0" borderId="33" xfId="0" applyFont="1" applyBorder="1"/>
    <xf numFmtId="0" fontId="4" fillId="0" borderId="34" xfId="0" applyFont="1" applyBorder="1"/>
    <xf numFmtId="0" fontId="28" fillId="0" borderId="0" xfId="0" applyFont="1"/>
    <xf numFmtId="0" fontId="5" fillId="5" borderId="38" xfId="0" applyFont="1" applyFill="1" applyBorder="1" applyAlignment="1">
      <alignment horizontal="center"/>
    </xf>
    <xf numFmtId="3" fontId="13" fillId="0" borderId="41" xfId="0" applyNumberFormat="1" applyFont="1" applyFill="1" applyBorder="1" applyAlignment="1">
      <alignment horizontal="center" vertical="center" wrapText="1"/>
    </xf>
    <xf numFmtId="3" fontId="13" fillId="0" borderId="18" xfId="0" applyNumberFormat="1" applyFont="1" applyFill="1" applyBorder="1" applyAlignment="1">
      <alignment horizontal="center" vertical="center" wrapText="1"/>
    </xf>
    <xf numFmtId="3" fontId="13" fillId="5" borderId="39" xfId="0" applyNumberFormat="1" applyFont="1" applyFill="1" applyBorder="1" applyAlignment="1">
      <alignment horizontal="center" vertical="center" wrapText="1"/>
    </xf>
    <xf numFmtId="0" fontId="29" fillId="0" borderId="43" xfId="0" applyFont="1" applyFill="1" applyBorder="1" applyAlignment="1">
      <alignment horizontal="left"/>
    </xf>
    <xf numFmtId="0" fontId="29" fillId="0" borderId="10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0" fontId="29" fillId="0" borderId="8" xfId="0" applyFont="1" applyFill="1" applyBorder="1" applyAlignment="1">
      <alignment horizontal="left"/>
    </xf>
    <xf numFmtId="0" fontId="29" fillId="4" borderId="43" xfId="0" applyFont="1" applyFill="1" applyBorder="1" applyAlignment="1">
      <alignment horizontal="left"/>
    </xf>
    <xf numFmtId="0" fontId="4" fillId="5" borderId="35" xfId="0" applyFont="1" applyFill="1" applyBorder="1"/>
    <xf numFmtId="0" fontId="29" fillId="0" borderId="44" xfId="0" applyFont="1" applyFill="1" applyBorder="1" applyAlignment="1">
      <alignment horizontal="center"/>
    </xf>
    <xf numFmtId="0" fontId="29" fillId="0" borderId="6" xfId="0" applyFont="1" applyFill="1" applyBorder="1" applyAlignment="1">
      <alignment horizontal="center"/>
    </xf>
    <xf numFmtId="0" fontId="29" fillId="4" borderId="44" xfId="0" applyFont="1" applyFill="1" applyBorder="1" applyAlignment="1">
      <alignment horizontal="center"/>
    </xf>
    <xf numFmtId="0" fontId="4" fillId="5" borderId="44" xfId="0" applyFont="1" applyFill="1" applyBorder="1"/>
    <xf numFmtId="0" fontId="31" fillId="0" borderId="35" xfId="0" applyFont="1" applyFill="1" applyBorder="1" applyAlignment="1">
      <alignment horizontal="left"/>
    </xf>
    <xf numFmtId="0" fontId="23" fillId="0" borderId="36" xfId="0" applyFont="1" applyFill="1" applyBorder="1" applyAlignment="1">
      <alignment horizontal="left"/>
    </xf>
    <xf numFmtId="0" fontId="23" fillId="0" borderId="21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10" fillId="5" borderId="35" xfId="0" applyFont="1" applyFill="1" applyBorder="1"/>
    <xf numFmtId="0" fontId="23" fillId="0" borderId="45" xfId="0" applyFont="1" applyFill="1" applyBorder="1" applyAlignment="1">
      <alignment horizontal="left"/>
    </xf>
    <xf numFmtId="165" fontId="7" fillId="0" borderId="13" xfId="1" applyNumberFormat="1" applyFont="1" applyFill="1" applyBorder="1" applyAlignment="1">
      <alignment horizontal="right"/>
    </xf>
    <xf numFmtId="165" fontId="33" fillId="0" borderId="1" xfId="3" applyNumberFormat="1" applyFont="1" applyFill="1" applyBorder="1" applyAlignment="1">
      <alignment vertical="center" wrapText="1"/>
    </xf>
    <xf numFmtId="165" fontId="13" fillId="4" borderId="45" xfId="1" applyNumberFormat="1" applyFont="1" applyFill="1" applyBorder="1"/>
    <xf numFmtId="165" fontId="10" fillId="5" borderId="45" xfId="0" applyNumberFormat="1" applyFont="1" applyFill="1" applyBorder="1"/>
    <xf numFmtId="165" fontId="23" fillId="0" borderId="44" xfId="1" applyNumberFormat="1" applyFont="1" applyFill="1" applyBorder="1" applyAlignment="1">
      <alignment horizontal="left"/>
    </xf>
    <xf numFmtId="165" fontId="23" fillId="0" borderId="7" xfId="1" applyNumberFormat="1" applyFont="1" applyFill="1" applyBorder="1" applyAlignment="1">
      <alignment horizontal="right"/>
    </xf>
    <xf numFmtId="165" fontId="5" fillId="0" borderId="5" xfId="1" applyNumberFormat="1" applyFont="1" applyFill="1" applyBorder="1" applyAlignment="1">
      <alignment horizontal="right"/>
    </xf>
    <xf numFmtId="0" fontId="10" fillId="5" borderId="45" xfId="0" applyFont="1" applyFill="1" applyBorder="1"/>
    <xf numFmtId="0" fontId="31" fillId="0" borderId="14" xfId="0" applyFont="1" applyFill="1" applyBorder="1" applyAlignment="1">
      <alignment horizontal="left"/>
    </xf>
    <xf numFmtId="165" fontId="31" fillId="0" borderId="46" xfId="1" applyNumberFormat="1" applyFont="1" applyFill="1" applyBorder="1" applyAlignment="1">
      <alignment horizontal="right"/>
    </xf>
    <xf numFmtId="165" fontId="31" fillId="0" borderId="27" xfId="1" applyNumberFormat="1" applyFont="1" applyFill="1" applyBorder="1" applyAlignment="1">
      <alignment horizontal="right"/>
    </xf>
    <xf numFmtId="165" fontId="31" fillId="4" borderId="14" xfId="1" applyNumberFormat="1" applyFont="1" applyFill="1" applyBorder="1" applyAlignment="1">
      <alignment horizontal="right"/>
    </xf>
    <xf numFmtId="165" fontId="31" fillId="5" borderId="14" xfId="1" applyNumberFormat="1" applyFont="1" applyFill="1" applyBorder="1" applyAlignment="1">
      <alignment horizontal="right"/>
    </xf>
    <xf numFmtId="0" fontId="23" fillId="0" borderId="47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5" fillId="4" borderId="47" xfId="0" applyFont="1" applyFill="1" applyBorder="1" applyAlignment="1">
      <alignment horizontal="center"/>
    </xf>
    <xf numFmtId="0" fontId="10" fillId="5" borderId="44" xfId="0" applyFont="1" applyFill="1" applyBorder="1"/>
    <xf numFmtId="0" fontId="23" fillId="0" borderId="36" xfId="0" applyFont="1" applyFill="1" applyBorder="1" applyAlignment="1">
      <alignment horizontal="right"/>
    </xf>
    <xf numFmtId="0" fontId="30" fillId="0" borderId="21" xfId="0" applyFont="1" applyFill="1" applyBorder="1" applyAlignment="1">
      <alignment horizontal="left"/>
    </xf>
    <xf numFmtId="0" fontId="30" fillId="4" borderId="35" xfId="0" applyFont="1" applyFill="1" applyBorder="1" applyAlignment="1">
      <alignment horizontal="left"/>
    </xf>
    <xf numFmtId="0" fontId="23" fillId="0" borderId="44" xfId="0" applyFont="1" applyFill="1" applyBorder="1" applyAlignment="1">
      <alignment horizontal="left"/>
    </xf>
    <xf numFmtId="0" fontId="23" fillId="0" borderId="7" xfId="0" applyFont="1" applyFill="1" applyBorder="1" applyAlignment="1">
      <alignment horizontal="right"/>
    </xf>
    <xf numFmtId="0" fontId="30" fillId="0" borderId="5" xfId="0" applyFont="1" applyFill="1" applyBorder="1" applyAlignment="1">
      <alignment horizontal="left"/>
    </xf>
    <xf numFmtId="165" fontId="31" fillId="0" borderId="14" xfId="1" applyNumberFormat="1" applyFont="1" applyFill="1" applyBorder="1"/>
    <xf numFmtId="165" fontId="31" fillId="0" borderId="46" xfId="1" applyNumberFormat="1" applyFont="1" applyFill="1" applyBorder="1"/>
    <xf numFmtId="165" fontId="31" fillId="0" borderId="27" xfId="1" applyNumberFormat="1" applyFont="1" applyFill="1" applyBorder="1"/>
    <xf numFmtId="165" fontId="31" fillId="4" borderId="14" xfId="1" applyNumberFormat="1" applyFont="1" applyFill="1" applyBorder="1"/>
    <xf numFmtId="165" fontId="31" fillId="5" borderId="14" xfId="1" applyNumberFormat="1" applyFont="1" applyFill="1" applyBorder="1"/>
    <xf numFmtId="0" fontId="34" fillId="0" borderId="14" xfId="0" applyFont="1" applyFill="1" applyBorder="1"/>
    <xf numFmtId="165" fontId="34" fillId="0" borderId="46" xfId="1" applyNumberFormat="1" applyFont="1" applyFill="1" applyBorder="1"/>
    <xf numFmtId="165" fontId="34" fillId="0" borderId="26" xfId="1" applyNumberFormat="1" applyFont="1" applyFill="1" applyBorder="1"/>
    <xf numFmtId="165" fontId="34" fillId="0" borderId="27" xfId="1" applyNumberFormat="1" applyFont="1" applyFill="1" applyBorder="1"/>
    <xf numFmtId="165" fontId="34" fillId="4" borderId="14" xfId="1" applyNumberFormat="1" applyFont="1" applyFill="1" applyBorder="1"/>
    <xf numFmtId="165" fontId="34" fillId="5" borderId="14" xfId="1" applyNumberFormat="1" applyFont="1" applyFill="1" applyBorder="1"/>
    <xf numFmtId="165" fontId="13" fillId="0" borderId="1" xfId="1" applyNumberFormat="1" applyFont="1" applyFill="1" applyBorder="1"/>
    <xf numFmtId="165" fontId="7" fillId="0" borderId="2" xfId="1" applyNumberFormat="1" applyFont="1" applyFill="1" applyBorder="1"/>
    <xf numFmtId="165" fontId="7" fillId="0" borderId="8" xfId="1" applyNumberFormat="1" applyFont="1" applyFill="1" applyBorder="1"/>
    <xf numFmtId="0" fontId="7" fillId="0" borderId="48" xfId="0" applyFont="1" applyFill="1" applyBorder="1"/>
    <xf numFmtId="0" fontId="7" fillId="0" borderId="16" xfId="0" applyFont="1" applyFill="1" applyBorder="1"/>
    <xf numFmtId="0" fontId="27" fillId="0" borderId="16" xfId="0" applyFont="1" applyFill="1" applyBorder="1"/>
    <xf numFmtId="0" fontId="7" fillId="0" borderId="5" xfId="0" applyFont="1" applyFill="1" applyBorder="1"/>
    <xf numFmtId="0" fontId="13" fillId="0" borderId="25" xfId="0" applyFont="1" applyFill="1" applyBorder="1"/>
    <xf numFmtId="165" fontId="13" fillId="0" borderId="27" xfId="1" applyNumberFormat="1" applyFont="1" applyFill="1" applyBorder="1"/>
    <xf numFmtId="0" fontId="7" fillId="0" borderId="24" xfId="0" applyFont="1" applyFill="1" applyBorder="1"/>
    <xf numFmtId="165" fontId="18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 applyBorder="1"/>
    <xf numFmtId="0" fontId="35" fillId="0" borderId="0" xfId="0" applyFont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36" fillId="0" borderId="0" xfId="0" applyFont="1"/>
    <xf numFmtId="165" fontId="10" fillId="6" borderId="1" xfId="0" applyNumberFormat="1" applyFont="1" applyFill="1" applyBorder="1" applyAlignment="1">
      <alignment horizontal="center" vertical="center" wrapText="1"/>
    </xf>
    <xf numFmtId="165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65" fontId="10" fillId="0" borderId="1" xfId="4" applyNumberFormat="1" applyFont="1" applyFill="1" applyBorder="1" applyAlignment="1">
      <alignment vertical="center" wrapText="1"/>
    </xf>
    <xf numFmtId="165" fontId="10" fillId="0" borderId="1" xfId="0" applyNumberFormat="1" applyFont="1" applyFill="1" applyBorder="1" applyAlignment="1">
      <alignment vertical="center" wrapText="1"/>
    </xf>
    <xf numFmtId="0" fontId="10" fillId="0" borderId="1" xfId="0" applyFont="1" applyFill="1" applyBorder="1"/>
    <xf numFmtId="0" fontId="0" fillId="0" borderId="1" xfId="0" applyFill="1" applyBorder="1"/>
    <xf numFmtId="165" fontId="0" fillId="0" borderId="1" xfId="4" applyNumberFormat="1" applyFont="1" applyFill="1" applyBorder="1"/>
    <xf numFmtId="165" fontId="0" fillId="6" borderId="1" xfId="4" applyNumberFormat="1" applyFont="1" applyFill="1" applyBorder="1"/>
    <xf numFmtId="165" fontId="10" fillId="0" borderId="1" xfId="4" applyNumberFormat="1" applyFont="1" applyFill="1" applyBorder="1"/>
    <xf numFmtId="165" fontId="10" fillId="6" borderId="1" xfId="4" applyNumberFormat="1" applyFont="1" applyFill="1" applyBorder="1"/>
    <xf numFmtId="0" fontId="10" fillId="0" borderId="2" xfId="0" applyFont="1" applyFill="1" applyBorder="1"/>
    <xf numFmtId="0" fontId="0" fillId="0" borderId="2" xfId="0" applyFill="1" applyBorder="1"/>
    <xf numFmtId="165" fontId="0" fillId="0" borderId="2" xfId="4" applyNumberFormat="1" applyFont="1" applyFill="1" applyBorder="1"/>
    <xf numFmtId="165" fontId="10" fillId="0" borderId="2" xfId="4" applyNumberFormat="1" applyFont="1" applyFill="1" applyBorder="1"/>
    <xf numFmtId="0" fontId="36" fillId="0" borderId="1" xfId="0" applyFont="1" applyFill="1" applyBorder="1"/>
    <xf numFmtId="164" fontId="0" fillId="0" borderId="1" xfId="4" applyNumberFormat="1" applyFont="1" applyBorder="1"/>
    <xf numFmtId="165" fontId="0" fillId="0" borderId="1" xfId="0" applyNumberFormat="1" applyBorder="1"/>
    <xf numFmtId="165" fontId="0" fillId="0" borderId="1" xfId="4" applyNumberFormat="1" applyFont="1" applyBorder="1"/>
    <xf numFmtId="165" fontId="4" fillId="0" borderId="1" xfId="4" applyNumberFormat="1" applyFont="1" applyFill="1" applyBorder="1"/>
    <xf numFmtId="0" fontId="10" fillId="4" borderId="1" xfId="0" applyFont="1" applyFill="1" applyBorder="1"/>
    <xf numFmtId="165" fontId="10" fillId="4" borderId="1" xfId="4" applyNumberFormat="1" applyFont="1" applyFill="1" applyBorder="1"/>
    <xf numFmtId="165" fontId="32" fillId="0" borderId="0" xfId="0" applyNumberFormat="1" applyFont="1"/>
    <xf numFmtId="9" fontId="0" fillId="0" borderId="0" xfId="6" applyFont="1"/>
    <xf numFmtId="165" fontId="5" fillId="0" borderId="2" xfId="4" applyNumberFormat="1" applyFont="1" applyFill="1" applyBorder="1"/>
    <xf numFmtId="0" fontId="0" fillId="0" borderId="11" xfId="0" applyFill="1" applyBorder="1"/>
    <xf numFmtId="164" fontId="0" fillId="0" borderId="13" xfId="4" applyNumberFormat="1" applyFont="1" applyFill="1" applyBorder="1"/>
    <xf numFmtId="165" fontId="0" fillId="0" borderId="3" xfId="4" applyNumberFormat="1" applyFont="1" applyFill="1" applyBorder="1"/>
    <xf numFmtId="165" fontId="5" fillId="0" borderId="0" xfId="4" applyNumberFormat="1" applyFont="1"/>
    <xf numFmtId="165" fontId="5" fillId="0" borderId="1" xfId="4" applyNumberFormat="1" applyFont="1" applyBorder="1"/>
    <xf numFmtId="165" fontId="5" fillId="0" borderId="1" xfId="0" applyNumberFormat="1" applyFont="1" applyBorder="1"/>
    <xf numFmtId="9" fontId="0" fillId="0" borderId="0" xfId="5" applyFont="1" applyFill="1"/>
    <xf numFmtId="9" fontId="0" fillId="0" borderId="0" xfId="5" applyFont="1"/>
    <xf numFmtId="9" fontId="0" fillId="0" borderId="0" xfId="5" applyFont="1" applyFill="1" applyBorder="1"/>
    <xf numFmtId="164" fontId="10" fillId="0" borderId="1" xfId="4" applyNumberFormat="1" applyFont="1" applyFill="1" applyBorder="1"/>
    <xf numFmtId="0" fontId="17" fillId="0" borderId="0" xfId="0" applyFont="1" applyFill="1"/>
    <xf numFmtId="0" fontId="18" fillId="0" borderId="0" xfId="0" applyFont="1" applyFill="1"/>
    <xf numFmtId="0" fontId="18" fillId="0" borderId="0" xfId="0" applyFont="1" applyFill="1" applyAlignment="1">
      <alignment horizontal="center" vertical="center" wrapText="1"/>
    </xf>
    <xf numFmtId="165" fontId="19" fillId="0" borderId="0" xfId="1" applyNumberFormat="1" applyFont="1" applyFill="1"/>
    <xf numFmtId="165" fontId="20" fillId="0" borderId="1" xfId="1" applyNumberFormat="1" applyFont="1" applyFill="1" applyBorder="1" applyAlignment="1">
      <alignment horizontal="center" vertical="center"/>
    </xf>
    <xf numFmtId="165" fontId="20" fillId="0" borderId="3" xfId="1" applyNumberFormat="1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165" fontId="17" fillId="0" borderId="1" xfId="1" applyNumberFormat="1" applyFont="1" applyFill="1" applyBorder="1" applyAlignment="1">
      <alignment horizontal="center" vertical="center"/>
    </xf>
    <xf numFmtId="165" fontId="18" fillId="0" borderId="2" xfId="1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165" fontId="18" fillId="0" borderId="1" xfId="1" applyNumberFormat="1" applyFont="1" applyFill="1" applyBorder="1" applyAlignment="1">
      <alignment horizontal="center" vertical="center" wrapText="1"/>
    </xf>
    <xf numFmtId="0" fontId="13" fillId="0" borderId="49" xfId="0" applyFont="1" applyFill="1" applyBorder="1" applyAlignment="1">
      <alignment horizontal="center" vertical="center"/>
    </xf>
    <xf numFmtId="165" fontId="7" fillId="0" borderId="10" xfId="1" applyNumberFormat="1" applyFont="1" applyFill="1" applyBorder="1"/>
    <xf numFmtId="165" fontId="7" fillId="0" borderId="13" xfId="1" applyNumberFormat="1" applyFont="1" applyFill="1" applyBorder="1"/>
    <xf numFmtId="165" fontId="7" fillId="0" borderId="7" xfId="1" applyNumberFormat="1" applyFont="1" applyFill="1" applyBorder="1"/>
    <xf numFmtId="165" fontId="7" fillId="0" borderId="3" xfId="1" applyNumberFormat="1" applyFont="1" applyFill="1" applyBorder="1"/>
    <xf numFmtId="165" fontId="13" fillId="0" borderId="50" xfId="1" applyNumberFormat="1" applyFont="1" applyFill="1" applyBorder="1"/>
    <xf numFmtId="165" fontId="13" fillId="0" borderId="51" xfId="1" applyNumberFormat="1" applyFont="1" applyFill="1" applyBorder="1"/>
    <xf numFmtId="164" fontId="4" fillId="0" borderId="0" xfId="1" applyFont="1" applyBorder="1"/>
    <xf numFmtId="164" fontId="4" fillId="0" borderId="0" xfId="0" applyNumberFormat="1" applyFont="1" applyBorder="1"/>
    <xf numFmtId="164" fontId="4" fillId="0" borderId="1" xfId="0" applyNumberFormat="1" applyFont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1" applyFont="1" applyBorder="1" applyAlignment="1">
      <alignment horizontal="center"/>
    </xf>
    <xf numFmtId="164" fontId="17" fillId="0" borderId="0" xfId="1" applyFont="1"/>
    <xf numFmtId="165" fontId="7" fillId="0" borderId="30" xfId="1" applyNumberFormat="1" applyFont="1" applyFill="1" applyBorder="1"/>
    <xf numFmtId="165" fontId="13" fillId="0" borderId="52" xfId="1" applyNumberFormat="1" applyFont="1" applyFill="1" applyBorder="1"/>
    <xf numFmtId="165" fontId="20" fillId="0" borderId="2" xfId="1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164" fontId="0" fillId="0" borderId="0" xfId="1" applyNumberFormat="1" applyFont="1"/>
    <xf numFmtId="164" fontId="39" fillId="0" borderId="0" xfId="1" applyFont="1" applyBorder="1"/>
    <xf numFmtId="164" fontId="10" fillId="0" borderId="0" xfId="0" applyNumberFormat="1" applyFont="1" applyBorder="1"/>
    <xf numFmtId="165" fontId="18" fillId="0" borderId="0" xfId="0" applyNumberFormat="1" applyFont="1" applyBorder="1"/>
    <xf numFmtId="164" fontId="40" fillId="0" borderId="0" xfId="1" applyFont="1"/>
    <xf numFmtId="165" fontId="41" fillId="0" borderId="1" xfId="0" applyNumberFormat="1" applyFont="1" applyBorder="1"/>
    <xf numFmtId="165" fontId="8" fillId="0" borderId="1" xfId="1" applyNumberFormat="1" applyFont="1" applyBorder="1" applyAlignment="1">
      <alignment horizontal="right" vertical="center"/>
    </xf>
    <xf numFmtId="165" fontId="8" fillId="0" borderId="1" xfId="0" applyNumberFormat="1" applyFont="1" applyBorder="1" applyAlignment="1">
      <alignment horizontal="right" vertical="center"/>
    </xf>
    <xf numFmtId="165" fontId="8" fillId="0" borderId="1" xfId="3" applyNumberFormat="1" applyFont="1" applyBorder="1" applyAlignment="1">
      <alignment horizontal="right" vertical="center"/>
    </xf>
    <xf numFmtId="165" fontId="4" fillId="0" borderId="1" xfId="0" applyNumberFormat="1" applyFont="1" applyBorder="1"/>
    <xf numFmtId="165" fontId="10" fillId="2" borderId="1" xfId="0" applyNumberFormat="1" applyFont="1" applyFill="1" applyBorder="1"/>
    <xf numFmtId="165" fontId="7" fillId="7" borderId="43" xfId="1" applyNumberFormat="1" applyFont="1" applyFill="1" applyBorder="1"/>
    <xf numFmtId="165" fontId="7" fillId="7" borderId="45" xfId="1" applyNumberFormat="1" applyFont="1" applyFill="1" applyBorder="1"/>
    <xf numFmtId="165" fontId="7" fillId="7" borderId="44" xfId="1" applyNumberFormat="1" applyFont="1" applyFill="1" applyBorder="1"/>
    <xf numFmtId="165" fontId="13" fillId="7" borderId="14" xfId="1" applyNumberFormat="1" applyFont="1" applyFill="1" applyBorder="1"/>
    <xf numFmtId="165" fontId="23" fillId="8" borderId="43" xfId="1" applyNumberFormat="1" applyFont="1" applyFill="1" applyBorder="1" applyAlignment="1">
      <alignment horizontal="center"/>
    </xf>
    <xf numFmtId="165" fontId="23" fillId="8" borderId="45" xfId="1" applyNumberFormat="1" applyFont="1" applyFill="1" applyBorder="1" applyAlignment="1">
      <alignment horizontal="center"/>
    </xf>
    <xf numFmtId="165" fontId="23" fillId="8" borderId="44" xfId="1" applyNumberFormat="1" applyFont="1" applyFill="1" applyBorder="1" applyAlignment="1">
      <alignment horizontal="center"/>
    </xf>
    <xf numFmtId="165" fontId="13" fillId="8" borderId="14" xfId="1" applyNumberFormat="1" applyFont="1" applyFill="1" applyBorder="1"/>
    <xf numFmtId="165" fontId="7" fillId="9" borderId="53" xfId="1" applyNumberFormat="1" applyFont="1" applyFill="1" applyBorder="1"/>
    <xf numFmtId="165" fontId="7" fillId="9" borderId="17" xfId="1" applyNumberFormat="1" applyFont="1" applyFill="1" applyBorder="1"/>
    <xf numFmtId="165" fontId="7" fillId="9" borderId="54" xfId="1" applyNumberFormat="1" applyFont="1" applyFill="1" applyBorder="1"/>
    <xf numFmtId="165" fontId="13" fillId="9" borderId="14" xfId="1" applyNumberFormat="1" applyFont="1" applyFill="1" applyBorder="1"/>
    <xf numFmtId="165" fontId="6" fillId="0" borderId="0" xfId="0" applyNumberFormat="1" applyFont="1"/>
    <xf numFmtId="165" fontId="22" fillId="0" borderId="0" xfId="1" applyNumberFormat="1" applyFont="1"/>
    <xf numFmtId="0" fontId="8" fillId="0" borderId="0" xfId="3" applyFont="1" applyFill="1" applyBorder="1" applyAlignment="1">
      <alignment vertical="center"/>
    </xf>
    <xf numFmtId="165" fontId="0" fillId="0" borderId="1" xfId="1" applyNumberFormat="1" applyFont="1" applyBorder="1"/>
    <xf numFmtId="165" fontId="22" fillId="0" borderId="1" xfId="1" applyNumberFormat="1" applyFont="1" applyBorder="1"/>
    <xf numFmtId="165" fontId="0" fillId="0" borderId="0" xfId="1" applyNumberFormat="1" applyFont="1" applyFill="1" applyBorder="1"/>
    <xf numFmtId="165" fontId="22" fillId="0" borderId="0" xfId="0" applyNumberFormat="1" applyFont="1"/>
    <xf numFmtId="165" fontId="12" fillId="0" borderId="0" xfId="1" applyNumberFormat="1" applyFont="1" applyFill="1" applyBorder="1" applyAlignment="1">
      <alignment horizontal="center"/>
    </xf>
    <xf numFmtId="165" fontId="18" fillId="0" borderId="11" xfId="0" applyNumberFormat="1" applyFont="1" applyFill="1" applyBorder="1" applyAlignment="1">
      <alignment horizontal="center" vertical="center" wrapText="1"/>
    </xf>
    <xf numFmtId="165" fontId="18" fillId="0" borderId="9" xfId="0" applyNumberFormat="1" applyFont="1" applyFill="1" applyBorder="1" applyAlignment="1">
      <alignment horizontal="center" vertical="center" wrapText="1"/>
    </xf>
    <xf numFmtId="165" fontId="18" fillId="0" borderId="10" xfId="0" applyNumberFormat="1" applyFont="1" applyFill="1" applyBorder="1" applyAlignment="1">
      <alignment horizontal="center" vertical="center" wrapText="1"/>
    </xf>
    <xf numFmtId="165" fontId="17" fillId="0" borderId="11" xfId="0" applyNumberFormat="1" applyFont="1" applyFill="1" applyBorder="1" applyAlignment="1">
      <alignment horizontal="center" vertical="center" wrapText="1"/>
    </xf>
    <xf numFmtId="165" fontId="17" fillId="0" borderId="12" xfId="0" applyNumberFormat="1" applyFont="1" applyFill="1" applyBorder="1" applyAlignment="1">
      <alignment horizontal="center" vertical="center" wrapText="1"/>
    </xf>
    <xf numFmtId="165" fontId="17" fillId="0" borderId="13" xfId="0" applyNumberFormat="1" applyFont="1" applyFill="1" applyBorder="1" applyAlignment="1">
      <alignment horizontal="center" vertical="center" wrapText="1"/>
    </xf>
    <xf numFmtId="165" fontId="18" fillId="0" borderId="12" xfId="0" applyNumberFormat="1" applyFont="1" applyFill="1" applyBorder="1" applyAlignment="1">
      <alignment horizontal="center" vertical="center" wrapText="1"/>
    </xf>
    <xf numFmtId="165" fontId="18" fillId="0" borderId="13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165" fontId="20" fillId="0" borderId="3" xfId="1" applyNumberFormat="1" applyFont="1" applyFill="1" applyBorder="1" applyAlignment="1">
      <alignment horizontal="center" vertical="center" wrapText="1"/>
    </xf>
    <xf numFmtId="165" fontId="20" fillId="0" borderId="4" xfId="1" applyNumberFormat="1" applyFont="1" applyFill="1" applyBorder="1" applyAlignment="1">
      <alignment horizontal="center" vertical="center" wrapText="1"/>
    </xf>
    <xf numFmtId="165" fontId="20" fillId="0" borderId="2" xfId="1" applyNumberFormat="1" applyFont="1" applyFill="1" applyBorder="1" applyAlignment="1">
      <alignment horizontal="center" vertical="center" wrapText="1"/>
    </xf>
    <xf numFmtId="165" fontId="20" fillId="0" borderId="5" xfId="1" applyNumberFormat="1" applyFont="1" applyFill="1" applyBorder="1" applyAlignment="1">
      <alignment horizontal="center" vertical="center"/>
    </xf>
    <xf numFmtId="165" fontId="20" fillId="0" borderId="6" xfId="1" applyNumberFormat="1" applyFont="1" applyFill="1" applyBorder="1" applyAlignment="1">
      <alignment horizontal="center" vertical="center"/>
    </xf>
    <xf numFmtId="165" fontId="20" fillId="0" borderId="7" xfId="1" applyNumberFormat="1" applyFont="1" applyFill="1" applyBorder="1" applyAlignment="1">
      <alignment horizontal="center" vertical="center"/>
    </xf>
    <xf numFmtId="165" fontId="20" fillId="0" borderId="8" xfId="1" applyNumberFormat="1" applyFont="1" applyFill="1" applyBorder="1" applyAlignment="1">
      <alignment horizontal="center" vertical="center"/>
    </xf>
    <xf numFmtId="165" fontId="20" fillId="0" borderId="9" xfId="1" applyNumberFormat="1" applyFont="1" applyFill="1" applyBorder="1" applyAlignment="1">
      <alignment horizontal="center" vertical="center"/>
    </xf>
    <xf numFmtId="165" fontId="20" fillId="0" borderId="10" xfId="1" applyNumberFormat="1" applyFont="1" applyFill="1" applyBorder="1" applyAlignment="1">
      <alignment horizontal="center" vertical="center"/>
    </xf>
    <xf numFmtId="165" fontId="18" fillId="0" borderId="1" xfId="1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165" fontId="12" fillId="0" borderId="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1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9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29" fillId="0" borderId="23" xfId="0" applyFont="1" applyFill="1" applyBorder="1" applyAlignment="1">
      <alignment horizontal="left" vertical="center"/>
    </xf>
    <xf numFmtId="0" fontId="29" fillId="0" borderId="12" xfId="0" applyFont="1" applyFill="1" applyBorder="1" applyAlignment="1">
      <alignment horizontal="left" vertical="center"/>
    </xf>
    <xf numFmtId="0" fontId="10" fillId="0" borderId="17" xfId="0" applyFont="1" applyBorder="1" applyAlignment="1">
      <alignment horizontal="center" vertical="center" wrapText="1"/>
    </xf>
    <xf numFmtId="0" fontId="30" fillId="0" borderId="28" xfId="0" applyFont="1" applyFill="1" applyBorder="1" applyAlignment="1">
      <alignment horizontal="center"/>
    </xf>
    <xf numFmtId="0" fontId="30" fillId="0" borderId="9" xfId="0" applyFont="1" applyFill="1" applyBorder="1" applyAlignment="1">
      <alignment horizontal="center"/>
    </xf>
    <xf numFmtId="0" fontId="29" fillId="0" borderId="16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0" fontId="29" fillId="0" borderId="11" xfId="0" applyFont="1" applyFill="1" applyBorder="1" applyAlignment="1">
      <alignment horizontal="left"/>
    </xf>
    <xf numFmtId="0" fontId="10" fillId="0" borderId="30" xfId="0" applyFont="1" applyBorder="1" applyAlignment="1">
      <alignment horizontal="center" vertical="center" wrapText="1"/>
    </xf>
    <xf numFmtId="0" fontId="29" fillId="0" borderId="29" xfId="0" applyFont="1" applyFill="1" applyBorder="1" applyAlignment="1">
      <alignment horizontal="center"/>
    </xf>
    <xf numFmtId="0" fontId="29" fillId="0" borderId="6" xfId="0" applyFont="1" applyFill="1" applyBorder="1" applyAlignment="1">
      <alignment horizontal="center"/>
    </xf>
    <xf numFmtId="0" fontId="23" fillId="0" borderId="15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165" fontId="13" fillId="0" borderId="15" xfId="1" applyNumberFormat="1" applyFont="1" applyFill="1" applyBorder="1" applyAlignment="1">
      <alignment horizontal="center"/>
    </xf>
    <xf numFmtId="165" fontId="13" fillId="0" borderId="0" xfId="1" applyNumberFormat="1" applyFont="1" applyFill="1" applyBorder="1" applyAlignment="1">
      <alignment horizontal="center"/>
    </xf>
    <xf numFmtId="0" fontId="5" fillId="0" borderId="35" xfId="0" applyFont="1" applyFill="1" applyBorder="1" applyAlignment="1">
      <alignment horizontal="left" vertical="center"/>
    </xf>
    <xf numFmtId="0" fontId="5" fillId="0" borderId="39" xfId="0" applyFont="1" applyFill="1" applyBorder="1" applyAlignment="1">
      <alignment horizontal="left" vertical="center"/>
    </xf>
    <xf numFmtId="0" fontId="5" fillId="0" borderId="36" xfId="0" applyFont="1" applyFill="1" applyBorder="1" applyAlignment="1">
      <alignment horizontal="left" vertical="center"/>
    </xf>
    <xf numFmtId="0" fontId="5" fillId="0" borderId="40" xfId="0" applyFont="1" applyFill="1" applyBorder="1" applyAlignment="1">
      <alignment horizontal="left" vertical="center"/>
    </xf>
    <xf numFmtId="0" fontId="5" fillId="0" borderId="37" xfId="0" applyFont="1" applyFill="1" applyBorder="1" applyAlignment="1">
      <alignment horizontal="center" vertical="center"/>
    </xf>
    <xf numFmtId="3" fontId="13" fillId="4" borderId="38" xfId="0" applyNumberFormat="1" applyFont="1" applyFill="1" applyBorder="1" applyAlignment="1">
      <alignment horizontal="center" vertical="center" wrapText="1"/>
    </xf>
    <xf numFmtId="3" fontId="13" fillId="4" borderId="42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65" fontId="10" fillId="0" borderId="1" xfId="4" applyNumberFormat="1" applyFont="1" applyFill="1" applyBorder="1" applyAlignment="1">
      <alignment horizontal="center" vertical="center" wrapText="1"/>
    </xf>
    <xf numFmtId="165" fontId="10" fillId="0" borderId="1" xfId="0" applyNumberFormat="1" applyFont="1" applyFill="1" applyBorder="1" applyAlignment="1">
      <alignment horizontal="center" vertical="center" wrapText="1"/>
    </xf>
    <xf numFmtId="0" fontId="13" fillId="0" borderId="55" xfId="0" applyFont="1" applyFill="1" applyBorder="1" applyAlignment="1">
      <alignment horizontal="center" vertical="center" wrapText="1"/>
    </xf>
    <xf numFmtId="0" fontId="13" fillId="0" borderId="56" xfId="0" applyFont="1" applyFill="1" applyBorder="1" applyAlignment="1">
      <alignment horizontal="center" vertical="center" wrapText="1"/>
    </xf>
    <xf numFmtId="165" fontId="13" fillId="0" borderId="56" xfId="1" applyNumberFormat="1" applyFont="1" applyFill="1" applyBorder="1" applyAlignment="1">
      <alignment horizontal="center" vertical="center" wrapText="1"/>
    </xf>
    <xf numFmtId="165" fontId="13" fillId="0" borderId="56" xfId="1" applyNumberFormat="1" applyFont="1" applyFill="1" applyBorder="1" applyAlignment="1">
      <alignment horizontal="center" vertical="center"/>
    </xf>
    <xf numFmtId="165" fontId="13" fillId="0" borderId="57" xfId="1" applyNumberFormat="1" applyFont="1" applyFill="1" applyBorder="1" applyAlignment="1">
      <alignment horizontal="center" vertical="center"/>
    </xf>
    <xf numFmtId="165" fontId="13" fillId="7" borderId="42" xfId="1" applyNumberFormat="1" applyFont="1" applyFill="1" applyBorder="1" applyAlignment="1">
      <alignment horizontal="center" vertical="center" wrapText="1"/>
    </xf>
    <xf numFmtId="165" fontId="13" fillId="8" borderId="42" xfId="1" applyNumberFormat="1" applyFont="1" applyFill="1" applyBorder="1" applyAlignment="1">
      <alignment horizontal="center" vertical="center" wrapText="1"/>
    </xf>
    <xf numFmtId="165" fontId="13" fillId="0" borderId="58" xfId="1" applyNumberFormat="1" applyFont="1" applyFill="1" applyBorder="1" applyAlignment="1">
      <alignment horizontal="center" vertical="center" wrapText="1"/>
    </xf>
    <xf numFmtId="0" fontId="13" fillId="9" borderId="59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/>
    </xf>
    <xf numFmtId="0" fontId="44" fillId="10" borderId="1" xfId="0" applyFont="1" applyFill="1" applyBorder="1" applyAlignment="1">
      <alignment horizontal="center" vertical="center"/>
    </xf>
    <xf numFmtId="0" fontId="44" fillId="10" borderId="1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left" vertical="center"/>
    </xf>
    <xf numFmtId="0" fontId="46" fillId="0" borderId="2" xfId="0" applyFont="1" applyFill="1" applyBorder="1" applyAlignment="1">
      <alignment horizontal="left" vertical="center" wrapText="1"/>
    </xf>
    <xf numFmtId="0" fontId="46" fillId="0" borderId="2" xfId="0" applyFont="1" applyFill="1" applyBorder="1" applyAlignment="1">
      <alignment vertical="top" wrapText="1"/>
    </xf>
    <xf numFmtId="0" fontId="34" fillId="0" borderId="2" xfId="0" applyFont="1" applyFill="1" applyBorder="1" applyAlignment="1">
      <alignment horizontal="left" vertical="center"/>
    </xf>
    <xf numFmtId="0" fontId="45" fillId="0" borderId="2" xfId="0" applyFont="1" applyFill="1" applyBorder="1" applyAlignment="1">
      <alignment vertical="center" wrapText="1"/>
    </xf>
    <xf numFmtId="165" fontId="17" fillId="0" borderId="0" xfId="1" applyNumberFormat="1" applyFont="1" applyBorder="1" applyAlignment="1">
      <alignment horizontal="right"/>
    </xf>
    <xf numFmtId="165" fontId="17" fillId="0" borderId="2" xfId="1" applyNumberFormat="1" applyFont="1" applyFill="1" applyBorder="1" applyAlignment="1">
      <alignment horizontal="right" vertical="center" wrapText="1"/>
    </xf>
    <xf numFmtId="165" fontId="0" fillId="0" borderId="0" xfId="1" applyNumberFormat="1" applyFont="1" applyAlignment="1">
      <alignment horizontal="right"/>
    </xf>
  </cellXfs>
  <cellStyles count="165">
    <cellStyle name="Comma" xfId="1" builtinId="3"/>
    <cellStyle name="Comma 2" xfId="4"/>
    <cellStyle name="Comma 3" xfId="2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  <cellStyle name="Normal 2" xfId="3"/>
    <cellStyle name="Percent" xfId="6" builtinId="5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L28"/>
  <sheetViews>
    <sheetView zoomScale="55" zoomScaleNormal="55" zoomScalePageLayoutView="55" workbookViewId="0">
      <selection activeCell="A22" sqref="A22"/>
    </sheetView>
  </sheetViews>
  <sheetFormatPr baseColWidth="10" defaultColWidth="25.33203125" defaultRowHeight="23" x14ac:dyDescent="0"/>
  <cols>
    <col min="1" max="1" width="56.1640625" style="51" customWidth="1"/>
    <col min="2" max="2" width="41.33203125" style="51" customWidth="1"/>
    <col min="3" max="3" width="24.1640625" style="51" customWidth="1"/>
    <col min="4" max="4" width="33" style="51" customWidth="1"/>
    <col min="5" max="5" width="26.1640625" style="51" customWidth="1"/>
    <col min="6" max="9" width="27" style="51" bestFit="1" customWidth="1"/>
    <col min="10" max="10" width="27" style="195" bestFit="1" customWidth="1"/>
    <col min="11" max="11" width="26" style="51" bestFit="1" customWidth="1"/>
    <col min="12" max="12" width="31" style="51" bestFit="1" customWidth="1"/>
    <col min="13" max="16384" width="25.33203125" style="51"/>
  </cols>
  <sheetData>
    <row r="1" spans="1:12" s="33" customFormat="1" ht="21">
      <c r="A1" s="234"/>
      <c r="B1" s="234"/>
      <c r="C1" s="234"/>
      <c r="D1" s="234"/>
      <c r="E1" s="234"/>
      <c r="F1" s="234"/>
      <c r="G1" s="234"/>
      <c r="H1" s="234"/>
      <c r="I1" s="234"/>
      <c r="J1" s="235"/>
    </row>
    <row r="2" spans="1:12" s="33" customFormat="1" ht="21">
      <c r="A2" s="306" t="s">
        <v>0</v>
      </c>
      <c r="B2" s="306"/>
      <c r="C2" s="306"/>
      <c r="D2" s="306"/>
      <c r="E2" s="306"/>
      <c r="F2" s="306"/>
      <c r="G2" s="306"/>
      <c r="H2" s="306"/>
      <c r="I2" s="306"/>
      <c r="J2" s="306"/>
    </row>
    <row r="3" spans="1:12" s="33" customFormat="1" ht="21">
      <c r="A3" s="307" t="s">
        <v>1</v>
      </c>
      <c r="B3" s="307"/>
      <c r="C3" s="307"/>
      <c r="D3" s="307"/>
      <c r="E3" s="307"/>
      <c r="F3" s="307"/>
      <c r="G3" s="307"/>
      <c r="H3" s="307"/>
      <c r="I3" s="307"/>
      <c r="J3" s="307"/>
    </row>
    <row r="4" spans="1:12" s="33" customFormat="1" ht="21">
      <c r="A4" s="307" t="s">
        <v>2</v>
      </c>
      <c r="B4" s="307"/>
      <c r="C4" s="307"/>
      <c r="D4" s="307"/>
      <c r="E4" s="307"/>
      <c r="F4" s="307"/>
      <c r="G4" s="307"/>
      <c r="H4" s="307"/>
      <c r="I4" s="307"/>
      <c r="J4" s="307"/>
    </row>
    <row r="5" spans="1:12" s="33" customFormat="1" ht="21">
      <c r="A5" s="264"/>
      <c r="B5" s="264"/>
      <c r="C5" s="264"/>
      <c r="D5" s="264"/>
      <c r="E5" s="264"/>
      <c r="F5" s="264"/>
      <c r="G5" s="264"/>
      <c r="H5" s="264"/>
      <c r="I5" s="264"/>
      <c r="J5" s="264"/>
    </row>
    <row r="6" spans="1:12" s="33" customFormat="1" ht="21">
      <c r="A6" s="234"/>
      <c r="B6" s="234"/>
      <c r="C6" s="234"/>
      <c r="D6" s="234"/>
      <c r="E6" s="234"/>
      <c r="F6" s="237">
        <v>30</v>
      </c>
      <c r="G6" s="237">
        <v>20</v>
      </c>
      <c r="H6" s="237">
        <v>20</v>
      </c>
      <c r="I6" s="237">
        <v>30</v>
      </c>
      <c r="J6" s="235"/>
    </row>
    <row r="7" spans="1:12" s="33" customFormat="1" ht="20.25" customHeight="1">
      <c r="A7" s="308" t="s">
        <v>3</v>
      </c>
      <c r="B7" s="308" t="s">
        <v>4</v>
      </c>
      <c r="C7" s="311" t="s">
        <v>5</v>
      </c>
      <c r="D7" s="311" t="s">
        <v>6</v>
      </c>
      <c r="E7" s="311" t="s">
        <v>7</v>
      </c>
      <c r="F7" s="314" t="s">
        <v>8</v>
      </c>
      <c r="G7" s="315"/>
      <c r="H7" s="315"/>
      <c r="I7" s="315"/>
      <c r="J7" s="316"/>
    </row>
    <row r="8" spans="1:12" s="33" customFormat="1" ht="36.75" customHeight="1">
      <c r="A8" s="309"/>
      <c r="B8" s="309"/>
      <c r="C8" s="312"/>
      <c r="D8" s="312"/>
      <c r="E8" s="312"/>
      <c r="F8" s="317"/>
      <c r="G8" s="318"/>
      <c r="H8" s="318"/>
      <c r="I8" s="318"/>
      <c r="J8" s="319"/>
    </row>
    <row r="9" spans="1:12" s="33" customFormat="1" ht="32.25" customHeight="1">
      <c r="A9" s="310"/>
      <c r="B9" s="310"/>
      <c r="C9" s="313"/>
      <c r="D9" s="313"/>
      <c r="E9" s="313"/>
      <c r="F9" s="238" t="s">
        <v>9</v>
      </c>
      <c r="G9" s="238" t="s">
        <v>10</v>
      </c>
      <c r="H9" s="238" t="s">
        <v>11</v>
      </c>
      <c r="I9" s="239" t="s">
        <v>12</v>
      </c>
      <c r="J9" s="265" t="s">
        <v>13</v>
      </c>
    </row>
    <row r="10" spans="1:12" s="33" customFormat="1" ht="21">
      <c r="A10" s="241" t="s">
        <v>14</v>
      </c>
      <c r="B10" s="266"/>
      <c r="C10" s="263"/>
      <c r="D10" s="263"/>
      <c r="E10" s="39"/>
      <c r="F10" s="238"/>
      <c r="G10" s="238"/>
      <c r="H10" s="238"/>
      <c r="I10" s="238"/>
      <c r="J10" s="243"/>
    </row>
    <row r="11" spans="1:12" s="33" customFormat="1" ht="68.25" customHeight="1">
      <c r="A11" s="28" t="s">
        <v>175</v>
      </c>
      <c r="B11" s="35" t="s">
        <v>15</v>
      </c>
      <c r="C11" s="39">
        <v>170470</v>
      </c>
      <c r="D11" s="34" t="s">
        <v>16</v>
      </c>
      <c r="E11" s="39">
        <f>Grants!B23</f>
        <v>2510563350</v>
      </c>
      <c r="F11" s="244">
        <f>'allotment sched'!G20</f>
        <v>656364283.5859921</v>
      </c>
      <c r="G11" s="244">
        <f>'allotment sched'!K20</f>
        <v>146283700.93180192</v>
      </c>
      <c r="H11" s="244">
        <f>'allotment sched'!O20</f>
        <v>1103998204.7075889</v>
      </c>
      <c r="I11" s="244">
        <f>'allotment sched'!S20</f>
        <v>791913060.77461672</v>
      </c>
      <c r="J11" s="193">
        <f>SUM(F11:I11)</f>
        <v>2698559249.9999995</v>
      </c>
    </row>
    <row r="12" spans="1:12" s="33" customFormat="1" ht="42">
      <c r="A12" s="28" t="s">
        <v>174</v>
      </c>
      <c r="B12" s="35" t="s">
        <v>15</v>
      </c>
      <c r="C12" s="39">
        <v>208351.5</v>
      </c>
      <c r="D12" s="34" t="s">
        <v>16</v>
      </c>
      <c r="E12" s="39">
        <f>Grants!C23</f>
        <v>4985695175</v>
      </c>
      <c r="F12" s="244">
        <f>'allotment sched'!G17</f>
        <v>964956024</v>
      </c>
      <c r="G12" s="244">
        <f>'allotment sched'!K17</f>
        <v>214434672</v>
      </c>
      <c r="H12" s="244">
        <f>'allotment sched'!O17-L13</f>
        <v>2410690060</v>
      </c>
      <c r="I12" s="244">
        <f>'allotment sched'!S17</f>
        <v>1769086044</v>
      </c>
      <c r="J12" s="193">
        <f>SUM(F12:I12)</f>
        <v>5359166800</v>
      </c>
      <c r="K12" s="52"/>
      <c r="L12" s="53"/>
    </row>
    <row r="13" spans="1:12" s="33" customFormat="1" ht="60" customHeight="1">
      <c r="A13" s="37" t="s">
        <v>18</v>
      </c>
      <c r="B13" s="38"/>
      <c r="C13" s="39">
        <f>SUM(C11:C12)</f>
        <v>378821.5</v>
      </c>
      <c r="D13" s="39"/>
      <c r="E13" s="39">
        <f>E11+E12</f>
        <v>7496258525</v>
      </c>
      <c r="F13" s="39">
        <f t="shared" ref="F13:J13" si="0">F11+F12</f>
        <v>1621320307.5859921</v>
      </c>
      <c r="G13" s="39">
        <f t="shared" si="0"/>
        <v>360718372.93180192</v>
      </c>
      <c r="H13" s="39">
        <f t="shared" si="0"/>
        <v>3514688264.7075891</v>
      </c>
      <c r="I13" s="39">
        <f t="shared" si="0"/>
        <v>2560999104.7746167</v>
      </c>
      <c r="J13" s="39">
        <f t="shared" si="0"/>
        <v>8057726050</v>
      </c>
      <c r="K13" s="52">
        <f>E13-J13</f>
        <v>-561467525</v>
      </c>
      <c r="L13" s="260">
        <v>1700000</v>
      </c>
    </row>
    <row r="14" spans="1:12" s="33" customFormat="1" ht="51" customHeight="1">
      <c r="A14" s="31" t="s">
        <v>188</v>
      </c>
      <c r="B14" s="298"/>
      <c r="C14" s="299"/>
      <c r="D14" s="300"/>
      <c r="E14" s="39"/>
      <c r="F14" s="245"/>
      <c r="G14" s="245"/>
      <c r="H14" s="245"/>
      <c r="I14" s="245"/>
      <c r="J14" s="38"/>
    </row>
    <row r="15" spans="1:12" s="33" customFormat="1" ht="24.75" customHeight="1">
      <c r="A15" s="32" t="s">
        <v>99</v>
      </c>
      <c r="B15" s="301"/>
      <c r="C15" s="302"/>
      <c r="D15" s="303"/>
      <c r="E15" s="39" t="e">
        <f>Admincost!AD31</f>
        <v>#VALUE!</v>
      </c>
      <c r="F15" s="244">
        <f>'allotment sched'!G18+425000</f>
        <v>173801468.25</v>
      </c>
      <c r="G15" s="244">
        <f>'allotment sched'!K18+425000</f>
        <v>173801468.25</v>
      </c>
      <c r="H15" s="244">
        <f>'allotment sched'!O18+425000</f>
        <v>173801468.25</v>
      </c>
      <c r="I15" s="244">
        <f>'allotment sched'!S18+425000</f>
        <v>173801468.25</v>
      </c>
      <c r="J15" s="38">
        <f>SUM(F15:I15)</f>
        <v>695205873</v>
      </c>
    </row>
    <row r="16" spans="1:12" s="33" customFormat="1" ht="63">
      <c r="A16" s="29" t="s">
        <v>91</v>
      </c>
      <c r="B16" s="35" t="s">
        <v>180</v>
      </c>
      <c r="C16" s="193">
        <v>431</v>
      </c>
      <c r="D16" s="35" t="s">
        <v>182</v>
      </c>
      <c r="E16" s="39">
        <v>181829000</v>
      </c>
      <c r="F16" s="34">
        <f>E16/4</f>
        <v>45457250</v>
      </c>
      <c r="G16" s="244">
        <f>F16</f>
        <v>45457250</v>
      </c>
      <c r="H16" s="244">
        <f>G16</f>
        <v>45457250</v>
      </c>
      <c r="I16" s="244">
        <f>H16</f>
        <v>45457250</v>
      </c>
      <c r="J16" s="38">
        <f>SUM(F16:I16)</f>
        <v>181829000</v>
      </c>
    </row>
    <row r="17" spans="1:12" s="33" customFormat="1" ht="46.5" customHeight="1">
      <c r="A17" s="29" t="s">
        <v>24</v>
      </c>
      <c r="B17" s="298"/>
      <c r="C17" s="304"/>
      <c r="D17" s="305"/>
      <c r="E17" s="39" t="e">
        <f>E15+E16</f>
        <v>#VALUE!</v>
      </c>
      <c r="F17" s="39">
        <f>F15+F16</f>
        <v>219258718.25</v>
      </c>
      <c r="G17" s="39">
        <f>G15+G16</f>
        <v>219258718.25</v>
      </c>
      <c r="H17" s="39">
        <f>H15+H16</f>
        <v>219258718.25</v>
      </c>
      <c r="I17" s="39">
        <f>I15+I16</f>
        <v>219258718.25</v>
      </c>
      <c r="J17" s="38">
        <f>SUM(F17:I17)</f>
        <v>877034873</v>
      </c>
    </row>
    <row r="18" spans="1:12" s="33" customFormat="1" ht="68.25" customHeight="1">
      <c r="A18" s="246" t="s">
        <v>25</v>
      </c>
      <c r="B18" s="298"/>
      <c r="C18" s="304"/>
      <c r="D18" s="305"/>
      <c r="E18" s="247" t="e">
        <f t="shared" ref="E18:J18" si="1">E13+E17</f>
        <v>#VALUE!</v>
      </c>
      <c r="F18" s="247">
        <f t="shared" si="1"/>
        <v>1840579025.8359921</v>
      </c>
      <c r="G18" s="247">
        <f t="shared" si="1"/>
        <v>579977091.18180192</v>
      </c>
      <c r="H18" s="247">
        <f t="shared" si="1"/>
        <v>3733946982.9575891</v>
      </c>
      <c r="I18" s="247">
        <f t="shared" si="1"/>
        <v>2780257823.0246167</v>
      </c>
      <c r="J18" s="247">
        <f t="shared" si="1"/>
        <v>8934760923</v>
      </c>
      <c r="K18" s="52" t="e">
        <f>E18-J18</f>
        <v>#VALUE!</v>
      </c>
      <c r="L18" s="52" t="e">
        <f>K18/4</f>
        <v>#VALUE!</v>
      </c>
    </row>
    <row r="19" spans="1:12" s="33" customFormat="1" ht="21">
      <c r="A19" s="41"/>
      <c r="B19" s="42" t="e">
        <v>#REF!</v>
      </c>
      <c r="C19" s="43"/>
      <c r="D19" s="44"/>
      <c r="E19" s="44"/>
      <c r="F19" s="44"/>
      <c r="G19" s="44"/>
      <c r="H19" s="44"/>
      <c r="I19" s="44"/>
      <c r="J19" s="194"/>
    </row>
    <row r="20" spans="1:12" s="33" customFormat="1" ht="21">
      <c r="A20" s="41"/>
      <c r="B20" s="45"/>
      <c r="C20" s="44"/>
      <c r="D20" s="44"/>
      <c r="E20" s="44"/>
      <c r="F20" s="44"/>
      <c r="G20" s="44"/>
      <c r="H20" s="44"/>
      <c r="I20" s="44"/>
      <c r="J20" s="194"/>
    </row>
    <row r="21" spans="1:12" s="33" customFormat="1" ht="21">
      <c r="A21" s="46" t="s">
        <v>26</v>
      </c>
      <c r="B21" s="46" t="s">
        <v>27</v>
      </c>
      <c r="C21" s="46"/>
      <c r="D21" s="46" t="s">
        <v>28</v>
      </c>
      <c r="E21" s="46"/>
      <c r="F21" s="46" t="s">
        <v>29</v>
      </c>
      <c r="G21" s="46"/>
      <c r="H21" s="46" t="s">
        <v>30</v>
      </c>
      <c r="I21" s="46"/>
      <c r="J21" s="46"/>
    </row>
    <row r="22" spans="1:12" s="33" customFormat="1" ht="21">
      <c r="A22" s="46"/>
      <c r="B22" s="46"/>
      <c r="C22" s="46"/>
      <c r="D22" s="46"/>
      <c r="E22" s="46"/>
      <c r="F22" s="46"/>
      <c r="G22" s="46"/>
      <c r="H22" s="46"/>
      <c r="I22" s="47"/>
      <c r="J22" s="47"/>
    </row>
    <row r="23" spans="1:12" s="33" customFormat="1" ht="21">
      <c r="A23" s="48"/>
      <c r="B23" s="46"/>
      <c r="C23" s="46"/>
      <c r="D23" s="46"/>
      <c r="E23" s="46"/>
      <c r="F23" s="46"/>
      <c r="G23" s="46"/>
      <c r="H23" s="46"/>
      <c r="I23" s="46"/>
      <c r="J23" s="46"/>
    </row>
    <row r="24" spans="1:12" s="33" customFormat="1" ht="21">
      <c r="A24" s="48"/>
      <c r="B24" s="46"/>
      <c r="C24" s="46"/>
      <c r="D24" s="46"/>
      <c r="E24" s="46"/>
      <c r="F24" s="46"/>
      <c r="G24" s="46"/>
      <c r="H24" s="46"/>
      <c r="I24" s="46"/>
      <c r="J24" s="46"/>
    </row>
    <row r="25" spans="1:12" s="33" customFormat="1" ht="21">
      <c r="A25" s="48" t="s">
        <v>31</v>
      </c>
      <c r="B25" s="46" t="s">
        <v>32</v>
      </c>
      <c r="C25" s="46"/>
      <c r="D25" s="46" t="s">
        <v>33</v>
      </c>
      <c r="E25" s="46"/>
      <c r="F25" s="46" t="s">
        <v>34</v>
      </c>
      <c r="G25" s="46"/>
      <c r="H25" s="46" t="s">
        <v>35</v>
      </c>
      <c r="I25" s="46"/>
      <c r="J25" s="46"/>
    </row>
    <row r="26" spans="1:12" s="33" customFormat="1" ht="21">
      <c r="A26" s="49" t="s">
        <v>36</v>
      </c>
      <c r="B26" s="33" t="s">
        <v>37</v>
      </c>
      <c r="C26" s="50"/>
      <c r="D26" s="33" t="s">
        <v>38</v>
      </c>
      <c r="F26" s="33" t="s">
        <v>39</v>
      </c>
      <c r="H26" s="33" t="s">
        <v>136</v>
      </c>
      <c r="J26" s="46"/>
    </row>
    <row r="27" spans="1:12" s="33" customFormat="1" ht="21">
      <c r="J27" s="46"/>
    </row>
    <row r="28" spans="1:12" s="33" customFormat="1" ht="21">
      <c r="J28" s="46"/>
    </row>
  </sheetData>
  <mergeCells count="13">
    <mergeCell ref="B14:D14"/>
    <mergeCell ref="B15:D15"/>
    <mergeCell ref="B17:D17"/>
    <mergeCell ref="B18:D18"/>
    <mergeCell ref="A2:J2"/>
    <mergeCell ref="A3:J3"/>
    <mergeCell ref="A4:J4"/>
    <mergeCell ref="A7:A9"/>
    <mergeCell ref="B7:B9"/>
    <mergeCell ref="C7:C9"/>
    <mergeCell ref="D7:D9"/>
    <mergeCell ref="E7:E9"/>
    <mergeCell ref="F7:J8"/>
  </mergeCells>
  <pageMargins left="0.7" right="0.7" top="0.75" bottom="0.75" header="0.3" footer="0.3"/>
  <pageSetup paperSize="9" scale="41" orientation="landscape" copies="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L31"/>
  <sheetViews>
    <sheetView topLeftCell="A10" zoomScale="55" zoomScaleNormal="55" zoomScalePageLayoutView="55" workbookViewId="0">
      <selection activeCell="F18" sqref="F18"/>
    </sheetView>
  </sheetViews>
  <sheetFormatPr baseColWidth="10" defaultColWidth="25.33203125" defaultRowHeight="23" x14ac:dyDescent="0"/>
  <cols>
    <col min="1" max="1" width="56.1640625" style="51" customWidth="1"/>
    <col min="2" max="2" width="25.5" style="51" bestFit="1" customWidth="1"/>
    <col min="3" max="3" width="24.1640625" style="51" customWidth="1"/>
    <col min="4" max="4" width="25.6640625" style="51" customWidth="1"/>
    <col min="5" max="5" width="26.1640625" style="51" customWidth="1"/>
    <col min="6" max="9" width="27" style="51" bestFit="1" customWidth="1"/>
    <col min="10" max="10" width="27" style="195" bestFit="1" customWidth="1"/>
    <col min="11" max="11" width="30.83203125" style="51" bestFit="1" customWidth="1"/>
    <col min="12" max="12" width="31" style="51" bestFit="1" customWidth="1"/>
    <col min="13" max="16384" width="25.33203125" style="51"/>
  </cols>
  <sheetData>
    <row r="1" spans="1:12" s="33" customFormat="1" ht="21">
      <c r="A1" s="234"/>
      <c r="B1" s="234"/>
      <c r="C1" s="234"/>
      <c r="D1" s="234"/>
      <c r="E1" s="234"/>
      <c r="F1" s="234"/>
      <c r="G1" s="234"/>
      <c r="H1" s="234"/>
      <c r="I1" s="234"/>
      <c r="J1" s="235"/>
    </row>
    <row r="2" spans="1:12" s="33" customFormat="1" ht="21">
      <c r="A2" s="306" t="s">
        <v>0</v>
      </c>
      <c r="B2" s="306"/>
      <c r="C2" s="306"/>
      <c r="D2" s="306"/>
      <c r="E2" s="306"/>
      <c r="F2" s="306"/>
      <c r="G2" s="306"/>
      <c r="H2" s="306"/>
      <c r="I2" s="306"/>
      <c r="J2" s="306"/>
    </row>
    <row r="3" spans="1:12" s="33" customFormat="1" ht="21">
      <c r="A3" s="307" t="s">
        <v>1</v>
      </c>
      <c r="B3" s="307"/>
      <c r="C3" s="307"/>
      <c r="D3" s="307"/>
      <c r="E3" s="307"/>
      <c r="F3" s="307"/>
      <c r="G3" s="307"/>
      <c r="H3" s="307"/>
      <c r="I3" s="307"/>
      <c r="J3" s="307"/>
    </row>
    <row r="4" spans="1:12" s="33" customFormat="1" ht="21">
      <c r="A4" s="307" t="s">
        <v>2</v>
      </c>
      <c r="B4" s="307"/>
      <c r="C4" s="307"/>
      <c r="D4" s="307"/>
      <c r="E4" s="307"/>
      <c r="F4" s="307"/>
      <c r="G4" s="307"/>
      <c r="H4" s="307"/>
      <c r="I4" s="307"/>
      <c r="J4" s="307"/>
    </row>
    <row r="5" spans="1:12" s="33" customFormat="1" ht="21">
      <c r="A5" s="236"/>
      <c r="B5" s="236"/>
      <c r="C5" s="236"/>
      <c r="D5" s="236"/>
      <c r="E5" s="236"/>
      <c r="F5" s="236"/>
      <c r="G5" s="236"/>
      <c r="H5" s="236"/>
      <c r="I5" s="236"/>
      <c r="J5" s="236"/>
    </row>
    <row r="6" spans="1:12" s="33" customFormat="1" ht="21">
      <c r="A6" s="234"/>
      <c r="B6" s="234"/>
      <c r="C6" s="234"/>
      <c r="D6" s="234"/>
      <c r="E6" s="234"/>
      <c r="F6" s="237">
        <v>30</v>
      </c>
      <c r="G6" s="237">
        <v>20</v>
      </c>
      <c r="H6" s="237">
        <v>20</v>
      </c>
      <c r="I6" s="237">
        <v>30</v>
      </c>
      <c r="J6" s="235"/>
    </row>
    <row r="7" spans="1:12" s="33" customFormat="1" ht="20.25" customHeight="1">
      <c r="A7" s="308" t="s">
        <v>3</v>
      </c>
      <c r="B7" s="308" t="s">
        <v>4</v>
      </c>
      <c r="C7" s="311" t="s">
        <v>5</v>
      </c>
      <c r="D7" s="311" t="s">
        <v>6</v>
      </c>
      <c r="E7" s="311" t="s">
        <v>7</v>
      </c>
      <c r="F7" s="314" t="s">
        <v>8</v>
      </c>
      <c r="G7" s="315"/>
      <c r="H7" s="315"/>
      <c r="I7" s="315"/>
      <c r="J7" s="316"/>
    </row>
    <row r="8" spans="1:12" s="33" customFormat="1" ht="36.75" customHeight="1">
      <c r="A8" s="309"/>
      <c r="B8" s="309"/>
      <c r="C8" s="312"/>
      <c r="D8" s="312"/>
      <c r="E8" s="312"/>
      <c r="F8" s="317"/>
      <c r="G8" s="318"/>
      <c r="H8" s="318"/>
      <c r="I8" s="318"/>
      <c r="J8" s="319"/>
    </row>
    <row r="9" spans="1:12" s="33" customFormat="1" ht="32.25" customHeight="1">
      <c r="A9" s="310"/>
      <c r="B9" s="310"/>
      <c r="C9" s="313"/>
      <c r="D9" s="313"/>
      <c r="E9" s="313"/>
      <c r="F9" s="238" t="s">
        <v>9</v>
      </c>
      <c r="G9" s="238" t="s">
        <v>10</v>
      </c>
      <c r="H9" s="238" t="s">
        <v>11</v>
      </c>
      <c r="I9" s="239" t="s">
        <v>12</v>
      </c>
      <c r="J9" s="240" t="s">
        <v>13</v>
      </c>
    </row>
    <row r="10" spans="1:12" s="33" customFormat="1" ht="106" customHeight="1">
      <c r="A10" s="375" t="s">
        <v>200</v>
      </c>
      <c r="B10" s="242"/>
      <c r="C10" s="59"/>
      <c r="D10" s="59"/>
      <c r="E10" s="39"/>
      <c r="F10" s="238"/>
      <c r="G10" s="238"/>
      <c r="H10" s="238"/>
      <c r="I10" s="238"/>
      <c r="J10" s="243"/>
    </row>
    <row r="11" spans="1:12" s="33" customFormat="1" ht="68.25" customHeight="1">
      <c r="A11" s="372" t="s">
        <v>175</v>
      </c>
      <c r="B11" s="35" t="s">
        <v>15</v>
      </c>
      <c r="C11" s="39">
        <v>170470</v>
      </c>
      <c r="D11" s="377" t="s">
        <v>16</v>
      </c>
      <c r="E11" s="39">
        <f>Grants!B23</f>
        <v>2510563350</v>
      </c>
      <c r="F11" s="244">
        <f>'allotment sched'!G20</f>
        <v>656364283.5859921</v>
      </c>
      <c r="G11" s="244">
        <f>'allotment sched'!K20</f>
        <v>146283700.93180192</v>
      </c>
      <c r="H11" s="244">
        <f>'allotment sched'!O20</f>
        <v>1103998204.7075889</v>
      </c>
      <c r="I11" s="244">
        <f>'allotment sched'!S20</f>
        <v>791913060.77461672</v>
      </c>
      <c r="J11" s="193">
        <f>SUM(F11:I11)</f>
        <v>2698559249.9999995</v>
      </c>
    </row>
    <row r="12" spans="1:12" s="33" customFormat="1" ht="81" customHeight="1">
      <c r="A12" s="373" t="s">
        <v>176</v>
      </c>
      <c r="B12" s="35" t="s">
        <v>17</v>
      </c>
      <c r="C12" s="39">
        <v>525</v>
      </c>
      <c r="D12" s="36" t="s">
        <v>181</v>
      </c>
      <c r="E12" s="39">
        <f>Grants!E23</f>
        <v>674642000</v>
      </c>
      <c r="F12" s="244">
        <f>'allotment sched'!G21</f>
        <v>91341533.714666665</v>
      </c>
      <c r="G12" s="244">
        <f>'allotment sched'!K21</f>
        <v>29300000.000000004</v>
      </c>
      <c r="H12" s="244">
        <f>'allotment sched'!O21</f>
        <v>331844962.87066668</v>
      </c>
      <c r="I12" s="244">
        <f>'allotment sched'!S21</f>
        <v>222155503.41466671</v>
      </c>
      <c r="J12" s="193">
        <f>SUM(F12:I12)</f>
        <v>674642000</v>
      </c>
    </row>
    <row r="13" spans="1:12" s="33" customFormat="1" ht="42">
      <c r="A13" s="372" t="s">
        <v>174</v>
      </c>
      <c r="B13" s="35" t="s">
        <v>15</v>
      </c>
      <c r="C13" s="39">
        <v>208351.5</v>
      </c>
      <c r="D13" s="34" t="s">
        <v>16</v>
      </c>
      <c r="E13" s="39">
        <f>Grants!C23</f>
        <v>4985695175</v>
      </c>
      <c r="F13" s="244">
        <f>'allotment sched'!G17</f>
        <v>964956024</v>
      </c>
      <c r="G13" s="244">
        <f>'allotment sched'!K17</f>
        <v>214434672</v>
      </c>
      <c r="H13" s="244">
        <f>'allotment sched'!O17-L14</f>
        <v>2410690060</v>
      </c>
      <c r="I13" s="244">
        <f>'allotment sched'!S17</f>
        <v>1769086044</v>
      </c>
      <c r="J13" s="193">
        <f>SUM(F13:I13)</f>
        <v>5359166800</v>
      </c>
      <c r="K13" s="52"/>
      <c r="L13" s="53"/>
    </row>
    <row r="14" spans="1:12" s="33" customFormat="1" ht="60" customHeight="1">
      <c r="A14" s="374" t="s">
        <v>201</v>
      </c>
      <c r="B14" s="38"/>
      <c r="C14" s="39"/>
      <c r="D14" s="39"/>
      <c r="E14" s="39">
        <f>E11+E12+E13</f>
        <v>8170900525</v>
      </c>
      <c r="F14" s="39">
        <f>SUM(F11:F13)</f>
        <v>1712661841.3006587</v>
      </c>
      <c r="G14" s="39">
        <f>SUM(G11:G13)</f>
        <v>390018372.93180192</v>
      </c>
      <c r="H14" s="39">
        <f>SUM(H11:H13)</f>
        <v>3846533227.5782557</v>
      </c>
      <c r="I14" s="39">
        <f>SUM(I11:I13)</f>
        <v>2783154608.1892834</v>
      </c>
      <c r="J14" s="39">
        <f>SUM(J11:J13)</f>
        <v>8732368050</v>
      </c>
      <c r="K14" s="52">
        <f>E14-J14</f>
        <v>-561467525</v>
      </c>
      <c r="L14" s="260">
        <v>1700000</v>
      </c>
    </row>
    <row r="15" spans="1:12" s="33" customFormat="1" ht="30.75" customHeight="1">
      <c r="A15" s="37" t="s">
        <v>19</v>
      </c>
      <c r="B15" s="38"/>
      <c r="C15" s="39"/>
      <c r="D15" s="39"/>
      <c r="E15" s="39"/>
      <c r="F15" s="60"/>
      <c r="G15" s="60"/>
      <c r="H15" s="60"/>
      <c r="I15" s="60"/>
      <c r="J15" s="38"/>
    </row>
    <row r="16" spans="1:12" s="33" customFormat="1" ht="115.5" customHeight="1">
      <c r="A16" s="30" t="s">
        <v>179</v>
      </c>
      <c r="B16" s="40" t="s">
        <v>20</v>
      </c>
      <c r="C16" s="247">
        <f>C11+C13</f>
        <v>378821.5</v>
      </c>
      <c r="D16" s="64" t="s">
        <v>21</v>
      </c>
      <c r="E16" s="64"/>
      <c r="F16" s="320"/>
      <c r="G16" s="320"/>
      <c r="H16" s="320"/>
      <c r="I16" s="320"/>
      <c r="J16" s="320"/>
    </row>
    <row r="17" spans="1:12" s="33" customFormat="1" ht="51" customHeight="1">
      <c r="A17" s="31" t="s">
        <v>22</v>
      </c>
      <c r="B17" s="298"/>
      <c r="C17" s="299"/>
      <c r="D17" s="300"/>
      <c r="E17" s="39"/>
      <c r="F17" s="245"/>
      <c r="G17" s="245"/>
      <c r="H17" s="245"/>
      <c r="I17" s="245"/>
      <c r="J17" s="38"/>
    </row>
    <row r="18" spans="1:12" s="33" customFormat="1" ht="77" customHeight="1">
      <c r="A18" s="371" t="s">
        <v>99</v>
      </c>
      <c r="B18" s="301" t="s">
        <v>23</v>
      </c>
      <c r="C18" s="302"/>
      <c r="D18" s="303"/>
      <c r="E18" s="39" t="e">
        <f>Admincost!AD31</f>
        <v>#VALUE!</v>
      </c>
      <c r="F18" s="244">
        <f>'allotment sched'!G18+425000</f>
        <v>173801468.25</v>
      </c>
      <c r="G18" s="244">
        <f>'allotment sched'!K18+425000</f>
        <v>173801468.25</v>
      </c>
      <c r="H18" s="244">
        <f>'allotment sched'!O18+425000</f>
        <v>173801468.25</v>
      </c>
      <c r="I18" s="244">
        <f>'allotment sched'!S18+425000</f>
        <v>173801468.25</v>
      </c>
      <c r="J18" s="38">
        <f>SUM(F18:I18)</f>
        <v>695205873</v>
      </c>
    </row>
    <row r="19" spans="1:12" s="33" customFormat="1" ht="111" customHeight="1">
      <c r="A19" s="371" t="s">
        <v>91</v>
      </c>
      <c r="B19" s="35" t="s">
        <v>180</v>
      </c>
      <c r="C19" s="193">
        <v>431</v>
      </c>
      <c r="D19" s="35" t="s">
        <v>182</v>
      </c>
      <c r="E19" s="39">
        <v>181829000</v>
      </c>
      <c r="F19" s="34">
        <f>E19/4</f>
        <v>45457250</v>
      </c>
      <c r="G19" s="244">
        <f>F19</f>
        <v>45457250</v>
      </c>
      <c r="H19" s="244">
        <f>G19</f>
        <v>45457250</v>
      </c>
      <c r="I19" s="244">
        <f>H19</f>
        <v>45457250</v>
      </c>
      <c r="J19" s="38">
        <f>SUM(F19:I19)</f>
        <v>181829000</v>
      </c>
    </row>
    <row r="20" spans="1:12" s="33" customFormat="1" ht="46.5" customHeight="1">
      <c r="A20" s="29" t="s">
        <v>24</v>
      </c>
      <c r="B20" s="298"/>
      <c r="C20" s="304"/>
      <c r="D20" s="305"/>
      <c r="E20" s="39" t="e">
        <f>E18+E19</f>
        <v>#VALUE!</v>
      </c>
      <c r="F20" s="39">
        <f>F18+F19</f>
        <v>219258718.25</v>
      </c>
      <c r="G20" s="39">
        <f>G18+G19</f>
        <v>219258718.25</v>
      </c>
      <c r="H20" s="39">
        <f>H18+H19</f>
        <v>219258718.25</v>
      </c>
      <c r="I20" s="39">
        <f>I18+I19</f>
        <v>219258718.25</v>
      </c>
      <c r="J20" s="38">
        <f>SUM(F20:I20)</f>
        <v>877034873</v>
      </c>
    </row>
    <row r="21" spans="1:12" s="33" customFormat="1" ht="68.25" customHeight="1">
      <c r="A21" s="246" t="s">
        <v>25</v>
      </c>
      <c r="B21" s="298"/>
      <c r="C21" s="304"/>
      <c r="D21" s="305"/>
      <c r="E21" s="247" t="e">
        <f t="shared" ref="E21:I21" si="0">E14+E20</f>
        <v>#VALUE!</v>
      </c>
      <c r="F21" s="247">
        <f t="shared" si="0"/>
        <v>1931920559.5506587</v>
      </c>
      <c r="G21" s="247">
        <f t="shared" si="0"/>
        <v>609277091.18180192</v>
      </c>
      <c r="H21" s="247">
        <f t="shared" si="0"/>
        <v>4065791945.8282557</v>
      </c>
      <c r="I21" s="247">
        <f t="shared" si="0"/>
        <v>3002413326.4392834</v>
      </c>
      <c r="J21" s="247">
        <f>J14+J20</f>
        <v>9609402923</v>
      </c>
      <c r="K21" s="52" t="e">
        <f>E21-J21</f>
        <v>#VALUE!</v>
      </c>
      <c r="L21" s="52" t="e">
        <f>K21/4</f>
        <v>#VALUE!</v>
      </c>
    </row>
    <row r="22" spans="1:12" s="33" customFormat="1" ht="21">
      <c r="A22" s="41"/>
      <c r="B22" s="42" t="e">
        <v>#REF!</v>
      </c>
      <c r="C22" s="43"/>
      <c r="D22" s="376"/>
      <c r="E22" s="44"/>
      <c r="F22" s="44"/>
      <c r="G22" s="44"/>
      <c r="H22" s="44"/>
      <c r="I22" s="44"/>
      <c r="J22" s="194"/>
    </row>
    <row r="23" spans="1:12" s="33" customFormat="1" ht="21">
      <c r="A23" s="41"/>
      <c r="B23" s="45"/>
      <c r="C23" s="44"/>
      <c r="D23" s="44"/>
      <c r="E23" s="44"/>
      <c r="F23" s="44"/>
      <c r="G23" s="44"/>
      <c r="H23" s="44"/>
      <c r="I23" s="44"/>
      <c r="J23" s="270">
        <f>J21-J19</f>
        <v>9427573923</v>
      </c>
    </row>
    <row r="24" spans="1:12" s="33" customFormat="1" ht="21">
      <c r="A24" s="46" t="s">
        <v>26</v>
      </c>
      <c r="B24" s="46" t="s">
        <v>27</v>
      </c>
      <c r="C24" s="46"/>
      <c r="D24" s="46" t="s">
        <v>28</v>
      </c>
      <c r="E24" s="46"/>
      <c r="F24" s="46" t="s">
        <v>29</v>
      </c>
      <c r="G24" s="46"/>
      <c r="H24" s="46" t="s">
        <v>30</v>
      </c>
      <c r="I24" s="46"/>
      <c r="J24" s="46"/>
    </row>
    <row r="25" spans="1:12" s="33" customFormat="1" ht="21">
      <c r="A25" s="46"/>
      <c r="B25" s="46"/>
      <c r="C25" s="46"/>
      <c r="D25" s="46"/>
      <c r="E25" s="46"/>
      <c r="F25" s="46"/>
      <c r="G25" s="46"/>
      <c r="H25" s="46"/>
      <c r="I25" s="272" t="s">
        <v>191</v>
      </c>
      <c r="J25" s="272">
        <f>J19+J13+J11+J18</f>
        <v>8934760923</v>
      </c>
      <c r="K25" s="271">
        <v>9609402923</v>
      </c>
    </row>
    <row r="26" spans="1:12" s="33" customFormat="1" ht="21">
      <c r="A26" s="48"/>
      <c r="B26" s="46"/>
      <c r="C26" s="46"/>
      <c r="D26" s="46"/>
      <c r="E26" s="46"/>
      <c r="F26" s="46"/>
      <c r="G26" s="46"/>
      <c r="H26" s="46"/>
      <c r="I26" s="46"/>
      <c r="J26" s="46"/>
    </row>
    <row r="27" spans="1:12" s="33" customFormat="1" ht="21">
      <c r="A27" s="48"/>
      <c r="B27" s="46"/>
      <c r="C27" s="46"/>
      <c r="D27" s="46"/>
      <c r="E27" s="46"/>
      <c r="F27" s="46"/>
      <c r="G27" s="46"/>
      <c r="H27" s="46"/>
      <c r="I27" s="46"/>
      <c r="J27" s="46"/>
    </row>
    <row r="28" spans="1:12" s="33" customFormat="1" ht="21">
      <c r="A28" s="48" t="s">
        <v>31</v>
      </c>
      <c r="B28" s="46" t="s">
        <v>32</v>
      </c>
      <c r="C28" s="46"/>
      <c r="D28" s="46" t="s">
        <v>33</v>
      </c>
      <c r="E28" s="46"/>
      <c r="F28" s="46" t="s">
        <v>34</v>
      </c>
      <c r="G28" s="46"/>
      <c r="H28" s="46" t="s">
        <v>35</v>
      </c>
      <c r="I28" s="46"/>
      <c r="J28" s="46"/>
    </row>
    <row r="29" spans="1:12" s="33" customFormat="1" ht="21">
      <c r="A29" s="49" t="s">
        <v>36</v>
      </c>
      <c r="B29" s="33" t="s">
        <v>37</v>
      </c>
      <c r="C29" s="50"/>
      <c r="D29" s="33" t="s">
        <v>38</v>
      </c>
      <c r="F29" s="33" t="s">
        <v>39</v>
      </c>
      <c r="H29" s="33" t="s">
        <v>136</v>
      </c>
      <c r="J29" s="46"/>
    </row>
    <row r="30" spans="1:12" s="33" customFormat="1" ht="21">
      <c r="J30" s="46"/>
    </row>
    <row r="31" spans="1:12" s="33" customFormat="1" ht="21">
      <c r="J31" s="46"/>
    </row>
  </sheetData>
  <mergeCells count="14">
    <mergeCell ref="E7:E9"/>
    <mergeCell ref="F7:J8"/>
    <mergeCell ref="A2:J2"/>
    <mergeCell ref="A3:J3"/>
    <mergeCell ref="A4:J4"/>
    <mergeCell ref="A7:A9"/>
    <mergeCell ref="B7:B9"/>
    <mergeCell ref="C7:C9"/>
    <mergeCell ref="D7:D9"/>
    <mergeCell ref="F16:J16"/>
    <mergeCell ref="B18:D18"/>
    <mergeCell ref="B21:D21"/>
    <mergeCell ref="B20:D20"/>
    <mergeCell ref="B17:D17"/>
  </mergeCells>
  <pageMargins left="0.7" right="0.7" top="0.75" bottom="0.75" header="0.3" footer="0.3"/>
  <pageSetup paperSize="9" scale="43" orientation="landscape" copies="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BBF32"/>
  <sheetViews>
    <sheetView tabSelected="1" topLeftCell="C1" zoomScale="85" zoomScaleNormal="85" zoomScalePageLayoutView="85" workbookViewId="0">
      <selection activeCell="H14" sqref="H14"/>
    </sheetView>
  </sheetViews>
  <sheetFormatPr baseColWidth="10" defaultColWidth="8.83203125" defaultRowHeight="14" x14ac:dyDescent="0"/>
  <cols>
    <col min="1" max="1" width="11.83203125" style="21" customWidth="1"/>
    <col min="2" max="2" width="19.83203125" customWidth="1"/>
    <col min="3" max="3" width="15.33203125" customWidth="1"/>
    <col min="4" max="4" width="16.1640625" customWidth="1"/>
    <col min="5" max="5" width="17.1640625" style="2" customWidth="1"/>
    <col min="6" max="6" width="16.1640625" style="2" customWidth="1"/>
    <col min="7" max="7" width="14.83203125" style="2" customWidth="1"/>
    <col min="8" max="8" width="16.1640625" style="2" customWidth="1"/>
    <col min="9" max="9" width="19.83203125" style="3" customWidth="1"/>
    <col min="10" max="10" width="16.33203125" style="2" bestFit="1" customWidth="1"/>
    <col min="11" max="11" width="15.33203125" style="2" bestFit="1" customWidth="1"/>
    <col min="12" max="17" width="14.33203125" style="2" bestFit="1" customWidth="1"/>
    <col min="18" max="19" width="15.33203125" style="2" bestFit="1" customWidth="1"/>
    <col min="20" max="26" width="14.33203125" style="2" bestFit="1" customWidth="1"/>
    <col min="27" max="27" width="12.5" style="2" customWidth="1"/>
    <col min="28" max="29" width="12.5" style="2" bestFit="1" customWidth="1"/>
    <col min="30" max="30" width="18.6640625" style="3" customWidth="1"/>
    <col min="31" max="32" width="18.6640625" customWidth="1"/>
  </cols>
  <sheetData>
    <row r="1" spans="1:32" s="9" customFormat="1" ht="15">
      <c r="A1" s="57"/>
      <c r="B1" s="323" t="s">
        <v>1</v>
      </c>
      <c r="C1" s="323"/>
      <c r="D1" s="323"/>
      <c r="E1" s="323"/>
      <c r="F1" s="323"/>
      <c r="G1" s="323"/>
      <c r="H1" s="323"/>
      <c r="I1" s="63"/>
      <c r="J1" s="324" t="s">
        <v>1</v>
      </c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</row>
    <row r="2" spans="1:32" s="21" customFormat="1" ht="15">
      <c r="A2" s="23"/>
      <c r="B2" s="321" t="s">
        <v>177</v>
      </c>
      <c r="C2" s="321"/>
      <c r="D2" s="321"/>
      <c r="E2" s="321"/>
      <c r="F2" s="321"/>
      <c r="G2" s="321"/>
      <c r="H2" s="321"/>
      <c r="I2" s="61"/>
      <c r="J2" s="322" t="s">
        <v>187</v>
      </c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</row>
    <row r="3" spans="1:32" s="22" customFormat="1" ht="28">
      <c r="A3" s="368" t="s">
        <v>197</v>
      </c>
      <c r="B3" s="368"/>
      <c r="C3" s="368"/>
      <c r="D3" s="368"/>
      <c r="E3" s="368"/>
      <c r="F3" s="368"/>
      <c r="G3" s="368"/>
      <c r="H3" s="368"/>
      <c r="I3" s="368"/>
      <c r="J3" s="369" t="s">
        <v>199</v>
      </c>
      <c r="K3" s="369"/>
      <c r="L3" s="369"/>
      <c r="M3" s="369"/>
      <c r="N3" s="369"/>
      <c r="O3" s="369"/>
      <c r="P3" s="369"/>
      <c r="Q3" s="369"/>
      <c r="R3" s="369"/>
      <c r="S3" s="369"/>
      <c r="T3" s="369"/>
      <c r="U3" s="369"/>
      <c r="V3" s="369"/>
      <c r="W3" s="369"/>
      <c r="X3" s="369"/>
      <c r="Y3" s="369"/>
      <c r="Z3" s="369"/>
      <c r="AA3" s="369"/>
      <c r="AB3" s="369"/>
      <c r="AC3" s="369"/>
      <c r="AD3" s="369"/>
      <c r="AE3" s="62"/>
    </row>
    <row r="4" spans="1:32" s="22" customFormat="1" ht="28">
      <c r="A4" s="368" t="s">
        <v>198</v>
      </c>
      <c r="B4" s="368"/>
      <c r="C4" s="368"/>
      <c r="D4" s="368"/>
      <c r="E4" s="368"/>
      <c r="F4" s="368"/>
      <c r="G4" s="368"/>
      <c r="H4" s="368"/>
      <c r="I4" s="370" t="s">
        <v>91</v>
      </c>
      <c r="J4" s="369"/>
      <c r="K4" s="369"/>
      <c r="L4" s="369"/>
      <c r="M4" s="369"/>
      <c r="N4" s="369"/>
      <c r="O4" s="369"/>
      <c r="P4" s="369"/>
      <c r="Q4" s="369"/>
      <c r="R4" s="369"/>
      <c r="S4" s="369"/>
      <c r="T4" s="369"/>
      <c r="U4" s="369"/>
      <c r="V4" s="369"/>
      <c r="W4" s="369"/>
      <c r="X4" s="369"/>
      <c r="Y4" s="369"/>
      <c r="Z4" s="369"/>
      <c r="AA4" s="369"/>
      <c r="AB4" s="369"/>
      <c r="AC4" s="369"/>
      <c r="AD4" s="369"/>
      <c r="AE4" s="297"/>
    </row>
    <row r="5" spans="1:32" s="24" customFormat="1" ht="61" thickBot="1">
      <c r="A5" s="359" t="s">
        <v>40</v>
      </c>
      <c r="B5" s="360" t="s">
        <v>41</v>
      </c>
      <c r="C5" s="360" t="s">
        <v>42</v>
      </c>
      <c r="D5" s="360" t="s">
        <v>43</v>
      </c>
      <c r="E5" s="361" t="s">
        <v>44</v>
      </c>
      <c r="F5" s="362" t="s">
        <v>45</v>
      </c>
      <c r="G5" s="363" t="s">
        <v>46</v>
      </c>
      <c r="H5" s="364" t="s">
        <v>178</v>
      </c>
      <c r="I5" s="365" t="s">
        <v>135</v>
      </c>
      <c r="J5" s="366" t="s">
        <v>41</v>
      </c>
      <c r="K5" s="361" t="s">
        <v>42</v>
      </c>
      <c r="L5" s="361" t="s">
        <v>43</v>
      </c>
      <c r="M5" s="362" t="s">
        <v>44</v>
      </c>
      <c r="N5" s="362" t="s">
        <v>45</v>
      </c>
      <c r="O5" s="362" t="s">
        <v>46</v>
      </c>
      <c r="P5" s="361" t="s">
        <v>47</v>
      </c>
      <c r="Q5" s="361" t="s">
        <v>48</v>
      </c>
      <c r="R5" s="361" t="s">
        <v>49</v>
      </c>
      <c r="S5" s="361" t="s">
        <v>50</v>
      </c>
      <c r="T5" s="361" t="s">
        <v>51</v>
      </c>
      <c r="U5" s="361" t="s">
        <v>52</v>
      </c>
      <c r="V5" s="361" t="s">
        <v>53</v>
      </c>
      <c r="W5" s="361" t="s">
        <v>54</v>
      </c>
      <c r="X5" s="361" t="s">
        <v>55</v>
      </c>
      <c r="Y5" s="361" t="s">
        <v>56</v>
      </c>
      <c r="Z5" s="361" t="s">
        <v>57</v>
      </c>
      <c r="AA5" s="361" t="s">
        <v>58</v>
      </c>
      <c r="AB5" s="361" t="s">
        <v>59</v>
      </c>
      <c r="AC5" s="361" t="s">
        <v>60</v>
      </c>
      <c r="AD5" s="367" t="s">
        <v>61</v>
      </c>
      <c r="AE5" s="248" t="s">
        <v>82</v>
      </c>
    </row>
    <row r="6" spans="1:32" s="1" customFormat="1" ht="15">
      <c r="A6" s="186" t="s">
        <v>62</v>
      </c>
      <c r="B6" s="184">
        <v>2448708</v>
      </c>
      <c r="C6" s="184">
        <v>180025</v>
      </c>
      <c r="D6" s="184">
        <v>198000</v>
      </c>
      <c r="E6" s="184">
        <v>18000</v>
      </c>
      <c r="F6" s="184">
        <v>166000</v>
      </c>
      <c r="G6" s="185">
        <v>109267</v>
      </c>
      <c r="H6" s="278">
        <f>SUM(B6:G6)</f>
        <v>3120000</v>
      </c>
      <c r="I6" s="282">
        <v>6277000</v>
      </c>
      <c r="J6" s="249">
        <v>7346700</v>
      </c>
      <c r="K6" s="184">
        <v>3479975</v>
      </c>
      <c r="L6" s="184">
        <v>212400</v>
      </c>
      <c r="M6" s="184">
        <v>126000</v>
      </c>
      <c r="N6" s="184">
        <v>272000</v>
      </c>
      <c r="O6" s="184">
        <v>113333</v>
      </c>
      <c r="P6" s="184">
        <v>24000</v>
      </c>
      <c r="Q6" s="184">
        <v>60000</v>
      </c>
      <c r="R6" s="184"/>
      <c r="S6" s="184"/>
      <c r="T6" s="184">
        <v>120000</v>
      </c>
      <c r="U6" s="184">
        <v>300000</v>
      </c>
      <c r="V6" s="184">
        <v>120000</v>
      </c>
      <c r="W6" s="184">
        <v>120000</v>
      </c>
      <c r="X6" s="184">
        <v>24000</v>
      </c>
      <c r="Y6" s="184">
        <v>60000</v>
      </c>
      <c r="Z6" s="184">
        <v>24000</v>
      </c>
      <c r="AA6" s="184"/>
      <c r="AB6" s="184">
        <v>50000</v>
      </c>
      <c r="AC6" s="184">
        <v>50000</v>
      </c>
      <c r="AD6" s="286">
        <f>SUM(J6:AC6)</f>
        <v>12502408</v>
      </c>
      <c r="AE6" s="261">
        <f>H6+AD6+I6</f>
        <v>21899408</v>
      </c>
      <c r="AF6" s="290">
        <f>AD6+H6</f>
        <v>15622408</v>
      </c>
    </row>
    <row r="7" spans="1:32" s="1" customFormat="1" ht="15">
      <c r="A7" s="187" t="s">
        <v>63</v>
      </c>
      <c r="B7" s="26">
        <v>22218912</v>
      </c>
      <c r="C7" s="26">
        <v>4800016</v>
      </c>
      <c r="D7" s="26">
        <v>709200</v>
      </c>
      <c r="E7" s="26">
        <v>126000</v>
      </c>
      <c r="F7" s="26">
        <v>538000</v>
      </c>
      <c r="G7" s="65">
        <v>369872</v>
      </c>
      <c r="H7" s="279">
        <f t="shared" ref="H7:H26" si="0">SUM(B7:G7)</f>
        <v>28762000</v>
      </c>
      <c r="I7" s="283">
        <v>7079000</v>
      </c>
      <c r="J7" s="250"/>
      <c r="K7" s="26">
        <v>1079984</v>
      </c>
      <c r="L7" s="26"/>
      <c r="M7" s="26"/>
      <c r="N7" s="26">
        <v>116000</v>
      </c>
      <c r="O7" s="26">
        <v>3928</v>
      </c>
      <c r="P7" s="26">
        <v>168000</v>
      </c>
      <c r="Q7" s="26">
        <v>60000</v>
      </c>
      <c r="R7" s="26"/>
      <c r="S7" s="26"/>
      <c r="T7" s="26">
        <v>120000</v>
      </c>
      <c r="U7" s="26">
        <v>300000</v>
      </c>
      <c r="V7" s="26">
        <v>720000</v>
      </c>
      <c r="W7" s="26">
        <v>120000</v>
      </c>
      <c r="X7" s="26">
        <v>168000</v>
      </c>
      <c r="Y7" s="26">
        <v>420000</v>
      </c>
      <c r="Z7" s="26">
        <v>384000</v>
      </c>
      <c r="AA7" s="26"/>
      <c r="AB7" s="26">
        <v>50000</v>
      </c>
      <c r="AC7" s="26">
        <v>50000</v>
      </c>
      <c r="AD7" s="287">
        <f t="shared" ref="AD7:AD26" si="1">SUM(J7:AC7)</f>
        <v>3759912</v>
      </c>
      <c r="AE7" s="261">
        <f t="shared" ref="AE7:AE26" si="2">H7+AD7+I7</f>
        <v>39600912</v>
      </c>
      <c r="AF7" s="290">
        <f t="shared" ref="AF7:AF26" si="3">AD7+H7</f>
        <v>32521912</v>
      </c>
    </row>
    <row r="8" spans="1:32" s="1" customFormat="1" ht="15">
      <c r="A8" s="187" t="s">
        <v>64</v>
      </c>
      <c r="B8" s="26">
        <v>36195480</v>
      </c>
      <c r="C8" s="26">
        <v>7440016</v>
      </c>
      <c r="D8" s="26">
        <v>1018800</v>
      </c>
      <c r="E8" s="26">
        <v>90000</v>
      </c>
      <c r="F8" s="26">
        <v>814000</v>
      </c>
      <c r="G8" s="65">
        <v>562704</v>
      </c>
      <c r="H8" s="279">
        <f t="shared" si="0"/>
        <v>46121000</v>
      </c>
      <c r="I8" s="283">
        <v>6277000</v>
      </c>
      <c r="J8" s="250"/>
      <c r="K8" s="26">
        <v>1079984</v>
      </c>
      <c r="L8" s="26"/>
      <c r="M8" s="26">
        <v>18000</v>
      </c>
      <c r="N8" s="26">
        <v>122000</v>
      </c>
      <c r="O8" s="26">
        <v>8496</v>
      </c>
      <c r="P8" s="26">
        <v>120000</v>
      </c>
      <c r="Q8" s="26">
        <v>60000</v>
      </c>
      <c r="R8" s="26"/>
      <c r="S8" s="26"/>
      <c r="T8" s="26">
        <v>120000</v>
      </c>
      <c r="U8" s="26">
        <v>300000</v>
      </c>
      <c r="V8" s="26">
        <v>480000</v>
      </c>
      <c r="W8" s="26">
        <v>120000</v>
      </c>
      <c r="X8" s="26">
        <v>120000</v>
      </c>
      <c r="Y8" s="26">
        <v>300000</v>
      </c>
      <c r="Z8" s="26">
        <v>264000</v>
      </c>
      <c r="AA8" s="26"/>
      <c r="AB8" s="26">
        <v>50000</v>
      </c>
      <c r="AC8" s="26">
        <v>50000</v>
      </c>
      <c r="AD8" s="287">
        <f t="shared" si="1"/>
        <v>3212480</v>
      </c>
      <c r="AE8" s="261">
        <f t="shared" si="2"/>
        <v>55610480</v>
      </c>
      <c r="AF8" s="290">
        <f t="shared" si="3"/>
        <v>49333480</v>
      </c>
    </row>
    <row r="9" spans="1:32" s="1" customFormat="1" ht="15">
      <c r="A9" s="187" t="s">
        <v>65</v>
      </c>
      <c r="B9" s="26">
        <v>26041584</v>
      </c>
      <c r="C9" s="26">
        <v>5400012</v>
      </c>
      <c r="D9" s="26">
        <v>745200</v>
      </c>
      <c r="E9" s="26">
        <v>90000</v>
      </c>
      <c r="F9" s="26">
        <v>586000</v>
      </c>
      <c r="G9" s="65">
        <v>403204</v>
      </c>
      <c r="H9" s="279">
        <f t="shared" si="0"/>
        <v>33266000</v>
      </c>
      <c r="I9" s="283">
        <v>4671000</v>
      </c>
      <c r="J9" s="250"/>
      <c r="K9" s="26">
        <v>719988</v>
      </c>
      <c r="L9" s="26"/>
      <c r="M9" s="26">
        <v>0</v>
      </c>
      <c r="N9" s="26">
        <v>116000</v>
      </c>
      <c r="O9" s="26">
        <v>4196</v>
      </c>
      <c r="P9" s="26">
        <v>120000</v>
      </c>
      <c r="Q9" s="26">
        <v>60000</v>
      </c>
      <c r="R9" s="26"/>
      <c r="S9" s="26"/>
      <c r="T9" s="26">
        <v>120000</v>
      </c>
      <c r="U9" s="26">
        <v>300000</v>
      </c>
      <c r="V9" s="26">
        <v>480000</v>
      </c>
      <c r="W9" s="26">
        <v>120000</v>
      </c>
      <c r="X9" s="26">
        <v>120000</v>
      </c>
      <c r="Y9" s="26">
        <v>300000</v>
      </c>
      <c r="Z9" s="26">
        <v>264000</v>
      </c>
      <c r="AA9" s="26"/>
      <c r="AB9" s="26">
        <v>50000</v>
      </c>
      <c r="AC9" s="26">
        <v>50000</v>
      </c>
      <c r="AD9" s="287">
        <f t="shared" si="1"/>
        <v>2824184</v>
      </c>
      <c r="AE9" s="261">
        <f t="shared" si="2"/>
        <v>40761184</v>
      </c>
      <c r="AF9" s="290">
        <f t="shared" si="3"/>
        <v>36090184</v>
      </c>
    </row>
    <row r="10" spans="1:32" s="1" customFormat="1" ht="15">
      <c r="A10" s="187" t="s">
        <v>66</v>
      </c>
      <c r="B10" s="26">
        <v>37628928</v>
      </c>
      <c r="C10" s="26">
        <v>7980018</v>
      </c>
      <c r="D10" s="26">
        <v>1108800</v>
      </c>
      <c r="E10" s="26">
        <v>144000</v>
      </c>
      <c r="F10" s="26">
        <v>862000</v>
      </c>
      <c r="G10" s="65">
        <v>596254</v>
      </c>
      <c r="H10" s="279">
        <f t="shared" si="0"/>
        <v>48320000</v>
      </c>
      <c r="I10" s="283">
        <v>4671000</v>
      </c>
      <c r="J10" s="250">
        <v>239016</v>
      </c>
      <c r="K10" s="26">
        <v>1139982</v>
      </c>
      <c r="L10" s="26"/>
      <c r="M10" s="26"/>
      <c r="N10" s="26">
        <v>128000</v>
      </c>
      <c r="O10" s="26">
        <v>12746</v>
      </c>
      <c r="P10" s="26">
        <v>192000</v>
      </c>
      <c r="Q10" s="26">
        <v>60000</v>
      </c>
      <c r="R10" s="26"/>
      <c r="S10" s="26"/>
      <c r="T10" s="26">
        <v>120000</v>
      </c>
      <c r="U10" s="26">
        <v>300000</v>
      </c>
      <c r="V10" s="26">
        <v>840000</v>
      </c>
      <c r="W10" s="26">
        <v>120000</v>
      </c>
      <c r="X10" s="26">
        <v>192000</v>
      </c>
      <c r="Y10" s="26">
        <v>480000</v>
      </c>
      <c r="Z10" s="26">
        <v>444000</v>
      </c>
      <c r="AA10" s="26"/>
      <c r="AB10" s="26">
        <v>50000</v>
      </c>
      <c r="AC10" s="26">
        <v>50000</v>
      </c>
      <c r="AD10" s="287">
        <f t="shared" si="1"/>
        <v>4367744</v>
      </c>
      <c r="AE10" s="261">
        <f t="shared" si="2"/>
        <v>57358744</v>
      </c>
      <c r="AF10" s="290">
        <f t="shared" si="3"/>
        <v>52687744</v>
      </c>
    </row>
    <row r="11" spans="1:32" s="1" customFormat="1" ht="15">
      <c r="A11" s="187" t="s">
        <v>67</v>
      </c>
      <c r="B11" s="26">
        <v>42646176</v>
      </c>
      <c r="C11" s="26">
        <v>8820012</v>
      </c>
      <c r="D11" s="26">
        <v>1159200</v>
      </c>
      <c r="E11" s="26">
        <v>108000</v>
      </c>
      <c r="F11" s="26">
        <v>922000</v>
      </c>
      <c r="G11" s="65">
        <v>637612</v>
      </c>
      <c r="H11" s="279">
        <f t="shared" si="0"/>
        <v>54293000</v>
      </c>
      <c r="I11" s="283">
        <v>5072000</v>
      </c>
      <c r="J11" s="250"/>
      <c r="K11" s="26">
        <v>719988</v>
      </c>
      <c r="L11" s="26"/>
      <c r="M11" s="26">
        <v>0</v>
      </c>
      <c r="N11" s="26">
        <v>116000</v>
      </c>
      <c r="O11" s="26">
        <v>4988</v>
      </c>
      <c r="P11" s="26">
        <v>144000</v>
      </c>
      <c r="Q11" s="26">
        <v>60000</v>
      </c>
      <c r="R11" s="26"/>
      <c r="S11" s="26"/>
      <c r="T11" s="26">
        <v>120000</v>
      </c>
      <c r="U11" s="26">
        <v>300000</v>
      </c>
      <c r="V11" s="26">
        <v>600000</v>
      </c>
      <c r="W11" s="26">
        <v>120000</v>
      </c>
      <c r="X11" s="26">
        <v>144000</v>
      </c>
      <c r="Y11" s="26">
        <v>360000</v>
      </c>
      <c r="Z11" s="26">
        <v>324000</v>
      </c>
      <c r="AA11" s="26"/>
      <c r="AB11" s="26">
        <v>50000</v>
      </c>
      <c r="AC11" s="26">
        <v>50000</v>
      </c>
      <c r="AD11" s="287">
        <f>SUM(J11:AC11)</f>
        <v>3112976</v>
      </c>
      <c r="AE11" s="261">
        <f t="shared" si="2"/>
        <v>62477976</v>
      </c>
      <c r="AF11" s="290">
        <f t="shared" si="3"/>
        <v>57405976</v>
      </c>
    </row>
    <row r="12" spans="1:32" s="1" customFormat="1" ht="15">
      <c r="A12" s="187" t="s">
        <v>68</v>
      </c>
      <c r="B12" s="26">
        <v>16066860</v>
      </c>
      <c r="C12" s="26">
        <v>3480030</v>
      </c>
      <c r="D12" s="26">
        <v>648000</v>
      </c>
      <c r="E12" s="26">
        <v>108000</v>
      </c>
      <c r="F12" s="26">
        <v>496000</v>
      </c>
      <c r="G12" s="65">
        <v>340110</v>
      </c>
      <c r="H12" s="279">
        <f t="shared" si="0"/>
        <v>21139000</v>
      </c>
      <c r="I12" s="283">
        <v>12793000</v>
      </c>
      <c r="J12" s="250"/>
      <c r="K12" s="26">
        <v>1859970</v>
      </c>
      <c r="L12" s="26"/>
      <c r="M12" s="26">
        <v>0</v>
      </c>
      <c r="N12" s="26">
        <v>122000</v>
      </c>
      <c r="O12" s="26">
        <v>8490</v>
      </c>
      <c r="P12" s="26">
        <v>144000</v>
      </c>
      <c r="Q12" s="26">
        <v>60000</v>
      </c>
      <c r="R12" s="26"/>
      <c r="S12" s="26"/>
      <c r="T12" s="26">
        <v>120000</v>
      </c>
      <c r="U12" s="26">
        <v>300000</v>
      </c>
      <c r="V12" s="26">
        <v>600000</v>
      </c>
      <c r="W12" s="26">
        <v>120000</v>
      </c>
      <c r="X12" s="26">
        <v>144000</v>
      </c>
      <c r="Y12" s="26">
        <v>360000</v>
      </c>
      <c r="Z12" s="26">
        <v>324000</v>
      </c>
      <c r="AA12" s="26"/>
      <c r="AB12" s="26">
        <v>50000</v>
      </c>
      <c r="AC12" s="26">
        <v>50000</v>
      </c>
      <c r="AD12" s="287">
        <f t="shared" si="1"/>
        <v>4262460</v>
      </c>
      <c r="AE12" s="261">
        <f t="shared" si="2"/>
        <v>38194460</v>
      </c>
      <c r="AF12" s="290">
        <f t="shared" si="3"/>
        <v>25401460</v>
      </c>
    </row>
    <row r="13" spans="1:32" s="1" customFormat="1" ht="15">
      <c r="A13" s="187" t="s">
        <v>69</v>
      </c>
      <c r="B13" s="26">
        <v>28191792</v>
      </c>
      <c r="C13" s="26">
        <v>6000033</v>
      </c>
      <c r="D13" s="26">
        <v>975600</v>
      </c>
      <c r="E13" s="26">
        <v>126000</v>
      </c>
      <c r="F13" s="26">
        <v>760000</v>
      </c>
      <c r="G13" s="65">
        <v>525575</v>
      </c>
      <c r="H13" s="279">
        <f t="shared" si="0"/>
        <v>36579000</v>
      </c>
      <c r="I13" s="283">
        <v>11494000</v>
      </c>
      <c r="J13" s="250">
        <v>973572</v>
      </c>
      <c r="K13" s="26">
        <v>2159967</v>
      </c>
      <c r="L13" s="26"/>
      <c r="M13" s="26"/>
      <c r="N13" s="26">
        <v>116000</v>
      </c>
      <c r="O13" s="26">
        <v>3625</v>
      </c>
      <c r="P13" s="26">
        <v>168000</v>
      </c>
      <c r="Q13" s="26">
        <v>60000</v>
      </c>
      <c r="R13" s="26"/>
      <c r="S13" s="26"/>
      <c r="T13" s="26">
        <v>120000</v>
      </c>
      <c r="U13" s="26">
        <v>300000</v>
      </c>
      <c r="V13" s="26">
        <v>720000</v>
      </c>
      <c r="W13" s="26">
        <v>120000</v>
      </c>
      <c r="X13" s="26">
        <v>168000</v>
      </c>
      <c r="Y13" s="26">
        <v>420000</v>
      </c>
      <c r="Z13" s="26">
        <v>384000</v>
      </c>
      <c r="AA13" s="26"/>
      <c r="AB13" s="26">
        <v>50000</v>
      </c>
      <c r="AC13" s="26">
        <v>50000</v>
      </c>
      <c r="AD13" s="287">
        <f t="shared" si="1"/>
        <v>5813164</v>
      </c>
      <c r="AE13" s="261">
        <f t="shared" si="2"/>
        <v>53886164</v>
      </c>
      <c r="AF13" s="290">
        <f t="shared" si="3"/>
        <v>42392164</v>
      </c>
    </row>
    <row r="14" spans="1:32" s="1" customFormat="1" ht="15">
      <c r="A14" s="187" t="s">
        <v>70</v>
      </c>
      <c r="B14" s="26">
        <f>36255180-B24</f>
        <v>28311264</v>
      </c>
      <c r="C14" s="26">
        <f>7620025-C24</f>
        <v>6060025</v>
      </c>
      <c r="D14" s="26">
        <f>1112400-D24</f>
        <v>925200</v>
      </c>
      <c r="E14" s="26">
        <f>126000-E24</f>
        <v>90000</v>
      </c>
      <c r="F14" s="26">
        <f>874000-F24</f>
        <v>718000</v>
      </c>
      <c r="G14" s="65" t="e">
        <f>604395-G24</f>
        <v>#VALUE!</v>
      </c>
      <c r="H14" s="279" t="e">
        <f t="shared" si="0"/>
        <v>#VALUE!</v>
      </c>
      <c r="I14" s="283">
        <v>9488000</v>
      </c>
      <c r="J14" s="250"/>
      <c r="K14" s="26"/>
      <c r="L14" s="26"/>
      <c r="M14" s="26"/>
      <c r="N14" s="26"/>
      <c r="O14" s="26"/>
      <c r="P14" s="26">
        <v>168000</v>
      </c>
      <c r="Q14" s="26">
        <v>60000</v>
      </c>
      <c r="R14" s="26"/>
      <c r="S14" s="26"/>
      <c r="T14" s="26">
        <v>120000</v>
      </c>
      <c r="U14" s="26">
        <v>300000</v>
      </c>
      <c r="V14" s="26">
        <v>720000</v>
      </c>
      <c r="W14" s="26">
        <v>120000</v>
      </c>
      <c r="X14" s="26">
        <v>168000</v>
      </c>
      <c r="Y14" s="26">
        <v>420000</v>
      </c>
      <c r="Z14" s="26">
        <v>384000</v>
      </c>
      <c r="AA14" s="26"/>
      <c r="AB14" s="26">
        <v>50000</v>
      </c>
      <c r="AC14" s="26">
        <v>50000</v>
      </c>
      <c r="AD14" s="287">
        <f t="shared" si="1"/>
        <v>2560000</v>
      </c>
      <c r="AE14" s="261" t="e">
        <f t="shared" si="2"/>
        <v>#VALUE!</v>
      </c>
      <c r="AF14" s="290" t="e">
        <f t="shared" si="3"/>
        <v>#VALUE!</v>
      </c>
    </row>
    <row r="15" spans="1:32" s="1" customFormat="1" ht="15">
      <c r="A15" s="187" t="s">
        <v>71</v>
      </c>
      <c r="B15" s="26">
        <f>36494124-B25</f>
        <v>26459700</v>
      </c>
      <c r="C15" s="26">
        <f>7500022-C25</f>
        <v>5520022</v>
      </c>
      <c r="D15" s="26">
        <f>1069200-D25</f>
        <v>831600</v>
      </c>
      <c r="E15" s="26">
        <f>90000-E25</f>
        <v>54000</v>
      </c>
      <c r="F15" s="26">
        <f>856000-F25</f>
        <v>658000</v>
      </c>
      <c r="G15" s="65">
        <f>591654-G25</f>
        <v>453054</v>
      </c>
      <c r="H15" s="279">
        <f t="shared" si="0"/>
        <v>33976376</v>
      </c>
      <c r="I15" s="283">
        <v>7481000</v>
      </c>
      <c r="J15" s="250"/>
      <c r="K15" s="26"/>
      <c r="L15" s="26"/>
      <c r="M15" s="26"/>
      <c r="N15" s="26"/>
      <c r="O15" s="26"/>
      <c r="P15" s="26">
        <v>120000</v>
      </c>
      <c r="Q15" s="26">
        <v>60000</v>
      </c>
      <c r="R15" s="26"/>
      <c r="S15" s="26"/>
      <c r="T15" s="26">
        <v>120000</v>
      </c>
      <c r="U15" s="26">
        <v>300000</v>
      </c>
      <c r="V15" s="26">
        <v>480000</v>
      </c>
      <c r="W15" s="26">
        <v>120000</v>
      </c>
      <c r="X15" s="26">
        <v>120000</v>
      </c>
      <c r="Y15" s="26">
        <v>300000</v>
      </c>
      <c r="Z15" s="26">
        <v>264000</v>
      </c>
      <c r="AA15" s="26"/>
      <c r="AB15" s="26">
        <v>50000</v>
      </c>
      <c r="AC15" s="26">
        <v>50000</v>
      </c>
      <c r="AD15" s="287">
        <f t="shared" si="1"/>
        <v>1984000</v>
      </c>
      <c r="AE15" s="261">
        <f t="shared" si="2"/>
        <v>43441376</v>
      </c>
      <c r="AF15" s="290">
        <f t="shared" si="3"/>
        <v>35960376</v>
      </c>
    </row>
    <row r="16" spans="1:32" s="1" customFormat="1" ht="15">
      <c r="A16" s="187" t="s">
        <v>72</v>
      </c>
      <c r="B16" s="26">
        <v>34761960</v>
      </c>
      <c r="C16" s="26">
        <v>7320040</v>
      </c>
      <c r="D16" s="26">
        <v>1184400</v>
      </c>
      <c r="E16" s="26">
        <v>126000</v>
      </c>
      <c r="F16" s="26">
        <v>934000</v>
      </c>
      <c r="G16" s="65">
        <v>646600</v>
      </c>
      <c r="H16" s="279">
        <f t="shared" si="0"/>
        <v>44973000</v>
      </c>
      <c r="I16" s="283">
        <v>15107000</v>
      </c>
      <c r="J16" s="250">
        <v>418188</v>
      </c>
      <c r="K16" s="26">
        <v>1679960</v>
      </c>
      <c r="L16" s="26"/>
      <c r="M16" s="26"/>
      <c r="N16" s="26">
        <v>80000</v>
      </c>
      <c r="O16" s="26"/>
      <c r="P16" s="26">
        <v>168000</v>
      </c>
      <c r="Q16" s="26">
        <v>60000</v>
      </c>
      <c r="R16" s="26"/>
      <c r="S16" s="26"/>
      <c r="T16" s="26">
        <v>120000</v>
      </c>
      <c r="U16" s="26">
        <v>300000</v>
      </c>
      <c r="V16" s="26">
        <v>720000</v>
      </c>
      <c r="W16" s="26">
        <v>120000</v>
      </c>
      <c r="X16" s="26">
        <v>168000</v>
      </c>
      <c r="Y16" s="26">
        <v>420000</v>
      </c>
      <c r="Z16" s="26">
        <v>384000</v>
      </c>
      <c r="AA16" s="26"/>
      <c r="AB16" s="26">
        <v>50000</v>
      </c>
      <c r="AC16" s="26">
        <v>50000</v>
      </c>
      <c r="AD16" s="287">
        <f t="shared" si="1"/>
        <v>4738148</v>
      </c>
      <c r="AE16" s="261">
        <f t="shared" si="2"/>
        <v>64818148</v>
      </c>
      <c r="AF16" s="290">
        <f t="shared" si="3"/>
        <v>49711148</v>
      </c>
    </row>
    <row r="17" spans="1:1410" s="1" customFormat="1" ht="15">
      <c r="A17" s="187" t="s">
        <v>73</v>
      </c>
      <c r="B17" s="26">
        <v>6510252</v>
      </c>
      <c r="C17" s="26">
        <v>1440064</v>
      </c>
      <c r="D17" s="26">
        <v>644400</v>
      </c>
      <c r="E17" s="26">
        <v>90000</v>
      </c>
      <c r="F17" s="26">
        <v>502000</v>
      </c>
      <c r="G17" s="65">
        <v>343284</v>
      </c>
      <c r="H17" s="279">
        <f t="shared" si="0"/>
        <v>9530000</v>
      </c>
      <c r="I17" s="283">
        <v>24338000</v>
      </c>
      <c r="J17" s="250">
        <v>2902704</v>
      </c>
      <c r="K17" s="26">
        <v>4679936</v>
      </c>
      <c r="L17" s="26">
        <v>18000</v>
      </c>
      <c r="M17" s="26">
        <v>54000</v>
      </c>
      <c r="N17" s="26">
        <v>146000</v>
      </c>
      <c r="O17" s="26">
        <v>26316</v>
      </c>
      <c r="P17" s="26">
        <v>120000</v>
      </c>
      <c r="Q17" s="26">
        <v>60000</v>
      </c>
      <c r="R17" s="26"/>
      <c r="S17" s="26"/>
      <c r="T17" s="26">
        <v>120000</v>
      </c>
      <c r="U17" s="26">
        <v>300000</v>
      </c>
      <c r="V17" s="26">
        <v>480000</v>
      </c>
      <c r="W17" s="26">
        <v>120000</v>
      </c>
      <c r="X17" s="26">
        <v>120000</v>
      </c>
      <c r="Y17" s="26">
        <v>300000</v>
      </c>
      <c r="Z17" s="26">
        <v>264000</v>
      </c>
      <c r="AA17" s="26"/>
      <c r="AB17" s="26">
        <v>50000</v>
      </c>
      <c r="AC17" s="26">
        <v>50000</v>
      </c>
      <c r="AD17" s="287">
        <f t="shared" si="1"/>
        <v>9810956</v>
      </c>
      <c r="AE17" s="261">
        <f t="shared" si="2"/>
        <v>43678956</v>
      </c>
      <c r="AF17" s="290">
        <f t="shared" si="3"/>
        <v>19340956</v>
      </c>
    </row>
    <row r="18" spans="1:1410" s="1" customFormat="1" ht="15">
      <c r="A18" s="187" t="s">
        <v>74</v>
      </c>
      <c r="B18" s="26">
        <v>19650588</v>
      </c>
      <c r="C18" s="26">
        <v>4200040</v>
      </c>
      <c r="D18" s="26">
        <v>806400</v>
      </c>
      <c r="E18" s="26">
        <v>108000</v>
      </c>
      <c r="F18" s="26">
        <v>628000</v>
      </c>
      <c r="G18" s="65">
        <v>432972</v>
      </c>
      <c r="H18" s="279">
        <f t="shared" si="0"/>
        <v>25826000</v>
      </c>
      <c r="I18" s="283">
        <v>15909000</v>
      </c>
      <c r="J18" s="250">
        <v>1493292</v>
      </c>
      <c r="K18" s="26">
        <v>2699960</v>
      </c>
      <c r="L18" s="26"/>
      <c r="M18" s="26">
        <v>36000</v>
      </c>
      <c r="N18" s="26">
        <v>134000</v>
      </c>
      <c r="O18" s="26">
        <v>16428</v>
      </c>
      <c r="P18" s="26">
        <v>144000</v>
      </c>
      <c r="Q18" s="26">
        <v>60000</v>
      </c>
      <c r="R18" s="26"/>
      <c r="S18" s="26"/>
      <c r="T18" s="26">
        <v>120000</v>
      </c>
      <c r="U18" s="26">
        <v>300000</v>
      </c>
      <c r="V18" s="26">
        <v>600000</v>
      </c>
      <c r="W18" s="26">
        <v>120000</v>
      </c>
      <c r="X18" s="26">
        <v>144000</v>
      </c>
      <c r="Y18" s="26">
        <v>360000</v>
      </c>
      <c r="Z18" s="26">
        <v>324000</v>
      </c>
      <c r="AA18" s="26"/>
      <c r="AB18" s="26">
        <v>50000</v>
      </c>
      <c r="AC18" s="26">
        <v>50000</v>
      </c>
      <c r="AD18" s="287">
        <f t="shared" si="1"/>
        <v>6651680</v>
      </c>
      <c r="AE18" s="261">
        <f t="shared" si="2"/>
        <v>48386680</v>
      </c>
      <c r="AF18" s="290">
        <f t="shared" si="3"/>
        <v>32477680</v>
      </c>
    </row>
    <row r="19" spans="1:1410" s="1" customFormat="1" ht="15">
      <c r="A19" s="187" t="s">
        <v>75</v>
      </c>
      <c r="B19" s="26">
        <v>7107540</v>
      </c>
      <c r="C19" s="26">
        <v>1680038</v>
      </c>
      <c r="D19" s="26">
        <v>489600</v>
      </c>
      <c r="E19" s="26">
        <v>108000</v>
      </c>
      <c r="F19" s="26">
        <v>364000</v>
      </c>
      <c r="G19" s="65">
        <v>248822</v>
      </c>
      <c r="H19" s="279">
        <f t="shared" si="0"/>
        <v>9998000</v>
      </c>
      <c r="I19" s="283">
        <v>14304000</v>
      </c>
      <c r="J19" s="250">
        <v>72</v>
      </c>
      <c r="K19" s="26">
        <v>2639962</v>
      </c>
      <c r="L19" s="26">
        <v>3600</v>
      </c>
      <c r="M19" s="26">
        <v>0</v>
      </c>
      <c r="N19" s="26">
        <v>146000</v>
      </c>
      <c r="O19" s="26">
        <v>24178</v>
      </c>
      <c r="P19" s="26">
        <v>144000</v>
      </c>
      <c r="Q19" s="26">
        <v>60000</v>
      </c>
      <c r="R19" s="26"/>
      <c r="S19" s="26"/>
      <c r="T19" s="26">
        <v>120000</v>
      </c>
      <c r="U19" s="26">
        <v>300000</v>
      </c>
      <c r="V19" s="26">
        <v>600000</v>
      </c>
      <c r="W19" s="26">
        <v>120000</v>
      </c>
      <c r="X19" s="26">
        <v>144000</v>
      </c>
      <c r="Y19" s="26">
        <v>360000</v>
      </c>
      <c r="Z19" s="26">
        <v>324000</v>
      </c>
      <c r="AA19" s="26"/>
      <c r="AB19" s="26">
        <v>50000</v>
      </c>
      <c r="AC19" s="26">
        <v>50000</v>
      </c>
      <c r="AD19" s="287">
        <f t="shared" si="1"/>
        <v>5085812</v>
      </c>
      <c r="AE19" s="261">
        <f t="shared" si="2"/>
        <v>29387812</v>
      </c>
      <c r="AF19" s="290">
        <f t="shared" si="3"/>
        <v>15083812</v>
      </c>
    </row>
    <row r="20" spans="1:1410" s="1" customFormat="1" ht="15">
      <c r="A20" s="187" t="s">
        <v>76</v>
      </c>
      <c r="B20" s="26">
        <v>16144428</v>
      </c>
      <c r="C20" s="26">
        <v>3420010</v>
      </c>
      <c r="D20" s="26">
        <v>496800</v>
      </c>
      <c r="E20" s="26">
        <v>108000</v>
      </c>
      <c r="F20" s="26">
        <v>370000</v>
      </c>
      <c r="G20" s="65">
        <v>251762</v>
      </c>
      <c r="H20" s="279">
        <f t="shared" si="0"/>
        <v>20791000</v>
      </c>
      <c r="I20" s="283">
        <v>5073000</v>
      </c>
      <c r="J20" s="250"/>
      <c r="K20" s="26">
        <v>599990</v>
      </c>
      <c r="L20" s="26"/>
      <c r="M20" s="26"/>
      <c r="N20" s="26">
        <v>116000</v>
      </c>
      <c r="O20" s="26">
        <v>4438</v>
      </c>
      <c r="P20" s="26">
        <v>144000</v>
      </c>
      <c r="Q20" s="26">
        <v>60000</v>
      </c>
      <c r="R20" s="26"/>
      <c r="S20" s="26"/>
      <c r="T20" s="26">
        <v>120000</v>
      </c>
      <c r="U20" s="26">
        <v>300000</v>
      </c>
      <c r="V20" s="26">
        <v>600000</v>
      </c>
      <c r="W20" s="26">
        <v>120000</v>
      </c>
      <c r="X20" s="26">
        <v>144000</v>
      </c>
      <c r="Y20" s="26">
        <v>360000</v>
      </c>
      <c r="Z20" s="26">
        <v>324000</v>
      </c>
      <c r="AA20" s="26"/>
      <c r="AB20" s="26">
        <v>50000</v>
      </c>
      <c r="AC20" s="26">
        <v>50000</v>
      </c>
      <c r="AD20" s="287">
        <f t="shared" si="1"/>
        <v>2992428</v>
      </c>
      <c r="AE20" s="261">
        <f t="shared" si="2"/>
        <v>28856428</v>
      </c>
      <c r="AF20" s="290">
        <f t="shared" si="3"/>
        <v>23783428</v>
      </c>
    </row>
    <row r="21" spans="1:1410" s="1" customFormat="1" ht="15">
      <c r="A21" s="187" t="s">
        <v>77</v>
      </c>
      <c r="B21" s="26">
        <v>10989912</v>
      </c>
      <c r="C21" s="26">
        <v>2460049</v>
      </c>
      <c r="D21" s="26">
        <v>662400</v>
      </c>
      <c r="E21" s="26">
        <v>108000</v>
      </c>
      <c r="F21" s="26">
        <v>508000</v>
      </c>
      <c r="G21" s="65">
        <v>346639</v>
      </c>
      <c r="H21" s="279">
        <f t="shared" si="0"/>
        <v>15075000</v>
      </c>
      <c r="I21" s="283">
        <v>22024000</v>
      </c>
      <c r="J21" s="250">
        <v>1750032</v>
      </c>
      <c r="K21" s="26">
        <v>3479951</v>
      </c>
      <c r="L21" s="26">
        <v>7200</v>
      </c>
      <c r="M21" s="26">
        <v>0</v>
      </c>
      <c r="N21" s="26">
        <v>152000</v>
      </c>
      <c r="O21" s="26">
        <v>31361</v>
      </c>
      <c r="P21" s="26">
        <v>144000</v>
      </c>
      <c r="Q21" s="26">
        <v>60000</v>
      </c>
      <c r="R21" s="26"/>
      <c r="S21" s="26"/>
      <c r="T21" s="26">
        <v>120000</v>
      </c>
      <c r="U21" s="26">
        <v>300000</v>
      </c>
      <c r="V21" s="26">
        <v>600000</v>
      </c>
      <c r="W21" s="26">
        <v>120000</v>
      </c>
      <c r="X21" s="26">
        <v>144000</v>
      </c>
      <c r="Y21" s="26">
        <v>360000</v>
      </c>
      <c r="Z21" s="26">
        <v>324000</v>
      </c>
      <c r="AA21" s="26"/>
      <c r="AB21" s="26">
        <v>50000</v>
      </c>
      <c r="AC21" s="26">
        <v>50000</v>
      </c>
      <c r="AD21" s="287">
        <f t="shared" si="1"/>
        <v>7692544</v>
      </c>
      <c r="AE21" s="261">
        <f t="shared" si="2"/>
        <v>44791544</v>
      </c>
      <c r="AF21" s="290">
        <f t="shared" si="3"/>
        <v>22767544</v>
      </c>
    </row>
    <row r="22" spans="1:1410" s="1" customFormat="1" ht="15">
      <c r="A22" s="187" t="s">
        <v>78</v>
      </c>
      <c r="B22" s="26"/>
      <c r="C22" s="26"/>
      <c r="D22" s="26"/>
      <c r="E22" s="26"/>
      <c r="F22" s="26"/>
      <c r="G22" s="65"/>
      <c r="H22" s="279">
        <f t="shared" si="0"/>
        <v>0</v>
      </c>
      <c r="I22" s="283"/>
      <c r="J22" s="250">
        <v>26638944</v>
      </c>
      <c r="K22" s="26">
        <v>5460000</v>
      </c>
      <c r="L22" s="26">
        <v>651600</v>
      </c>
      <c r="M22" s="26">
        <v>90000</v>
      </c>
      <c r="N22" s="26">
        <v>654000</v>
      </c>
      <c r="O22" s="26">
        <v>378000</v>
      </c>
      <c r="P22" s="26">
        <v>144000</v>
      </c>
      <c r="Q22" s="26">
        <v>60000</v>
      </c>
      <c r="R22" s="26"/>
      <c r="S22" s="26"/>
      <c r="T22" s="26">
        <v>120000</v>
      </c>
      <c r="U22" s="26">
        <v>300000</v>
      </c>
      <c r="V22" s="26">
        <v>600000</v>
      </c>
      <c r="W22" s="26">
        <v>120000</v>
      </c>
      <c r="X22" s="26">
        <v>144000</v>
      </c>
      <c r="Y22" s="26">
        <v>360000</v>
      </c>
      <c r="Z22" s="26">
        <v>324000</v>
      </c>
      <c r="AA22" s="26"/>
      <c r="AB22" s="26">
        <v>50000</v>
      </c>
      <c r="AC22" s="26">
        <v>50000</v>
      </c>
      <c r="AD22" s="287">
        <f t="shared" si="1"/>
        <v>36144544</v>
      </c>
      <c r="AE22" s="261">
        <f t="shared" si="2"/>
        <v>36144544</v>
      </c>
      <c r="AF22" s="290">
        <f t="shared" si="3"/>
        <v>36144544</v>
      </c>
    </row>
    <row r="23" spans="1:1410" s="1" customFormat="1" ht="15">
      <c r="A23" s="187" t="s">
        <v>79</v>
      </c>
      <c r="B23" s="25"/>
      <c r="C23" s="25"/>
      <c r="D23" s="25"/>
      <c r="E23" s="26"/>
      <c r="F23" s="26"/>
      <c r="G23" s="65"/>
      <c r="H23" s="279">
        <f t="shared" si="0"/>
        <v>0</v>
      </c>
      <c r="I23" s="283"/>
      <c r="J23" s="250">
        <f>NIR!C8</f>
        <v>3481980</v>
      </c>
      <c r="K23" s="26">
        <f>NIR!D8</f>
        <v>900000</v>
      </c>
      <c r="L23" s="26">
        <f>NIR!E8</f>
        <v>46800</v>
      </c>
      <c r="M23" s="26">
        <f>NIR!F8</f>
        <v>18000</v>
      </c>
      <c r="N23" s="26">
        <f>NIR!G8</f>
        <v>120000</v>
      </c>
      <c r="O23" s="26">
        <f>NIR!H8</f>
        <v>25200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87">
        <f t="shared" si="1"/>
        <v>4591980</v>
      </c>
      <c r="AE23" s="261">
        <f t="shared" si="2"/>
        <v>4591980</v>
      </c>
      <c r="AF23" s="290">
        <f t="shared" si="3"/>
        <v>4591980</v>
      </c>
    </row>
    <row r="24" spans="1:1410" s="1" customFormat="1" ht="15">
      <c r="A24" s="188" t="s">
        <v>97</v>
      </c>
      <c r="B24" s="65">
        <f>NIR!C22</f>
        <v>7943916</v>
      </c>
      <c r="C24" s="65">
        <f>NIR!D22</f>
        <v>1560000</v>
      </c>
      <c r="D24" s="65">
        <f>NIR!E22</f>
        <v>187200</v>
      </c>
      <c r="E24" s="65">
        <f>NIR!F22</f>
        <v>36000</v>
      </c>
      <c r="F24" s="65">
        <f>NIR!G22</f>
        <v>156000</v>
      </c>
      <c r="G24" s="65" t="s">
        <v>203</v>
      </c>
      <c r="H24" s="279">
        <f t="shared" si="0"/>
        <v>9883116</v>
      </c>
      <c r="I24" s="283"/>
      <c r="J24" s="250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87"/>
      <c r="AE24" s="261">
        <f t="shared" si="2"/>
        <v>9883116</v>
      </c>
      <c r="AF24" s="290">
        <f t="shared" si="3"/>
        <v>9883116</v>
      </c>
    </row>
    <row r="25" spans="1:1410" s="1" customFormat="1" ht="15">
      <c r="A25" s="188" t="s">
        <v>98</v>
      </c>
      <c r="B25" s="65">
        <f>NIR!C16</f>
        <v>10034424</v>
      </c>
      <c r="C25" s="65">
        <f>NIR!D16</f>
        <v>1980000</v>
      </c>
      <c r="D25" s="65">
        <f>NIR!E16</f>
        <v>237600</v>
      </c>
      <c r="E25" s="65">
        <f>NIR!F16</f>
        <v>36000</v>
      </c>
      <c r="F25" s="65">
        <f>NIR!G16</f>
        <v>198000</v>
      </c>
      <c r="G25" s="65">
        <f>NIR!H16</f>
        <v>138600</v>
      </c>
      <c r="H25" s="279">
        <f t="shared" si="0"/>
        <v>12624624</v>
      </c>
      <c r="I25" s="283"/>
      <c r="J25" s="250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87"/>
      <c r="AE25" s="261">
        <f t="shared" si="2"/>
        <v>12624624</v>
      </c>
      <c r="AF25" s="290">
        <f t="shared" si="3"/>
        <v>12624624</v>
      </c>
    </row>
    <row r="26" spans="1:1410" s="58" customFormat="1" ht="16" thickBot="1">
      <c r="A26" s="192" t="s">
        <v>80</v>
      </c>
      <c r="B26" s="189"/>
      <c r="C26" s="189"/>
      <c r="D26" s="189"/>
      <c r="E26" s="88"/>
      <c r="F26" s="88"/>
      <c r="G26" s="88"/>
      <c r="H26" s="280">
        <f t="shared" si="0"/>
        <v>0</v>
      </c>
      <c r="I26" s="284">
        <v>9771000</v>
      </c>
      <c r="J26" s="251">
        <f>7702905+Grants!G23</f>
        <v>9402905</v>
      </c>
      <c r="K26" s="252">
        <v>4608000</v>
      </c>
      <c r="L26" s="252">
        <v>252000</v>
      </c>
      <c r="M26" s="252">
        <v>240000</v>
      </c>
      <c r="N26" s="252">
        <v>1500000</v>
      </c>
      <c r="O26" s="252">
        <v>250000</v>
      </c>
      <c r="P26" s="252">
        <v>180000</v>
      </c>
      <c r="Q26" s="252">
        <v>100000</v>
      </c>
      <c r="R26" s="252">
        <v>40000000</v>
      </c>
      <c r="S26" s="252">
        <v>23559548</v>
      </c>
      <c r="T26" s="252">
        <v>120000</v>
      </c>
      <c r="U26" s="252"/>
      <c r="V26" s="252"/>
      <c r="W26" s="252">
        <v>500000</v>
      </c>
      <c r="X26" s="252">
        <v>100000</v>
      </c>
      <c r="Y26" s="252">
        <v>500000</v>
      </c>
      <c r="Z26" s="252">
        <v>100000</v>
      </c>
      <c r="AA26" s="252">
        <v>500000</v>
      </c>
      <c r="AB26" s="252">
        <v>100000</v>
      </c>
      <c r="AC26" s="252">
        <v>100000</v>
      </c>
      <c r="AD26" s="288">
        <f t="shared" si="1"/>
        <v>82112453</v>
      </c>
      <c r="AE26" s="261">
        <f t="shared" si="2"/>
        <v>91883453</v>
      </c>
      <c r="AF26" s="290">
        <f t="shared" si="3"/>
        <v>82112453</v>
      </c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  <c r="IX26" s="24"/>
      <c r="IY26" s="24"/>
      <c r="IZ26" s="24"/>
      <c r="JA26" s="24"/>
      <c r="JB26" s="24"/>
      <c r="JC26" s="24"/>
      <c r="JD26" s="24"/>
      <c r="JE26" s="24"/>
      <c r="JF26" s="24"/>
      <c r="JG26" s="24"/>
      <c r="JH26" s="24"/>
      <c r="JI26" s="24"/>
      <c r="JJ26" s="24"/>
      <c r="JK26" s="24"/>
      <c r="JL26" s="24"/>
      <c r="JM26" s="24"/>
      <c r="JN26" s="24"/>
      <c r="JO26" s="24"/>
      <c r="JP26" s="24"/>
      <c r="JQ26" s="24"/>
      <c r="JR26" s="24"/>
      <c r="JS26" s="24"/>
      <c r="JT26" s="24"/>
      <c r="JU26" s="24"/>
      <c r="JV26" s="24"/>
      <c r="JW26" s="24"/>
      <c r="JX26" s="24"/>
      <c r="JY26" s="24"/>
      <c r="JZ26" s="24"/>
      <c r="KA26" s="24"/>
      <c r="KB26" s="24"/>
      <c r="KC26" s="24"/>
      <c r="KD26" s="24"/>
      <c r="KE26" s="24"/>
      <c r="KF26" s="24"/>
      <c r="KG26" s="24"/>
      <c r="KH26" s="24"/>
      <c r="KI26" s="24"/>
      <c r="KJ26" s="24"/>
      <c r="KK26" s="24"/>
      <c r="KL26" s="24"/>
      <c r="KM26" s="24"/>
      <c r="KN26" s="24"/>
      <c r="KO26" s="24"/>
      <c r="KP26" s="24"/>
      <c r="KQ26" s="24"/>
      <c r="KR26" s="24"/>
      <c r="KS26" s="24"/>
      <c r="KT26" s="24"/>
      <c r="KU26" s="24"/>
      <c r="KV26" s="24"/>
      <c r="KW26" s="24"/>
      <c r="KX26" s="24"/>
      <c r="KY26" s="24"/>
      <c r="KZ26" s="24"/>
      <c r="LA26" s="24"/>
      <c r="LB26" s="24"/>
      <c r="LC26" s="24"/>
      <c r="LD26" s="24"/>
      <c r="LE26" s="24"/>
      <c r="LF26" s="24"/>
      <c r="LG26" s="24"/>
      <c r="LH26" s="24"/>
      <c r="LI26" s="24"/>
      <c r="LJ26" s="24"/>
      <c r="LK26" s="24"/>
      <c r="LL26" s="24"/>
      <c r="LM26" s="24"/>
      <c r="LN26" s="24"/>
      <c r="LO26" s="24"/>
      <c r="LP26" s="24"/>
      <c r="LQ26" s="24"/>
      <c r="LR26" s="24"/>
      <c r="LS26" s="24"/>
      <c r="LT26" s="24"/>
      <c r="LU26" s="24"/>
      <c r="LV26" s="24"/>
      <c r="LW26" s="24"/>
      <c r="LX26" s="24"/>
      <c r="LY26" s="24"/>
      <c r="LZ26" s="24"/>
      <c r="MA26" s="24"/>
      <c r="MB26" s="24"/>
      <c r="MC26" s="24"/>
      <c r="MD26" s="24"/>
      <c r="ME26" s="24"/>
      <c r="MF26" s="24"/>
      <c r="MG26" s="24"/>
      <c r="MH26" s="24"/>
      <c r="MI26" s="24"/>
      <c r="MJ26" s="24"/>
      <c r="MK26" s="24"/>
      <c r="ML26" s="24"/>
      <c r="MM26" s="24"/>
      <c r="MN26" s="24"/>
      <c r="MO26" s="24"/>
      <c r="MP26" s="24"/>
      <c r="MQ26" s="24"/>
      <c r="MR26" s="24"/>
      <c r="MS26" s="24"/>
      <c r="MT26" s="24"/>
      <c r="MU26" s="24"/>
      <c r="MV26" s="24"/>
      <c r="MW26" s="24"/>
      <c r="MX26" s="24"/>
      <c r="MY26" s="24"/>
      <c r="MZ26" s="24"/>
      <c r="NA26" s="24"/>
      <c r="NB26" s="24"/>
      <c r="NC26" s="24"/>
      <c r="ND26" s="24"/>
      <c r="NE26" s="24"/>
      <c r="NF26" s="24"/>
      <c r="NG26" s="24"/>
      <c r="NH26" s="24"/>
      <c r="NI26" s="24"/>
      <c r="NJ26" s="24"/>
      <c r="NK26" s="24"/>
      <c r="NL26" s="24"/>
      <c r="NM26" s="24"/>
      <c r="NN26" s="24"/>
      <c r="NO26" s="24"/>
      <c r="NP26" s="24"/>
      <c r="NQ26" s="24"/>
      <c r="NR26" s="24"/>
      <c r="NS26" s="24"/>
      <c r="NT26" s="24"/>
      <c r="NU26" s="24"/>
      <c r="NV26" s="24"/>
      <c r="NW26" s="24"/>
      <c r="NX26" s="24"/>
      <c r="NY26" s="24"/>
      <c r="NZ26" s="24"/>
      <c r="OA26" s="24"/>
      <c r="OB26" s="24"/>
      <c r="OC26" s="24"/>
      <c r="OD26" s="24"/>
      <c r="OE26" s="24"/>
      <c r="OF26" s="24"/>
      <c r="OG26" s="24"/>
      <c r="OH26" s="24"/>
      <c r="OI26" s="24"/>
      <c r="OJ26" s="24"/>
      <c r="OK26" s="24"/>
      <c r="OL26" s="24"/>
      <c r="OM26" s="24"/>
      <c r="ON26" s="24"/>
      <c r="OO26" s="24"/>
      <c r="OP26" s="24"/>
      <c r="OQ26" s="24"/>
      <c r="OR26" s="24"/>
      <c r="OS26" s="24"/>
      <c r="OT26" s="24"/>
      <c r="OU26" s="24"/>
      <c r="OV26" s="24"/>
      <c r="OW26" s="24"/>
      <c r="OX26" s="24"/>
      <c r="OY26" s="24"/>
      <c r="OZ26" s="24"/>
      <c r="PA26" s="24"/>
      <c r="PB26" s="24"/>
      <c r="PC26" s="24"/>
      <c r="PD26" s="24"/>
      <c r="PE26" s="24"/>
      <c r="PF26" s="24"/>
      <c r="PG26" s="24"/>
      <c r="PH26" s="24"/>
      <c r="PI26" s="24"/>
      <c r="PJ26" s="24"/>
      <c r="PK26" s="24"/>
      <c r="PL26" s="24"/>
      <c r="PM26" s="24"/>
      <c r="PN26" s="24"/>
      <c r="PO26" s="24"/>
      <c r="PP26" s="24"/>
      <c r="PQ26" s="24"/>
      <c r="PR26" s="24"/>
      <c r="PS26" s="24"/>
      <c r="PT26" s="24"/>
      <c r="PU26" s="24"/>
      <c r="PV26" s="24"/>
      <c r="PW26" s="24"/>
      <c r="PX26" s="24"/>
      <c r="PY26" s="24"/>
      <c r="PZ26" s="24"/>
      <c r="QA26" s="24"/>
      <c r="QB26" s="24"/>
      <c r="QC26" s="24"/>
      <c r="QD26" s="24"/>
      <c r="QE26" s="24"/>
      <c r="QF26" s="24"/>
      <c r="QG26" s="24"/>
      <c r="QH26" s="24"/>
      <c r="QI26" s="24"/>
      <c r="QJ26" s="24"/>
      <c r="QK26" s="24"/>
      <c r="QL26" s="24"/>
      <c r="QM26" s="24"/>
      <c r="QN26" s="24"/>
      <c r="QO26" s="24"/>
      <c r="QP26" s="24"/>
      <c r="QQ26" s="24"/>
      <c r="QR26" s="24"/>
      <c r="QS26" s="24"/>
      <c r="QT26" s="24"/>
      <c r="QU26" s="24"/>
      <c r="QV26" s="24"/>
      <c r="QW26" s="24"/>
      <c r="QX26" s="24"/>
      <c r="QY26" s="24"/>
      <c r="QZ26" s="24"/>
      <c r="RA26" s="24"/>
      <c r="RB26" s="24"/>
      <c r="RC26" s="24"/>
      <c r="RD26" s="24"/>
      <c r="RE26" s="24"/>
      <c r="RF26" s="24"/>
      <c r="RG26" s="24"/>
      <c r="RH26" s="24"/>
      <c r="RI26" s="24"/>
      <c r="RJ26" s="24"/>
      <c r="RK26" s="24"/>
      <c r="RL26" s="24"/>
      <c r="RM26" s="24"/>
      <c r="RN26" s="24"/>
      <c r="RO26" s="24"/>
      <c r="RP26" s="24"/>
      <c r="RQ26" s="24"/>
      <c r="RR26" s="24"/>
      <c r="RS26" s="24"/>
      <c r="RT26" s="24"/>
      <c r="RU26" s="24"/>
      <c r="RV26" s="24"/>
      <c r="RW26" s="24"/>
      <c r="RX26" s="24"/>
      <c r="RY26" s="24"/>
      <c r="RZ26" s="24"/>
      <c r="SA26" s="24"/>
      <c r="SB26" s="24"/>
      <c r="SC26" s="24"/>
      <c r="SD26" s="24"/>
      <c r="SE26" s="24"/>
      <c r="SF26" s="24"/>
      <c r="SG26" s="24"/>
      <c r="SH26" s="24"/>
      <c r="SI26" s="24"/>
      <c r="SJ26" s="24"/>
      <c r="SK26" s="24"/>
      <c r="SL26" s="24"/>
      <c r="SM26" s="24"/>
      <c r="SN26" s="24"/>
      <c r="SO26" s="24"/>
      <c r="SP26" s="24"/>
      <c r="SQ26" s="24"/>
      <c r="SR26" s="24"/>
      <c r="SS26" s="24"/>
      <c r="ST26" s="24"/>
      <c r="SU26" s="24"/>
      <c r="SV26" s="24"/>
      <c r="SW26" s="24"/>
      <c r="SX26" s="24"/>
      <c r="SY26" s="24"/>
      <c r="SZ26" s="24"/>
      <c r="TA26" s="24"/>
      <c r="TB26" s="24"/>
      <c r="TC26" s="24"/>
      <c r="TD26" s="24"/>
      <c r="TE26" s="24"/>
      <c r="TF26" s="24"/>
      <c r="TG26" s="24"/>
      <c r="TH26" s="24"/>
      <c r="TI26" s="24"/>
      <c r="TJ26" s="24"/>
      <c r="TK26" s="24"/>
      <c r="TL26" s="24"/>
      <c r="TM26" s="24"/>
      <c r="TN26" s="24"/>
      <c r="TO26" s="24"/>
      <c r="TP26" s="24"/>
      <c r="TQ26" s="24"/>
      <c r="TR26" s="24"/>
      <c r="TS26" s="24"/>
      <c r="TT26" s="24"/>
      <c r="TU26" s="24"/>
      <c r="TV26" s="24"/>
      <c r="TW26" s="24"/>
      <c r="TX26" s="24"/>
      <c r="TY26" s="24"/>
      <c r="TZ26" s="24"/>
      <c r="UA26" s="24"/>
      <c r="UB26" s="24"/>
      <c r="UC26" s="24"/>
      <c r="UD26" s="24"/>
      <c r="UE26" s="24"/>
      <c r="UF26" s="24"/>
      <c r="UG26" s="24"/>
      <c r="UH26" s="24"/>
      <c r="UI26" s="24"/>
      <c r="UJ26" s="24"/>
      <c r="UK26" s="24"/>
      <c r="UL26" s="24"/>
      <c r="UM26" s="24"/>
      <c r="UN26" s="24"/>
      <c r="UO26" s="24"/>
      <c r="UP26" s="24"/>
      <c r="UQ26" s="24"/>
      <c r="UR26" s="24"/>
      <c r="US26" s="24"/>
      <c r="UT26" s="24"/>
      <c r="UU26" s="24"/>
      <c r="UV26" s="24"/>
      <c r="UW26" s="24"/>
      <c r="UX26" s="24"/>
      <c r="UY26" s="24"/>
      <c r="UZ26" s="24"/>
      <c r="VA26" s="24"/>
      <c r="VB26" s="24"/>
      <c r="VC26" s="24"/>
      <c r="VD26" s="24"/>
      <c r="VE26" s="24"/>
      <c r="VF26" s="24"/>
      <c r="VG26" s="24"/>
      <c r="VH26" s="24"/>
      <c r="VI26" s="24"/>
      <c r="VJ26" s="24"/>
      <c r="VK26" s="24"/>
      <c r="VL26" s="24"/>
      <c r="VM26" s="24"/>
      <c r="VN26" s="24"/>
      <c r="VO26" s="24"/>
      <c r="VP26" s="24"/>
      <c r="VQ26" s="24"/>
      <c r="VR26" s="24"/>
      <c r="VS26" s="24"/>
      <c r="VT26" s="24"/>
      <c r="VU26" s="24"/>
      <c r="VV26" s="24"/>
      <c r="VW26" s="24"/>
      <c r="VX26" s="24"/>
      <c r="VY26" s="24"/>
      <c r="VZ26" s="24"/>
      <c r="WA26" s="24"/>
      <c r="WB26" s="24"/>
      <c r="WC26" s="24"/>
      <c r="WD26" s="24"/>
      <c r="WE26" s="24"/>
      <c r="WF26" s="24"/>
      <c r="WG26" s="24"/>
      <c r="WH26" s="24"/>
      <c r="WI26" s="24"/>
      <c r="WJ26" s="24"/>
      <c r="WK26" s="24"/>
      <c r="WL26" s="24"/>
      <c r="WM26" s="24"/>
      <c r="WN26" s="24"/>
      <c r="WO26" s="24"/>
      <c r="WP26" s="24"/>
      <c r="WQ26" s="24"/>
      <c r="WR26" s="24"/>
      <c r="WS26" s="24"/>
      <c r="WT26" s="24"/>
      <c r="WU26" s="24"/>
      <c r="WV26" s="24"/>
      <c r="WW26" s="24"/>
      <c r="WX26" s="24"/>
      <c r="WY26" s="24"/>
      <c r="WZ26" s="24"/>
      <c r="XA26" s="24"/>
      <c r="XB26" s="24"/>
      <c r="XC26" s="24"/>
      <c r="XD26" s="24"/>
      <c r="XE26" s="24"/>
      <c r="XF26" s="24"/>
      <c r="XG26" s="24"/>
      <c r="XH26" s="24"/>
      <c r="XI26" s="24"/>
      <c r="XJ26" s="24"/>
      <c r="XK26" s="24"/>
      <c r="XL26" s="24"/>
      <c r="XM26" s="24"/>
      <c r="XN26" s="24"/>
      <c r="XO26" s="24"/>
      <c r="XP26" s="24"/>
      <c r="XQ26" s="24"/>
      <c r="XR26" s="24"/>
      <c r="XS26" s="24"/>
      <c r="XT26" s="24"/>
      <c r="XU26" s="24"/>
      <c r="XV26" s="24"/>
      <c r="XW26" s="24"/>
      <c r="XX26" s="24"/>
      <c r="XY26" s="24"/>
      <c r="XZ26" s="24"/>
      <c r="YA26" s="24"/>
      <c r="YB26" s="24"/>
      <c r="YC26" s="24"/>
      <c r="YD26" s="24"/>
      <c r="YE26" s="24"/>
      <c r="YF26" s="24"/>
      <c r="YG26" s="24"/>
      <c r="YH26" s="24"/>
      <c r="YI26" s="24"/>
      <c r="YJ26" s="24"/>
      <c r="YK26" s="24"/>
      <c r="YL26" s="24"/>
      <c r="YM26" s="24"/>
      <c r="YN26" s="24"/>
      <c r="YO26" s="24"/>
      <c r="YP26" s="24"/>
      <c r="YQ26" s="24"/>
      <c r="YR26" s="24"/>
      <c r="YS26" s="24"/>
      <c r="YT26" s="24"/>
      <c r="YU26" s="24"/>
      <c r="YV26" s="24"/>
      <c r="YW26" s="24"/>
      <c r="YX26" s="24"/>
      <c r="YY26" s="24"/>
      <c r="YZ26" s="24"/>
      <c r="ZA26" s="24"/>
      <c r="ZB26" s="24"/>
      <c r="ZC26" s="24"/>
      <c r="ZD26" s="24"/>
      <c r="ZE26" s="24"/>
      <c r="ZF26" s="24"/>
      <c r="ZG26" s="24"/>
      <c r="ZH26" s="24"/>
      <c r="ZI26" s="24"/>
      <c r="ZJ26" s="24"/>
      <c r="ZK26" s="24"/>
      <c r="ZL26" s="24"/>
      <c r="ZM26" s="24"/>
      <c r="ZN26" s="24"/>
      <c r="ZO26" s="24"/>
      <c r="ZP26" s="24"/>
      <c r="ZQ26" s="24"/>
      <c r="ZR26" s="24"/>
      <c r="ZS26" s="24"/>
      <c r="ZT26" s="24"/>
      <c r="ZU26" s="24"/>
      <c r="ZV26" s="24"/>
      <c r="ZW26" s="24"/>
      <c r="ZX26" s="24"/>
      <c r="ZY26" s="24"/>
      <c r="ZZ26" s="24"/>
      <c r="AAA26" s="24"/>
      <c r="AAB26" s="24"/>
      <c r="AAC26" s="24"/>
      <c r="AAD26" s="24"/>
      <c r="AAE26" s="24"/>
      <c r="AAF26" s="24"/>
      <c r="AAG26" s="24"/>
      <c r="AAH26" s="24"/>
      <c r="AAI26" s="24"/>
      <c r="AAJ26" s="24"/>
      <c r="AAK26" s="24"/>
      <c r="AAL26" s="24"/>
      <c r="AAM26" s="24"/>
      <c r="AAN26" s="24"/>
      <c r="AAO26" s="24"/>
      <c r="AAP26" s="24"/>
      <c r="AAQ26" s="24"/>
      <c r="AAR26" s="24"/>
      <c r="AAS26" s="24"/>
      <c r="AAT26" s="24"/>
      <c r="AAU26" s="24"/>
      <c r="AAV26" s="24"/>
      <c r="AAW26" s="24"/>
      <c r="AAX26" s="24"/>
      <c r="AAY26" s="24"/>
      <c r="AAZ26" s="24"/>
      <c r="ABA26" s="24"/>
      <c r="ABB26" s="24"/>
      <c r="ABC26" s="24"/>
      <c r="ABD26" s="24"/>
      <c r="ABE26" s="24"/>
      <c r="ABF26" s="24"/>
      <c r="ABG26" s="24"/>
      <c r="ABH26" s="24"/>
      <c r="ABI26" s="24"/>
      <c r="ABJ26" s="24"/>
      <c r="ABK26" s="24"/>
      <c r="ABL26" s="24"/>
      <c r="ABM26" s="24"/>
      <c r="ABN26" s="24"/>
      <c r="ABO26" s="24"/>
      <c r="ABP26" s="24"/>
      <c r="ABQ26" s="24"/>
      <c r="ABR26" s="24"/>
      <c r="ABS26" s="24"/>
      <c r="ABT26" s="24"/>
      <c r="ABU26" s="24"/>
      <c r="ABV26" s="24"/>
      <c r="ABW26" s="24"/>
      <c r="ABX26" s="24"/>
      <c r="ABY26" s="24"/>
      <c r="ABZ26" s="24"/>
      <c r="ACA26" s="24"/>
      <c r="ACB26" s="24"/>
      <c r="ACC26" s="24"/>
      <c r="ACD26" s="24"/>
      <c r="ACE26" s="24"/>
      <c r="ACF26" s="24"/>
      <c r="ACG26" s="24"/>
      <c r="ACH26" s="24"/>
      <c r="ACI26" s="24"/>
      <c r="ACJ26" s="24"/>
      <c r="ACK26" s="24"/>
      <c r="ACL26" s="24"/>
      <c r="ACM26" s="24"/>
      <c r="ACN26" s="24"/>
      <c r="ACO26" s="24"/>
      <c r="ACP26" s="24"/>
      <c r="ACQ26" s="24"/>
      <c r="ACR26" s="24"/>
      <c r="ACS26" s="24"/>
      <c r="ACT26" s="24"/>
      <c r="ACU26" s="24"/>
      <c r="ACV26" s="24"/>
      <c r="ACW26" s="24"/>
      <c r="ACX26" s="24"/>
      <c r="ACY26" s="24"/>
      <c r="ACZ26" s="24"/>
      <c r="ADA26" s="24"/>
      <c r="ADB26" s="24"/>
      <c r="ADC26" s="24"/>
      <c r="ADD26" s="24"/>
      <c r="ADE26" s="24"/>
      <c r="ADF26" s="24"/>
      <c r="ADG26" s="24"/>
      <c r="ADH26" s="24"/>
      <c r="ADI26" s="24"/>
      <c r="ADJ26" s="24"/>
      <c r="ADK26" s="24"/>
      <c r="ADL26" s="24"/>
      <c r="ADM26" s="24"/>
      <c r="ADN26" s="24"/>
      <c r="ADO26" s="24"/>
      <c r="ADP26" s="24"/>
      <c r="ADQ26" s="24"/>
      <c r="ADR26" s="24"/>
      <c r="ADS26" s="24"/>
      <c r="ADT26" s="24"/>
      <c r="ADU26" s="24"/>
      <c r="ADV26" s="24"/>
      <c r="ADW26" s="24"/>
      <c r="ADX26" s="24"/>
      <c r="ADY26" s="24"/>
      <c r="ADZ26" s="24"/>
      <c r="AEA26" s="24"/>
      <c r="AEB26" s="24"/>
      <c r="AEC26" s="24"/>
      <c r="AED26" s="24"/>
      <c r="AEE26" s="24"/>
      <c r="AEF26" s="24"/>
      <c r="AEG26" s="24"/>
      <c r="AEH26" s="24"/>
      <c r="AEI26" s="24"/>
      <c r="AEJ26" s="24"/>
      <c r="AEK26" s="24"/>
      <c r="AEL26" s="24"/>
      <c r="AEM26" s="24"/>
      <c r="AEN26" s="24"/>
      <c r="AEO26" s="24"/>
      <c r="AEP26" s="24"/>
      <c r="AEQ26" s="24"/>
      <c r="AER26" s="24"/>
      <c r="AES26" s="24"/>
      <c r="AET26" s="24"/>
      <c r="AEU26" s="24"/>
      <c r="AEV26" s="24"/>
      <c r="AEW26" s="24"/>
      <c r="AEX26" s="24"/>
      <c r="AEY26" s="24"/>
      <c r="AEZ26" s="24"/>
      <c r="AFA26" s="24"/>
      <c r="AFB26" s="24"/>
      <c r="AFC26" s="24"/>
      <c r="AFD26" s="24"/>
      <c r="AFE26" s="24"/>
      <c r="AFF26" s="24"/>
      <c r="AFG26" s="24"/>
      <c r="AFH26" s="24"/>
      <c r="AFI26" s="24"/>
      <c r="AFJ26" s="24"/>
      <c r="AFK26" s="24"/>
      <c r="AFL26" s="24"/>
      <c r="AFM26" s="24"/>
      <c r="AFN26" s="24"/>
      <c r="AFO26" s="24"/>
      <c r="AFP26" s="24"/>
      <c r="AFQ26" s="24"/>
      <c r="AFR26" s="24"/>
      <c r="AFS26" s="24"/>
      <c r="AFT26" s="24"/>
      <c r="AFU26" s="24"/>
      <c r="AFV26" s="24"/>
      <c r="AFW26" s="24"/>
      <c r="AFX26" s="24"/>
      <c r="AFY26" s="24"/>
      <c r="AFZ26" s="24"/>
      <c r="AGA26" s="24"/>
      <c r="AGB26" s="24"/>
      <c r="AGC26" s="24"/>
      <c r="AGD26" s="24"/>
      <c r="AGE26" s="24"/>
      <c r="AGF26" s="24"/>
      <c r="AGG26" s="24"/>
      <c r="AGH26" s="24"/>
      <c r="AGI26" s="24"/>
      <c r="AGJ26" s="24"/>
      <c r="AGK26" s="24"/>
      <c r="AGL26" s="24"/>
      <c r="AGM26" s="24"/>
      <c r="AGN26" s="24"/>
      <c r="AGO26" s="24"/>
      <c r="AGP26" s="24"/>
      <c r="AGQ26" s="24"/>
      <c r="AGR26" s="24"/>
      <c r="AGS26" s="24"/>
      <c r="AGT26" s="24"/>
      <c r="AGU26" s="24"/>
      <c r="AGV26" s="24"/>
      <c r="AGW26" s="24"/>
      <c r="AGX26" s="24"/>
      <c r="AGY26" s="24"/>
      <c r="AGZ26" s="24"/>
      <c r="AHA26" s="24"/>
      <c r="AHB26" s="24"/>
      <c r="AHC26" s="24"/>
      <c r="AHD26" s="24"/>
      <c r="AHE26" s="24"/>
      <c r="AHF26" s="24"/>
      <c r="AHG26" s="24"/>
      <c r="AHH26" s="24"/>
      <c r="AHI26" s="24"/>
      <c r="AHJ26" s="24"/>
      <c r="AHK26" s="24"/>
      <c r="AHL26" s="24"/>
      <c r="AHM26" s="24"/>
      <c r="AHN26" s="24"/>
      <c r="AHO26" s="24"/>
      <c r="AHP26" s="24"/>
      <c r="AHQ26" s="24"/>
      <c r="AHR26" s="24"/>
      <c r="AHS26" s="24"/>
      <c r="AHT26" s="24"/>
      <c r="AHU26" s="24"/>
      <c r="AHV26" s="24"/>
      <c r="AHW26" s="24"/>
      <c r="AHX26" s="24"/>
      <c r="AHY26" s="24"/>
      <c r="AHZ26" s="24"/>
      <c r="AIA26" s="24"/>
      <c r="AIB26" s="24"/>
      <c r="AIC26" s="24"/>
      <c r="AID26" s="24"/>
      <c r="AIE26" s="24"/>
      <c r="AIF26" s="24"/>
      <c r="AIG26" s="24"/>
      <c r="AIH26" s="24"/>
      <c r="AII26" s="24"/>
      <c r="AIJ26" s="24"/>
      <c r="AIK26" s="24"/>
      <c r="AIL26" s="24"/>
      <c r="AIM26" s="24"/>
      <c r="AIN26" s="24"/>
      <c r="AIO26" s="24"/>
      <c r="AIP26" s="24"/>
      <c r="AIQ26" s="24"/>
      <c r="AIR26" s="24"/>
      <c r="AIS26" s="24"/>
      <c r="AIT26" s="24"/>
      <c r="AIU26" s="24"/>
      <c r="AIV26" s="24"/>
      <c r="AIW26" s="24"/>
      <c r="AIX26" s="24"/>
      <c r="AIY26" s="24"/>
      <c r="AIZ26" s="24"/>
      <c r="AJA26" s="24"/>
      <c r="AJB26" s="24"/>
      <c r="AJC26" s="24"/>
      <c r="AJD26" s="24"/>
      <c r="AJE26" s="24"/>
      <c r="AJF26" s="24"/>
      <c r="AJG26" s="24"/>
      <c r="AJH26" s="24"/>
      <c r="AJI26" s="24"/>
      <c r="AJJ26" s="24"/>
      <c r="AJK26" s="24"/>
      <c r="AJL26" s="24"/>
      <c r="AJM26" s="24"/>
      <c r="AJN26" s="24"/>
      <c r="AJO26" s="24"/>
      <c r="AJP26" s="24"/>
      <c r="AJQ26" s="24"/>
      <c r="AJR26" s="24"/>
      <c r="AJS26" s="24"/>
      <c r="AJT26" s="24"/>
      <c r="AJU26" s="24"/>
      <c r="AJV26" s="24"/>
      <c r="AJW26" s="24"/>
      <c r="AJX26" s="24"/>
      <c r="AJY26" s="24"/>
      <c r="AJZ26" s="24"/>
      <c r="AKA26" s="24"/>
      <c r="AKB26" s="24"/>
      <c r="AKC26" s="24"/>
      <c r="AKD26" s="24"/>
      <c r="AKE26" s="24"/>
      <c r="AKF26" s="24"/>
      <c r="AKG26" s="24"/>
      <c r="AKH26" s="24"/>
      <c r="AKI26" s="24"/>
      <c r="AKJ26" s="24"/>
      <c r="AKK26" s="24"/>
      <c r="AKL26" s="24"/>
      <c r="AKM26" s="24"/>
      <c r="AKN26" s="24"/>
      <c r="AKO26" s="24"/>
      <c r="AKP26" s="24"/>
      <c r="AKQ26" s="24"/>
      <c r="AKR26" s="24"/>
      <c r="AKS26" s="24"/>
      <c r="AKT26" s="24"/>
      <c r="AKU26" s="24"/>
      <c r="AKV26" s="24"/>
      <c r="AKW26" s="24"/>
      <c r="AKX26" s="24"/>
      <c r="AKY26" s="24"/>
      <c r="AKZ26" s="24"/>
      <c r="ALA26" s="24"/>
      <c r="ALB26" s="24"/>
      <c r="ALC26" s="24"/>
      <c r="ALD26" s="24"/>
      <c r="ALE26" s="24"/>
      <c r="ALF26" s="24"/>
      <c r="ALG26" s="24"/>
      <c r="ALH26" s="24"/>
      <c r="ALI26" s="24"/>
      <c r="ALJ26" s="24"/>
      <c r="ALK26" s="24"/>
      <c r="ALL26" s="24"/>
      <c r="ALM26" s="24"/>
      <c r="ALN26" s="24"/>
      <c r="ALO26" s="24"/>
      <c r="ALP26" s="24"/>
      <c r="ALQ26" s="24"/>
      <c r="ALR26" s="24"/>
      <c r="ALS26" s="24"/>
      <c r="ALT26" s="24"/>
      <c r="ALU26" s="24"/>
      <c r="ALV26" s="24"/>
      <c r="ALW26" s="24"/>
      <c r="ALX26" s="24"/>
      <c r="ALY26" s="24"/>
      <c r="ALZ26" s="24"/>
      <c r="AMA26" s="24"/>
      <c r="AMB26" s="24"/>
      <c r="AMC26" s="24"/>
      <c r="AMD26" s="24"/>
      <c r="AME26" s="24"/>
      <c r="AMF26" s="24"/>
      <c r="AMG26" s="24"/>
      <c r="AMH26" s="24"/>
      <c r="AMI26" s="24"/>
      <c r="AMJ26" s="24"/>
      <c r="AMK26" s="24"/>
      <c r="AML26" s="24"/>
      <c r="AMM26" s="24"/>
      <c r="AMN26" s="24"/>
      <c r="AMO26" s="24"/>
      <c r="AMP26" s="24"/>
      <c r="AMQ26" s="24"/>
      <c r="AMR26" s="24"/>
      <c r="AMS26" s="24"/>
      <c r="AMT26" s="24"/>
      <c r="AMU26" s="24"/>
      <c r="AMV26" s="24"/>
      <c r="AMW26" s="24"/>
      <c r="AMX26" s="24"/>
      <c r="AMY26" s="24"/>
      <c r="AMZ26" s="24"/>
      <c r="ANA26" s="24"/>
      <c r="ANB26" s="24"/>
      <c r="ANC26" s="24"/>
      <c r="AND26" s="24"/>
      <c r="ANE26" s="24"/>
      <c r="ANF26" s="24"/>
      <c r="ANG26" s="24"/>
      <c r="ANH26" s="24"/>
      <c r="ANI26" s="24"/>
      <c r="ANJ26" s="24"/>
      <c r="ANK26" s="24"/>
      <c r="ANL26" s="24"/>
      <c r="ANM26" s="24"/>
      <c r="ANN26" s="24"/>
      <c r="ANO26" s="24"/>
      <c r="ANP26" s="24"/>
      <c r="ANQ26" s="24"/>
      <c r="ANR26" s="24"/>
      <c r="ANS26" s="24"/>
      <c r="ANT26" s="24"/>
      <c r="ANU26" s="24"/>
      <c r="ANV26" s="24"/>
      <c r="ANW26" s="24"/>
      <c r="ANX26" s="24"/>
      <c r="ANY26" s="24"/>
      <c r="ANZ26" s="24"/>
      <c r="AOA26" s="24"/>
      <c r="AOB26" s="24"/>
      <c r="AOC26" s="24"/>
      <c r="AOD26" s="24"/>
      <c r="AOE26" s="24"/>
      <c r="AOF26" s="24"/>
      <c r="AOG26" s="24"/>
      <c r="AOH26" s="24"/>
      <c r="AOI26" s="24"/>
      <c r="AOJ26" s="24"/>
      <c r="AOK26" s="24"/>
      <c r="AOL26" s="24"/>
      <c r="AOM26" s="24"/>
      <c r="AON26" s="24"/>
      <c r="AOO26" s="24"/>
      <c r="AOP26" s="24"/>
      <c r="AOQ26" s="24"/>
      <c r="AOR26" s="24"/>
      <c r="AOS26" s="24"/>
      <c r="AOT26" s="24"/>
      <c r="AOU26" s="24"/>
      <c r="AOV26" s="24"/>
      <c r="AOW26" s="24"/>
      <c r="AOX26" s="24"/>
      <c r="AOY26" s="24"/>
      <c r="AOZ26" s="24"/>
      <c r="APA26" s="24"/>
      <c r="APB26" s="24"/>
      <c r="APC26" s="24"/>
      <c r="APD26" s="24"/>
      <c r="APE26" s="24"/>
      <c r="APF26" s="24"/>
      <c r="APG26" s="24"/>
      <c r="APH26" s="24"/>
      <c r="API26" s="24"/>
      <c r="APJ26" s="24"/>
      <c r="APK26" s="24"/>
      <c r="APL26" s="24"/>
      <c r="APM26" s="24"/>
      <c r="APN26" s="24"/>
      <c r="APO26" s="24"/>
      <c r="APP26" s="24"/>
      <c r="APQ26" s="24"/>
      <c r="APR26" s="24"/>
      <c r="APS26" s="24"/>
      <c r="APT26" s="24"/>
      <c r="APU26" s="24"/>
      <c r="APV26" s="24"/>
      <c r="APW26" s="24"/>
      <c r="APX26" s="24"/>
      <c r="APY26" s="24"/>
      <c r="APZ26" s="24"/>
      <c r="AQA26" s="24"/>
      <c r="AQB26" s="24"/>
      <c r="AQC26" s="24"/>
      <c r="AQD26" s="24"/>
      <c r="AQE26" s="24"/>
      <c r="AQF26" s="24"/>
      <c r="AQG26" s="24"/>
      <c r="AQH26" s="24"/>
      <c r="AQI26" s="24"/>
      <c r="AQJ26" s="24"/>
      <c r="AQK26" s="24"/>
      <c r="AQL26" s="24"/>
      <c r="AQM26" s="24"/>
      <c r="AQN26" s="24"/>
      <c r="AQO26" s="24"/>
      <c r="AQP26" s="24"/>
      <c r="AQQ26" s="24"/>
      <c r="AQR26" s="24"/>
      <c r="AQS26" s="24"/>
      <c r="AQT26" s="24"/>
      <c r="AQU26" s="24"/>
      <c r="AQV26" s="24"/>
      <c r="AQW26" s="24"/>
      <c r="AQX26" s="24"/>
      <c r="AQY26" s="24"/>
      <c r="AQZ26" s="24"/>
      <c r="ARA26" s="24"/>
      <c r="ARB26" s="24"/>
      <c r="ARC26" s="24"/>
      <c r="ARD26" s="24"/>
      <c r="ARE26" s="24"/>
      <c r="ARF26" s="24"/>
      <c r="ARG26" s="24"/>
      <c r="ARH26" s="24"/>
      <c r="ARI26" s="24"/>
      <c r="ARJ26" s="24"/>
      <c r="ARK26" s="24"/>
      <c r="ARL26" s="24"/>
      <c r="ARM26" s="24"/>
      <c r="ARN26" s="24"/>
      <c r="ARO26" s="24"/>
      <c r="ARP26" s="24"/>
      <c r="ARQ26" s="24"/>
      <c r="ARR26" s="24"/>
      <c r="ARS26" s="24"/>
      <c r="ART26" s="24"/>
      <c r="ARU26" s="24"/>
      <c r="ARV26" s="24"/>
      <c r="ARW26" s="24"/>
      <c r="ARX26" s="24"/>
      <c r="ARY26" s="24"/>
      <c r="ARZ26" s="24"/>
      <c r="ASA26" s="24"/>
      <c r="ASB26" s="24"/>
      <c r="ASC26" s="24"/>
      <c r="ASD26" s="24"/>
      <c r="ASE26" s="24"/>
      <c r="ASF26" s="24"/>
      <c r="ASG26" s="24"/>
      <c r="ASH26" s="24"/>
      <c r="ASI26" s="24"/>
      <c r="ASJ26" s="24"/>
      <c r="ASK26" s="24"/>
      <c r="ASL26" s="24"/>
      <c r="ASM26" s="24"/>
      <c r="ASN26" s="24"/>
      <c r="ASO26" s="24"/>
      <c r="ASP26" s="24"/>
      <c r="ASQ26" s="24"/>
      <c r="ASR26" s="24"/>
      <c r="ASS26" s="24"/>
      <c r="AST26" s="24"/>
      <c r="ASU26" s="24"/>
      <c r="ASV26" s="24"/>
      <c r="ASW26" s="24"/>
      <c r="ASX26" s="24"/>
      <c r="ASY26" s="24"/>
      <c r="ASZ26" s="24"/>
      <c r="ATA26" s="24"/>
      <c r="ATB26" s="24"/>
      <c r="ATC26" s="24"/>
      <c r="ATD26" s="24"/>
      <c r="ATE26" s="24"/>
      <c r="ATF26" s="24"/>
      <c r="ATG26" s="24"/>
      <c r="ATH26" s="24"/>
      <c r="ATI26" s="24"/>
      <c r="ATJ26" s="24"/>
      <c r="ATK26" s="24"/>
      <c r="ATL26" s="24"/>
      <c r="ATM26" s="24"/>
      <c r="ATN26" s="24"/>
      <c r="ATO26" s="24"/>
      <c r="ATP26" s="24"/>
      <c r="ATQ26" s="24"/>
      <c r="ATR26" s="24"/>
      <c r="ATS26" s="24"/>
      <c r="ATT26" s="24"/>
      <c r="ATU26" s="24"/>
      <c r="ATV26" s="24"/>
      <c r="ATW26" s="24"/>
      <c r="ATX26" s="24"/>
      <c r="ATY26" s="24"/>
      <c r="ATZ26" s="24"/>
      <c r="AUA26" s="24"/>
      <c r="AUB26" s="24"/>
      <c r="AUC26" s="24"/>
      <c r="AUD26" s="24"/>
      <c r="AUE26" s="24"/>
      <c r="AUF26" s="24"/>
      <c r="AUG26" s="24"/>
      <c r="AUH26" s="24"/>
      <c r="AUI26" s="24"/>
      <c r="AUJ26" s="24"/>
      <c r="AUK26" s="24"/>
      <c r="AUL26" s="24"/>
      <c r="AUM26" s="24"/>
      <c r="AUN26" s="24"/>
      <c r="AUO26" s="24"/>
      <c r="AUP26" s="24"/>
      <c r="AUQ26" s="24"/>
      <c r="AUR26" s="24"/>
      <c r="AUS26" s="24"/>
      <c r="AUT26" s="24"/>
      <c r="AUU26" s="24"/>
      <c r="AUV26" s="24"/>
      <c r="AUW26" s="24"/>
      <c r="AUX26" s="24"/>
      <c r="AUY26" s="24"/>
      <c r="AUZ26" s="24"/>
      <c r="AVA26" s="24"/>
      <c r="AVB26" s="24"/>
      <c r="AVC26" s="24"/>
      <c r="AVD26" s="24"/>
      <c r="AVE26" s="24"/>
      <c r="AVF26" s="24"/>
      <c r="AVG26" s="24"/>
      <c r="AVH26" s="24"/>
      <c r="AVI26" s="24"/>
      <c r="AVJ26" s="24"/>
      <c r="AVK26" s="24"/>
      <c r="AVL26" s="24"/>
      <c r="AVM26" s="24"/>
      <c r="AVN26" s="24"/>
      <c r="AVO26" s="24"/>
      <c r="AVP26" s="24"/>
      <c r="AVQ26" s="24"/>
      <c r="AVR26" s="24"/>
      <c r="AVS26" s="24"/>
      <c r="AVT26" s="24"/>
      <c r="AVU26" s="24"/>
      <c r="AVV26" s="24"/>
      <c r="AVW26" s="24"/>
      <c r="AVX26" s="24"/>
      <c r="AVY26" s="24"/>
      <c r="AVZ26" s="24"/>
      <c r="AWA26" s="24"/>
      <c r="AWB26" s="24"/>
      <c r="AWC26" s="24"/>
      <c r="AWD26" s="24"/>
      <c r="AWE26" s="24"/>
      <c r="AWF26" s="24"/>
      <c r="AWG26" s="24"/>
      <c r="AWH26" s="24"/>
      <c r="AWI26" s="24"/>
      <c r="AWJ26" s="24"/>
      <c r="AWK26" s="24"/>
      <c r="AWL26" s="24"/>
      <c r="AWM26" s="24"/>
      <c r="AWN26" s="24"/>
      <c r="AWO26" s="24"/>
      <c r="AWP26" s="24"/>
      <c r="AWQ26" s="24"/>
      <c r="AWR26" s="24"/>
      <c r="AWS26" s="24"/>
      <c r="AWT26" s="24"/>
      <c r="AWU26" s="24"/>
      <c r="AWV26" s="24"/>
      <c r="AWW26" s="24"/>
      <c r="AWX26" s="24"/>
      <c r="AWY26" s="24"/>
      <c r="AWZ26" s="24"/>
      <c r="AXA26" s="24"/>
      <c r="AXB26" s="24"/>
      <c r="AXC26" s="24"/>
      <c r="AXD26" s="24"/>
      <c r="AXE26" s="24"/>
      <c r="AXF26" s="24"/>
      <c r="AXG26" s="24"/>
      <c r="AXH26" s="24"/>
      <c r="AXI26" s="24"/>
      <c r="AXJ26" s="24"/>
      <c r="AXK26" s="24"/>
      <c r="AXL26" s="24"/>
      <c r="AXM26" s="24"/>
      <c r="AXN26" s="24"/>
      <c r="AXO26" s="24"/>
      <c r="AXP26" s="24"/>
      <c r="AXQ26" s="24"/>
      <c r="AXR26" s="24"/>
      <c r="AXS26" s="24"/>
      <c r="AXT26" s="24"/>
      <c r="AXU26" s="24"/>
      <c r="AXV26" s="24"/>
      <c r="AXW26" s="24"/>
      <c r="AXX26" s="24"/>
      <c r="AXY26" s="24"/>
      <c r="AXZ26" s="24"/>
      <c r="AYA26" s="24"/>
      <c r="AYB26" s="24"/>
      <c r="AYC26" s="24"/>
      <c r="AYD26" s="24"/>
      <c r="AYE26" s="24"/>
      <c r="AYF26" s="24"/>
      <c r="AYG26" s="24"/>
      <c r="AYH26" s="24"/>
      <c r="AYI26" s="24"/>
      <c r="AYJ26" s="24"/>
      <c r="AYK26" s="24"/>
      <c r="AYL26" s="24"/>
      <c r="AYM26" s="24"/>
      <c r="AYN26" s="24"/>
      <c r="AYO26" s="24"/>
      <c r="AYP26" s="24"/>
      <c r="AYQ26" s="24"/>
      <c r="AYR26" s="24"/>
      <c r="AYS26" s="24"/>
      <c r="AYT26" s="24"/>
      <c r="AYU26" s="24"/>
      <c r="AYV26" s="24"/>
      <c r="AYW26" s="24"/>
      <c r="AYX26" s="24"/>
      <c r="AYY26" s="24"/>
      <c r="AYZ26" s="24"/>
      <c r="AZA26" s="24"/>
      <c r="AZB26" s="24"/>
      <c r="AZC26" s="24"/>
      <c r="AZD26" s="24"/>
      <c r="AZE26" s="24"/>
      <c r="AZF26" s="24"/>
      <c r="AZG26" s="24"/>
      <c r="AZH26" s="24"/>
      <c r="AZI26" s="24"/>
      <c r="AZJ26" s="24"/>
      <c r="AZK26" s="24"/>
      <c r="AZL26" s="24"/>
      <c r="AZM26" s="24"/>
      <c r="AZN26" s="24"/>
      <c r="AZO26" s="24"/>
      <c r="AZP26" s="24"/>
      <c r="AZQ26" s="24"/>
      <c r="AZR26" s="24"/>
      <c r="AZS26" s="24"/>
      <c r="AZT26" s="24"/>
      <c r="AZU26" s="24"/>
      <c r="AZV26" s="24"/>
      <c r="AZW26" s="24"/>
      <c r="AZX26" s="24"/>
      <c r="AZY26" s="24"/>
      <c r="AZZ26" s="24"/>
      <c r="BAA26" s="24"/>
      <c r="BAB26" s="24"/>
      <c r="BAC26" s="24"/>
      <c r="BAD26" s="24"/>
      <c r="BAE26" s="24"/>
      <c r="BAF26" s="24"/>
      <c r="BAG26" s="24"/>
      <c r="BAH26" s="24"/>
      <c r="BAI26" s="24"/>
      <c r="BAJ26" s="24"/>
      <c r="BAK26" s="24"/>
      <c r="BAL26" s="24"/>
      <c r="BAM26" s="24"/>
      <c r="BAN26" s="24"/>
      <c r="BAO26" s="24"/>
      <c r="BAP26" s="24"/>
      <c r="BAQ26" s="24"/>
      <c r="BAR26" s="24"/>
      <c r="BAS26" s="24"/>
      <c r="BAT26" s="24"/>
      <c r="BAU26" s="24"/>
      <c r="BAV26" s="24"/>
      <c r="BAW26" s="24"/>
      <c r="BAX26" s="24"/>
      <c r="BAY26" s="24"/>
      <c r="BAZ26" s="24"/>
      <c r="BBA26" s="24"/>
      <c r="BBB26" s="24"/>
      <c r="BBC26" s="24"/>
      <c r="BBD26" s="24"/>
      <c r="BBE26" s="24"/>
      <c r="BBF26" s="24"/>
    </row>
    <row r="27" spans="1:1410" s="1" customFormat="1" ht="16" thickBot="1">
      <c r="A27" s="190" t="s">
        <v>81</v>
      </c>
      <c r="B27" s="191">
        <f t="shared" ref="B27:AE27" si="4">SUM(B6:B26)</f>
        <v>379352424</v>
      </c>
      <c r="C27" s="191">
        <f t="shared" si="4"/>
        <v>79740450</v>
      </c>
      <c r="D27" s="191">
        <f t="shared" si="4"/>
        <v>13028400</v>
      </c>
      <c r="E27" s="191">
        <f t="shared" si="4"/>
        <v>1674000</v>
      </c>
      <c r="F27" s="191">
        <f t="shared" si="4"/>
        <v>10180000</v>
      </c>
      <c r="G27" s="191" t="e">
        <f t="shared" si="4"/>
        <v>#VALUE!</v>
      </c>
      <c r="H27" s="281" t="e">
        <f t="shared" si="4"/>
        <v>#VALUE!</v>
      </c>
      <c r="I27" s="285">
        <f t="shared" si="4"/>
        <v>181829000</v>
      </c>
      <c r="J27" s="253">
        <f t="shared" si="4"/>
        <v>54647405</v>
      </c>
      <c r="K27" s="254">
        <f t="shared" si="4"/>
        <v>38987597</v>
      </c>
      <c r="L27" s="254">
        <f t="shared" si="4"/>
        <v>1191600</v>
      </c>
      <c r="M27" s="254">
        <f t="shared" si="4"/>
        <v>582000</v>
      </c>
      <c r="N27" s="254">
        <f t="shared" si="4"/>
        <v>4156000</v>
      </c>
      <c r="O27" s="254">
        <f t="shared" si="4"/>
        <v>915723</v>
      </c>
      <c r="P27" s="254">
        <f t="shared" si="4"/>
        <v>2556000</v>
      </c>
      <c r="Q27" s="254">
        <f t="shared" si="4"/>
        <v>1120000</v>
      </c>
      <c r="R27" s="254">
        <f t="shared" si="4"/>
        <v>40000000</v>
      </c>
      <c r="S27" s="254">
        <f t="shared" si="4"/>
        <v>23559548</v>
      </c>
      <c r="T27" s="254">
        <f t="shared" si="4"/>
        <v>2160000</v>
      </c>
      <c r="U27" s="254">
        <f t="shared" si="4"/>
        <v>5100000</v>
      </c>
      <c r="V27" s="254">
        <f t="shared" si="4"/>
        <v>9960000</v>
      </c>
      <c r="W27" s="254">
        <f t="shared" si="4"/>
        <v>2540000</v>
      </c>
      <c r="X27" s="254">
        <f t="shared" si="4"/>
        <v>2476000</v>
      </c>
      <c r="Y27" s="254">
        <f t="shared" si="4"/>
        <v>6440000</v>
      </c>
      <c r="Z27" s="254">
        <f t="shared" si="4"/>
        <v>5428000</v>
      </c>
      <c r="AA27" s="254">
        <f t="shared" si="4"/>
        <v>500000</v>
      </c>
      <c r="AB27" s="254">
        <f t="shared" si="4"/>
        <v>950000</v>
      </c>
      <c r="AC27" s="254">
        <f t="shared" si="4"/>
        <v>950000</v>
      </c>
      <c r="AD27" s="289">
        <f>SUM(AD6:AD26)</f>
        <v>204219873</v>
      </c>
      <c r="AE27" s="262" t="e">
        <f t="shared" si="4"/>
        <v>#VALUE!</v>
      </c>
    </row>
    <row r="28" spans="1:1410">
      <c r="B28" s="7">
        <f>B27+J27</f>
        <v>433999829</v>
      </c>
      <c r="H28" s="2" t="e">
        <f>H27/12</f>
        <v>#VALUE!</v>
      </c>
      <c r="R28" s="2">
        <f>1500000*18</f>
        <v>27000000</v>
      </c>
      <c r="AD28" s="267">
        <f>AD27/12</f>
        <v>17018322.75</v>
      </c>
      <c r="AE28" s="7"/>
    </row>
    <row r="29" spans="1:1410">
      <c r="R29" s="2">
        <f>R27-R28</f>
        <v>13000000</v>
      </c>
      <c r="AA29" s="267"/>
      <c r="AD29" s="56" t="e">
        <f>AD28+H28</f>
        <v>#VALUE!</v>
      </c>
    </row>
    <row r="30" spans="1:1410">
      <c r="B30" s="3">
        <v>445840557</v>
      </c>
      <c r="G30" s="378"/>
    </row>
    <row r="31" spans="1:1410">
      <c r="AC31" s="2" t="s">
        <v>186</v>
      </c>
      <c r="AD31" s="3" t="e">
        <f>AD27+H27</f>
        <v>#VALUE!</v>
      </c>
    </row>
    <row r="32" spans="1:1410">
      <c r="B32" s="7">
        <f>B30-B28</f>
        <v>11840728</v>
      </c>
    </row>
  </sheetData>
  <mergeCells count="7">
    <mergeCell ref="A4:H4"/>
    <mergeCell ref="J3:AD4"/>
    <mergeCell ref="B2:H2"/>
    <mergeCell ref="J2:AE2"/>
    <mergeCell ref="B1:H1"/>
    <mergeCell ref="J1:AE1"/>
    <mergeCell ref="A3:I3"/>
  </mergeCells>
  <printOptions horizontalCentered="1"/>
  <pageMargins left="0.25" right="0.25" top="0.75" bottom="0.75" header="0.3" footer="0.3"/>
  <pageSetup paperSize="9" scale="46" orientation="landscape" copies="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J31"/>
  <sheetViews>
    <sheetView workbookViewId="0">
      <selection activeCell="A21" sqref="A5:A21"/>
    </sheetView>
  </sheetViews>
  <sheetFormatPr baseColWidth="10" defaultColWidth="8.83203125" defaultRowHeight="13" x14ac:dyDescent="0"/>
  <cols>
    <col min="1" max="1" width="16.5" style="8" customWidth="1"/>
    <col min="2" max="2" width="23" style="8" customWidth="1"/>
    <col min="3" max="3" width="21.83203125" style="8" customWidth="1"/>
    <col min="4" max="4" width="19.83203125" style="8" customWidth="1"/>
    <col min="5" max="6" width="15.5" style="8" customWidth="1"/>
    <col min="7" max="7" width="25.1640625" style="8" customWidth="1"/>
    <col min="8" max="8" width="17.5" style="255" customWidth="1"/>
    <col min="9" max="9" width="14.6640625" style="8" customWidth="1"/>
    <col min="10" max="10" width="14.5" style="8" bestFit="1" customWidth="1"/>
    <col min="11" max="16384" width="8.83203125" style="8"/>
  </cols>
  <sheetData>
    <row r="1" spans="1:10" ht="15">
      <c r="A1" s="325" t="s">
        <v>1</v>
      </c>
      <c r="B1" s="325"/>
      <c r="C1" s="325"/>
      <c r="D1" s="325"/>
      <c r="E1" s="325"/>
      <c r="F1" s="325"/>
    </row>
    <row r="2" spans="1:10" ht="15">
      <c r="A2" s="325" t="s">
        <v>89</v>
      </c>
      <c r="B2" s="325"/>
      <c r="C2" s="325"/>
      <c r="D2" s="325"/>
      <c r="E2" s="325"/>
      <c r="F2" s="325"/>
    </row>
    <row r="3" spans="1:10">
      <c r="H3" s="255">
        <v>1700000</v>
      </c>
      <c r="I3" s="256">
        <f>H3/17</f>
        <v>100000</v>
      </c>
    </row>
    <row r="4" spans="1:10" ht="75.75" customHeight="1">
      <c r="A4" s="14" t="s">
        <v>40</v>
      </c>
      <c r="B4" s="15" t="s">
        <v>83</v>
      </c>
      <c r="C4" s="15" t="s">
        <v>84</v>
      </c>
      <c r="D4" s="15" t="s">
        <v>85</v>
      </c>
      <c r="E4" s="15" t="s">
        <v>90</v>
      </c>
      <c r="F4" s="18" t="s">
        <v>13</v>
      </c>
      <c r="G4" s="258" t="s">
        <v>184</v>
      </c>
      <c r="H4" s="259" t="s">
        <v>185</v>
      </c>
      <c r="J4" s="256"/>
    </row>
    <row r="5" spans="1:10">
      <c r="A5" s="4" t="s">
        <v>62</v>
      </c>
      <c r="B5" s="10">
        <v>66902150</v>
      </c>
      <c r="C5" s="54">
        <v>132749825</v>
      </c>
      <c r="D5" s="5">
        <f>B5+C5</f>
        <v>199651975</v>
      </c>
      <c r="E5" s="16">
        <v>20509000</v>
      </c>
      <c r="F5" s="11">
        <f>D5+E5</f>
        <v>220160975</v>
      </c>
      <c r="G5" s="257">
        <v>100000</v>
      </c>
      <c r="H5" s="12">
        <f>C5-G5</f>
        <v>132649825</v>
      </c>
    </row>
    <row r="6" spans="1:10">
      <c r="A6" s="4" t="s">
        <v>63</v>
      </c>
      <c r="B6" s="10">
        <v>125612125</v>
      </c>
      <c r="C6" s="54">
        <v>249426950</v>
      </c>
      <c r="D6" s="5">
        <f t="shared" ref="D6:D22" si="0">B6+C6</f>
        <v>375039075</v>
      </c>
      <c r="E6" s="16">
        <v>9800000</v>
      </c>
      <c r="F6" s="11">
        <f t="shared" ref="F6:F22" si="1">D6+E6</f>
        <v>384839075</v>
      </c>
      <c r="G6" s="257">
        <v>100000</v>
      </c>
      <c r="H6" s="12">
        <f t="shared" ref="H6:H22" si="2">C6-G6</f>
        <v>249326950</v>
      </c>
    </row>
    <row r="7" spans="1:10">
      <c r="A7" s="4" t="s">
        <v>64</v>
      </c>
      <c r="B7" s="12">
        <v>203932550</v>
      </c>
      <c r="C7" s="54">
        <v>404969325</v>
      </c>
      <c r="D7" s="5">
        <f t="shared" si="0"/>
        <v>608901875</v>
      </c>
      <c r="E7" s="16">
        <v>43156000</v>
      </c>
      <c r="F7" s="11">
        <f t="shared" si="1"/>
        <v>652057875</v>
      </c>
      <c r="G7" s="257">
        <v>100000</v>
      </c>
      <c r="H7" s="12">
        <f t="shared" si="2"/>
        <v>404869325</v>
      </c>
    </row>
    <row r="8" spans="1:10">
      <c r="A8" s="4" t="s">
        <v>65</v>
      </c>
      <c r="B8" s="12">
        <v>141935650</v>
      </c>
      <c r="C8" s="54">
        <v>281823175</v>
      </c>
      <c r="D8" s="5">
        <f t="shared" si="0"/>
        <v>423758825</v>
      </c>
      <c r="E8" s="16">
        <v>42669000</v>
      </c>
      <c r="F8" s="11">
        <f t="shared" si="1"/>
        <v>466427825</v>
      </c>
      <c r="G8" s="257">
        <v>100000</v>
      </c>
      <c r="H8" s="12">
        <f t="shared" si="2"/>
        <v>281723175</v>
      </c>
    </row>
    <row r="9" spans="1:10">
      <c r="A9" s="4" t="s">
        <v>66</v>
      </c>
      <c r="B9" s="12">
        <v>212084175</v>
      </c>
      <c r="C9" s="54">
        <v>421172575</v>
      </c>
      <c r="D9" s="5">
        <f t="shared" si="0"/>
        <v>633256750</v>
      </c>
      <c r="E9" s="16">
        <v>103610000</v>
      </c>
      <c r="F9" s="11">
        <f t="shared" si="1"/>
        <v>736866750</v>
      </c>
      <c r="G9" s="257">
        <v>100000</v>
      </c>
      <c r="H9" s="12">
        <f t="shared" si="2"/>
        <v>421072575</v>
      </c>
    </row>
    <row r="10" spans="1:10">
      <c r="A10" s="4" t="s">
        <v>86</v>
      </c>
      <c r="B10" s="12">
        <v>231664350</v>
      </c>
      <c r="C10" s="54">
        <v>460058100</v>
      </c>
      <c r="D10" s="5">
        <f t="shared" si="0"/>
        <v>691722450</v>
      </c>
      <c r="E10" s="16">
        <v>98616000</v>
      </c>
      <c r="F10" s="11">
        <f t="shared" si="1"/>
        <v>790338450</v>
      </c>
      <c r="G10" s="257">
        <v>100000</v>
      </c>
      <c r="H10" s="12">
        <f t="shared" si="2"/>
        <v>459958100</v>
      </c>
    </row>
    <row r="11" spans="1:10">
      <c r="A11" s="4" t="s">
        <v>87</v>
      </c>
      <c r="B11" s="12">
        <v>117460500</v>
      </c>
      <c r="C11" s="54">
        <v>233223700</v>
      </c>
      <c r="D11" s="5">
        <f t="shared" si="0"/>
        <v>350684200</v>
      </c>
      <c r="E11" s="16">
        <v>19131000</v>
      </c>
      <c r="F11" s="11">
        <f t="shared" si="1"/>
        <v>369815200</v>
      </c>
      <c r="G11" s="257">
        <v>100000</v>
      </c>
      <c r="H11" s="12">
        <f t="shared" si="2"/>
        <v>233123700</v>
      </c>
    </row>
    <row r="12" spans="1:10">
      <c r="A12" s="4" t="s">
        <v>69</v>
      </c>
      <c r="B12" s="12">
        <v>185970700</v>
      </c>
      <c r="C12" s="54">
        <v>369328450</v>
      </c>
      <c r="D12" s="5">
        <f t="shared" si="0"/>
        <v>555299150</v>
      </c>
      <c r="E12" s="17">
        <v>43900000</v>
      </c>
      <c r="F12" s="11">
        <f t="shared" si="1"/>
        <v>599199150</v>
      </c>
      <c r="G12" s="257">
        <v>100000</v>
      </c>
      <c r="H12" s="12">
        <f t="shared" si="2"/>
        <v>369228450</v>
      </c>
    </row>
    <row r="13" spans="1:10">
      <c r="A13" s="4" t="s">
        <v>70</v>
      </c>
      <c r="B13" s="12">
        <v>164782475</v>
      </c>
      <c r="C13" s="54">
        <v>327188000</v>
      </c>
      <c r="D13" s="5">
        <f t="shared" si="0"/>
        <v>491970475</v>
      </c>
      <c r="E13" s="17">
        <v>33250000</v>
      </c>
      <c r="F13" s="11">
        <f t="shared" si="1"/>
        <v>525220475</v>
      </c>
      <c r="G13" s="257">
        <v>100000</v>
      </c>
      <c r="H13" s="12">
        <f t="shared" si="2"/>
        <v>327088000</v>
      </c>
    </row>
    <row r="14" spans="1:10">
      <c r="A14" s="4" t="s">
        <v>71</v>
      </c>
      <c r="B14" s="12">
        <v>176190750</v>
      </c>
      <c r="C14" s="54">
        <v>349880550</v>
      </c>
      <c r="D14" s="5">
        <f t="shared" si="0"/>
        <v>526071300</v>
      </c>
      <c r="E14" s="17">
        <v>48923000</v>
      </c>
      <c r="F14" s="11">
        <f t="shared" si="1"/>
        <v>574994300</v>
      </c>
      <c r="G14" s="257">
        <v>100000</v>
      </c>
      <c r="H14" s="12">
        <f t="shared" si="2"/>
        <v>349780550</v>
      </c>
    </row>
    <row r="15" spans="1:10">
      <c r="A15" s="4" t="s">
        <v>72</v>
      </c>
      <c r="B15" s="12">
        <v>233110200</v>
      </c>
      <c r="C15" s="54">
        <v>463485225</v>
      </c>
      <c r="D15" s="5">
        <f t="shared" si="0"/>
        <v>696595425</v>
      </c>
      <c r="E15" s="17">
        <v>56675000</v>
      </c>
      <c r="F15" s="11">
        <f t="shared" si="1"/>
        <v>753270425</v>
      </c>
      <c r="G15" s="257">
        <v>100000</v>
      </c>
      <c r="H15" s="12">
        <f t="shared" si="2"/>
        <v>463385225</v>
      </c>
    </row>
    <row r="16" spans="1:10">
      <c r="A16" s="4" t="s">
        <v>73</v>
      </c>
      <c r="B16" s="12">
        <v>120717150</v>
      </c>
      <c r="C16" s="54">
        <v>239703000</v>
      </c>
      <c r="D16" s="5">
        <f t="shared" si="0"/>
        <v>360420150</v>
      </c>
      <c r="E16" s="17">
        <v>13625000</v>
      </c>
      <c r="F16" s="11">
        <f t="shared" si="1"/>
        <v>374045150</v>
      </c>
      <c r="G16" s="257">
        <v>100000</v>
      </c>
      <c r="H16" s="12">
        <f t="shared" si="2"/>
        <v>239603000</v>
      </c>
    </row>
    <row r="17" spans="1:10">
      <c r="A17" s="4" t="s">
        <v>74</v>
      </c>
      <c r="B17" s="12">
        <v>153343925</v>
      </c>
      <c r="C17" s="54">
        <v>304515725</v>
      </c>
      <c r="D17" s="5">
        <f t="shared" si="0"/>
        <v>457859650</v>
      </c>
      <c r="E17" s="17">
        <v>11520000</v>
      </c>
      <c r="F17" s="11">
        <f t="shared" si="1"/>
        <v>469379650</v>
      </c>
      <c r="G17" s="257">
        <v>100000</v>
      </c>
      <c r="H17" s="12">
        <f t="shared" si="2"/>
        <v>304415725</v>
      </c>
    </row>
    <row r="18" spans="1:10" ht="15.75" customHeight="1">
      <c r="A18" s="4" t="s">
        <v>75</v>
      </c>
      <c r="B18" s="12">
        <v>83205400</v>
      </c>
      <c r="C18" s="54">
        <v>165166325</v>
      </c>
      <c r="D18" s="5">
        <f t="shared" si="0"/>
        <v>248371725</v>
      </c>
      <c r="E18" s="17">
        <v>23187000</v>
      </c>
      <c r="F18" s="11">
        <f t="shared" si="1"/>
        <v>271558725</v>
      </c>
      <c r="G18" s="257">
        <v>100000</v>
      </c>
      <c r="H18" s="12">
        <f t="shared" si="2"/>
        <v>165066325</v>
      </c>
    </row>
    <row r="19" spans="1:10">
      <c r="A19" s="4" t="s">
        <v>76</v>
      </c>
      <c r="B19" s="12">
        <v>81577075</v>
      </c>
      <c r="C19" s="54">
        <v>161921675</v>
      </c>
      <c r="D19" s="5">
        <f t="shared" si="0"/>
        <v>243498750</v>
      </c>
      <c r="E19" s="17">
        <v>42656000</v>
      </c>
      <c r="F19" s="11">
        <f t="shared" si="1"/>
        <v>286154750</v>
      </c>
      <c r="G19" s="257">
        <v>100000</v>
      </c>
      <c r="H19" s="12">
        <f t="shared" si="2"/>
        <v>161821675</v>
      </c>
    </row>
    <row r="20" spans="1:10">
      <c r="A20" s="4" t="s">
        <v>77</v>
      </c>
      <c r="B20" s="12">
        <v>119088825</v>
      </c>
      <c r="C20" s="54">
        <v>236468350</v>
      </c>
      <c r="D20" s="5">
        <f t="shared" si="0"/>
        <v>355557175</v>
      </c>
      <c r="E20" s="17">
        <v>22055000</v>
      </c>
      <c r="F20" s="11">
        <f t="shared" si="1"/>
        <v>377612175</v>
      </c>
      <c r="G20" s="257">
        <v>100000</v>
      </c>
      <c r="H20" s="12">
        <f t="shared" si="2"/>
        <v>236368350</v>
      </c>
    </row>
    <row r="21" spans="1:10">
      <c r="A21" s="4" t="s">
        <v>79</v>
      </c>
      <c r="B21" s="12">
        <v>92985350</v>
      </c>
      <c r="C21" s="54">
        <v>184614225</v>
      </c>
      <c r="D21" s="5">
        <f t="shared" si="0"/>
        <v>277599575</v>
      </c>
      <c r="E21" s="17">
        <v>41360000</v>
      </c>
      <c r="F21" s="11">
        <f t="shared" si="1"/>
        <v>318959575</v>
      </c>
      <c r="G21" s="257">
        <v>100000</v>
      </c>
      <c r="H21" s="12">
        <f t="shared" si="2"/>
        <v>184514225</v>
      </c>
    </row>
    <row r="22" spans="1:10">
      <c r="A22" s="4" t="s">
        <v>78</v>
      </c>
      <c r="B22" s="13"/>
      <c r="C22" s="6"/>
      <c r="D22" s="5">
        <f t="shared" si="0"/>
        <v>0</v>
      </c>
      <c r="E22" s="17">
        <v>0</v>
      </c>
      <c r="F22" s="11">
        <f t="shared" si="1"/>
        <v>0</v>
      </c>
      <c r="G22" s="257"/>
      <c r="H22" s="12">
        <f t="shared" si="2"/>
        <v>0</v>
      </c>
    </row>
    <row r="23" spans="1:10">
      <c r="A23" s="19" t="s">
        <v>88</v>
      </c>
      <c r="B23" s="20">
        <f t="shared" ref="B23:H23" si="3">SUM(B5:B22)</f>
        <v>2510563350</v>
      </c>
      <c r="C23" s="20">
        <f t="shared" si="3"/>
        <v>4985695175</v>
      </c>
      <c r="D23" s="20">
        <f t="shared" si="3"/>
        <v>7496258525</v>
      </c>
      <c r="E23" s="20">
        <f t="shared" si="3"/>
        <v>674642000</v>
      </c>
      <c r="F23" s="20">
        <f>SUM(F5:F22)</f>
        <v>8170900525</v>
      </c>
      <c r="G23" s="20">
        <f t="shared" si="3"/>
        <v>1700000</v>
      </c>
      <c r="H23" s="20">
        <f t="shared" si="3"/>
        <v>4983995175</v>
      </c>
      <c r="I23" s="55"/>
    </row>
    <row r="24" spans="1:10">
      <c r="C24" s="55"/>
    </row>
    <row r="25" spans="1:10">
      <c r="B25" s="8" t="s">
        <v>183</v>
      </c>
      <c r="C25" s="255">
        <v>5360866800</v>
      </c>
      <c r="F25" s="72">
        <v>9609402923</v>
      </c>
      <c r="J25" s="8" t="s">
        <v>202</v>
      </c>
    </row>
    <row r="26" spans="1:10">
      <c r="C26" s="256"/>
      <c r="E26" s="8" t="s">
        <v>92</v>
      </c>
      <c r="F26" s="55">
        <f>F23</f>
        <v>8170900525</v>
      </c>
      <c r="G26" s="268" t="s">
        <v>189</v>
      </c>
      <c r="H26" s="255">
        <v>674642000</v>
      </c>
    </row>
    <row r="27" spans="1:10">
      <c r="C27" s="55"/>
      <c r="D27" s="8">
        <f>D23/2</f>
        <v>3748129262.5</v>
      </c>
      <c r="E27" s="8" t="s">
        <v>93</v>
      </c>
      <c r="F27" s="27" t="e">
        <f>Admincost!H27</f>
        <v>#VALUE!</v>
      </c>
    </row>
    <row r="28" spans="1:10">
      <c r="E28" s="8" t="s">
        <v>91</v>
      </c>
      <c r="F28" s="66">
        <f>PS!B22</f>
        <v>181829000</v>
      </c>
    </row>
    <row r="29" spans="1:10">
      <c r="E29" s="8" t="s">
        <v>13</v>
      </c>
      <c r="F29" s="55" t="e">
        <f>SUM(F26:F28)</f>
        <v>#VALUE!</v>
      </c>
    </row>
    <row r="30" spans="1:10">
      <c r="E30" s="8" t="s">
        <v>96</v>
      </c>
      <c r="F30" s="71" t="e">
        <f>F25-F29</f>
        <v>#VALUE!</v>
      </c>
    </row>
    <row r="31" spans="1:10">
      <c r="E31" s="73" t="s">
        <v>82</v>
      </c>
      <c r="F31" s="74" t="e">
        <f>F29+F30</f>
        <v>#VALUE!</v>
      </c>
      <c r="G31" s="269" t="e">
        <f>F31-H26</f>
        <v>#VALUE!</v>
      </c>
      <c r="H31" s="268" t="s">
        <v>190</v>
      </c>
    </row>
  </sheetData>
  <mergeCells count="2">
    <mergeCell ref="A1:F1"/>
    <mergeCell ref="A2:F2"/>
  </mergeCells>
  <pageMargins left="0.7" right="0.7" top="0.75" bottom="0.75" header="0.3" footer="0.3"/>
  <pageSetup scale="79" orientation="landscape" copies="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B22"/>
  <sheetViews>
    <sheetView workbookViewId="0">
      <selection activeCell="I13" sqref="I13"/>
    </sheetView>
  </sheetViews>
  <sheetFormatPr baseColWidth="10" defaultColWidth="8.83203125" defaultRowHeight="14" x14ac:dyDescent="0"/>
  <cols>
    <col min="1" max="1" width="16.5" customWidth="1"/>
    <col min="2" max="2" width="15.33203125" bestFit="1" customWidth="1"/>
  </cols>
  <sheetData>
    <row r="1" spans="1:2" s="9" customFormat="1">
      <c r="A1" s="9" t="s">
        <v>91</v>
      </c>
    </row>
    <row r="2" spans="1:2">
      <c r="A2" s="68" t="s">
        <v>94</v>
      </c>
      <c r="B2" s="67" t="s">
        <v>91</v>
      </c>
    </row>
    <row r="3" spans="1:2">
      <c r="A3" s="69" t="s">
        <v>62</v>
      </c>
      <c r="B3" s="67">
        <v>6277000</v>
      </c>
    </row>
    <row r="4" spans="1:2">
      <c r="A4" s="69" t="s">
        <v>63</v>
      </c>
      <c r="B4" s="67">
        <v>7079000</v>
      </c>
    </row>
    <row r="5" spans="1:2">
      <c r="A5" s="69" t="s">
        <v>64</v>
      </c>
      <c r="B5" s="67">
        <v>6277000</v>
      </c>
    </row>
    <row r="6" spans="1:2">
      <c r="A6" s="69" t="s">
        <v>65</v>
      </c>
      <c r="B6" s="67">
        <v>4671000</v>
      </c>
    </row>
    <row r="7" spans="1:2">
      <c r="A7" s="69" t="s">
        <v>66</v>
      </c>
      <c r="B7" s="67">
        <v>4671000</v>
      </c>
    </row>
    <row r="8" spans="1:2">
      <c r="A8" s="69" t="s">
        <v>67</v>
      </c>
      <c r="B8" s="67">
        <v>5072000</v>
      </c>
    </row>
    <row r="9" spans="1:2">
      <c r="A9" s="69" t="s">
        <v>68</v>
      </c>
      <c r="B9" s="67">
        <v>12793000</v>
      </c>
    </row>
    <row r="10" spans="1:2">
      <c r="A10" s="69" t="s">
        <v>69</v>
      </c>
      <c r="B10" s="67">
        <v>11494000</v>
      </c>
    </row>
    <row r="11" spans="1:2">
      <c r="A11" s="69" t="s">
        <v>70</v>
      </c>
      <c r="B11" s="67">
        <v>9488000</v>
      </c>
    </row>
    <row r="12" spans="1:2">
      <c r="A12" s="69" t="s">
        <v>71</v>
      </c>
      <c r="B12" s="67">
        <v>7481000</v>
      </c>
    </row>
    <row r="13" spans="1:2">
      <c r="A13" s="69" t="s">
        <v>72</v>
      </c>
      <c r="B13" s="67">
        <v>15107000</v>
      </c>
    </row>
    <row r="14" spans="1:2">
      <c r="A14" s="69" t="s">
        <v>73</v>
      </c>
      <c r="B14" s="67">
        <v>24338000</v>
      </c>
    </row>
    <row r="15" spans="1:2">
      <c r="A15" s="69" t="s">
        <v>74</v>
      </c>
      <c r="B15" s="67">
        <v>15909000</v>
      </c>
    </row>
    <row r="16" spans="1:2">
      <c r="A16" s="69" t="s">
        <v>75</v>
      </c>
      <c r="B16" s="67">
        <v>14304000</v>
      </c>
    </row>
    <row r="17" spans="1:2">
      <c r="A17" s="69" t="s">
        <v>76</v>
      </c>
      <c r="B17" s="67">
        <v>5073000</v>
      </c>
    </row>
    <row r="18" spans="1:2">
      <c r="A18" s="69" t="s">
        <v>77</v>
      </c>
      <c r="B18" s="67">
        <v>22024000</v>
      </c>
    </row>
    <row r="19" spans="1:2">
      <c r="A19" s="69" t="s">
        <v>79</v>
      </c>
      <c r="B19" s="67">
        <v>0</v>
      </c>
    </row>
    <row r="20" spans="1:2">
      <c r="A20" s="69" t="s">
        <v>78</v>
      </c>
      <c r="B20" s="67">
        <v>0</v>
      </c>
    </row>
    <row r="21" spans="1:2">
      <c r="A21" s="69" t="s">
        <v>95</v>
      </c>
      <c r="B21" s="67">
        <v>9771000</v>
      </c>
    </row>
    <row r="22" spans="1:2">
      <c r="A22" s="70" t="s">
        <v>13</v>
      </c>
      <c r="B22" s="67">
        <v>181829000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ySplit="3" topLeftCell="A25" activePane="bottomLeft" state="frozen"/>
      <selection pane="bottomLeft" activeCell="C16" sqref="C16"/>
    </sheetView>
  </sheetViews>
  <sheetFormatPr baseColWidth="10" defaultColWidth="8.83203125" defaultRowHeight="13" x14ac:dyDescent="0"/>
  <cols>
    <col min="1" max="1" width="39.6640625" style="76" bestFit="1" customWidth="1"/>
    <col min="2" max="2" width="11" style="76" bestFit="1" customWidth="1"/>
    <col min="3" max="3" width="18.33203125" style="76" customWidth="1"/>
    <col min="4" max="4" width="14.6640625" style="76" customWidth="1"/>
    <col min="5" max="5" width="17.5" style="76" customWidth="1"/>
    <col min="6" max="6" width="14.5" style="76" customWidth="1"/>
    <col min="7" max="7" width="17.5" style="76" customWidth="1"/>
    <col min="8" max="8" width="16" style="76" customWidth="1"/>
    <col min="9" max="9" width="16.83203125" style="76" bestFit="1" customWidth="1"/>
    <col min="10" max="10" width="16.1640625" style="76" customWidth="1"/>
    <col min="11" max="11" width="15.1640625" style="76" customWidth="1"/>
    <col min="12" max="12" width="16.6640625" style="76" customWidth="1"/>
    <col min="13" max="16384" width="8.83203125" style="76"/>
  </cols>
  <sheetData>
    <row r="1" spans="1:10" ht="16" thickBot="1">
      <c r="A1" s="75" t="s">
        <v>124</v>
      </c>
      <c r="J1" s="77" t="s">
        <v>99</v>
      </c>
    </row>
    <row r="2" spans="1:10" ht="15">
      <c r="A2" s="326" t="s">
        <v>100</v>
      </c>
      <c r="B2" s="328" t="s">
        <v>101</v>
      </c>
      <c r="C2" s="330" t="s">
        <v>102</v>
      </c>
      <c r="D2" s="330"/>
      <c r="E2" s="330"/>
      <c r="F2" s="330"/>
      <c r="G2" s="330"/>
      <c r="H2" s="330"/>
      <c r="I2" s="331"/>
      <c r="J2" s="332" t="s">
        <v>103</v>
      </c>
    </row>
    <row r="3" spans="1:10" ht="71.25" customHeight="1">
      <c r="A3" s="327"/>
      <c r="B3" s="329"/>
      <c r="C3" s="78" t="s">
        <v>104</v>
      </c>
      <c r="D3" s="78" t="s">
        <v>125</v>
      </c>
      <c r="E3" s="78" t="s">
        <v>126</v>
      </c>
      <c r="F3" s="78" t="s">
        <v>127</v>
      </c>
      <c r="G3" s="78" t="s">
        <v>128</v>
      </c>
      <c r="H3" s="78" t="s">
        <v>129</v>
      </c>
      <c r="I3" s="79" t="s">
        <v>13</v>
      </c>
      <c r="J3" s="333"/>
    </row>
    <row r="4" spans="1:10" ht="29.25" customHeight="1">
      <c r="A4" s="334" t="s">
        <v>105</v>
      </c>
      <c r="B4" s="335"/>
      <c r="C4" s="335"/>
      <c r="D4" s="335"/>
      <c r="E4" s="335"/>
      <c r="F4" s="335"/>
      <c r="G4" s="335"/>
      <c r="H4" s="335"/>
      <c r="I4" s="335"/>
      <c r="J4" s="336" t="s">
        <v>106</v>
      </c>
    </row>
    <row r="5" spans="1:10" ht="15" customHeight="1">
      <c r="A5" s="80" t="s">
        <v>107</v>
      </c>
      <c r="B5" s="81">
        <v>1</v>
      </c>
      <c r="C5" s="82">
        <f>B5*31351*12</f>
        <v>376212</v>
      </c>
      <c r="D5" s="83">
        <f>B5*5000*12</f>
        <v>60000</v>
      </c>
      <c r="E5" s="82">
        <f>B5*900*12</f>
        <v>10800</v>
      </c>
      <c r="F5" s="82">
        <f>B5*1500*12</f>
        <v>18000</v>
      </c>
      <c r="G5" s="82">
        <f>B5*10000*12</f>
        <v>120000</v>
      </c>
      <c r="H5" s="82">
        <f>B5*350*12</f>
        <v>4200</v>
      </c>
      <c r="I5" s="65">
        <f>SUM(C5:H5)</f>
        <v>589212</v>
      </c>
      <c r="J5" s="336"/>
    </row>
    <row r="6" spans="1:10" ht="15">
      <c r="A6" s="80" t="s">
        <v>108</v>
      </c>
      <c r="B6" s="81">
        <v>5</v>
      </c>
      <c r="C6" s="82">
        <f>B6*24887*12</f>
        <v>1493220</v>
      </c>
      <c r="D6" s="83">
        <f>B6*5000*12</f>
        <v>300000</v>
      </c>
      <c r="E6" s="82">
        <f>B6*600*12</f>
        <v>36000</v>
      </c>
      <c r="F6" s="82"/>
      <c r="G6" s="82"/>
      <c r="H6" s="82">
        <f>B6*350*12</f>
        <v>21000</v>
      </c>
      <c r="I6" s="65">
        <f>SUM(C6:H6)</f>
        <v>1850220</v>
      </c>
      <c r="J6" s="336"/>
    </row>
    <row r="7" spans="1:10" ht="16" thickBot="1">
      <c r="A7" s="84" t="s">
        <v>109</v>
      </c>
      <c r="B7" s="85">
        <v>9</v>
      </c>
      <c r="C7" s="86">
        <f>B7*14931*12</f>
        <v>1612548</v>
      </c>
      <c r="D7" s="87">
        <f>B7*5000*12</f>
        <v>540000</v>
      </c>
      <c r="E7" s="86">
        <v>0</v>
      </c>
      <c r="F7" s="86"/>
      <c r="G7" s="86"/>
      <c r="H7" s="86"/>
      <c r="I7" s="88">
        <f>SUM(C7:H7)</f>
        <v>2152548</v>
      </c>
      <c r="J7" s="336"/>
    </row>
    <row r="8" spans="1:10" ht="16" thickBot="1">
      <c r="A8" s="89" t="s">
        <v>24</v>
      </c>
      <c r="B8" s="90">
        <f t="shared" ref="B8:I8" si="0">SUM(B5:B7)</f>
        <v>15</v>
      </c>
      <c r="C8" s="90">
        <f t="shared" si="0"/>
        <v>3481980</v>
      </c>
      <c r="D8" s="90">
        <f t="shared" si="0"/>
        <v>900000</v>
      </c>
      <c r="E8" s="90">
        <f t="shared" si="0"/>
        <v>46800</v>
      </c>
      <c r="F8" s="90">
        <f t="shared" si="0"/>
        <v>18000</v>
      </c>
      <c r="G8" s="90">
        <f t="shared" si="0"/>
        <v>120000</v>
      </c>
      <c r="H8" s="90">
        <f t="shared" si="0"/>
        <v>25200</v>
      </c>
      <c r="I8" s="91">
        <f t="shared" si="0"/>
        <v>4591980</v>
      </c>
      <c r="J8" s="336"/>
    </row>
    <row r="9" spans="1:10" ht="8.25" customHeight="1">
      <c r="A9" s="337"/>
      <c r="B9" s="338"/>
      <c r="C9" s="338"/>
      <c r="D9" s="338"/>
      <c r="E9" s="338"/>
      <c r="F9" s="338"/>
      <c r="G9" s="338"/>
      <c r="H9" s="338"/>
      <c r="I9" s="338"/>
      <c r="J9" s="92"/>
    </row>
    <row r="10" spans="1:10" ht="28.5" customHeight="1">
      <c r="A10" s="339" t="s">
        <v>110</v>
      </c>
      <c r="B10" s="340"/>
      <c r="C10" s="340"/>
      <c r="D10" s="340"/>
      <c r="E10" s="340"/>
      <c r="F10" s="340"/>
      <c r="G10" s="340"/>
      <c r="H10" s="340"/>
      <c r="I10" s="341"/>
      <c r="J10" s="336" t="s">
        <v>111</v>
      </c>
    </row>
    <row r="11" spans="1:10" ht="7.5" customHeight="1" thickBot="1">
      <c r="A11" s="343"/>
      <c r="B11" s="344"/>
      <c r="C11" s="344"/>
      <c r="D11" s="344"/>
      <c r="E11" s="344"/>
      <c r="F11" s="344"/>
      <c r="G11" s="344"/>
      <c r="H11" s="344"/>
      <c r="I11" s="344"/>
      <c r="J11" s="336"/>
    </row>
    <row r="12" spans="1:10" ht="15">
      <c r="A12" s="93" t="s">
        <v>112</v>
      </c>
      <c r="B12" s="94"/>
      <c r="C12" s="94"/>
      <c r="D12" s="94"/>
      <c r="E12" s="94"/>
      <c r="F12" s="94"/>
      <c r="G12" s="94"/>
      <c r="H12" s="94"/>
      <c r="I12" s="95"/>
      <c r="J12" s="342"/>
    </row>
    <row r="13" spans="1:10" ht="15">
      <c r="A13" s="96" t="s">
        <v>113</v>
      </c>
      <c r="B13" s="97">
        <v>1</v>
      </c>
      <c r="C13" s="26">
        <f>B13*24887*12</f>
        <v>298644</v>
      </c>
      <c r="D13" s="26">
        <f>B13*5000*12</f>
        <v>60000</v>
      </c>
      <c r="E13" s="26">
        <f>B13*600*12</f>
        <v>7200</v>
      </c>
      <c r="F13" s="26">
        <f>1500*12</f>
        <v>18000</v>
      </c>
      <c r="G13" s="26">
        <f>B13*500*12</f>
        <v>6000</v>
      </c>
      <c r="H13" s="26">
        <f>B13*350*12</f>
        <v>4200</v>
      </c>
      <c r="I13" s="98">
        <f>SUM(C13:H13)</f>
        <v>394044</v>
      </c>
      <c r="J13" s="342"/>
    </row>
    <row r="14" spans="1:10" ht="15">
      <c r="A14" s="96" t="s">
        <v>114</v>
      </c>
      <c r="B14" s="99">
        <v>32</v>
      </c>
      <c r="C14" s="26">
        <f>B14*24887*12</f>
        <v>9556608</v>
      </c>
      <c r="D14" s="26">
        <f>B14*5000*12</f>
        <v>1920000</v>
      </c>
      <c r="E14" s="26">
        <f>B14*600*12</f>
        <v>230400</v>
      </c>
      <c r="F14" s="26">
        <f>1500*12</f>
        <v>18000</v>
      </c>
      <c r="G14" s="26">
        <f>B14*500*12</f>
        <v>192000</v>
      </c>
      <c r="H14" s="26">
        <f>B14*350*12</f>
        <v>134400</v>
      </c>
      <c r="I14" s="98">
        <f>SUM(C14:H14)</f>
        <v>12051408</v>
      </c>
      <c r="J14" s="342"/>
    </row>
    <row r="15" spans="1:10" s="103" customFormat="1" ht="16" thickBot="1">
      <c r="A15" s="100" t="s">
        <v>109</v>
      </c>
      <c r="B15" s="101">
        <v>1</v>
      </c>
      <c r="C15" s="101">
        <f>B15*14931*12</f>
        <v>179172</v>
      </c>
      <c r="D15" s="102"/>
      <c r="E15" s="102"/>
      <c r="F15" s="102"/>
      <c r="G15" s="102"/>
      <c r="H15" s="102"/>
      <c r="I15" s="98">
        <f>SUM(C15:H15)</f>
        <v>179172</v>
      </c>
      <c r="J15" s="342"/>
    </row>
    <row r="16" spans="1:10" s="77" customFormat="1" ht="16" thickBot="1">
      <c r="A16" s="104" t="s">
        <v>115</v>
      </c>
      <c r="B16" s="105">
        <f>SUM(B13:B15)</f>
        <v>34</v>
      </c>
      <c r="C16" s="105">
        <f t="shared" ref="C16:I16" si="1">SUM(C13:C15)</f>
        <v>10034424</v>
      </c>
      <c r="D16" s="105">
        <f t="shared" si="1"/>
        <v>1980000</v>
      </c>
      <c r="E16" s="105">
        <f t="shared" si="1"/>
        <v>237600</v>
      </c>
      <c r="F16" s="105">
        <f t="shared" si="1"/>
        <v>36000</v>
      </c>
      <c r="G16" s="105">
        <f t="shared" si="1"/>
        <v>198000</v>
      </c>
      <c r="H16" s="105">
        <f t="shared" si="1"/>
        <v>138600</v>
      </c>
      <c r="I16" s="106">
        <f t="shared" si="1"/>
        <v>12624624</v>
      </c>
      <c r="J16" s="342"/>
    </row>
    <row r="17" spans="1:12" ht="9.75" customHeight="1" thickBot="1">
      <c r="A17" s="345"/>
      <c r="B17" s="346"/>
      <c r="C17" s="346"/>
      <c r="D17" s="346"/>
      <c r="E17" s="346"/>
      <c r="F17" s="346"/>
      <c r="G17" s="346"/>
      <c r="H17" s="346"/>
      <c r="I17" s="346"/>
      <c r="J17" s="336"/>
    </row>
    <row r="18" spans="1:12" ht="15">
      <c r="A18" s="93" t="s">
        <v>116</v>
      </c>
      <c r="B18" s="107"/>
      <c r="C18" s="108"/>
      <c r="D18" s="108"/>
      <c r="E18" s="108"/>
      <c r="F18" s="108"/>
      <c r="G18" s="108"/>
      <c r="H18" s="108"/>
      <c r="I18" s="109"/>
      <c r="J18" s="342"/>
    </row>
    <row r="19" spans="1:12" ht="15">
      <c r="A19" s="96" t="s">
        <v>113</v>
      </c>
      <c r="B19" s="97">
        <v>1</v>
      </c>
      <c r="C19" s="26">
        <f>B19*24887*12</f>
        <v>298644</v>
      </c>
      <c r="D19" s="26">
        <f>B19*5000*12</f>
        <v>60000</v>
      </c>
      <c r="E19" s="26">
        <f>B19*600*12</f>
        <v>7200</v>
      </c>
      <c r="F19" s="26">
        <f>1500*12</f>
        <v>18000</v>
      </c>
      <c r="G19" s="26">
        <f>B19*500*12</f>
        <v>6000</v>
      </c>
      <c r="H19" s="26">
        <f>B19*350*12</f>
        <v>4200</v>
      </c>
      <c r="I19" s="98">
        <f>SUM(C19:H19)</f>
        <v>394044</v>
      </c>
      <c r="J19" s="342"/>
    </row>
    <row r="20" spans="1:12" ht="15">
      <c r="A20" s="96" t="s">
        <v>114</v>
      </c>
      <c r="B20" s="99">
        <v>25</v>
      </c>
      <c r="C20" s="26">
        <f>B20*24887*12</f>
        <v>7466100</v>
      </c>
      <c r="D20" s="26">
        <f>B20*5000*12</f>
        <v>1500000</v>
      </c>
      <c r="E20" s="26">
        <f>B20*600*12</f>
        <v>180000</v>
      </c>
      <c r="F20" s="26">
        <f>1500*12</f>
        <v>18000</v>
      </c>
      <c r="G20" s="26">
        <f>B20*500*12</f>
        <v>150000</v>
      </c>
      <c r="H20" s="26">
        <f>B20*350*12</f>
        <v>105000</v>
      </c>
      <c r="I20" s="98">
        <f>SUM(C20:H20)</f>
        <v>9419100</v>
      </c>
      <c r="J20" s="342"/>
    </row>
    <row r="21" spans="1:12" ht="16" thickBot="1">
      <c r="A21" s="110" t="s">
        <v>109</v>
      </c>
      <c r="B21" s="111">
        <v>1</v>
      </c>
      <c r="C21" s="101">
        <f>B21*14931*12</f>
        <v>179172</v>
      </c>
      <c r="D21" s="112"/>
      <c r="E21" s="112"/>
      <c r="F21" s="112"/>
      <c r="G21" s="112"/>
      <c r="H21" s="112"/>
      <c r="I21" s="98">
        <f>SUM(C21:H21)</f>
        <v>179172</v>
      </c>
      <c r="J21" s="342"/>
    </row>
    <row r="22" spans="1:12" s="116" customFormat="1" ht="16" thickBot="1">
      <c r="A22" s="113" t="s">
        <v>117</v>
      </c>
      <c r="B22" s="114">
        <f>SUM(B19:B21)</f>
        <v>27</v>
      </c>
      <c r="C22" s="114">
        <f t="shared" ref="C22:I22" si="2">SUM(C19:C21)</f>
        <v>7943916</v>
      </c>
      <c r="D22" s="114">
        <f t="shared" si="2"/>
        <v>1560000</v>
      </c>
      <c r="E22" s="114">
        <f t="shared" si="2"/>
        <v>187200</v>
      </c>
      <c r="F22" s="114">
        <f t="shared" si="2"/>
        <v>36000</v>
      </c>
      <c r="G22" s="114">
        <f t="shared" si="2"/>
        <v>156000</v>
      </c>
      <c r="H22" s="114">
        <f t="shared" si="2"/>
        <v>109200</v>
      </c>
      <c r="I22" s="115">
        <f t="shared" si="2"/>
        <v>9992316</v>
      </c>
      <c r="J22" s="342"/>
    </row>
    <row r="23" spans="1:12" ht="9.75" customHeight="1" thickBot="1">
      <c r="A23" s="347"/>
      <c r="B23" s="348"/>
      <c r="C23" s="348"/>
      <c r="D23" s="348"/>
      <c r="E23" s="348"/>
      <c r="F23" s="348"/>
      <c r="G23" s="348"/>
      <c r="H23" s="348"/>
      <c r="I23" s="348"/>
      <c r="J23" s="336"/>
    </row>
    <row r="24" spans="1:12" ht="16.5" customHeight="1" thickBot="1">
      <c r="A24" s="117" t="s">
        <v>13</v>
      </c>
      <c r="B24" s="118">
        <f>B16+B22</f>
        <v>61</v>
      </c>
      <c r="C24" s="118">
        <f t="shared" ref="C24:I24" si="3">C16+C22</f>
        <v>17978340</v>
      </c>
      <c r="D24" s="118">
        <f t="shared" si="3"/>
        <v>3540000</v>
      </c>
      <c r="E24" s="118">
        <f t="shared" si="3"/>
        <v>424800</v>
      </c>
      <c r="F24" s="118">
        <f t="shared" si="3"/>
        <v>72000</v>
      </c>
      <c r="G24" s="118">
        <f t="shared" si="3"/>
        <v>354000</v>
      </c>
      <c r="H24" s="118">
        <f t="shared" si="3"/>
        <v>247800</v>
      </c>
      <c r="I24" s="119">
        <f t="shared" si="3"/>
        <v>22616940</v>
      </c>
      <c r="J24" s="336"/>
    </row>
    <row r="25" spans="1:12" ht="8.25" customHeight="1">
      <c r="A25" s="347"/>
      <c r="B25" s="348"/>
      <c r="C25" s="348"/>
      <c r="D25" s="348"/>
      <c r="E25" s="348"/>
      <c r="F25" s="348"/>
      <c r="G25" s="348"/>
      <c r="H25" s="348"/>
      <c r="I25" s="348"/>
      <c r="J25" s="92"/>
    </row>
    <row r="26" spans="1:12" ht="9.75" customHeight="1" thickBot="1">
      <c r="A26" s="120"/>
      <c r="B26" s="121"/>
      <c r="C26" s="121"/>
      <c r="D26" s="121"/>
      <c r="E26" s="121"/>
      <c r="F26" s="121"/>
      <c r="G26" s="121"/>
      <c r="H26" s="121"/>
      <c r="I26" s="121"/>
      <c r="J26" s="92"/>
    </row>
    <row r="27" spans="1:12" ht="16" thickBot="1">
      <c r="A27" s="122" t="s">
        <v>118</v>
      </c>
      <c r="B27" s="123">
        <f>B8+B24</f>
        <v>76</v>
      </c>
      <c r="C27" s="123">
        <f>C8+C24</f>
        <v>21460320</v>
      </c>
      <c r="D27" s="123">
        <f t="shared" ref="D27:I27" si="4">D8+D24</f>
        <v>4440000</v>
      </c>
      <c r="E27" s="123">
        <f t="shared" si="4"/>
        <v>471600</v>
      </c>
      <c r="F27" s="123">
        <f t="shared" si="4"/>
        <v>90000</v>
      </c>
      <c r="G27" s="123">
        <f t="shared" si="4"/>
        <v>474000</v>
      </c>
      <c r="H27" s="123">
        <f t="shared" si="4"/>
        <v>273000</v>
      </c>
      <c r="I27" s="123">
        <f t="shared" si="4"/>
        <v>27208920</v>
      </c>
      <c r="J27" s="92"/>
    </row>
    <row r="28" spans="1:12" ht="14" thickBot="1">
      <c r="A28" s="124"/>
      <c r="B28" s="125"/>
      <c r="C28" s="126"/>
      <c r="D28" s="126"/>
      <c r="E28" s="126"/>
      <c r="F28" s="126"/>
      <c r="G28" s="126"/>
      <c r="H28" s="126"/>
      <c r="I28" s="126"/>
      <c r="J28" s="127"/>
    </row>
    <row r="30" spans="1:12" ht="16" thickBot="1">
      <c r="A30" s="128" t="s">
        <v>119</v>
      </c>
    </row>
    <row r="31" spans="1:12" ht="15">
      <c r="A31" s="349" t="s">
        <v>100</v>
      </c>
      <c r="B31" s="351" t="s">
        <v>101</v>
      </c>
      <c r="C31" s="331" t="s">
        <v>102</v>
      </c>
      <c r="D31" s="353"/>
      <c r="E31" s="353"/>
      <c r="F31" s="353"/>
      <c r="G31" s="353"/>
      <c r="H31" s="353"/>
      <c r="I31" s="353"/>
      <c r="J31" s="353"/>
      <c r="K31" s="354" t="s">
        <v>120</v>
      </c>
      <c r="L31" s="129" t="s">
        <v>121</v>
      </c>
    </row>
    <row r="32" spans="1:12" ht="51.75" customHeight="1" thickBot="1">
      <c r="A32" s="350"/>
      <c r="B32" s="352"/>
      <c r="C32" s="130" t="s">
        <v>104</v>
      </c>
      <c r="D32" s="130" t="s">
        <v>125</v>
      </c>
      <c r="E32" s="130" t="s">
        <v>130</v>
      </c>
      <c r="F32" s="130" t="s">
        <v>131</v>
      </c>
      <c r="G32" s="130" t="s">
        <v>132</v>
      </c>
      <c r="H32" s="130" t="s">
        <v>129</v>
      </c>
      <c r="I32" s="130" t="s">
        <v>133</v>
      </c>
      <c r="J32" s="131" t="s">
        <v>134</v>
      </c>
      <c r="K32" s="355"/>
      <c r="L32" s="132" t="s">
        <v>122</v>
      </c>
    </row>
    <row r="33" spans="1:12" ht="15">
      <c r="A33" s="133" t="s">
        <v>123</v>
      </c>
      <c r="B33" s="134"/>
      <c r="C33" s="135"/>
      <c r="D33" s="135"/>
      <c r="E33" s="135"/>
      <c r="F33" s="135"/>
      <c r="G33" s="135"/>
      <c r="H33" s="135"/>
      <c r="I33" s="136"/>
      <c r="J33" s="136"/>
      <c r="K33" s="137"/>
      <c r="L33" s="138"/>
    </row>
    <row r="34" spans="1:12" ht="16" thickBot="1">
      <c r="A34" s="139"/>
      <c r="B34" s="140"/>
      <c r="C34" s="140"/>
      <c r="D34" s="140"/>
      <c r="E34" s="140"/>
      <c r="F34" s="140"/>
      <c r="G34" s="140"/>
      <c r="H34" s="140"/>
      <c r="I34" s="140"/>
      <c r="J34" s="140"/>
      <c r="K34" s="141"/>
      <c r="L34" s="142"/>
    </row>
    <row r="35" spans="1:12" ht="15">
      <c r="A35" s="143" t="s">
        <v>112</v>
      </c>
      <c r="B35" s="144"/>
      <c r="C35" s="94"/>
      <c r="D35" s="94"/>
      <c r="E35" s="94"/>
      <c r="F35" s="94"/>
      <c r="G35" s="94"/>
      <c r="H35" s="94"/>
      <c r="I35" s="145"/>
      <c r="J35" s="145"/>
      <c r="K35" s="146"/>
      <c r="L35" s="147"/>
    </row>
    <row r="36" spans="1:12" ht="15">
      <c r="A36" s="148" t="s">
        <v>114</v>
      </c>
      <c r="B36" s="149">
        <v>5</v>
      </c>
      <c r="C36" s="150">
        <f>B36*24887*12</f>
        <v>1493220</v>
      </c>
      <c r="D36" s="26">
        <f>B36*12*5000</f>
        <v>300000</v>
      </c>
      <c r="E36" s="26">
        <f>B36*600*12</f>
        <v>36000</v>
      </c>
      <c r="F36" s="26">
        <f>1500*12</f>
        <v>18000</v>
      </c>
      <c r="G36" s="26">
        <f>B36*500*12</f>
        <v>30000</v>
      </c>
      <c r="H36" s="26">
        <f>B36*350*12</f>
        <v>21000</v>
      </c>
      <c r="I36" s="65">
        <f>15*5000</f>
        <v>75000</v>
      </c>
      <c r="J36" s="65">
        <f>15*5000</f>
        <v>75000</v>
      </c>
      <c r="K36" s="151">
        <f>SUM(C36:J36)</f>
        <v>2048220</v>
      </c>
      <c r="L36" s="152">
        <f>B36*50000</f>
        <v>250000</v>
      </c>
    </row>
    <row r="37" spans="1:12" ht="16" thickBot="1">
      <c r="A37" s="153" t="s">
        <v>109</v>
      </c>
      <c r="B37" s="154">
        <v>5</v>
      </c>
      <c r="C37" s="150">
        <f>B37*14931*12</f>
        <v>895860</v>
      </c>
      <c r="D37" s="102"/>
      <c r="E37" s="102"/>
      <c r="F37" s="102"/>
      <c r="G37" s="102"/>
      <c r="H37" s="102"/>
      <c r="I37" s="155"/>
      <c r="J37" s="155"/>
      <c r="K37" s="151">
        <f>SUM(C37:J37)</f>
        <v>895860</v>
      </c>
      <c r="L37" s="156"/>
    </row>
    <row r="38" spans="1:12" ht="16" thickBot="1">
      <c r="A38" s="157" t="s">
        <v>115</v>
      </c>
      <c r="B38" s="158">
        <f t="shared" ref="B38:J38" si="5">SUM(B36:B37)</f>
        <v>10</v>
      </c>
      <c r="C38" s="105">
        <f t="shared" si="5"/>
        <v>2389080</v>
      </c>
      <c r="D38" s="105">
        <f t="shared" si="5"/>
        <v>300000</v>
      </c>
      <c r="E38" s="105">
        <f t="shared" si="5"/>
        <v>36000</v>
      </c>
      <c r="F38" s="105">
        <f t="shared" si="5"/>
        <v>18000</v>
      </c>
      <c r="G38" s="105">
        <f t="shared" si="5"/>
        <v>30000</v>
      </c>
      <c r="H38" s="105">
        <f t="shared" si="5"/>
        <v>21000</v>
      </c>
      <c r="I38" s="105">
        <f t="shared" si="5"/>
        <v>75000</v>
      </c>
      <c r="J38" s="159">
        <f t="shared" si="5"/>
        <v>75000</v>
      </c>
      <c r="K38" s="160">
        <f>SUM(K36:K37)</f>
        <v>2944080</v>
      </c>
      <c r="L38" s="161">
        <f>SUM(L36:L37)</f>
        <v>250000</v>
      </c>
    </row>
    <row r="39" spans="1:12" ht="16" thickBot="1">
      <c r="A39" s="162"/>
      <c r="B39" s="163"/>
      <c r="C39" s="163"/>
      <c r="D39" s="163"/>
      <c r="E39" s="163"/>
      <c r="F39" s="163"/>
      <c r="G39" s="163"/>
      <c r="H39" s="163"/>
      <c r="I39" s="163"/>
      <c r="J39" s="163"/>
      <c r="K39" s="164"/>
      <c r="L39" s="165"/>
    </row>
    <row r="40" spans="1:12" ht="15">
      <c r="A40" s="143" t="s">
        <v>116</v>
      </c>
      <c r="B40" s="166"/>
      <c r="C40" s="108"/>
      <c r="D40" s="108"/>
      <c r="E40" s="108"/>
      <c r="F40" s="108"/>
      <c r="G40" s="108"/>
      <c r="H40" s="108"/>
      <c r="I40" s="167"/>
      <c r="J40" s="167"/>
      <c r="K40" s="168"/>
      <c r="L40" s="147"/>
    </row>
    <row r="41" spans="1:12" ht="15">
      <c r="A41" s="148" t="s">
        <v>114</v>
      </c>
      <c r="B41" s="149">
        <v>12</v>
      </c>
      <c r="C41" s="150">
        <f>B41*24887*12</f>
        <v>3583728</v>
      </c>
      <c r="D41" s="26">
        <f>B41*12*5000</f>
        <v>720000</v>
      </c>
      <c r="E41" s="26">
        <f>B41*600*12</f>
        <v>86400</v>
      </c>
      <c r="F41" s="26">
        <f>1500*12</f>
        <v>18000</v>
      </c>
      <c r="G41" s="26">
        <f>B41*500*12</f>
        <v>72000</v>
      </c>
      <c r="H41" s="26">
        <f>B41*350*12</f>
        <v>50400</v>
      </c>
      <c r="I41" s="65">
        <f>37*5000</f>
        <v>185000</v>
      </c>
      <c r="J41" s="65">
        <f>37*5000</f>
        <v>185000</v>
      </c>
      <c r="K41" s="151">
        <f>SUM(C41:J41)</f>
        <v>4900528</v>
      </c>
      <c r="L41" s="152">
        <f>B41*50000</f>
        <v>600000</v>
      </c>
    </row>
    <row r="42" spans="1:12" ht="16" thickBot="1">
      <c r="A42" s="169" t="s">
        <v>109</v>
      </c>
      <c r="B42" s="170">
        <v>12</v>
      </c>
      <c r="C42" s="150">
        <f>B42*14931*12</f>
        <v>2150064</v>
      </c>
      <c r="D42" s="112"/>
      <c r="E42" s="112"/>
      <c r="F42" s="112"/>
      <c r="G42" s="112"/>
      <c r="H42" s="112"/>
      <c r="I42" s="171"/>
      <c r="J42" s="171"/>
      <c r="K42" s="151">
        <f>SUM(C42:J42)</f>
        <v>2150064</v>
      </c>
      <c r="L42" s="156"/>
    </row>
    <row r="43" spans="1:12" ht="16" thickBot="1">
      <c r="A43" s="172" t="s">
        <v>117</v>
      </c>
      <c r="B43" s="173">
        <f t="shared" ref="B43:J43" si="6">SUM(B41:B42)</f>
        <v>24</v>
      </c>
      <c r="C43" s="114">
        <f t="shared" si="6"/>
        <v>5733792</v>
      </c>
      <c r="D43" s="114">
        <f t="shared" si="6"/>
        <v>720000</v>
      </c>
      <c r="E43" s="114">
        <f t="shared" si="6"/>
        <v>86400</v>
      </c>
      <c r="F43" s="114">
        <f t="shared" si="6"/>
        <v>18000</v>
      </c>
      <c r="G43" s="114">
        <f t="shared" si="6"/>
        <v>72000</v>
      </c>
      <c r="H43" s="114">
        <f t="shared" si="6"/>
        <v>50400</v>
      </c>
      <c r="I43" s="114">
        <f t="shared" si="6"/>
        <v>185000</v>
      </c>
      <c r="J43" s="174">
        <f t="shared" si="6"/>
        <v>185000</v>
      </c>
      <c r="K43" s="175">
        <f>SUM(K41:K42)</f>
        <v>7050592</v>
      </c>
      <c r="L43" s="176">
        <f>SUM(L41:L42)</f>
        <v>600000</v>
      </c>
    </row>
    <row r="44" spans="1:12" ht="37.5" customHeight="1" thickBot="1">
      <c r="A44" s="177" t="s">
        <v>82</v>
      </c>
      <c r="B44" s="178">
        <f>B43+B38</f>
        <v>34</v>
      </c>
      <c r="C44" s="179">
        <f t="shared" ref="C44:J44" si="7">C43+C38</f>
        <v>8122872</v>
      </c>
      <c r="D44" s="179">
        <f t="shared" si="7"/>
        <v>1020000</v>
      </c>
      <c r="E44" s="179">
        <f t="shared" si="7"/>
        <v>122400</v>
      </c>
      <c r="F44" s="179">
        <f t="shared" si="7"/>
        <v>36000</v>
      </c>
      <c r="G44" s="179">
        <f t="shared" si="7"/>
        <v>102000</v>
      </c>
      <c r="H44" s="179">
        <f t="shared" si="7"/>
        <v>71400</v>
      </c>
      <c r="I44" s="179">
        <f t="shared" si="7"/>
        <v>260000</v>
      </c>
      <c r="J44" s="180">
        <f t="shared" si="7"/>
        <v>260000</v>
      </c>
      <c r="K44" s="181">
        <f>K43+K38</f>
        <v>9994672</v>
      </c>
      <c r="L44" s="182">
        <f>L43+L38</f>
        <v>850000</v>
      </c>
    </row>
  </sheetData>
  <mergeCells count="17">
    <mergeCell ref="A25:I25"/>
    <mergeCell ref="A31:A32"/>
    <mergeCell ref="B31:B32"/>
    <mergeCell ref="C31:J31"/>
    <mergeCell ref="K31:K32"/>
    <mergeCell ref="A9:I9"/>
    <mergeCell ref="A10:I10"/>
    <mergeCell ref="J10:J24"/>
    <mergeCell ref="A11:I11"/>
    <mergeCell ref="A17:I17"/>
    <mergeCell ref="A23:I23"/>
    <mergeCell ref="A2:A3"/>
    <mergeCell ref="B2:B3"/>
    <mergeCell ref="C2:I2"/>
    <mergeCell ref="J2:J3"/>
    <mergeCell ref="A4:I4"/>
    <mergeCell ref="J4:J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pane xSplit="1" ySplit="10" topLeftCell="N15" activePane="bottomRight" state="frozen"/>
      <selection pane="topRight" activeCell="B1" sqref="B1"/>
      <selection pane="bottomLeft" activeCell="A11" sqref="A11"/>
      <selection pane="bottomRight" activeCell="A8" sqref="A8:T22"/>
    </sheetView>
  </sheetViews>
  <sheetFormatPr baseColWidth="10" defaultColWidth="8.83203125" defaultRowHeight="14" x14ac:dyDescent="0"/>
  <cols>
    <col min="1" max="1" width="40.5" customWidth="1"/>
    <col min="3" max="3" width="20.6640625" bestFit="1" customWidth="1"/>
    <col min="4" max="4" width="15.33203125" customWidth="1"/>
    <col min="5" max="5" width="17.5" customWidth="1"/>
    <col min="6" max="6" width="15.5" customWidth="1"/>
    <col min="7" max="7" width="16.83203125" bestFit="1" customWidth="1"/>
    <col min="8" max="9" width="14.6640625" customWidth="1"/>
    <col min="10" max="10" width="15" customWidth="1"/>
    <col min="11" max="11" width="16.83203125" customWidth="1"/>
    <col min="12" max="14" width="15.6640625" bestFit="1" customWidth="1"/>
    <col min="15" max="15" width="18.6640625" bestFit="1" customWidth="1"/>
    <col min="16" max="17" width="15.6640625" bestFit="1" customWidth="1"/>
    <col min="18" max="18" width="14.33203125" bestFit="1" customWidth="1"/>
    <col min="19" max="19" width="20.6640625" bestFit="1" customWidth="1"/>
    <col min="20" max="20" width="17.5" bestFit="1" customWidth="1"/>
  </cols>
  <sheetData>
    <row r="1" spans="1:20" ht="15">
      <c r="A1" s="196" t="s">
        <v>137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5">
      <c r="A2" s="196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ht="15">
      <c r="A3" s="196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t="15">
      <c r="A4" s="196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5">
      <c r="A5" s="197">
        <v>302100000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>
      <c r="A6" s="198" t="s">
        <v>138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ht="15" customHeight="1">
      <c r="A8" s="356" t="s">
        <v>139</v>
      </c>
      <c r="B8" s="356" t="s">
        <v>140</v>
      </c>
      <c r="C8" s="357" t="s">
        <v>173</v>
      </c>
      <c r="D8" s="358" t="s">
        <v>142</v>
      </c>
      <c r="E8" s="358"/>
      <c r="F8" s="358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</row>
    <row r="9" spans="1:20" ht="30" customHeight="1">
      <c r="A9" s="356"/>
      <c r="B9" s="356"/>
      <c r="C9" s="357"/>
      <c r="D9" s="358" t="s">
        <v>143</v>
      </c>
      <c r="E9" s="358"/>
      <c r="F9" s="358"/>
      <c r="G9" s="358"/>
      <c r="H9" s="358" t="s">
        <v>144</v>
      </c>
      <c r="I9" s="358"/>
      <c r="J9" s="358"/>
      <c r="K9" s="358"/>
      <c r="L9" s="358" t="s">
        <v>145</v>
      </c>
      <c r="M9" s="358"/>
      <c r="N9" s="358"/>
      <c r="O9" s="358"/>
      <c r="P9" s="358" t="s">
        <v>146</v>
      </c>
      <c r="Q9" s="358"/>
      <c r="R9" s="358"/>
      <c r="S9" s="358"/>
      <c r="T9" s="199" t="s">
        <v>147</v>
      </c>
    </row>
    <row r="10" spans="1:20">
      <c r="A10" s="356"/>
      <c r="B10" s="356"/>
      <c r="C10" s="357"/>
      <c r="D10" s="200" t="s">
        <v>148</v>
      </c>
      <c r="E10" s="200" t="s">
        <v>149</v>
      </c>
      <c r="F10" s="200" t="s">
        <v>150</v>
      </c>
      <c r="G10" s="200" t="s">
        <v>81</v>
      </c>
      <c r="H10" s="200" t="s">
        <v>151</v>
      </c>
      <c r="I10" s="200" t="s">
        <v>152</v>
      </c>
      <c r="J10" s="200" t="s">
        <v>153</v>
      </c>
      <c r="K10" s="200" t="s">
        <v>81</v>
      </c>
      <c r="L10" s="200" t="s">
        <v>154</v>
      </c>
      <c r="M10" s="200" t="s">
        <v>155</v>
      </c>
      <c r="N10" s="200" t="s">
        <v>156</v>
      </c>
      <c r="O10" s="200" t="s">
        <v>81</v>
      </c>
      <c r="P10" s="200" t="s">
        <v>157</v>
      </c>
      <c r="Q10" s="200" t="s">
        <v>158</v>
      </c>
      <c r="R10" s="200" t="s">
        <v>159</v>
      </c>
      <c r="S10" s="200" t="s">
        <v>81</v>
      </c>
      <c r="T10" s="199" t="s">
        <v>81</v>
      </c>
    </row>
    <row r="11" spans="1:20">
      <c r="A11" s="201">
        <v>1</v>
      </c>
      <c r="B11" s="201">
        <v>2</v>
      </c>
      <c r="C11" s="202">
        <v>3</v>
      </c>
      <c r="D11" s="203">
        <v>6</v>
      </c>
      <c r="E11" s="203">
        <v>7</v>
      </c>
      <c r="F11" s="203">
        <v>8</v>
      </c>
      <c r="G11" s="200" t="s">
        <v>160</v>
      </c>
      <c r="H11" s="200">
        <v>10</v>
      </c>
      <c r="I11" s="200">
        <v>11</v>
      </c>
      <c r="J11" s="200">
        <v>12</v>
      </c>
      <c r="K11" s="200" t="s">
        <v>161</v>
      </c>
      <c r="L11" s="200">
        <v>14</v>
      </c>
      <c r="M11" s="200">
        <v>15</v>
      </c>
      <c r="N11" s="200">
        <v>16</v>
      </c>
      <c r="O11" s="200" t="s">
        <v>162</v>
      </c>
      <c r="P11" s="200">
        <v>18</v>
      </c>
      <c r="Q11" s="200">
        <v>19</v>
      </c>
      <c r="R11" s="200">
        <v>20</v>
      </c>
      <c r="S11" s="200" t="s">
        <v>163</v>
      </c>
      <c r="T11" s="199">
        <v>22</v>
      </c>
    </row>
    <row r="12" spans="1:20">
      <c r="A12" s="204" t="s">
        <v>164</v>
      </c>
      <c r="B12" s="205"/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7"/>
    </row>
    <row r="13" spans="1:20">
      <c r="A13" s="204" t="s">
        <v>165</v>
      </c>
      <c r="B13" s="205"/>
      <c r="C13" s="22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7"/>
    </row>
    <row r="14" spans="1:20" ht="15">
      <c r="A14" s="204" t="s">
        <v>166</v>
      </c>
      <c r="B14" s="224"/>
      <c r="C14" s="183">
        <v>181829000</v>
      </c>
      <c r="D14" s="225">
        <f>C14/12</f>
        <v>15152416.666666666</v>
      </c>
      <c r="E14" s="206">
        <f>D14</f>
        <v>15152416.666666666</v>
      </c>
      <c r="F14" s="206">
        <f>E14</f>
        <v>15152416.666666666</v>
      </c>
      <c r="G14" s="208">
        <f>SUM(D14:F14)</f>
        <v>45457250</v>
      </c>
      <c r="H14" s="206">
        <f>F14</f>
        <v>15152416.666666666</v>
      </c>
      <c r="I14" s="206">
        <f>H14</f>
        <v>15152416.666666666</v>
      </c>
      <c r="J14" s="206">
        <f>I14</f>
        <v>15152416.666666666</v>
      </c>
      <c r="K14" s="208">
        <f>SUM(H14:J14)</f>
        <v>45457250</v>
      </c>
      <c r="L14" s="206">
        <f>J14</f>
        <v>15152416.666666666</v>
      </c>
      <c r="M14" s="206">
        <f>L14</f>
        <v>15152416.666666666</v>
      </c>
      <c r="N14" s="206">
        <f>M14</f>
        <v>15152416.666666666</v>
      </c>
      <c r="O14" s="208">
        <f>SUM(L14:N14)</f>
        <v>45457250</v>
      </c>
      <c r="P14" s="206">
        <f>N14</f>
        <v>15152416.666666666</v>
      </c>
      <c r="Q14" s="206">
        <f>N14</f>
        <v>15152416.666666666</v>
      </c>
      <c r="R14" s="206">
        <f>N14</f>
        <v>15152416.666666666</v>
      </c>
      <c r="S14" s="208">
        <f>SUM(P14:R14)</f>
        <v>45457250</v>
      </c>
      <c r="T14" s="209">
        <f>S14+O14+K14+G14</f>
        <v>181829000</v>
      </c>
    </row>
    <row r="15" spans="1:20">
      <c r="A15" s="210" t="s">
        <v>167</v>
      </c>
      <c r="B15" s="211"/>
      <c r="C15" s="212"/>
      <c r="D15" s="212"/>
      <c r="E15" s="212"/>
      <c r="F15" s="212"/>
      <c r="G15" s="208"/>
      <c r="H15" s="212"/>
      <c r="I15" s="212"/>
      <c r="J15" s="212"/>
      <c r="K15" s="208"/>
      <c r="L15" s="212"/>
      <c r="M15" s="212"/>
      <c r="N15" s="212"/>
      <c r="O15" s="213"/>
      <c r="P15" s="212"/>
      <c r="Q15" s="212"/>
      <c r="R15" s="212"/>
      <c r="S15" s="213"/>
      <c r="T15" s="209"/>
    </row>
    <row r="16" spans="1:20">
      <c r="A16" s="210" t="s">
        <v>168</v>
      </c>
      <c r="B16" s="211"/>
      <c r="C16" s="212"/>
      <c r="D16" s="212"/>
      <c r="E16" s="212"/>
      <c r="F16" s="212"/>
      <c r="G16" s="208"/>
      <c r="H16" s="212"/>
      <c r="I16" s="212"/>
      <c r="J16" s="212"/>
      <c r="K16" s="208"/>
      <c r="L16" s="212"/>
      <c r="M16" s="212"/>
      <c r="N16" s="212"/>
      <c r="O16" s="213"/>
      <c r="P16" s="212"/>
      <c r="Q16" s="212"/>
      <c r="R16" s="212"/>
      <c r="S16" s="213"/>
      <c r="T16" s="209"/>
    </row>
    <row r="17" spans="1:20" ht="15">
      <c r="A17" s="214" t="s">
        <v>169</v>
      </c>
      <c r="B17" s="211"/>
      <c r="C17" s="223">
        <v>5360866800</v>
      </c>
      <c r="D17" s="212"/>
      <c r="E17" s="212">
        <f>G17/2</f>
        <v>482478012</v>
      </c>
      <c r="F17" s="212">
        <f>G17/2</f>
        <v>482478012</v>
      </c>
      <c r="G17" s="208">
        <f>C17*0.18</f>
        <v>964956024</v>
      </c>
      <c r="H17" s="212">
        <f>K17</f>
        <v>214434672</v>
      </c>
      <c r="I17" s="212"/>
      <c r="J17" s="212"/>
      <c r="K17" s="208">
        <f>C17*0.04</f>
        <v>214434672</v>
      </c>
      <c r="L17" s="212">
        <f>O17/2</f>
        <v>1206195030</v>
      </c>
      <c r="M17" s="212">
        <f>O17/2</f>
        <v>1206195030</v>
      </c>
      <c r="N17" s="212"/>
      <c r="O17" s="208">
        <f>C17*0.45</f>
        <v>2412390060</v>
      </c>
      <c r="P17" s="212">
        <f>S17/2</f>
        <v>884543022</v>
      </c>
      <c r="Q17" s="212">
        <f>S17/2</f>
        <v>884543022</v>
      </c>
      <c r="R17" s="212"/>
      <c r="S17" s="208">
        <f>C17*0.33</f>
        <v>1769086044</v>
      </c>
      <c r="T17" s="209">
        <f>S17+O17+K17+G17</f>
        <v>5360866800</v>
      </c>
    </row>
    <row r="18" spans="1:20" ht="15">
      <c r="A18" s="214" t="s">
        <v>170</v>
      </c>
      <c r="B18" s="205"/>
      <c r="C18" s="227">
        <v>693505873</v>
      </c>
      <c r="D18" s="217">
        <f>C18/12</f>
        <v>57792156.083333336</v>
      </c>
      <c r="E18" s="217">
        <f>D18</f>
        <v>57792156.083333336</v>
      </c>
      <c r="F18" s="217">
        <f>E18</f>
        <v>57792156.083333336</v>
      </c>
      <c r="G18" s="208">
        <f>SUM(D18:F18)</f>
        <v>173376468.25</v>
      </c>
      <c r="H18" s="217">
        <f>F18</f>
        <v>57792156.083333336</v>
      </c>
      <c r="I18" s="217">
        <f>H18</f>
        <v>57792156.083333336</v>
      </c>
      <c r="J18" s="217">
        <f>I18</f>
        <v>57792156.083333336</v>
      </c>
      <c r="K18" s="208">
        <f>SUM(H18:J18)</f>
        <v>173376468.25</v>
      </c>
      <c r="L18" s="217">
        <f>J18</f>
        <v>57792156.083333336</v>
      </c>
      <c r="M18" s="217">
        <f>L18</f>
        <v>57792156.083333336</v>
      </c>
      <c r="N18" s="217">
        <f>M18</f>
        <v>57792156.083333336</v>
      </c>
      <c r="O18" s="208">
        <f>SUM(L18:N18)</f>
        <v>173376468.25</v>
      </c>
      <c r="P18" s="217">
        <f>N18</f>
        <v>57792156.083333336</v>
      </c>
      <c r="Q18" s="217">
        <f>P18</f>
        <v>57792156.083333336</v>
      </c>
      <c r="R18" s="217">
        <f>Q18</f>
        <v>57792156.083333336</v>
      </c>
      <c r="S18" s="208">
        <f>SUM(P18:R18)</f>
        <v>173376468.25</v>
      </c>
      <c r="T18" s="209">
        <f>S18+O18+K18+G18</f>
        <v>693505873</v>
      </c>
    </row>
    <row r="19" spans="1:20">
      <c r="A19" s="204" t="s">
        <v>171</v>
      </c>
      <c r="B19" s="205"/>
      <c r="C19" s="206"/>
      <c r="D19" s="215"/>
      <c r="E19" s="216"/>
      <c r="F19" s="216"/>
      <c r="G19" s="208"/>
      <c r="H19" s="216"/>
      <c r="I19" s="216"/>
      <c r="J19" s="216"/>
      <c r="K19" s="208"/>
      <c r="L19" s="216"/>
      <c r="M19" s="216"/>
      <c r="N19" s="216"/>
      <c r="O19" s="208"/>
      <c r="P19" s="215"/>
      <c r="Q19" s="217"/>
      <c r="R19" s="217"/>
      <c r="S19" s="208"/>
      <c r="T19" s="209"/>
    </row>
    <row r="20" spans="1:20" ht="15">
      <c r="A20" s="214" t="s">
        <v>169</v>
      </c>
      <c r="B20" s="205"/>
      <c r="C20" s="228">
        <v>2698559250</v>
      </c>
      <c r="D20" s="217"/>
      <c r="E20" s="217">
        <f>G20</f>
        <v>656364283.5859921</v>
      </c>
      <c r="F20" s="217"/>
      <c r="G20" s="208">
        <f>C20*G26</f>
        <v>656364283.5859921</v>
      </c>
      <c r="H20" s="216">
        <f>K20/2</f>
        <v>73141850.465900958</v>
      </c>
      <c r="I20" s="216">
        <f>H20</f>
        <v>73141850.465900958</v>
      </c>
      <c r="J20" s="216"/>
      <c r="K20" s="233">
        <f>C20*K26</f>
        <v>146283700.93180192</v>
      </c>
      <c r="L20" s="216">
        <f>O20/2</f>
        <v>551999102.35379446</v>
      </c>
      <c r="M20" s="216">
        <f>O20/2</f>
        <v>551999102.35379446</v>
      </c>
      <c r="N20" s="216"/>
      <c r="O20" s="233">
        <f>C20*O26</f>
        <v>1103998204.7075889</v>
      </c>
      <c r="P20" s="217">
        <f>S20/2</f>
        <v>395956530.38730836</v>
      </c>
      <c r="Q20" s="217">
        <f>S20</f>
        <v>791913060.77461672</v>
      </c>
      <c r="R20" s="217"/>
      <c r="S20" s="233">
        <f>C20*S26</f>
        <v>791913060.77461672</v>
      </c>
      <c r="T20" s="209">
        <f>S20+O20+K20+G20</f>
        <v>2698559250</v>
      </c>
    </row>
    <row r="21" spans="1:20" ht="15">
      <c r="A21" s="214" t="s">
        <v>172</v>
      </c>
      <c r="B21" s="205"/>
      <c r="C21" s="229">
        <v>674642000</v>
      </c>
      <c r="D21" s="206"/>
      <c r="E21" s="206">
        <f>G21</f>
        <v>91341533.714666665</v>
      </c>
      <c r="F21" s="206"/>
      <c r="G21" s="233">
        <f>C21*G27</f>
        <v>91341533.714666665</v>
      </c>
      <c r="H21" s="206">
        <f>K21</f>
        <v>29300000.000000004</v>
      </c>
      <c r="I21" s="206"/>
      <c r="J21" s="206"/>
      <c r="K21" s="208">
        <f>C21*K27</f>
        <v>29300000.000000004</v>
      </c>
      <c r="L21" s="206">
        <f>O21</f>
        <v>331844962.87066668</v>
      </c>
      <c r="M21" s="206"/>
      <c r="N21" s="206"/>
      <c r="O21" s="233">
        <f>C21*O27</f>
        <v>331844962.87066668</v>
      </c>
      <c r="P21" s="218">
        <f>S21</f>
        <v>222155503.41466671</v>
      </c>
      <c r="Q21" s="218"/>
      <c r="R21" s="218"/>
      <c r="S21" s="233">
        <f>C21*S27</f>
        <v>222155503.41466671</v>
      </c>
      <c r="T21" s="209">
        <f>S21+O21+K21+G21</f>
        <v>674642000</v>
      </c>
    </row>
    <row r="22" spans="1:20">
      <c r="A22" s="219" t="s">
        <v>141</v>
      </c>
      <c r="B22" s="219"/>
      <c r="C22" s="220">
        <f t="shared" ref="C22:T22" si="0">SUM(C14:C21)</f>
        <v>9609402923</v>
      </c>
      <c r="D22" s="220">
        <f t="shared" si="0"/>
        <v>72944572.75</v>
      </c>
      <c r="E22" s="220">
        <f t="shared" si="0"/>
        <v>1303128402.0506587</v>
      </c>
      <c r="F22" s="220">
        <f t="shared" si="0"/>
        <v>555422584.75</v>
      </c>
      <c r="G22" s="220">
        <f t="shared" si="0"/>
        <v>1931495559.5506587</v>
      </c>
      <c r="H22" s="220">
        <f t="shared" si="0"/>
        <v>389821095.21590096</v>
      </c>
      <c r="I22" s="220">
        <f t="shared" si="0"/>
        <v>146086423.21590096</v>
      </c>
      <c r="J22" s="220">
        <f t="shared" si="0"/>
        <v>72944572.75</v>
      </c>
      <c r="K22" s="220">
        <f t="shared" si="0"/>
        <v>608852091.18180192</v>
      </c>
      <c r="L22" s="220">
        <f t="shared" si="0"/>
        <v>2162983667.9744611</v>
      </c>
      <c r="M22" s="220">
        <f t="shared" si="0"/>
        <v>1831138705.1037946</v>
      </c>
      <c r="N22" s="220">
        <f t="shared" si="0"/>
        <v>72944572.75</v>
      </c>
      <c r="O22" s="220">
        <f t="shared" si="0"/>
        <v>4067066945.8282557</v>
      </c>
      <c r="P22" s="220">
        <f t="shared" si="0"/>
        <v>1575599628.551975</v>
      </c>
      <c r="Q22" s="220">
        <f t="shared" si="0"/>
        <v>1749400655.5246167</v>
      </c>
      <c r="R22" s="220">
        <f t="shared" si="0"/>
        <v>72944572.75</v>
      </c>
      <c r="S22" s="220">
        <f t="shared" si="0"/>
        <v>3001988326.4392834</v>
      </c>
      <c r="T22" s="220">
        <f t="shared" si="0"/>
        <v>9609402923</v>
      </c>
    </row>
    <row r="23" spans="1:20">
      <c r="A23" s="9"/>
      <c r="B23" s="9"/>
      <c r="C23" s="9"/>
      <c r="D23" s="7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6"/>
      <c r="T23" s="221"/>
    </row>
    <row r="25" spans="1:20">
      <c r="F25" t="s">
        <v>174</v>
      </c>
      <c r="G25" s="222">
        <v>0.17771770099792089</v>
      </c>
      <c r="H25" s="222"/>
      <c r="I25" s="222"/>
      <c r="J25" s="222"/>
      <c r="K25" s="222">
        <v>4.0034046967222833E-2</v>
      </c>
      <c r="L25" s="222"/>
      <c r="M25" s="222"/>
      <c r="N25" s="222"/>
      <c r="O25" s="222">
        <v>0.45222191861156219</v>
      </c>
      <c r="P25" s="222"/>
      <c r="Q25" s="222"/>
      <c r="R25" s="222"/>
      <c r="S25" s="222">
        <v>0.33002633342329413</v>
      </c>
    </row>
    <row r="26" spans="1:20">
      <c r="F26" t="s">
        <v>175</v>
      </c>
      <c r="G26" s="230">
        <v>0.2432276717978277</v>
      </c>
      <c r="H26" s="231"/>
      <c r="I26" s="231"/>
      <c r="J26" s="231"/>
      <c r="K26" s="231">
        <v>5.4208074524137992E-2</v>
      </c>
      <c r="L26" s="231"/>
      <c r="M26" s="231"/>
      <c r="N26" s="231"/>
      <c r="O26" s="231">
        <v>0.40910652775461165</v>
      </c>
      <c r="P26" s="232"/>
      <c r="Q26" s="231"/>
      <c r="R26" s="231"/>
      <c r="S26" s="231">
        <v>0.29345772592342256</v>
      </c>
    </row>
    <row r="27" spans="1:20">
      <c r="F27" t="s">
        <v>176</v>
      </c>
      <c r="G27" s="230">
        <v>0.13539259891122502</v>
      </c>
      <c r="H27" s="9"/>
      <c r="I27" s="9"/>
      <c r="J27" s="9"/>
      <c r="K27" s="231">
        <v>4.3430441626818375E-2</v>
      </c>
      <c r="L27" s="9"/>
      <c r="M27" s="9"/>
      <c r="N27" s="9"/>
      <c r="O27" s="231">
        <v>0.49188304740983613</v>
      </c>
      <c r="P27" s="9"/>
      <c r="Q27" s="9"/>
      <c r="R27" s="9"/>
      <c r="S27" s="231">
        <v>0.32929391205212055</v>
      </c>
    </row>
  </sheetData>
  <mergeCells count="8">
    <mergeCell ref="A8:A10"/>
    <mergeCell ref="B8:B10"/>
    <mergeCell ref="C8:C10"/>
    <mergeCell ref="D8:T8"/>
    <mergeCell ref="D9:G9"/>
    <mergeCell ref="H9:K9"/>
    <mergeCell ref="L9:O9"/>
    <mergeCell ref="P9:S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"/>
  <sheetViews>
    <sheetView workbookViewId="0">
      <selection activeCell="F55" sqref="F55"/>
    </sheetView>
  </sheetViews>
  <sheetFormatPr baseColWidth="10" defaultColWidth="8.83203125" defaultRowHeight="14" x14ac:dyDescent="0"/>
  <cols>
    <col min="1" max="1" width="33.83203125" customWidth="1"/>
    <col min="2" max="2" width="14" customWidth="1"/>
    <col min="3" max="3" width="17.83203125" bestFit="1" customWidth="1"/>
    <col min="4" max="4" width="18" bestFit="1" customWidth="1"/>
    <col min="5" max="5" width="17.83203125" bestFit="1" customWidth="1"/>
    <col min="6" max="6" width="17.1640625" bestFit="1" customWidth="1"/>
    <col min="7" max="7" width="18" bestFit="1" customWidth="1"/>
    <col min="8" max="8" width="15.5" bestFit="1" customWidth="1"/>
    <col min="9" max="11" width="17.1640625" bestFit="1" customWidth="1"/>
    <col min="12" max="13" width="16.83203125" bestFit="1" customWidth="1"/>
    <col min="14" max="14" width="14.33203125" bestFit="1" customWidth="1"/>
    <col min="15" max="17" width="16.83203125" bestFit="1" customWidth="1"/>
    <col min="18" max="18" width="14.33203125" bestFit="1" customWidth="1"/>
    <col min="19" max="20" width="16.83203125" bestFit="1" customWidth="1"/>
  </cols>
  <sheetData>
    <row r="1" spans="2:10">
      <c r="B1" t="s">
        <v>192</v>
      </c>
    </row>
    <row r="2" spans="2:10" ht="39">
      <c r="B2" s="15" t="s">
        <v>40</v>
      </c>
      <c r="C2" s="15" t="s">
        <v>83</v>
      </c>
      <c r="D2" s="15" t="s">
        <v>84</v>
      </c>
      <c r="E2" s="15" t="s">
        <v>85</v>
      </c>
      <c r="F2" s="15" t="s">
        <v>90</v>
      </c>
      <c r="G2" s="18" t="s">
        <v>13</v>
      </c>
      <c r="I2" s="3"/>
      <c r="J2" s="3"/>
    </row>
    <row r="3" spans="2:10">
      <c r="B3" s="4" t="s">
        <v>62</v>
      </c>
      <c r="C3" s="273">
        <v>66902150</v>
      </c>
      <c r="D3" s="274">
        <f>132749825+100000</f>
        <v>132849825</v>
      </c>
      <c r="E3" s="275">
        <f>C3+D3</f>
        <v>199751975</v>
      </c>
      <c r="F3" s="16">
        <v>20509000</v>
      </c>
      <c r="G3" s="276">
        <f>E3+F3</f>
        <v>220260975</v>
      </c>
    </row>
    <row r="4" spans="2:10">
      <c r="B4" s="4" t="s">
        <v>63</v>
      </c>
      <c r="C4" s="273">
        <v>125612125</v>
      </c>
      <c r="D4" s="274">
        <f>249426950+100000</f>
        <v>249526950</v>
      </c>
      <c r="E4" s="275">
        <f t="shared" ref="E4:E20" si="0">C4+D4</f>
        <v>375139075</v>
      </c>
      <c r="F4" s="16">
        <v>9800000</v>
      </c>
      <c r="G4" s="276">
        <f t="shared" ref="G4:G20" si="1">E4+F4</f>
        <v>384939075</v>
      </c>
    </row>
    <row r="5" spans="2:10">
      <c r="B5" s="4" t="s">
        <v>64</v>
      </c>
      <c r="C5" s="16">
        <v>203932550</v>
      </c>
      <c r="D5" s="274">
        <f>404969325+100000</f>
        <v>405069325</v>
      </c>
      <c r="E5" s="275">
        <f t="shared" si="0"/>
        <v>609001875</v>
      </c>
      <c r="F5" s="16">
        <v>43156000</v>
      </c>
      <c r="G5" s="276">
        <f t="shared" si="1"/>
        <v>652157875</v>
      </c>
    </row>
    <row r="6" spans="2:10">
      <c r="B6" s="4" t="s">
        <v>65</v>
      </c>
      <c r="C6" s="16">
        <v>141935650</v>
      </c>
      <c r="D6" s="274">
        <f>281823175+100000</f>
        <v>281923175</v>
      </c>
      <c r="E6" s="275">
        <f t="shared" si="0"/>
        <v>423858825</v>
      </c>
      <c r="F6" s="16">
        <v>42669000</v>
      </c>
      <c r="G6" s="276">
        <f t="shared" si="1"/>
        <v>466527825</v>
      </c>
    </row>
    <row r="7" spans="2:10">
      <c r="B7" s="4" t="s">
        <v>66</v>
      </c>
      <c r="C7" s="16">
        <v>212084175</v>
      </c>
      <c r="D7" s="274">
        <f>421172575+100000</f>
        <v>421272575</v>
      </c>
      <c r="E7" s="275">
        <f t="shared" si="0"/>
        <v>633356750</v>
      </c>
      <c r="F7" s="16">
        <v>103610000</v>
      </c>
      <c r="G7" s="276">
        <f t="shared" si="1"/>
        <v>736966750</v>
      </c>
    </row>
    <row r="8" spans="2:10">
      <c r="B8" s="4" t="s">
        <v>86</v>
      </c>
      <c r="C8" s="16">
        <v>231664350</v>
      </c>
      <c r="D8" s="274">
        <f>460058100+100000</f>
        <v>460158100</v>
      </c>
      <c r="E8" s="275">
        <f t="shared" si="0"/>
        <v>691822450</v>
      </c>
      <c r="F8" s="16">
        <v>98616000</v>
      </c>
      <c r="G8" s="276">
        <f t="shared" si="1"/>
        <v>790438450</v>
      </c>
    </row>
    <row r="9" spans="2:10">
      <c r="B9" s="4" t="s">
        <v>87</v>
      </c>
      <c r="C9" s="16">
        <v>117460500</v>
      </c>
      <c r="D9" s="274">
        <f>233223700+100000</f>
        <v>233323700</v>
      </c>
      <c r="E9" s="275">
        <f t="shared" si="0"/>
        <v>350784200</v>
      </c>
      <c r="F9" s="16">
        <v>19131000</v>
      </c>
      <c r="G9" s="276">
        <f t="shared" si="1"/>
        <v>369915200</v>
      </c>
    </row>
    <row r="10" spans="2:10">
      <c r="B10" s="4" t="s">
        <v>69</v>
      </c>
      <c r="C10" s="16">
        <v>185970700</v>
      </c>
      <c r="D10" s="274">
        <f>369328450+100000</f>
        <v>369428450</v>
      </c>
      <c r="E10" s="275">
        <f t="shared" si="0"/>
        <v>555399150</v>
      </c>
      <c r="F10" s="17">
        <v>43900000</v>
      </c>
      <c r="G10" s="276">
        <f t="shared" si="1"/>
        <v>599299150</v>
      </c>
    </row>
    <row r="11" spans="2:10">
      <c r="B11" s="4" t="s">
        <v>70</v>
      </c>
      <c r="C11" s="16">
        <v>164782475</v>
      </c>
      <c r="D11" s="274">
        <f>327188000+100000</f>
        <v>327288000</v>
      </c>
      <c r="E11" s="275">
        <f t="shared" si="0"/>
        <v>492070475</v>
      </c>
      <c r="F11" s="17">
        <v>33250000</v>
      </c>
      <c r="G11" s="276">
        <f t="shared" si="1"/>
        <v>525320475</v>
      </c>
    </row>
    <row r="12" spans="2:10">
      <c r="B12" s="4" t="s">
        <v>71</v>
      </c>
      <c r="C12" s="16">
        <v>176190750</v>
      </c>
      <c r="D12" s="274">
        <f>349880550+100000</f>
        <v>349980550</v>
      </c>
      <c r="E12" s="275">
        <f t="shared" si="0"/>
        <v>526171300</v>
      </c>
      <c r="F12" s="17">
        <v>48923000</v>
      </c>
      <c r="G12" s="276">
        <f t="shared" si="1"/>
        <v>575094300</v>
      </c>
    </row>
    <row r="13" spans="2:10">
      <c r="B13" s="4" t="s">
        <v>72</v>
      </c>
      <c r="C13" s="16">
        <v>233110200</v>
      </c>
      <c r="D13" s="274">
        <f>463485225+100000</f>
        <v>463585225</v>
      </c>
      <c r="E13" s="275">
        <f t="shared" si="0"/>
        <v>696695425</v>
      </c>
      <c r="F13" s="17">
        <v>56675000</v>
      </c>
      <c r="G13" s="276">
        <f t="shared" si="1"/>
        <v>753370425</v>
      </c>
    </row>
    <row r="14" spans="2:10">
      <c r="B14" s="4" t="s">
        <v>73</v>
      </c>
      <c r="C14" s="16">
        <v>120717150</v>
      </c>
      <c r="D14" s="274">
        <f>239703000+100000</f>
        <v>239803000</v>
      </c>
      <c r="E14" s="275">
        <f t="shared" si="0"/>
        <v>360520150</v>
      </c>
      <c r="F14" s="17">
        <v>13625000</v>
      </c>
      <c r="G14" s="276">
        <f t="shared" si="1"/>
        <v>374145150</v>
      </c>
    </row>
    <row r="15" spans="2:10">
      <c r="B15" s="4" t="s">
        <v>74</v>
      </c>
      <c r="C15" s="16">
        <v>153343925</v>
      </c>
      <c r="D15" s="274">
        <f>304515725+100000</f>
        <v>304615725</v>
      </c>
      <c r="E15" s="275">
        <f t="shared" si="0"/>
        <v>457959650</v>
      </c>
      <c r="F15" s="17">
        <v>11520000</v>
      </c>
      <c r="G15" s="276">
        <f t="shared" si="1"/>
        <v>469479650</v>
      </c>
    </row>
    <row r="16" spans="2:10">
      <c r="B16" s="4" t="s">
        <v>75</v>
      </c>
      <c r="C16" s="16">
        <v>83205400</v>
      </c>
      <c r="D16" s="274">
        <f>165166325+100000</f>
        <v>165266325</v>
      </c>
      <c r="E16" s="275">
        <f t="shared" si="0"/>
        <v>248471725</v>
      </c>
      <c r="F16" s="17">
        <v>23187000</v>
      </c>
      <c r="G16" s="276">
        <f t="shared" si="1"/>
        <v>271658725</v>
      </c>
    </row>
    <row r="17" spans="2:7">
      <c r="B17" s="4" t="s">
        <v>76</v>
      </c>
      <c r="C17" s="16">
        <v>81577075</v>
      </c>
      <c r="D17" s="274">
        <f>161921675+100000</f>
        <v>162021675</v>
      </c>
      <c r="E17" s="275">
        <f t="shared" si="0"/>
        <v>243598750</v>
      </c>
      <c r="F17" s="17">
        <v>42656000</v>
      </c>
      <c r="G17" s="276">
        <f t="shared" si="1"/>
        <v>286254750</v>
      </c>
    </row>
    <row r="18" spans="2:7">
      <c r="B18" s="4" t="s">
        <v>77</v>
      </c>
      <c r="C18" s="16">
        <v>119088825</v>
      </c>
      <c r="D18" s="274">
        <f>236468350+100000</f>
        <v>236568350</v>
      </c>
      <c r="E18" s="275">
        <f t="shared" si="0"/>
        <v>355657175</v>
      </c>
      <c r="F18" s="17">
        <v>22055000</v>
      </c>
      <c r="G18" s="276">
        <f t="shared" si="1"/>
        <v>377712175</v>
      </c>
    </row>
    <row r="19" spans="2:7">
      <c r="B19" s="4" t="s">
        <v>79</v>
      </c>
      <c r="C19" s="16">
        <v>92985350</v>
      </c>
      <c r="D19" s="274">
        <f>184614225+100000</f>
        <v>184714225</v>
      </c>
      <c r="E19" s="275">
        <f t="shared" si="0"/>
        <v>277699575</v>
      </c>
      <c r="F19" s="17">
        <v>41360000</v>
      </c>
      <c r="G19" s="276">
        <f t="shared" si="1"/>
        <v>319059575</v>
      </c>
    </row>
    <row r="20" spans="2:7">
      <c r="B20" s="4" t="s">
        <v>78</v>
      </c>
      <c r="C20" s="13">
        <v>119105953.7976</v>
      </c>
      <c r="D20" s="6">
        <v>52565368.5</v>
      </c>
      <c r="E20" s="275">
        <f t="shared" si="0"/>
        <v>171671322.2976</v>
      </c>
      <c r="F20" s="17">
        <v>0</v>
      </c>
      <c r="G20" s="276">
        <f t="shared" si="1"/>
        <v>171671322.2976</v>
      </c>
    </row>
    <row r="21" spans="2:7">
      <c r="B21" s="19" t="s">
        <v>88</v>
      </c>
      <c r="C21" s="277">
        <f t="shared" ref="C21:F21" si="2">SUM(C3:C20)</f>
        <v>2629669303.7975998</v>
      </c>
      <c r="D21" s="277">
        <f t="shared" si="2"/>
        <v>5039960543.5</v>
      </c>
      <c r="E21" s="277">
        <f t="shared" si="2"/>
        <v>7669629847.2975998</v>
      </c>
      <c r="F21" s="277">
        <f t="shared" si="2"/>
        <v>674642000</v>
      </c>
      <c r="G21" s="277">
        <f>SUM(G3:G20)</f>
        <v>8344271847.2975998</v>
      </c>
    </row>
    <row r="22" spans="2:7">
      <c r="G22" s="7"/>
    </row>
    <row r="23" spans="2:7">
      <c r="B23" s="292" t="s">
        <v>193</v>
      </c>
      <c r="G23" s="3"/>
    </row>
    <row r="24" spans="2:7" hidden="1">
      <c r="B24" s="293" t="s">
        <v>62</v>
      </c>
      <c r="C24" s="293">
        <v>15622408</v>
      </c>
      <c r="G24" s="7"/>
    </row>
    <row r="25" spans="2:7" hidden="1">
      <c r="B25" s="293" t="s">
        <v>63</v>
      </c>
      <c r="C25" s="293">
        <v>32521912</v>
      </c>
      <c r="G25" s="7"/>
    </row>
    <row r="26" spans="2:7" hidden="1">
      <c r="B26" s="293" t="s">
        <v>64</v>
      </c>
      <c r="C26" s="293">
        <v>49333480</v>
      </c>
    </row>
    <row r="27" spans="2:7" hidden="1">
      <c r="B27" s="293" t="s">
        <v>65</v>
      </c>
      <c r="C27" s="293">
        <v>36090184</v>
      </c>
    </row>
    <row r="28" spans="2:7" hidden="1">
      <c r="B28" s="293" t="s">
        <v>66</v>
      </c>
      <c r="C28" s="293">
        <v>52687744</v>
      </c>
    </row>
    <row r="29" spans="2:7" hidden="1">
      <c r="B29" s="293" t="s">
        <v>67</v>
      </c>
      <c r="C29" s="293">
        <v>57405976</v>
      </c>
    </row>
    <row r="30" spans="2:7" hidden="1">
      <c r="B30" s="293" t="s">
        <v>68</v>
      </c>
      <c r="C30" s="293">
        <v>25401460</v>
      </c>
    </row>
    <row r="31" spans="2:7" hidden="1">
      <c r="B31" s="293" t="s">
        <v>69</v>
      </c>
      <c r="C31" s="293">
        <v>42392164</v>
      </c>
    </row>
    <row r="32" spans="2:7" hidden="1">
      <c r="B32" s="293" t="s">
        <v>70</v>
      </c>
      <c r="C32" s="293">
        <v>39159684</v>
      </c>
    </row>
    <row r="33" spans="2:3" hidden="1">
      <c r="B33" s="293" t="s">
        <v>71</v>
      </c>
      <c r="C33" s="293">
        <v>35960376</v>
      </c>
    </row>
    <row r="34" spans="2:3" hidden="1">
      <c r="B34" s="293" t="s">
        <v>72</v>
      </c>
      <c r="C34" s="293">
        <v>49711148</v>
      </c>
    </row>
    <row r="35" spans="2:3" hidden="1">
      <c r="B35" s="293" t="s">
        <v>73</v>
      </c>
      <c r="C35" s="293">
        <v>19340956</v>
      </c>
    </row>
    <row r="36" spans="2:3" hidden="1">
      <c r="B36" s="293" t="s">
        <v>74</v>
      </c>
      <c r="C36" s="293">
        <v>32477680</v>
      </c>
    </row>
    <row r="37" spans="2:3" hidden="1">
      <c r="B37" s="293" t="s">
        <v>75</v>
      </c>
      <c r="C37" s="293">
        <v>15083812</v>
      </c>
    </row>
    <row r="38" spans="2:3" hidden="1">
      <c r="B38" s="293" t="s">
        <v>76</v>
      </c>
      <c r="C38" s="293">
        <v>23783428</v>
      </c>
    </row>
    <row r="39" spans="2:3" hidden="1">
      <c r="B39" s="293" t="s">
        <v>77</v>
      </c>
      <c r="C39" s="293">
        <v>22767544</v>
      </c>
    </row>
    <row r="40" spans="2:3" hidden="1">
      <c r="B40" s="293" t="s">
        <v>78</v>
      </c>
      <c r="C40" s="293">
        <v>36144544</v>
      </c>
    </row>
    <row r="41" spans="2:3" hidden="1">
      <c r="B41" s="293" t="s">
        <v>79</v>
      </c>
      <c r="C41" s="293">
        <v>4591980</v>
      </c>
    </row>
    <row r="42" spans="2:3" hidden="1">
      <c r="B42" s="293" t="s">
        <v>97</v>
      </c>
      <c r="C42" s="293">
        <v>9992316</v>
      </c>
    </row>
    <row r="43" spans="2:3" hidden="1">
      <c r="B43" s="293" t="s">
        <v>98</v>
      </c>
      <c r="C43" s="293">
        <v>12624624</v>
      </c>
    </row>
    <row r="44" spans="2:3" hidden="1">
      <c r="B44" s="293" t="s">
        <v>80</v>
      </c>
      <c r="C44" s="293">
        <v>82112453</v>
      </c>
    </row>
    <row r="45" spans="2:3">
      <c r="B45" s="294" t="s">
        <v>81</v>
      </c>
      <c r="C45" s="294">
        <f>SUM(C24:C44)</f>
        <v>695205873</v>
      </c>
    </row>
    <row r="47" spans="2:3">
      <c r="B47" s="295" t="s">
        <v>194</v>
      </c>
    </row>
    <row r="48" spans="2:3">
      <c r="B48" s="295" t="s">
        <v>195</v>
      </c>
    </row>
    <row r="49" spans="2:3">
      <c r="B49" s="295" t="s">
        <v>80</v>
      </c>
      <c r="C49" s="291">
        <v>364381413.70240021</v>
      </c>
    </row>
    <row r="51" spans="2:3">
      <c r="B51" s="295" t="s">
        <v>196</v>
      </c>
    </row>
    <row r="52" spans="2:3">
      <c r="C52" s="296">
        <f>C49+C45+G21</f>
        <v>9403859134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WFP CY2016 (2)</vt:lpstr>
      <vt:lpstr>WFP CY2016</vt:lpstr>
      <vt:lpstr>Admincost</vt:lpstr>
      <vt:lpstr>Grants</vt:lpstr>
      <vt:lpstr>PS</vt:lpstr>
      <vt:lpstr>NIR</vt:lpstr>
      <vt:lpstr>allotment sched</vt:lpstr>
      <vt:lpstr>working paper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Juan Miguel de la Cruz</cp:lastModifiedBy>
  <cp:lastPrinted>2016-04-12T05:09:12Z</cp:lastPrinted>
  <dcterms:created xsi:type="dcterms:W3CDTF">2016-01-26T06:47:57Z</dcterms:created>
  <dcterms:modified xsi:type="dcterms:W3CDTF">2016-09-03T14:36:17Z</dcterms:modified>
</cp:coreProperties>
</file>