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5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6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7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8.xml" ContentType="application/vnd.ms-excel.controlproperties+xml"/>
  <Override PartName="/xl/drawings/drawing12.xml" ContentType="application/vnd.openxmlformats-officedocument.drawing+xml"/>
  <Override PartName="/xl/ctrlProps/ctrlProp29.xml" ContentType="application/vnd.ms-excel.controlproperties+xml"/>
  <Override PartName="/xl/drawings/drawing13.xml" ContentType="application/vnd.openxmlformats-officedocument.drawing+xml"/>
  <Override PartName="/xl/ctrlProps/ctrlProp30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31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ctrlProps/ctrlProp32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238" firstSheet="19" activeTab="21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1" sheetId="21" r:id="rId20"/>
    <sheet name="001_002" sheetId="22" r:id="rId21"/>
    <sheet name="001_003" sheetId="23" r:id="rId22"/>
    <sheet name="001_004" sheetId="24" state="hidden" r:id="rId23"/>
    <sheet name="001_005" sheetId="20" state="hidden" r:id="rId24"/>
    <sheet name="012" sheetId="25" state="hidden" r:id="rId25"/>
    <sheet name="013" sheetId="26" state="hidden" r:id="rId26"/>
    <sheet name="011_003" sheetId="27" state="hidden" r:id="rId27"/>
    <sheet name="Feuil2" sheetId="28" state="hidden" r:id="rId28"/>
  </sheets>
  <functionGroups builtInGroupCount="17"/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'004_002'!$D$2:$H$10</definedName>
    <definedName name="Metalhom.accdb_7" localSheetId="8" hidden="1">'004_002'!$BX$2:$CE$11</definedName>
    <definedName name="Metalhom_R_OutilUsinage_Percage" localSheetId="8" hidden="1">'004_002'!$Q$2:$X$48</definedName>
    <definedName name="Outillage.accdb" localSheetId="8" hidden="1">'004_002'!$CG$2:$CO$11</definedName>
    <definedName name="Outillage.accdb_1" localSheetId="8" hidden="1">'004_002'!$CQ$2:$CX$9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'011_002'!$P$1:$P$20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0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U24" i="23" l="1"/>
  <c r="S24" i="23"/>
  <c r="S22" i="23"/>
  <c r="T11" i="23" s="1"/>
  <c r="U22" i="23"/>
  <c r="W19" i="22"/>
  <c r="W19" i="21"/>
  <c r="W17" i="21"/>
  <c r="V17" i="21"/>
  <c r="V19" i="21" s="1"/>
  <c r="W17" i="22"/>
  <c r="V17" i="22"/>
  <c r="T22" i="23"/>
  <c r="F5" i="23"/>
  <c r="E5" i="23"/>
  <c r="F5" i="21"/>
  <c r="V11" i="21"/>
  <c r="U11" i="21"/>
  <c r="U19" i="21"/>
  <c r="U17" i="21"/>
  <c r="G5" i="21"/>
  <c r="V11" i="22"/>
  <c r="U11" i="22"/>
  <c r="V19" i="22"/>
  <c r="U19" i="22"/>
  <c r="U17" i="22"/>
  <c r="F5" i="22"/>
  <c r="G5" i="22"/>
  <c r="U8" i="23" l="1"/>
  <c r="T8" i="23"/>
  <c r="AG4" i="23"/>
  <c r="AG5" i="23" s="1"/>
  <c r="J5" i="23"/>
  <c r="I5" i="23"/>
  <c r="Z8" i="23"/>
  <c r="Z7" i="23"/>
  <c r="AA8" i="21" l="1"/>
  <c r="AA7" i="21"/>
  <c r="K5" i="21"/>
  <c r="J5" i="21"/>
  <c r="AA8" i="22"/>
  <c r="AA7" i="22"/>
  <c r="K5" i="22"/>
  <c r="J5" i="22"/>
  <c r="D104" i="2" l="1"/>
  <c r="D105" i="2" s="1"/>
  <c r="AG11" i="23" l="1"/>
  <c r="AF11" i="23"/>
  <c r="AG9" i="23"/>
  <c r="AF9" i="23"/>
  <c r="AF13" i="23" l="1"/>
  <c r="AG13" i="23"/>
  <c r="E6" i="27"/>
  <c r="E8" i="27" s="1"/>
  <c r="BW30" i="16"/>
  <c r="BW29" i="16"/>
  <c r="AH13" i="23" l="1"/>
  <c r="AI13" i="23" s="1"/>
  <c r="AK13" i="23" s="1"/>
  <c r="H6" i="27"/>
  <c r="C4" i="26"/>
  <c r="C5" i="26"/>
  <c r="C6" i="26"/>
  <c r="C7" i="26"/>
  <c r="C8" i="26"/>
  <c r="C9" i="26"/>
  <c r="C10" i="26"/>
  <c r="C11" i="26"/>
  <c r="C3" i="26"/>
  <c r="AJ13" i="23" l="1"/>
  <c r="AJ14" i="23" s="1"/>
  <c r="AG16" i="23" s="1"/>
  <c r="AF16" i="23" s="1"/>
  <c r="C7" i="25"/>
  <c r="C6" i="25"/>
  <c r="P31" i="23" l="1"/>
  <c r="C9" i="25"/>
  <c r="B5" i="17"/>
  <c r="R31" i="24" l="1"/>
  <c r="K10" i="24"/>
  <c r="Q8" i="24" s="1"/>
  <c r="M8" i="24"/>
  <c r="U12" i="24"/>
  <c r="J12" i="24"/>
  <c r="I12" i="24"/>
  <c r="X8" i="24"/>
  <c r="U5" i="24"/>
  <c r="T5" i="24"/>
  <c r="U12" i="23"/>
  <c r="X8" i="23"/>
  <c r="W11" i="22"/>
  <c r="Y8" i="22"/>
  <c r="S8" i="22"/>
  <c r="S9" i="22" s="1"/>
  <c r="R8" i="22"/>
  <c r="U22" i="22" l="1"/>
  <c r="A6" i="22" s="1"/>
  <c r="U23" i="22"/>
  <c r="AF20" i="23"/>
  <c r="AF21" i="23" s="1"/>
  <c r="E5" i="24"/>
  <c r="F5" i="24"/>
  <c r="T14" i="24"/>
  <c r="E12" i="24" s="1"/>
  <c r="R27" i="24"/>
  <c r="U8" i="24"/>
  <c r="U10" i="24" s="1"/>
  <c r="U11" i="24"/>
  <c r="L7" i="24" s="1"/>
  <c r="T8" i="22"/>
  <c r="U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R34" i="23" l="1"/>
  <c r="O34" i="23" s="1"/>
  <c r="U11" i="23"/>
  <c r="P22" i="22"/>
  <c r="A10" i="22"/>
  <c r="O8" i="24"/>
  <c r="H8" i="24"/>
  <c r="G8" i="24" s="1"/>
  <c r="X10" i="24"/>
  <c r="J10" i="21"/>
  <c r="R10" i="21" s="1"/>
  <c r="Y8" i="21"/>
  <c r="S8" i="21"/>
  <c r="R8" i="21"/>
  <c r="U22" i="21" s="1"/>
  <c r="A6" i="21" s="1"/>
  <c r="J9" i="22" l="1"/>
  <c r="N40" i="23"/>
  <c r="O40" i="23"/>
  <c r="P40" i="23" s="1"/>
  <c r="N41" i="23" s="1"/>
  <c r="N34" i="23"/>
  <c r="O39" i="23"/>
  <c r="U23" i="21"/>
  <c r="A10" i="21" s="1"/>
  <c r="R34" i="22"/>
  <c r="O34" i="22" s="1"/>
  <c r="U8" i="22" s="1"/>
  <c r="P34" i="22"/>
  <c r="Q34" i="22"/>
  <c r="V8" i="22" s="1"/>
  <c r="O34" i="21"/>
  <c r="AG5" i="24"/>
  <c r="T12" i="24" s="1"/>
  <c r="T11" i="24" s="1"/>
  <c r="K7" i="24" s="1"/>
  <c r="I5" i="24"/>
  <c r="J5" i="24"/>
  <c r="E10" i="24"/>
  <c r="P34" i="21"/>
  <c r="P35" i="21"/>
  <c r="V8" i="21" s="1"/>
  <c r="T8" i="21"/>
  <c r="N10" i="21"/>
  <c r="AF18" i="23" l="1"/>
  <c r="O31" i="23"/>
  <c r="N31" i="23"/>
  <c r="T5" i="23"/>
  <c r="O35" i="21"/>
  <c r="N11" i="21"/>
  <c r="S34" i="22"/>
  <c r="T34" i="22" s="1"/>
  <c r="U34" i="22" s="1"/>
  <c r="R35" i="22"/>
  <c r="U13" i="22"/>
  <c r="L6" i="21"/>
  <c r="Y10" i="22"/>
  <c r="T27" i="24"/>
  <c r="T28" i="24" s="1"/>
  <c r="T8" i="24" s="1"/>
  <c r="R28" i="24"/>
  <c r="R32" i="24"/>
  <c r="R34" i="24"/>
  <c r="T12" i="23"/>
  <c r="O10" i="21"/>
  <c r="O11" i="21" s="1"/>
  <c r="U8" i="21" l="1"/>
  <c r="U10" i="21" s="1"/>
  <c r="N39" i="23"/>
  <c r="K6" i="23"/>
  <c r="V10" i="21"/>
  <c r="Y10" i="21"/>
  <c r="S35" i="22"/>
  <c r="N34" i="22"/>
  <c r="U35" i="22"/>
  <c r="X8" i="22"/>
  <c r="I8" i="21"/>
  <c r="H8" i="21" s="1"/>
  <c r="I8" i="22"/>
  <c r="X21" i="22" s="1"/>
  <c r="V10" i="22"/>
  <c r="U36" i="22"/>
  <c r="T10" i="23"/>
  <c r="W8" i="23"/>
  <c r="Y8" i="23" s="1"/>
  <c r="W8" i="24"/>
  <c r="Y8" i="24" s="1"/>
  <c r="AB8" i="24" s="1"/>
  <c r="T10" i="24"/>
  <c r="V10" i="24" s="1"/>
  <c r="V8" i="24"/>
  <c r="P10" i="21"/>
  <c r="Q10" i="21" s="1"/>
  <c r="X21" i="21" l="1"/>
  <c r="U10" i="22"/>
  <c r="W10" i="22" s="1"/>
  <c r="W8" i="22"/>
  <c r="V22" i="22" s="1"/>
  <c r="B6" i="22" s="1"/>
  <c r="F10" i="21"/>
  <c r="W21" i="22"/>
  <c r="W23" i="22" s="1"/>
  <c r="C10" i="22" s="1"/>
  <c r="F10" i="22"/>
  <c r="H8" i="22"/>
  <c r="A6" i="24"/>
  <c r="AA8" i="24"/>
  <c r="W10" i="24"/>
  <c r="B6" i="24" s="1"/>
  <c r="Q12" i="21"/>
  <c r="W8" i="21" s="1"/>
  <c r="Q11" i="21"/>
  <c r="X8" i="21"/>
  <c r="Z8" i="21" s="1"/>
  <c r="V23" i="22" l="1"/>
  <c r="B10" i="22" s="1"/>
  <c r="X10" i="22"/>
  <c r="Z8" i="22"/>
  <c r="W22" i="22"/>
  <c r="C6" i="22" s="1"/>
  <c r="X10" i="21"/>
  <c r="V23" i="21"/>
  <c r="B10" i="21" s="1"/>
  <c r="V22" i="21"/>
  <c r="B6" i="21" s="1"/>
  <c r="W21" i="21"/>
  <c r="F3697" i="18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F3666" i="18"/>
  <c r="I3666" i="18" s="1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F3660" i="18"/>
  <c r="I3660" i="18" s="1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F3624" i="18"/>
  <c r="I3624" i="18" s="1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F3588" i="18"/>
  <c r="I3588" i="18" s="1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F3572" i="18"/>
  <c r="G3572" i="18" s="1"/>
  <c r="F3571" i="18"/>
  <c r="I3571" i="18" s="1"/>
  <c r="F3570" i="18"/>
  <c r="I3570" i="18" s="1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F3552" i="18"/>
  <c r="I3552" i="18" s="1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F3542" i="18"/>
  <c r="I3542" i="18" s="1"/>
  <c r="F3541" i="18"/>
  <c r="I3541" i="18" s="1"/>
  <c r="F3540" i="18"/>
  <c r="I3540" i="18" s="1"/>
  <c r="F3539" i="18"/>
  <c r="H3539" i="18" s="1"/>
  <c r="F3538" i="18"/>
  <c r="I3538" i="18" s="1"/>
  <c r="F3537" i="18"/>
  <c r="I3537" i="18" s="1"/>
  <c r="F3536" i="18"/>
  <c r="G3536" i="18" s="1"/>
  <c r="F3535" i="18"/>
  <c r="I3535" i="18" s="1"/>
  <c r="F3534" i="18"/>
  <c r="I3534" i="18" s="1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F3504" i="18"/>
  <c r="I3504" i="18" s="1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F3479" i="18"/>
  <c r="I3479" i="18" s="1"/>
  <c r="F3478" i="18"/>
  <c r="F3477" i="18"/>
  <c r="H3477" i="18" s="1"/>
  <c r="F3476" i="18"/>
  <c r="G3476" i="18" s="1"/>
  <c r="F3475" i="18"/>
  <c r="F3474" i="18"/>
  <c r="H3474" i="18" s="1"/>
  <c r="F3473" i="18"/>
  <c r="I3473" i="18" s="1"/>
  <c r="F3472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F3458" i="18"/>
  <c r="G3458" i="18" s="1"/>
  <c r="F3457" i="18"/>
  <c r="F3456" i="18"/>
  <c r="H3456" i="18" s="1"/>
  <c r="F3455" i="18"/>
  <c r="I3455" i="18" s="1"/>
  <c r="F3454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F3409" i="18"/>
  <c r="G3409" i="18" s="1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F3391" i="18"/>
  <c r="G3391" i="18" s="1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F3331" i="18"/>
  <c r="G3331" i="18" s="1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F3304" i="18"/>
  <c r="G3304" i="18" s="1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F3277" i="18"/>
  <c r="G3277" i="18" s="1"/>
  <c r="F3276" i="18"/>
  <c r="F3275" i="18"/>
  <c r="F3274" i="18"/>
  <c r="F3273" i="18"/>
  <c r="F3272" i="18"/>
  <c r="G3272" i="18" s="1"/>
  <c r="F3271" i="18"/>
  <c r="I3271" i="18" s="1"/>
  <c r="F3270" i="18"/>
  <c r="F3269" i="18"/>
  <c r="F3268" i="18"/>
  <c r="I3268" i="18" s="1"/>
  <c r="F3267" i="18"/>
  <c r="F3266" i="18"/>
  <c r="G3266" i="18" s="1"/>
  <c r="F3265" i="18"/>
  <c r="I3265" i="18" s="1"/>
  <c r="F3264" i="18"/>
  <c r="F3263" i="18"/>
  <c r="G3263" i="18" s="1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F3247" i="18"/>
  <c r="G3247" i="18" s="1"/>
  <c r="F3246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F3236" i="18"/>
  <c r="I3236" i="18" s="1"/>
  <c r="F3235" i="18"/>
  <c r="I3235" i="18" s="1"/>
  <c r="F3234" i="18"/>
  <c r="I3234" i="18" s="1"/>
  <c r="F3233" i="18"/>
  <c r="I3233" i="18" s="1"/>
  <c r="F3232" i="18"/>
  <c r="F3231" i="18"/>
  <c r="I3231" i="18" s="1"/>
  <c r="F3230" i="18"/>
  <c r="I3230" i="18" s="1"/>
  <c r="F3229" i="18"/>
  <c r="H3229" i="18" s="1"/>
  <c r="F3228" i="18"/>
  <c r="F3227" i="18"/>
  <c r="I3227" i="18" s="1"/>
  <c r="F3226" i="18"/>
  <c r="H3226" i="18" s="1"/>
  <c r="F3225" i="18"/>
  <c r="I3225" i="18" s="1"/>
  <c r="F3224" i="18"/>
  <c r="I3224" i="18" s="1"/>
  <c r="F3223" i="18"/>
  <c r="F3222" i="18"/>
  <c r="H3222" i="18" s="1"/>
  <c r="F3221" i="18"/>
  <c r="I3221" i="18" s="1"/>
  <c r="F3220" i="18"/>
  <c r="H3220" i="18" s="1"/>
  <c r="F3219" i="18"/>
  <c r="F3218" i="18"/>
  <c r="I3218" i="18" s="1"/>
  <c r="F3217" i="18"/>
  <c r="H3217" i="18" s="1"/>
  <c r="F3216" i="18"/>
  <c r="I3216" i="18" s="1"/>
  <c r="F3215" i="18"/>
  <c r="I3215" i="18" s="1"/>
  <c r="F3214" i="18"/>
  <c r="F3213" i="18"/>
  <c r="I3213" i="18" s="1"/>
  <c r="F3212" i="18"/>
  <c r="I3212" i="18" s="1"/>
  <c r="F3211" i="18"/>
  <c r="H3211" i="18" s="1"/>
  <c r="F3210" i="18"/>
  <c r="F3209" i="18"/>
  <c r="I3209" i="18" s="1"/>
  <c r="F3208" i="18"/>
  <c r="H3208" i="18" s="1"/>
  <c r="F3207" i="18"/>
  <c r="I3207" i="18" s="1"/>
  <c r="F3206" i="18"/>
  <c r="I3206" i="18" s="1"/>
  <c r="F3205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F3198" i="18"/>
  <c r="I3198" i="18" s="1"/>
  <c r="F3197" i="18"/>
  <c r="I3197" i="18" s="1"/>
  <c r="F3196" i="18"/>
  <c r="F3195" i="18"/>
  <c r="G3195" i="18" s="1"/>
  <c r="F3194" i="18"/>
  <c r="I3194" i="18" s="1"/>
  <c r="F3193" i="18"/>
  <c r="F3192" i="18"/>
  <c r="F3191" i="18"/>
  <c r="I3191" i="18" s="1"/>
  <c r="F3190" i="18"/>
  <c r="H3190" i="18" s="1"/>
  <c r="F3189" i="18"/>
  <c r="I3189" i="18" s="1"/>
  <c r="F3188" i="18"/>
  <c r="I3188" i="18" s="1"/>
  <c r="F3187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F3180" i="18"/>
  <c r="I3180" i="18" s="1"/>
  <c r="F3179" i="18"/>
  <c r="I3179" i="18" s="1"/>
  <c r="F3178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F3120" i="18"/>
  <c r="I3120" i="18" s="1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F3100" i="18"/>
  <c r="H3100" i="18" s="1"/>
  <c r="F3099" i="18"/>
  <c r="I3099" i="18" s="1"/>
  <c r="F3098" i="18"/>
  <c r="I3098" i="18" s="1"/>
  <c r="F3097" i="18"/>
  <c r="G3097" i="18" s="1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F3088" i="18"/>
  <c r="H3088" i="18" s="1"/>
  <c r="F3087" i="18"/>
  <c r="I3087" i="18" s="1"/>
  <c r="F3086" i="18"/>
  <c r="F3085" i="18"/>
  <c r="H3085" i="18" s="1"/>
  <c r="F3084" i="18"/>
  <c r="I3084" i="18" s="1"/>
  <c r="F3083" i="18"/>
  <c r="F3082" i="18"/>
  <c r="H3082" i="18" s="1"/>
  <c r="F3081" i="18"/>
  <c r="G3081" i="18" s="1"/>
  <c r="F3080" i="18"/>
  <c r="F3079" i="18"/>
  <c r="H3079" i="18" s="1"/>
  <c r="F3078" i="18"/>
  <c r="H3078" i="18" s="1"/>
  <c r="F3077" i="18"/>
  <c r="F3076" i="18"/>
  <c r="H3076" i="18" s="1"/>
  <c r="F3075" i="18"/>
  <c r="I3075" i="18" s="1"/>
  <c r="F3074" i="18"/>
  <c r="F3073" i="18"/>
  <c r="H3073" i="18" s="1"/>
  <c r="F3072" i="18"/>
  <c r="G3072" i="18" s="1"/>
  <c r="F3071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F3061" i="18"/>
  <c r="H3061" i="18" s="1"/>
  <c r="F3060" i="18"/>
  <c r="H3060" i="18" s="1"/>
  <c r="F3059" i="18"/>
  <c r="F3058" i="18"/>
  <c r="H3058" i="18" s="1"/>
  <c r="F3057" i="18"/>
  <c r="I3057" i="18" s="1"/>
  <c r="F3056" i="18"/>
  <c r="F3055" i="18"/>
  <c r="H3055" i="18" s="1"/>
  <c r="F3054" i="18"/>
  <c r="G3054" i="18" s="1"/>
  <c r="F3053" i="18"/>
  <c r="F3052" i="18"/>
  <c r="H3052" i="18" s="1"/>
  <c r="F3051" i="18"/>
  <c r="H3051" i="18" s="1"/>
  <c r="F3050" i="18"/>
  <c r="F3049" i="18"/>
  <c r="H3049" i="18" s="1"/>
  <c r="F3048" i="18"/>
  <c r="I3048" i="18" s="1"/>
  <c r="F3047" i="18"/>
  <c r="F3046" i="18"/>
  <c r="H3046" i="18" s="1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F2867" i="18"/>
  <c r="G2867" i="18" s="1"/>
  <c r="F2866" i="18"/>
  <c r="I2866" i="18" s="1"/>
  <c r="F2865" i="18"/>
  <c r="F2864" i="18"/>
  <c r="F2863" i="18"/>
  <c r="I2863" i="18" s="1"/>
  <c r="F2862" i="18"/>
  <c r="F2861" i="18"/>
  <c r="F2860" i="18"/>
  <c r="H2860" i="18" s="1"/>
  <c r="F2859" i="18"/>
  <c r="F2858" i="18"/>
  <c r="G2858" i="18" s="1"/>
  <c r="F2857" i="18"/>
  <c r="I2857" i="18" s="1"/>
  <c r="F2856" i="18"/>
  <c r="F2855" i="18"/>
  <c r="G2855" i="18" s="1"/>
  <c r="F2854" i="18"/>
  <c r="G2854" i="18" s="1"/>
  <c r="F2853" i="18"/>
  <c r="F2852" i="18"/>
  <c r="F2851" i="18"/>
  <c r="G2851" i="18" s="1"/>
  <c r="F2850" i="18"/>
  <c r="F2849" i="18"/>
  <c r="G2849" i="18" s="1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F2839" i="18"/>
  <c r="I2839" i="18" s="1"/>
  <c r="F2838" i="18"/>
  <c r="F2837" i="18"/>
  <c r="F2836" i="18"/>
  <c r="I2836" i="18" s="1"/>
  <c r="F2835" i="18"/>
  <c r="F2834" i="18"/>
  <c r="F2833" i="18"/>
  <c r="I2833" i="18" s="1"/>
  <c r="F2832" i="18"/>
  <c r="F2831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F2785" i="18"/>
  <c r="I2785" i="18" s="1"/>
  <c r="F2784" i="18"/>
  <c r="G2784" i="18" s="1"/>
  <c r="F2783" i="18"/>
  <c r="H2783" i="18" s="1"/>
  <c r="F2782" i="18"/>
  <c r="G2782" i="18" s="1"/>
  <c r="F2781" i="18"/>
  <c r="G2781" i="18" s="1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F2764" i="18"/>
  <c r="I2764" i="18" s="1"/>
  <c r="F2763" i="18"/>
  <c r="G2763" i="18" s="1"/>
  <c r="F2762" i="18"/>
  <c r="I2762" i="18" s="1"/>
  <c r="F2761" i="18"/>
  <c r="I2761" i="18" s="1"/>
  <c r="F2760" i="18"/>
  <c r="G2760" i="18" s="1"/>
  <c r="F2759" i="18"/>
  <c r="I2759" i="18" s="1"/>
  <c r="F2758" i="18"/>
  <c r="I2758" i="18" s="1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F2676" i="18"/>
  <c r="G2676" i="18" s="1"/>
  <c r="F2675" i="18"/>
  <c r="F2674" i="18"/>
  <c r="I2674" i="18" s="1"/>
  <c r="F2673" i="18"/>
  <c r="G2673" i="18" s="1"/>
  <c r="F2672" i="18"/>
  <c r="F2671" i="18"/>
  <c r="I2671" i="18" s="1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F2637" i="18"/>
  <c r="G2637" i="18" s="1"/>
  <c r="F2636" i="18"/>
  <c r="F2635" i="18"/>
  <c r="F2634" i="18"/>
  <c r="G2634" i="18" s="1"/>
  <c r="F2633" i="18"/>
  <c r="G2633" i="18" s="1"/>
  <c r="F2632" i="18"/>
  <c r="G2632" i="18" s="1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F2615" i="18"/>
  <c r="G2615" i="18" s="1"/>
  <c r="F2614" i="18"/>
  <c r="G2614" i="18" s="1"/>
  <c r="F2613" i="18"/>
  <c r="G2613" i="18" s="1"/>
  <c r="F2612" i="18"/>
  <c r="F2611" i="18"/>
  <c r="G2611" i="18" s="1"/>
  <c r="F2610" i="18"/>
  <c r="G2610" i="18" s="1"/>
  <c r="F2609" i="18"/>
  <c r="G2609" i="18" s="1"/>
  <c r="F2608" i="18"/>
  <c r="F2607" i="18"/>
  <c r="G2607" i="18" s="1"/>
  <c r="F2606" i="18"/>
  <c r="G2606" i="18" s="1"/>
  <c r="F2605" i="18"/>
  <c r="F2604" i="18"/>
  <c r="G2604" i="18" s="1"/>
  <c r="F2603" i="18"/>
  <c r="F2602" i="18"/>
  <c r="G2602" i="18" s="1"/>
  <c r="F2601" i="18"/>
  <c r="G2601" i="18" s="1"/>
  <c r="F2600" i="18"/>
  <c r="F2599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F2571" i="18"/>
  <c r="G2571" i="18" s="1"/>
  <c r="F2570" i="18"/>
  <c r="I2570" i="18" s="1"/>
  <c r="F2569" i="18"/>
  <c r="H2569" i="18" s="1"/>
  <c r="F2568" i="18"/>
  <c r="G2568" i="18" s="1"/>
  <c r="F2567" i="18"/>
  <c r="G2567" i="18" s="1"/>
  <c r="F2566" i="18"/>
  <c r="H2566" i="18" s="1"/>
  <c r="F2565" i="18"/>
  <c r="G2565" i="18" s="1"/>
  <c r="F2564" i="18"/>
  <c r="H2564" i="18" s="1"/>
  <c r="F2563" i="18"/>
  <c r="H2563" i="18" s="1"/>
  <c r="F2562" i="18"/>
  <c r="G2562" i="18" s="1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F2556" i="18"/>
  <c r="G2556" i="18" s="1"/>
  <c r="F2555" i="18"/>
  <c r="F2554" i="18"/>
  <c r="H2554" i="18" s="1"/>
  <c r="F2553" i="18"/>
  <c r="I2553" i="18" s="1"/>
  <c r="F2552" i="18"/>
  <c r="H2552" i="18" s="1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F2533" i="18"/>
  <c r="H2533" i="18" s="1"/>
  <c r="F2532" i="18"/>
  <c r="I2532" i="18" s="1"/>
  <c r="F2531" i="18"/>
  <c r="H2531" i="18" s="1"/>
  <c r="F2530" i="18"/>
  <c r="H2530" i="18" s="1"/>
  <c r="F2529" i="18"/>
  <c r="I2529" i="18" s="1"/>
  <c r="F2528" i="18"/>
  <c r="F2527" i="18"/>
  <c r="H2527" i="18" s="1"/>
  <c r="F2526" i="18"/>
  <c r="I2526" i="18" s="1"/>
  <c r="F2525" i="18"/>
  <c r="H2525" i="18" s="1"/>
  <c r="F2524" i="18"/>
  <c r="H2524" i="18" s="1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F2517" i="18"/>
  <c r="I2517" i="18" s="1"/>
  <c r="F2516" i="18"/>
  <c r="H2516" i="18" s="1"/>
  <c r="F2515" i="18"/>
  <c r="H2515" i="18" s="1"/>
  <c r="F2514" i="18"/>
  <c r="I2514" i="18" s="1"/>
  <c r="F2513" i="18"/>
  <c r="H2513" i="18" s="1"/>
  <c r="F2512" i="18"/>
  <c r="H2512" i="18" s="1"/>
  <c r="F2511" i="18"/>
  <c r="I2511" i="18" s="1"/>
  <c r="F2510" i="18"/>
  <c r="F2509" i="18"/>
  <c r="H2509" i="18" s="1"/>
  <c r="F2508" i="18"/>
  <c r="I2508" i="18" s="1"/>
  <c r="F2507" i="18"/>
  <c r="H2507" i="18" s="1"/>
  <c r="F2506" i="18"/>
  <c r="H2506" i="18" s="1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F2499" i="18"/>
  <c r="I2499" i="18" s="1"/>
  <c r="F2498" i="18"/>
  <c r="H2498" i="18" s="1"/>
  <c r="F2497" i="18"/>
  <c r="H2497" i="18" s="1"/>
  <c r="F2496" i="18"/>
  <c r="I2496" i="18" s="1"/>
  <c r="F2495" i="18"/>
  <c r="H2495" i="18" s="1"/>
  <c r="F2494" i="18"/>
  <c r="H2494" i="18" s="1"/>
  <c r="F2493" i="18"/>
  <c r="I2493" i="18" s="1"/>
  <c r="F2492" i="18"/>
  <c r="F2491" i="18"/>
  <c r="H2491" i="18" s="1"/>
  <c r="F2490" i="18"/>
  <c r="I2490" i="18" s="1"/>
  <c r="F2489" i="18"/>
  <c r="I2489" i="18" s="1"/>
  <c r="F2488" i="18"/>
  <c r="H2488" i="18" s="1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F2481" i="18"/>
  <c r="I2481" i="18" s="1"/>
  <c r="F2480" i="18"/>
  <c r="I2480" i="18" s="1"/>
  <c r="F2479" i="18"/>
  <c r="H2479" i="18" s="1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F2473" i="18"/>
  <c r="H2473" i="18" s="1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F2465" i="18"/>
  <c r="I2465" i="18" s="1"/>
  <c r="F2464" i="18"/>
  <c r="H2464" i="18" s="1"/>
  <c r="F2463" i="18"/>
  <c r="I2463" i="18" s="1"/>
  <c r="F2462" i="18"/>
  <c r="I2462" i="18" s="1"/>
  <c r="F2461" i="18"/>
  <c r="H2461" i="18" s="1"/>
  <c r="F2460" i="18"/>
  <c r="I2460" i="18" s="1"/>
  <c r="F2459" i="18"/>
  <c r="I2459" i="18" s="1"/>
  <c r="F2458" i="18"/>
  <c r="H2458" i="18" s="1"/>
  <c r="F2457" i="18"/>
  <c r="I2457" i="18" s="1"/>
  <c r="F2456" i="18"/>
  <c r="I2456" i="18" s="1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F2448" i="18"/>
  <c r="I2448" i="18" s="1"/>
  <c r="F2447" i="18"/>
  <c r="I2447" i="18" s="1"/>
  <c r="F2446" i="18"/>
  <c r="H2446" i="18" s="1"/>
  <c r="F2445" i="18"/>
  <c r="I2445" i="18" s="1"/>
  <c r="F2444" i="18"/>
  <c r="I2444" i="18" s="1"/>
  <c r="F2443" i="18"/>
  <c r="H2443" i="18" s="1"/>
  <c r="F2442" i="18"/>
  <c r="I2442" i="18" s="1"/>
  <c r="F2441" i="18"/>
  <c r="I2441" i="18" s="1"/>
  <c r="F2440" i="18"/>
  <c r="H2440" i="18" s="1"/>
  <c r="F2439" i="18"/>
  <c r="I2439" i="18" s="1"/>
  <c r="F2438" i="18"/>
  <c r="I2438" i="18" s="1"/>
  <c r="F2437" i="18"/>
  <c r="H2437" i="18" s="1"/>
  <c r="F2436" i="18"/>
  <c r="I2436" i="18" s="1"/>
  <c r="F2435" i="18"/>
  <c r="I2435" i="18" s="1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F2427" i="18"/>
  <c r="I2427" i="18" s="1"/>
  <c r="F2426" i="18"/>
  <c r="I2426" i="18" s="1"/>
  <c r="F2425" i="18"/>
  <c r="H2425" i="18" s="1"/>
  <c r="F2424" i="18"/>
  <c r="I2424" i="18" s="1"/>
  <c r="F2423" i="18"/>
  <c r="I2423" i="18" s="1"/>
  <c r="F2422" i="18"/>
  <c r="H2422" i="18" s="1"/>
  <c r="F2421" i="18"/>
  <c r="I2421" i="18" s="1"/>
  <c r="F2420" i="18"/>
  <c r="I2420" i="18" s="1"/>
  <c r="F2419" i="18"/>
  <c r="H2419" i="18" s="1"/>
  <c r="F2418" i="18"/>
  <c r="I2418" i="18" s="1"/>
  <c r="F2417" i="18"/>
  <c r="I2417" i="18" s="1"/>
  <c r="F2416" i="18"/>
  <c r="H2416" i="18" s="1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F2410" i="18"/>
  <c r="H2410" i="18" s="1"/>
  <c r="F2409" i="18"/>
  <c r="I2409" i="18" s="1"/>
  <c r="F2408" i="18"/>
  <c r="I2408" i="18" s="1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F2402" i="18"/>
  <c r="I2402" i="18" s="1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F2395" i="18"/>
  <c r="H2395" i="18" s="1"/>
  <c r="F2394" i="18"/>
  <c r="I2394" i="18" s="1"/>
  <c r="F2393" i="18"/>
  <c r="H2393" i="18" s="1"/>
  <c r="F2392" i="18"/>
  <c r="F2391" i="18"/>
  <c r="I2391" i="18" s="1"/>
  <c r="F2390" i="18"/>
  <c r="H2390" i="18" s="1"/>
  <c r="F2389" i="18"/>
  <c r="G2389" i="18" s="1"/>
  <c r="F2388" i="18"/>
  <c r="I2388" i="18" s="1"/>
  <c r="F2387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F2380" i="18"/>
  <c r="I2380" i="18" s="1"/>
  <c r="F2379" i="18"/>
  <c r="F2378" i="18"/>
  <c r="H2378" i="18" s="1"/>
  <c r="F2377" i="18"/>
  <c r="I2377" i="18" s="1"/>
  <c r="F2376" i="18"/>
  <c r="I2376" i="18" s="1"/>
  <c r="F2375" i="18"/>
  <c r="H2375" i="18" s="1"/>
  <c r="F2374" i="18"/>
  <c r="I2374" i="18" s="1"/>
  <c r="F2373" i="18"/>
  <c r="I2373" i="18" s="1"/>
  <c r="F2372" i="18"/>
  <c r="H2372" i="18" s="1"/>
  <c r="F2371" i="18"/>
  <c r="G2371" i="18" s="1"/>
  <c r="F2370" i="18"/>
  <c r="I2370" i="18" s="1"/>
  <c r="F2369" i="18"/>
  <c r="F2368" i="18"/>
  <c r="I2368" i="18" s="1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F2360" i="18"/>
  <c r="H2360" i="18" s="1"/>
  <c r="F2359" i="18"/>
  <c r="I2359" i="18" s="1"/>
  <c r="F2358" i="18"/>
  <c r="I2358" i="18" s="1"/>
  <c r="F2357" i="18"/>
  <c r="H2357" i="18" s="1"/>
  <c r="F2356" i="18"/>
  <c r="I2356" i="18" s="1"/>
  <c r="F2355" i="18"/>
  <c r="F2354" i="18"/>
  <c r="H2354" i="18" s="1"/>
  <c r="F2353" i="18"/>
  <c r="I2353" i="18" s="1"/>
  <c r="F2352" i="18"/>
  <c r="I2352" i="18" s="1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F2344" i="18"/>
  <c r="G2344" i="18" s="1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F2333" i="18"/>
  <c r="H2333" i="18" s="1"/>
  <c r="F2332" i="18"/>
  <c r="I2332" i="18" s="1"/>
  <c r="F2331" i="18"/>
  <c r="I2331" i="18" s="1"/>
  <c r="F2330" i="18"/>
  <c r="F2329" i="18"/>
  <c r="I2329" i="18" s="1"/>
  <c r="F2328" i="18"/>
  <c r="G2328" i="18" s="1"/>
  <c r="F2327" i="18"/>
  <c r="I2327" i="18" s="1"/>
  <c r="F2326" i="18"/>
  <c r="I2326" i="18" s="1"/>
  <c r="F2325" i="18"/>
  <c r="I2325" i="18" s="1"/>
  <c r="F2324" i="18"/>
  <c r="I2324" i="18" s="1"/>
  <c r="F2323" i="18"/>
  <c r="I2323" i="18" s="1"/>
  <c r="F2322" i="18"/>
  <c r="I2322" i="18" s="1"/>
  <c r="F2321" i="18"/>
  <c r="I2321" i="18" s="1"/>
  <c r="F2320" i="18"/>
  <c r="I2320" i="18" s="1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F2295" i="18"/>
  <c r="G2295" i="18" s="1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F2200" i="18"/>
  <c r="G2200" i="18" s="1"/>
  <c r="F2199" i="18"/>
  <c r="F2198" i="18"/>
  <c r="F2197" i="18"/>
  <c r="F2196" i="18"/>
  <c r="I2196" i="18" s="1"/>
  <c r="F2195" i="18"/>
  <c r="F2194" i="18"/>
  <c r="G2194" i="18" s="1"/>
  <c r="F2193" i="18"/>
  <c r="H2193" i="18" s="1"/>
  <c r="F2192" i="18"/>
  <c r="F2191" i="18"/>
  <c r="F2190" i="18"/>
  <c r="I2190" i="18" s="1"/>
  <c r="F2189" i="18"/>
  <c r="F2188" i="18"/>
  <c r="G2188" i="18" s="1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F2152" i="18"/>
  <c r="G2152" i="18" s="1"/>
  <c r="F2151" i="18"/>
  <c r="I2151" i="18" s="1"/>
  <c r="F2150" i="18"/>
  <c r="F2149" i="18"/>
  <c r="F2148" i="18"/>
  <c r="I2148" i="18" s="1"/>
  <c r="F2147" i="18"/>
  <c r="F2146" i="18"/>
  <c r="G2146" i="18" s="1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F2107" i="18"/>
  <c r="H2107" i="18" s="1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F2097" i="18"/>
  <c r="G2097" i="18" s="1"/>
  <c r="F2096" i="18"/>
  <c r="I2096" i="18" s="1"/>
  <c r="F2095" i="18"/>
  <c r="I2095" i="18" s="1"/>
  <c r="F2094" i="18"/>
  <c r="H2094" i="18" s="1"/>
  <c r="F2093" i="18"/>
  <c r="I2093" i="18" s="1"/>
  <c r="F2092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F2086" i="18"/>
  <c r="I2086" i="18" s="1"/>
  <c r="F2085" i="18"/>
  <c r="F2084" i="18"/>
  <c r="I2084" i="18" s="1"/>
  <c r="F2083" i="18"/>
  <c r="I2083" i="18" s="1"/>
  <c r="F2082" i="18"/>
  <c r="F2081" i="18"/>
  <c r="I2081" i="18" s="1"/>
  <c r="F2080" i="18"/>
  <c r="I2080" i="18" s="1"/>
  <c r="F2079" i="18"/>
  <c r="I2079" i="18" s="1"/>
  <c r="F2078" i="18"/>
  <c r="I2078" i="18" s="1"/>
  <c r="F2077" i="18"/>
  <c r="I2077" i="18" s="1"/>
  <c r="F2076" i="18"/>
  <c r="G2076" i="18" s="1"/>
  <c r="F2075" i="18"/>
  <c r="I2075" i="18" s="1"/>
  <c r="F2074" i="18"/>
  <c r="F2073" i="18"/>
  <c r="H2073" i="18" s="1"/>
  <c r="F2072" i="18"/>
  <c r="I2072" i="18" s="1"/>
  <c r="F2071" i="18"/>
  <c r="I2071" i="18" s="1"/>
  <c r="F2070" i="18"/>
  <c r="I2070" i="18" s="1"/>
  <c r="F2069" i="18"/>
  <c r="I2069" i="18" s="1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F2061" i="18"/>
  <c r="I2061" i="18" s="1"/>
  <c r="F2060" i="18"/>
  <c r="I2060" i="18" s="1"/>
  <c r="F2059" i="18"/>
  <c r="I2059" i="18" s="1"/>
  <c r="F2058" i="18"/>
  <c r="G2058" i="18" s="1"/>
  <c r="F2057" i="18"/>
  <c r="I2057" i="18" s="1"/>
  <c r="F2056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F2044" i="18"/>
  <c r="I2044" i="18" s="1"/>
  <c r="F2043" i="18"/>
  <c r="I2043" i="18" s="1"/>
  <c r="F2042" i="18"/>
  <c r="I2042" i="18" s="1"/>
  <c r="F2041" i="18"/>
  <c r="I2041" i="18" s="1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F2023" i="18"/>
  <c r="I2023" i="18" s="1"/>
  <c r="F2022" i="18"/>
  <c r="I2022" i="18" s="1"/>
  <c r="F2021" i="18"/>
  <c r="I2021" i="18" s="1"/>
  <c r="F2020" i="18"/>
  <c r="F2019" i="18"/>
  <c r="H2019" i="18" s="1"/>
  <c r="F2018" i="18"/>
  <c r="I2018" i="18" s="1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F2008" i="18"/>
  <c r="I2008" i="18" s="1"/>
  <c r="F2007" i="18"/>
  <c r="I2007" i="18" s="1"/>
  <c r="F2006" i="18"/>
  <c r="I2006" i="18" s="1"/>
  <c r="F2005" i="18"/>
  <c r="I2005" i="18" s="1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F1987" i="18"/>
  <c r="I1987" i="18" s="1"/>
  <c r="F1986" i="18"/>
  <c r="I1986" i="18" s="1"/>
  <c r="F1985" i="18"/>
  <c r="I1985" i="18" s="1"/>
  <c r="F1984" i="18"/>
  <c r="F1983" i="18"/>
  <c r="H1983" i="18" s="1"/>
  <c r="F1982" i="18"/>
  <c r="I1982" i="18" s="1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F1972" i="18"/>
  <c r="I1972" i="18" s="1"/>
  <c r="F1971" i="18"/>
  <c r="I1971" i="18" s="1"/>
  <c r="F1970" i="18"/>
  <c r="F1969" i="18"/>
  <c r="I1969" i="18" s="1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F1951" i="18"/>
  <c r="I1951" i="18" s="1"/>
  <c r="F1950" i="18"/>
  <c r="I1950" i="18" s="1"/>
  <c r="F1949" i="18"/>
  <c r="F1948" i="18"/>
  <c r="F1947" i="18"/>
  <c r="H1947" i="18" s="1"/>
  <c r="F1946" i="18"/>
  <c r="F1945" i="18"/>
  <c r="I1945" i="18" s="1"/>
  <c r="F1944" i="18"/>
  <c r="I1944" i="18" s="1"/>
  <c r="F1943" i="18"/>
  <c r="F1942" i="18"/>
  <c r="I1942" i="18" s="1"/>
  <c r="F1941" i="18"/>
  <c r="F1940" i="18"/>
  <c r="F1939" i="18"/>
  <c r="I1939" i="18" s="1"/>
  <c r="F1938" i="18"/>
  <c r="F1937" i="18"/>
  <c r="F1936" i="18"/>
  <c r="I1936" i="18" s="1"/>
  <c r="F1935" i="18"/>
  <c r="F1934" i="18"/>
  <c r="F1933" i="18"/>
  <c r="I1933" i="18" s="1"/>
  <c r="F1932" i="18"/>
  <c r="F1931" i="18"/>
  <c r="F1930" i="18"/>
  <c r="H1930" i="18" s="1"/>
  <c r="F1929" i="18"/>
  <c r="H1929" i="18" s="1"/>
  <c r="F1928" i="18"/>
  <c r="F1927" i="18"/>
  <c r="F1926" i="18"/>
  <c r="H1926" i="18" s="1"/>
  <c r="F1925" i="18"/>
  <c r="F1924" i="18"/>
  <c r="F1923" i="18"/>
  <c r="H1923" i="18" s="1"/>
  <c r="F1922" i="18"/>
  <c r="F1921" i="18"/>
  <c r="F1920" i="18"/>
  <c r="F1919" i="18"/>
  <c r="F1918" i="18"/>
  <c r="H1918" i="18" s="1"/>
  <c r="F1917" i="18"/>
  <c r="I1917" i="18" s="1"/>
  <c r="F1916" i="18"/>
  <c r="F1915" i="18"/>
  <c r="F1914" i="18"/>
  <c r="I1914" i="18" s="1"/>
  <c r="F1913" i="18"/>
  <c r="F1912" i="18"/>
  <c r="H1912" i="18" s="1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F1884" i="18"/>
  <c r="I1884" i="18" s="1"/>
  <c r="F1883" i="18"/>
  <c r="F1882" i="18"/>
  <c r="I1882" i="18" s="1"/>
  <c r="F1881" i="18"/>
  <c r="G1881" i="18" s="1"/>
  <c r="F1880" i="18"/>
  <c r="H1880" i="18" s="1"/>
  <c r="F1879" i="18"/>
  <c r="I1879" i="18" s="1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F1854" i="18"/>
  <c r="I1854" i="18" s="1"/>
  <c r="F1853" i="18"/>
  <c r="H1853" i="18" s="1"/>
  <c r="F1852" i="18"/>
  <c r="F1851" i="18"/>
  <c r="H1851" i="18" s="1"/>
  <c r="F1850" i="18"/>
  <c r="H1850" i="18" s="1"/>
  <c r="F1849" i="18"/>
  <c r="F1848" i="18"/>
  <c r="F1847" i="18"/>
  <c r="F1846" i="18"/>
  <c r="F1845" i="18"/>
  <c r="I1845" i="18" s="1"/>
  <c r="F1844" i="18"/>
  <c r="G1844" i="18" s="1"/>
  <c r="F1843" i="18"/>
  <c r="H1843" i="18" s="1"/>
  <c r="F1842" i="18"/>
  <c r="F1841" i="18"/>
  <c r="H1841" i="18" s="1"/>
  <c r="F1840" i="18"/>
  <c r="F1839" i="18"/>
  <c r="H1839" i="18" s="1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F1817" i="18"/>
  <c r="H1817" i="18" s="1"/>
  <c r="F1816" i="18"/>
  <c r="F1815" i="18"/>
  <c r="F1814" i="18"/>
  <c r="H1814" i="18" s="1"/>
  <c r="F1813" i="18"/>
  <c r="F1812" i="18"/>
  <c r="F1811" i="18"/>
  <c r="H1811" i="18" s="1"/>
  <c r="F1810" i="18"/>
  <c r="F1809" i="18"/>
  <c r="F1808" i="18"/>
  <c r="F1807" i="18"/>
  <c r="F1806" i="18"/>
  <c r="F1805" i="18"/>
  <c r="F1804" i="18"/>
  <c r="F1803" i="18"/>
  <c r="F1802" i="18"/>
  <c r="H1802" i="18" s="1"/>
  <c r="F1801" i="18"/>
  <c r="F1800" i="18"/>
  <c r="F1799" i="18"/>
  <c r="H1799" i="18" s="1"/>
  <c r="F1798" i="18"/>
  <c r="F1797" i="18"/>
  <c r="F1796" i="18"/>
  <c r="H1796" i="18" s="1"/>
  <c r="F1795" i="18"/>
  <c r="F1794" i="18"/>
  <c r="F1793" i="18"/>
  <c r="H1793" i="18" s="1"/>
  <c r="F1792" i="18"/>
  <c r="F1791" i="18"/>
  <c r="F1790" i="18"/>
  <c r="F1789" i="18"/>
  <c r="F1788" i="18"/>
  <c r="F1787" i="18"/>
  <c r="F1786" i="18"/>
  <c r="F1785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F1771" i="18"/>
  <c r="H1771" i="18" s="1"/>
  <c r="F1770" i="18"/>
  <c r="H1770" i="18" s="1"/>
  <c r="F1769" i="18"/>
  <c r="F1768" i="18"/>
  <c r="F1767" i="18"/>
  <c r="H1767" i="18" s="1"/>
  <c r="F1766" i="18"/>
  <c r="G1766" i="18" s="1"/>
  <c r="F1765" i="18"/>
  <c r="F1764" i="18"/>
  <c r="F1763" i="18"/>
  <c r="F1762" i="18"/>
  <c r="H1762" i="18" s="1"/>
  <c r="F1761" i="18"/>
  <c r="F1760" i="18"/>
  <c r="H1760" i="18" s="1"/>
  <c r="F1759" i="18"/>
  <c r="H1759" i="18" s="1"/>
  <c r="F1758" i="18"/>
  <c r="G1758" i="18" s="1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F1712" i="18"/>
  <c r="H1712" i="18" s="1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F1700" i="18"/>
  <c r="H1700" i="18" s="1"/>
  <c r="F1699" i="18"/>
  <c r="H1699" i="18" s="1"/>
  <c r="F1698" i="18"/>
  <c r="H1698" i="18" s="1"/>
  <c r="F1697" i="18"/>
  <c r="H1697" i="18" s="1"/>
  <c r="F1696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F1686" i="18"/>
  <c r="H1686" i="18" s="1"/>
  <c r="F1685" i="18"/>
  <c r="H1685" i="18" s="1"/>
  <c r="F1684" i="18"/>
  <c r="F1683" i="18"/>
  <c r="H1683" i="18" s="1"/>
  <c r="F1682" i="18"/>
  <c r="F1681" i="18"/>
  <c r="F1680" i="18"/>
  <c r="F1679" i="18"/>
  <c r="I1679" i="18" s="1"/>
  <c r="F1678" i="18"/>
  <c r="H1678" i="18" s="1"/>
  <c r="F1677" i="18"/>
  <c r="F1676" i="18"/>
  <c r="H1676" i="18" s="1"/>
  <c r="F1675" i="18"/>
  <c r="H1675" i="18" s="1"/>
  <c r="F1674" i="18"/>
  <c r="H1674" i="18" s="1"/>
  <c r="F1673" i="18"/>
  <c r="H1673" i="18" s="1"/>
  <c r="F1672" i="18"/>
  <c r="F1671" i="18"/>
  <c r="H1671" i="18" s="1"/>
  <c r="F1670" i="18"/>
  <c r="F1669" i="18"/>
  <c r="H1669" i="18" s="1"/>
  <c r="F1668" i="18"/>
  <c r="F1667" i="18"/>
  <c r="G1667" i="18" s="1"/>
  <c r="F1666" i="18"/>
  <c r="F1665" i="18"/>
  <c r="H1665" i="18" s="1"/>
  <c r="F1664" i="18"/>
  <c r="F1663" i="18"/>
  <c r="H1663" i="18" s="1"/>
  <c r="F1662" i="18"/>
  <c r="F1661" i="18"/>
  <c r="G1661" i="18" s="1"/>
  <c r="F1660" i="18"/>
  <c r="F1659" i="18"/>
  <c r="H1659" i="18" s="1"/>
  <c r="F1658" i="18"/>
  <c r="F1657" i="18"/>
  <c r="H1657" i="18" s="1"/>
  <c r="F1656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F1641" i="18"/>
  <c r="H1641" i="18" s="1"/>
  <c r="F1640" i="18"/>
  <c r="F1639" i="18"/>
  <c r="H1639" i="18" s="1"/>
  <c r="F1638" i="18"/>
  <c r="F1637" i="18"/>
  <c r="G1637" i="18" s="1"/>
  <c r="F1636" i="18"/>
  <c r="F1635" i="18"/>
  <c r="H1635" i="18" s="1"/>
  <c r="F1634" i="18"/>
  <c r="F1633" i="18"/>
  <c r="H1633" i="18" s="1"/>
  <c r="F1632" i="18"/>
  <c r="F1631" i="18"/>
  <c r="G1631" i="18" s="1"/>
  <c r="F1630" i="18"/>
  <c r="F1629" i="18"/>
  <c r="H1629" i="18" s="1"/>
  <c r="F1628" i="18"/>
  <c r="F1627" i="18"/>
  <c r="F1626" i="18"/>
  <c r="F1625" i="18"/>
  <c r="G1625" i="18" s="1"/>
  <c r="F1624" i="18"/>
  <c r="F1623" i="18"/>
  <c r="H1623" i="18" s="1"/>
  <c r="F1622" i="18"/>
  <c r="F1621" i="18"/>
  <c r="H1621" i="18" s="1"/>
  <c r="F1620" i="18"/>
  <c r="F1619" i="18"/>
  <c r="G1619" i="18" s="1"/>
  <c r="F1618" i="18"/>
  <c r="F1617" i="18"/>
  <c r="H1617" i="18" s="1"/>
  <c r="F1616" i="18"/>
  <c r="F1615" i="18"/>
  <c r="H1615" i="18" s="1"/>
  <c r="F1614" i="18"/>
  <c r="F1613" i="18"/>
  <c r="G1613" i="18" s="1"/>
  <c r="F1612" i="18"/>
  <c r="F1611" i="18"/>
  <c r="H1611" i="18" s="1"/>
  <c r="F1610" i="18"/>
  <c r="F1609" i="18"/>
  <c r="H1609" i="18" s="1"/>
  <c r="F1608" i="18"/>
  <c r="F1607" i="18"/>
  <c r="F1606" i="18"/>
  <c r="F1605" i="18"/>
  <c r="H1605" i="18" s="1"/>
  <c r="F1604" i="18"/>
  <c r="F1603" i="18"/>
  <c r="H1603" i="18" s="1"/>
  <c r="F1602" i="18"/>
  <c r="F1601" i="18"/>
  <c r="I1601" i="18" s="1"/>
  <c r="F1600" i="18"/>
  <c r="F1599" i="18"/>
  <c r="H1599" i="18" s="1"/>
  <c r="F1598" i="18"/>
  <c r="F1597" i="18"/>
  <c r="H1597" i="18" s="1"/>
  <c r="F1596" i="18"/>
  <c r="F1595" i="18"/>
  <c r="G1595" i="18" s="1"/>
  <c r="F1594" i="18"/>
  <c r="F1593" i="18"/>
  <c r="H1593" i="18" s="1"/>
  <c r="F1592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F1583" i="18"/>
  <c r="H1583" i="18" s="1"/>
  <c r="F1582" i="18"/>
  <c r="F1581" i="18"/>
  <c r="H1581" i="18" s="1"/>
  <c r="F1580" i="18"/>
  <c r="G1580" i="18" s="1"/>
  <c r="F1579" i="18"/>
  <c r="H1579" i="18" s="1"/>
  <c r="F1578" i="18"/>
  <c r="F1577" i="18"/>
  <c r="G1577" i="18" s="1"/>
  <c r="F1576" i="18"/>
  <c r="F1575" i="18"/>
  <c r="H1575" i="18" s="1"/>
  <c r="F1574" i="18"/>
  <c r="G1574" i="18" s="1"/>
  <c r="F1573" i="18"/>
  <c r="H1573" i="18" s="1"/>
  <c r="F1572" i="18"/>
  <c r="F1571" i="18"/>
  <c r="I1571" i="18" s="1"/>
  <c r="F1570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F1563" i="18"/>
  <c r="H1563" i="18" s="1"/>
  <c r="F1562" i="18"/>
  <c r="G1562" i="18" s="1"/>
  <c r="F1561" i="18"/>
  <c r="H1561" i="18" s="1"/>
  <c r="F1560" i="18"/>
  <c r="F1559" i="18"/>
  <c r="I1559" i="18" s="1"/>
  <c r="F1558" i="18"/>
  <c r="F1557" i="18"/>
  <c r="H1557" i="18" s="1"/>
  <c r="F1556" i="18"/>
  <c r="F1555" i="18"/>
  <c r="H1555" i="18" s="1"/>
  <c r="F1554" i="18"/>
  <c r="F1553" i="18"/>
  <c r="I1553" i="18" s="1"/>
  <c r="F1552" i="18"/>
  <c r="F1551" i="18"/>
  <c r="H1551" i="18" s="1"/>
  <c r="F1550" i="18"/>
  <c r="G1550" i="18" s="1"/>
  <c r="F1549" i="18"/>
  <c r="H1549" i="18" s="1"/>
  <c r="F1548" i="18"/>
  <c r="F1547" i="18"/>
  <c r="H1547" i="18" s="1"/>
  <c r="F1546" i="18"/>
  <c r="F1545" i="18"/>
  <c r="H1545" i="18" s="1"/>
  <c r="F1544" i="18"/>
  <c r="G1544" i="18" s="1"/>
  <c r="F1543" i="18"/>
  <c r="H1543" i="18" s="1"/>
  <c r="F1542" i="18"/>
  <c r="F1541" i="18"/>
  <c r="I1541" i="18" s="1"/>
  <c r="F1540" i="18"/>
  <c r="F1539" i="18"/>
  <c r="H1539" i="18" s="1"/>
  <c r="F1538" i="18"/>
  <c r="F1537" i="18"/>
  <c r="H1537" i="18" s="1"/>
  <c r="F1536" i="18"/>
  <c r="F1535" i="18"/>
  <c r="H1535" i="18" s="1"/>
  <c r="F1534" i="18"/>
  <c r="F1533" i="18"/>
  <c r="H1533" i="18" s="1"/>
  <c r="F1532" i="18"/>
  <c r="G1532" i="18" s="1"/>
  <c r="F1531" i="18"/>
  <c r="H1531" i="18" s="1"/>
  <c r="F1530" i="18"/>
  <c r="F1529" i="18"/>
  <c r="H1529" i="18" s="1"/>
  <c r="F1528" i="18"/>
  <c r="F1527" i="18"/>
  <c r="H1527" i="18" s="1"/>
  <c r="F1526" i="18"/>
  <c r="G1526" i="18" s="1"/>
  <c r="F1525" i="18"/>
  <c r="H1525" i="18" s="1"/>
  <c r="F1524" i="18"/>
  <c r="F1523" i="18"/>
  <c r="I1523" i="18" s="1"/>
  <c r="F1522" i="18"/>
  <c r="F1521" i="18"/>
  <c r="H1521" i="18" s="1"/>
  <c r="F1520" i="18"/>
  <c r="F1519" i="18"/>
  <c r="H1519" i="18" s="1"/>
  <c r="F1518" i="18"/>
  <c r="F1517" i="18"/>
  <c r="I1517" i="18" s="1"/>
  <c r="F1516" i="18"/>
  <c r="F1515" i="18"/>
  <c r="H1515" i="18" s="1"/>
  <c r="F1514" i="18"/>
  <c r="G1514" i="18" s="1"/>
  <c r="F1513" i="18"/>
  <c r="H1513" i="18" s="1"/>
  <c r="F1512" i="18"/>
  <c r="F1511" i="18"/>
  <c r="I1511" i="18" s="1"/>
  <c r="F1510" i="18"/>
  <c r="F1509" i="18"/>
  <c r="H1509" i="18" s="1"/>
  <c r="F1508" i="18"/>
  <c r="F1507" i="18"/>
  <c r="H1507" i="18" s="1"/>
  <c r="F1506" i="18"/>
  <c r="F1505" i="18"/>
  <c r="I1505" i="18" s="1"/>
  <c r="F1504" i="18"/>
  <c r="F1503" i="18"/>
  <c r="H1503" i="18" s="1"/>
  <c r="F1502" i="18"/>
  <c r="F1501" i="18"/>
  <c r="H1501" i="18" s="1"/>
  <c r="F1500" i="18"/>
  <c r="F1499" i="18"/>
  <c r="I1499" i="18" s="1"/>
  <c r="F1498" i="18"/>
  <c r="F1497" i="18"/>
  <c r="H1497" i="18" s="1"/>
  <c r="F1496" i="18"/>
  <c r="F1495" i="18"/>
  <c r="F1494" i="18"/>
  <c r="H1494" i="18" s="1"/>
  <c r="F1493" i="18"/>
  <c r="I1493" i="18" s="1"/>
  <c r="F1492" i="18"/>
  <c r="F1491" i="18"/>
  <c r="F1490" i="18"/>
  <c r="I1490" i="18" s="1"/>
  <c r="F1489" i="18"/>
  <c r="F1488" i="18"/>
  <c r="H1488" i="18" s="1"/>
  <c r="F1487" i="18"/>
  <c r="I1487" i="18" s="1"/>
  <c r="F1486" i="18"/>
  <c r="F1485" i="18"/>
  <c r="H1485" i="18" s="1"/>
  <c r="F1484" i="18"/>
  <c r="I1484" i="18" s="1"/>
  <c r="F1483" i="18"/>
  <c r="F1482" i="18"/>
  <c r="F1481" i="18"/>
  <c r="I1481" i="18" s="1"/>
  <c r="F1480" i="18"/>
  <c r="F1479" i="18"/>
  <c r="H1479" i="18" s="1"/>
  <c r="F1478" i="18"/>
  <c r="I1478" i="18" s="1"/>
  <c r="F1477" i="18"/>
  <c r="F1476" i="18"/>
  <c r="H1476" i="18" s="1"/>
  <c r="F1475" i="18"/>
  <c r="I1475" i="18" s="1"/>
  <c r="F1474" i="18"/>
  <c r="F1473" i="18"/>
  <c r="F1472" i="18"/>
  <c r="I1472" i="18" s="1"/>
  <c r="F1471" i="18"/>
  <c r="F1470" i="18"/>
  <c r="H1470" i="18" s="1"/>
  <c r="F1469" i="18"/>
  <c r="F1468" i="18"/>
  <c r="F1467" i="18"/>
  <c r="H1467" i="18" s="1"/>
  <c r="F1466" i="18"/>
  <c r="I1466" i="18" s="1"/>
  <c r="F1465" i="18"/>
  <c r="F1464" i="18"/>
  <c r="F1463" i="18"/>
  <c r="H1463" i="18" s="1"/>
  <c r="F1462" i="18"/>
  <c r="F1461" i="18"/>
  <c r="H1461" i="18" s="1"/>
  <c r="F1460" i="18"/>
  <c r="F1459" i="18"/>
  <c r="F1458" i="18"/>
  <c r="H1458" i="18" s="1"/>
  <c r="F1457" i="18"/>
  <c r="I1457" i="18" s="1"/>
  <c r="F1456" i="18"/>
  <c r="F1455" i="18"/>
  <c r="F1454" i="18"/>
  <c r="I1454" i="18" s="1"/>
  <c r="F1453" i="18"/>
  <c r="F1452" i="18"/>
  <c r="H1452" i="18" s="1"/>
  <c r="F1451" i="18"/>
  <c r="F1450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F1440" i="18"/>
  <c r="H1440" i="18" s="1"/>
  <c r="F1439" i="18"/>
  <c r="I1439" i="18" s="1"/>
  <c r="F1438" i="18"/>
  <c r="F1437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F1427" i="18"/>
  <c r="I1427" i="18" s="1"/>
  <c r="F1426" i="18"/>
  <c r="F1425" i="18"/>
  <c r="H1425" i="18" s="1"/>
  <c r="F1424" i="18"/>
  <c r="I1424" i="18" s="1"/>
  <c r="F1423" i="18"/>
  <c r="F1422" i="18"/>
  <c r="H1422" i="18" s="1"/>
  <c r="F1421" i="18"/>
  <c r="I1421" i="18" s="1"/>
  <c r="F1420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F1356" i="18"/>
  <c r="I1356" i="18" s="1"/>
  <c r="F1355" i="18"/>
  <c r="I1355" i="18" s="1"/>
  <c r="F1354" i="18"/>
  <c r="I1354" i="18" s="1"/>
  <c r="F1353" i="18"/>
  <c r="I1353" i="18" s="1"/>
  <c r="F1352" i="18"/>
  <c r="I1352" i="18" s="1"/>
  <c r="F1351" i="18"/>
  <c r="I1351" i="18" s="1"/>
  <c r="F1350" i="18"/>
  <c r="I1350" i="18" s="1"/>
  <c r="F1349" i="18"/>
  <c r="F1348" i="18"/>
  <c r="I1348" i="18" s="1"/>
  <c r="F1347" i="18"/>
  <c r="I1347" i="18" s="1"/>
  <c r="F1346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F1334" i="18"/>
  <c r="I1334" i="18" s="1"/>
  <c r="F1333" i="18"/>
  <c r="I1333" i="18" s="1"/>
  <c r="F1332" i="18"/>
  <c r="I1332" i="18" s="1"/>
  <c r="F1331" i="18"/>
  <c r="F1330" i="18"/>
  <c r="I1330" i="18" s="1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F1315" i="18"/>
  <c r="I1315" i="18" s="1"/>
  <c r="F1314" i="18"/>
  <c r="I1314" i="18" s="1"/>
  <c r="F1313" i="18"/>
  <c r="F1312" i="18"/>
  <c r="I1312" i="18" s="1"/>
  <c r="F1311" i="18"/>
  <c r="I1311" i="18" s="1"/>
  <c r="F1310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F1301" i="18"/>
  <c r="I1301" i="18" s="1"/>
  <c r="F1300" i="18"/>
  <c r="I1300" i="18" s="1"/>
  <c r="F1299" i="18"/>
  <c r="I1299" i="18" s="1"/>
  <c r="F1298" i="18"/>
  <c r="I1298" i="18" s="1"/>
  <c r="F1297" i="18"/>
  <c r="I1297" i="18" s="1"/>
  <c r="F1296" i="18"/>
  <c r="I1296" i="18" s="1"/>
  <c r="F1295" i="18"/>
  <c r="F1294" i="18"/>
  <c r="I1294" i="18" s="1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F1287" i="18"/>
  <c r="I1287" i="18" s="1"/>
  <c r="F1286" i="18"/>
  <c r="F1285" i="18"/>
  <c r="I1285" i="18" s="1"/>
  <c r="F1284" i="18"/>
  <c r="I1284" i="18" s="1"/>
  <c r="F1283" i="18"/>
  <c r="I1283" i="18" s="1"/>
  <c r="F1282" i="18"/>
  <c r="I1282" i="18" s="1"/>
  <c r="F1281" i="18"/>
  <c r="I1281" i="18" s="1"/>
  <c r="F1280" i="18"/>
  <c r="I1280" i="18" s="1"/>
  <c r="F1279" i="18"/>
  <c r="I1279" i="18" s="1"/>
  <c r="F1278" i="18"/>
  <c r="I1278" i="18" s="1"/>
  <c r="F1277" i="18"/>
  <c r="F1276" i="18"/>
  <c r="I1276" i="18" s="1"/>
  <c r="F1275" i="18"/>
  <c r="I1275" i="18" s="1"/>
  <c r="F1274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F1267" i="18"/>
  <c r="I1267" i="18" s="1"/>
  <c r="F1266" i="18"/>
  <c r="I1266" i="18" s="1"/>
  <c r="F1265" i="18"/>
  <c r="I1265" i="18" s="1"/>
  <c r="F1264" i="18"/>
  <c r="I1264" i="18" s="1"/>
  <c r="F1263" i="18"/>
  <c r="I1263" i="18" s="1"/>
  <c r="F1262" i="18"/>
  <c r="I1262" i="18" s="1"/>
  <c r="F1261" i="18"/>
  <c r="I1261" i="18" s="1"/>
  <c r="F1260" i="18"/>
  <c r="I1260" i="18" s="1"/>
  <c r="F1259" i="18"/>
  <c r="F1258" i="18"/>
  <c r="I1258" i="18" s="1"/>
  <c r="F1257" i="18"/>
  <c r="H1257" i="18" s="1"/>
  <c r="F1256" i="18"/>
  <c r="F1255" i="18"/>
  <c r="I1255" i="18" s="1"/>
  <c r="F1254" i="18"/>
  <c r="F1253" i="18"/>
  <c r="I1253" i="18" s="1"/>
  <c r="F1252" i="18"/>
  <c r="I1252" i="18" s="1"/>
  <c r="F1251" i="18"/>
  <c r="F1250" i="18"/>
  <c r="F1249" i="18"/>
  <c r="I1249" i="18" s="1"/>
  <c r="F1248" i="18"/>
  <c r="H1248" i="18" s="1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F1238" i="18"/>
  <c r="H1238" i="18" s="1"/>
  <c r="F1237" i="18"/>
  <c r="I1237" i="18" s="1"/>
  <c r="F1236" i="18"/>
  <c r="F1235" i="18"/>
  <c r="H1235" i="18" s="1"/>
  <c r="F1234" i="18"/>
  <c r="I1234" i="18" s="1"/>
  <c r="F1233" i="18"/>
  <c r="F1232" i="18"/>
  <c r="H1232" i="18" s="1"/>
  <c r="F1231" i="18"/>
  <c r="I1231" i="18" s="1"/>
  <c r="F1230" i="18"/>
  <c r="H1230" i="18" s="1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F1221" i="18"/>
  <c r="H1221" i="18" s="1"/>
  <c r="F1220" i="18"/>
  <c r="H1220" i="18" s="1"/>
  <c r="F1219" i="18"/>
  <c r="F1218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F1116" i="18"/>
  <c r="G1116" i="18" s="1"/>
  <c r="F1115" i="18"/>
  <c r="I1115" i="18" s="1"/>
  <c r="F1114" i="18"/>
  <c r="F1113" i="18"/>
  <c r="G1113" i="18" s="1"/>
  <c r="F1112" i="18"/>
  <c r="I1112" i="18" s="1"/>
  <c r="F1111" i="18"/>
  <c r="I1111" i="18" s="1"/>
  <c r="F1110" i="18"/>
  <c r="I1110" i="18" s="1"/>
  <c r="F1109" i="18"/>
  <c r="I1109" i="18" s="1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F1092" i="18"/>
  <c r="H1092" i="18" s="1"/>
  <c r="F1091" i="18"/>
  <c r="I1091" i="18" s="1"/>
  <c r="F1090" i="18"/>
  <c r="I1090" i="18" s="1"/>
  <c r="F1089" i="18"/>
  <c r="F1088" i="18"/>
  <c r="I1088" i="18" s="1"/>
  <c r="F1087" i="18"/>
  <c r="I1087" i="18" s="1"/>
  <c r="F1086" i="18"/>
  <c r="G1086" i="18" s="1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F1080" i="18"/>
  <c r="H1080" i="18" s="1"/>
  <c r="F1079" i="18"/>
  <c r="I1079" i="18" s="1"/>
  <c r="F1078" i="18"/>
  <c r="F1077" i="18"/>
  <c r="G1077" i="18" s="1"/>
  <c r="F1076" i="18"/>
  <c r="I1076" i="18" s="1"/>
  <c r="F1075" i="18"/>
  <c r="I1075" i="18" s="1"/>
  <c r="F1074" i="18"/>
  <c r="G1074" i="18" s="1"/>
  <c r="F1073" i="18"/>
  <c r="I1073" i="18" s="1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F1063" i="18"/>
  <c r="I1063" i="18" s="1"/>
  <c r="F1062" i="18"/>
  <c r="I1062" i="18" s="1"/>
  <c r="F1061" i="18"/>
  <c r="I1061" i="18" s="1"/>
  <c r="F1060" i="18"/>
  <c r="F1059" i="18"/>
  <c r="G1059" i="18" s="1"/>
  <c r="F1058" i="18"/>
  <c r="I1058" i="18" s="1"/>
  <c r="F1057" i="18"/>
  <c r="I1057" i="18" s="1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F1047" i="18"/>
  <c r="I1047" i="18" s="1"/>
  <c r="F1046" i="18"/>
  <c r="I1046" i="18" s="1"/>
  <c r="F1045" i="18"/>
  <c r="I1045" i="18" s="1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F1036" i="18"/>
  <c r="I1036" i="18" s="1"/>
  <c r="F1035" i="18"/>
  <c r="F1034" i="18"/>
  <c r="I1034" i="18" s="1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F1027" i="18"/>
  <c r="I1027" i="18" s="1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F1020" i="18"/>
  <c r="H1020" i="18" s="1"/>
  <c r="F1019" i="18"/>
  <c r="I1019" i="18" s="1"/>
  <c r="F1018" i="18"/>
  <c r="I1018" i="18" s="1"/>
  <c r="F1017" i="18"/>
  <c r="F1016" i="18"/>
  <c r="I1016" i="18" s="1"/>
  <c r="F1015" i="18"/>
  <c r="I1015" i="18" s="1"/>
  <c r="F1014" i="18"/>
  <c r="G1014" i="18" s="1"/>
  <c r="F1013" i="18"/>
  <c r="I1013" i="18" s="1"/>
  <c r="F1012" i="18"/>
  <c r="I1012" i="18" s="1"/>
  <c r="F1011" i="18"/>
  <c r="I1011" i="18" s="1"/>
  <c r="F1010" i="18"/>
  <c r="F1009" i="18"/>
  <c r="I1009" i="18" s="1"/>
  <c r="F1008" i="18"/>
  <c r="I1008" i="18" s="1"/>
  <c r="F1007" i="18"/>
  <c r="F1006" i="18"/>
  <c r="F1005" i="18"/>
  <c r="G1005" i="18" s="1"/>
  <c r="F1004" i="18"/>
  <c r="F1003" i="18"/>
  <c r="I1003" i="18" s="1"/>
  <c r="F1002" i="18"/>
  <c r="H1002" i="18" s="1"/>
  <c r="F1001" i="18"/>
  <c r="F1000" i="18"/>
  <c r="I1000" i="18" s="1"/>
  <c r="F999" i="18"/>
  <c r="F998" i="18"/>
  <c r="F997" i="18"/>
  <c r="I997" i="18" s="1"/>
  <c r="F996" i="18"/>
  <c r="G996" i="18" s="1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F987" i="18"/>
  <c r="G987" i="18" s="1"/>
  <c r="F986" i="18"/>
  <c r="F985" i="18"/>
  <c r="F984" i="18"/>
  <c r="G984" i="18" s="1"/>
  <c r="F983" i="18"/>
  <c r="F982" i="18"/>
  <c r="F981" i="18"/>
  <c r="G981" i="18" s="1"/>
  <c r="F980" i="18"/>
  <c r="I980" i="18" s="1"/>
  <c r="F979" i="18"/>
  <c r="F978" i="18"/>
  <c r="H978" i="18" s="1"/>
  <c r="F977" i="18"/>
  <c r="I977" i="18" s="1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F954" i="18"/>
  <c r="I954" i="18" s="1"/>
  <c r="F953" i="18"/>
  <c r="G953" i="18" s="1"/>
  <c r="F952" i="18"/>
  <c r="G952" i="18" s="1"/>
  <c r="F951" i="18"/>
  <c r="H951" i="18" s="1"/>
  <c r="F950" i="18"/>
  <c r="G950" i="18" s="1"/>
  <c r="F949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F936" i="18"/>
  <c r="I936" i="18" s="1"/>
  <c r="F935" i="18"/>
  <c r="G935" i="18" s="1"/>
  <c r="F934" i="18"/>
  <c r="G934" i="18" s="1"/>
  <c r="F933" i="18"/>
  <c r="H933" i="18" s="1"/>
  <c r="F932" i="18"/>
  <c r="G932" i="18" s="1"/>
  <c r="F931" i="18"/>
  <c r="F930" i="18"/>
  <c r="F929" i="18"/>
  <c r="G929" i="18" s="1"/>
  <c r="F928" i="18"/>
  <c r="G928" i="18" s="1"/>
  <c r="F927" i="18"/>
  <c r="I927" i="18" s="1"/>
  <c r="F926" i="18"/>
  <c r="G926" i="18" s="1"/>
  <c r="F925" i="18"/>
  <c r="F924" i="18"/>
  <c r="G924" i="18" s="1"/>
  <c r="F923" i="18"/>
  <c r="G923" i="18" s="1"/>
  <c r="F922" i="18"/>
  <c r="G922" i="18" s="1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F912" i="18"/>
  <c r="I912" i="18" s="1"/>
  <c r="F911" i="18"/>
  <c r="H911" i="18" s="1"/>
  <c r="F910" i="18"/>
  <c r="H910" i="18" s="1"/>
  <c r="F909" i="18"/>
  <c r="G909" i="18" s="1"/>
  <c r="F908" i="18"/>
  <c r="H908" i="18" s="1"/>
  <c r="F907" i="18"/>
  <c r="H907" i="18" s="1"/>
  <c r="F906" i="18"/>
  <c r="F905" i="18"/>
  <c r="G905" i="18" s="1"/>
  <c r="F904" i="18"/>
  <c r="H904" i="18" s="1"/>
  <c r="F903" i="18"/>
  <c r="I903" i="18" s="1"/>
  <c r="F902" i="18"/>
  <c r="I902" i="18" s="1"/>
  <c r="F901" i="18"/>
  <c r="H901" i="18" s="1"/>
  <c r="F900" i="18"/>
  <c r="I900" i="18" s="1"/>
  <c r="F899" i="18"/>
  <c r="I899" i="18" s="1"/>
  <c r="F898" i="18"/>
  <c r="H898" i="18" s="1"/>
  <c r="F897" i="18"/>
  <c r="H897" i="18" s="1"/>
  <c r="F896" i="18"/>
  <c r="I896" i="18" s="1"/>
  <c r="F895" i="18"/>
  <c r="H895" i="18" s="1"/>
  <c r="F894" i="18"/>
  <c r="F893" i="18"/>
  <c r="H893" i="18" s="1"/>
  <c r="F892" i="18"/>
  <c r="H892" i="18" s="1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F876" i="18"/>
  <c r="I876" i="18" s="1"/>
  <c r="F875" i="18"/>
  <c r="H875" i="18" s="1"/>
  <c r="F874" i="18"/>
  <c r="H874" i="18" s="1"/>
  <c r="F873" i="18"/>
  <c r="I873" i="18" s="1"/>
  <c r="F872" i="18"/>
  <c r="H872" i="18" s="1"/>
  <c r="F871" i="18"/>
  <c r="F870" i="18"/>
  <c r="I870" i="18" s="1"/>
  <c r="F869" i="18"/>
  <c r="H869" i="18" s="1"/>
  <c r="F868" i="18"/>
  <c r="I868" i="18" s="1"/>
  <c r="F867" i="18"/>
  <c r="I867" i="18" s="1"/>
  <c r="F866" i="18"/>
  <c r="H866" i="18" s="1"/>
  <c r="F865" i="18"/>
  <c r="H865" i="18" s="1"/>
  <c r="F864" i="18"/>
  <c r="I864" i="18" s="1"/>
  <c r="F863" i="18"/>
  <c r="H863" i="18" s="1"/>
  <c r="F862" i="18"/>
  <c r="G862" i="18" s="1"/>
  <c r="F861" i="18"/>
  <c r="I861" i="18" s="1"/>
  <c r="F860" i="18"/>
  <c r="H860" i="18" s="1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F853" i="18"/>
  <c r="G853" i="18" s="1"/>
  <c r="F852" i="18"/>
  <c r="I852" i="18" s="1"/>
  <c r="F851" i="18"/>
  <c r="H851" i="18" s="1"/>
  <c r="F850" i="18"/>
  <c r="F849" i="18"/>
  <c r="I849" i="18" s="1"/>
  <c r="F848" i="18"/>
  <c r="H848" i="18" s="1"/>
  <c r="F847" i="18"/>
  <c r="F846" i="18"/>
  <c r="I846" i="18" s="1"/>
  <c r="F845" i="18"/>
  <c r="H845" i="18" s="1"/>
  <c r="F844" i="18"/>
  <c r="I844" i="18" s="1"/>
  <c r="F843" i="18"/>
  <c r="I843" i="18" s="1"/>
  <c r="F842" i="18"/>
  <c r="H842" i="18" s="1"/>
  <c r="F841" i="18"/>
  <c r="H841" i="18" s="1"/>
  <c r="F840" i="18"/>
  <c r="I840" i="18" s="1"/>
  <c r="F839" i="18"/>
  <c r="F838" i="18"/>
  <c r="G838" i="18" s="1"/>
  <c r="F837" i="18"/>
  <c r="I837" i="18" s="1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F823" i="18"/>
  <c r="H823" i="18" s="1"/>
  <c r="F822" i="18"/>
  <c r="I822" i="18" s="1"/>
  <c r="F821" i="18"/>
  <c r="F820" i="18"/>
  <c r="G820" i="18" s="1"/>
  <c r="F819" i="18"/>
  <c r="I819" i="18" s="1"/>
  <c r="F818" i="18"/>
  <c r="H818" i="18" s="1"/>
  <c r="F817" i="18"/>
  <c r="G817" i="18" s="1"/>
  <c r="F816" i="18"/>
  <c r="I816" i="18" s="1"/>
  <c r="F815" i="18"/>
  <c r="H815" i="18" s="1"/>
  <c r="F814" i="18"/>
  <c r="F813" i="18"/>
  <c r="I813" i="18" s="1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F806" i="18"/>
  <c r="H806" i="18" s="1"/>
  <c r="F805" i="18"/>
  <c r="I805" i="18" s="1"/>
  <c r="F804" i="18"/>
  <c r="I804" i="18" s="1"/>
  <c r="F803" i="18"/>
  <c r="F802" i="18"/>
  <c r="H802" i="18" s="1"/>
  <c r="F801" i="18"/>
  <c r="I801" i="18" s="1"/>
  <c r="F800" i="18"/>
  <c r="H800" i="18" s="1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F793" i="18"/>
  <c r="G793" i="18" s="1"/>
  <c r="F792" i="18"/>
  <c r="I792" i="18" s="1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F781" i="18"/>
  <c r="G781" i="18" s="1"/>
  <c r="F780" i="18"/>
  <c r="I780" i="18" s="1"/>
  <c r="F779" i="18"/>
  <c r="H779" i="18" s="1"/>
  <c r="F778" i="18"/>
  <c r="F777" i="18"/>
  <c r="I777" i="18" s="1"/>
  <c r="F776" i="18"/>
  <c r="H776" i="18" s="1"/>
  <c r="F775" i="18"/>
  <c r="H775" i="18" s="1"/>
  <c r="F774" i="18"/>
  <c r="I774" i="18" s="1"/>
  <c r="F773" i="18"/>
  <c r="H773" i="18" s="1"/>
  <c r="F772" i="18"/>
  <c r="I772" i="18" s="1"/>
  <c r="F771" i="18"/>
  <c r="I771" i="18" s="1"/>
  <c r="F770" i="18"/>
  <c r="H770" i="18" s="1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F751" i="18"/>
  <c r="G751" i="18" s="1"/>
  <c r="F750" i="18"/>
  <c r="I750" i="18" s="1"/>
  <c r="F749" i="18"/>
  <c r="F748" i="18"/>
  <c r="G748" i="18" s="1"/>
  <c r="F747" i="18"/>
  <c r="I747" i="18" s="1"/>
  <c r="F746" i="18"/>
  <c r="H746" i="18" s="1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F733" i="18"/>
  <c r="H733" i="18" s="1"/>
  <c r="F732" i="18"/>
  <c r="I732" i="18" s="1"/>
  <c r="F731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F724" i="18"/>
  <c r="H724" i="18" s="1"/>
  <c r="F723" i="18"/>
  <c r="I723" i="18" s="1"/>
  <c r="F722" i="18"/>
  <c r="H722" i="18" s="1"/>
  <c r="F721" i="18"/>
  <c r="G721" i="18" s="1"/>
  <c r="F720" i="18"/>
  <c r="I720" i="18" s="1"/>
  <c r="F719" i="18"/>
  <c r="H719" i="18" s="1"/>
  <c r="F718" i="18"/>
  <c r="H718" i="18" s="1"/>
  <c r="F717" i="18"/>
  <c r="I717" i="18" s="1"/>
  <c r="F716" i="18"/>
  <c r="H716" i="18" s="1"/>
  <c r="F715" i="18"/>
  <c r="I715" i="18" s="1"/>
  <c r="F714" i="18"/>
  <c r="I714" i="18" s="1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F697" i="18"/>
  <c r="I697" i="18" s="1"/>
  <c r="F696" i="18"/>
  <c r="I696" i="18" s="1"/>
  <c r="F695" i="18"/>
  <c r="H695" i="18" s="1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F676" i="18"/>
  <c r="G676" i="18" s="1"/>
  <c r="F675" i="18"/>
  <c r="I675" i="18" s="1"/>
  <c r="F674" i="18"/>
  <c r="H674" i="18" s="1"/>
  <c r="F673" i="18"/>
  <c r="I673" i="18" s="1"/>
  <c r="F672" i="18"/>
  <c r="I672" i="18" s="1"/>
  <c r="F671" i="18"/>
  <c r="H671" i="18" s="1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F664" i="18"/>
  <c r="G664" i="18" s="1"/>
  <c r="F663" i="18"/>
  <c r="I663" i="18" s="1"/>
  <c r="F662" i="18"/>
  <c r="H662" i="18" s="1"/>
  <c r="F661" i="18"/>
  <c r="H661" i="18" s="1"/>
  <c r="F660" i="18"/>
  <c r="I660" i="18" s="1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F646" i="18"/>
  <c r="H646" i="18" s="1"/>
  <c r="F645" i="18"/>
  <c r="I645" i="18" s="1"/>
  <c r="F644" i="18"/>
  <c r="H644" i="18" s="1"/>
  <c r="F643" i="18"/>
  <c r="G643" i="18" s="1"/>
  <c r="F642" i="18"/>
  <c r="I642" i="18" s="1"/>
  <c r="F641" i="18"/>
  <c r="F640" i="18"/>
  <c r="H640" i="18" s="1"/>
  <c r="F639" i="18"/>
  <c r="I639" i="18" s="1"/>
  <c r="F638" i="18"/>
  <c r="H638" i="18" s="1"/>
  <c r="F637" i="18"/>
  <c r="I637" i="18" s="1"/>
  <c r="F636" i="18"/>
  <c r="I636" i="18" s="1"/>
  <c r="F635" i="18"/>
  <c r="H635" i="18" s="1"/>
  <c r="F634" i="18"/>
  <c r="F633" i="18"/>
  <c r="I633" i="18" s="1"/>
  <c r="F632" i="18"/>
  <c r="H632" i="18" s="1"/>
  <c r="F631" i="18"/>
  <c r="H631" i="18" s="1"/>
  <c r="F630" i="18"/>
  <c r="I630" i="18" s="1"/>
  <c r="F629" i="18"/>
  <c r="H629" i="18" s="1"/>
  <c r="F628" i="18"/>
  <c r="I628" i="18" s="1"/>
  <c r="F627" i="18"/>
  <c r="I627" i="18" s="1"/>
  <c r="F626" i="18"/>
  <c r="H626" i="18" s="1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F586" i="18"/>
  <c r="H586" i="18" s="1"/>
  <c r="F585" i="18"/>
  <c r="I585" i="18" s="1"/>
  <c r="F584" i="18"/>
  <c r="H584" i="18" s="1"/>
  <c r="F583" i="18"/>
  <c r="F582" i="18"/>
  <c r="I582" i="18" s="1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F574" i="18"/>
  <c r="I574" i="18" s="1"/>
  <c r="F573" i="18"/>
  <c r="I573" i="18" s="1"/>
  <c r="F572" i="18"/>
  <c r="F571" i="18"/>
  <c r="G571" i="18" s="1"/>
  <c r="F570" i="18"/>
  <c r="I570" i="18" s="1"/>
  <c r="F569" i="18"/>
  <c r="H569" i="18" s="1"/>
  <c r="F568" i="18"/>
  <c r="H568" i="18" s="1"/>
  <c r="F567" i="18"/>
  <c r="I567" i="18" s="1"/>
  <c r="F566" i="18"/>
  <c r="H566" i="18" s="1"/>
  <c r="F565" i="18"/>
  <c r="F564" i="18"/>
  <c r="F563" i="18"/>
  <c r="H563" i="18" s="1"/>
  <c r="F562" i="18"/>
  <c r="F561" i="18"/>
  <c r="F560" i="18"/>
  <c r="H560" i="18" s="1"/>
  <c r="F559" i="18"/>
  <c r="I559" i="18" s="1"/>
  <c r="F558" i="18"/>
  <c r="F557" i="18"/>
  <c r="H557" i="18" s="1"/>
  <c r="F556" i="18"/>
  <c r="I556" i="18" s="1"/>
  <c r="F555" i="18"/>
  <c r="F554" i="18"/>
  <c r="F553" i="18"/>
  <c r="G553" i="18" s="1"/>
  <c r="F552" i="18"/>
  <c r="F551" i="18"/>
  <c r="H551" i="18" s="1"/>
  <c r="F550" i="18"/>
  <c r="H550" i="18" s="1"/>
  <c r="F549" i="18"/>
  <c r="F548" i="18"/>
  <c r="H548" i="18" s="1"/>
  <c r="F547" i="18"/>
  <c r="F546" i="18"/>
  <c r="F545" i="18"/>
  <c r="H545" i="18" s="1"/>
  <c r="F544" i="18"/>
  <c r="F543" i="18"/>
  <c r="F542" i="18"/>
  <c r="H542" i="18" s="1"/>
  <c r="F541" i="18"/>
  <c r="I541" i="18" s="1"/>
  <c r="F540" i="18"/>
  <c r="F539" i="18"/>
  <c r="H539" i="18" s="1"/>
  <c r="F538" i="18"/>
  <c r="G538" i="18" s="1"/>
  <c r="F537" i="18"/>
  <c r="F536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F520" i="18"/>
  <c r="I520" i="18" s="1"/>
  <c r="F519" i="18"/>
  <c r="F518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F509" i="18"/>
  <c r="H509" i="18" s="1"/>
  <c r="F508" i="18"/>
  <c r="F507" i="18"/>
  <c r="F506" i="18"/>
  <c r="H506" i="18" s="1"/>
  <c r="F505" i="18"/>
  <c r="I505" i="18" s="1"/>
  <c r="F504" i="18"/>
  <c r="F503" i="18"/>
  <c r="H503" i="18" s="1"/>
  <c r="F502" i="18"/>
  <c r="I502" i="18" s="1"/>
  <c r="F501" i="18"/>
  <c r="F500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F490" i="18"/>
  <c r="G490" i="18" s="1"/>
  <c r="F489" i="18"/>
  <c r="F488" i="18"/>
  <c r="H488" i="18" s="1"/>
  <c r="F487" i="18"/>
  <c r="I487" i="18" s="1"/>
  <c r="F486" i="18"/>
  <c r="F485" i="18"/>
  <c r="H485" i="18" s="1"/>
  <c r="F484" i="18"/>
  <c r="H484" i="18" s="1"/>
  <c r="F483" i="18"/>
  <c r="F482" i="18"/>
  <c r="F481" i="18"/>
  <c r="G481" i="18" s="1"/>
  <c r="F480" i="18"/>
  <c r="F479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F463" i="18"/>
  <c r="G463" i="18" s="1"/>
  <c r="F462" i="18"/>
  <c r="F461" i="18"/>
  <c r="F460" i="18"/>
  <c r="F459" i="18"/>
  <c r="F458" i="18"/>
  <c r="F457" i="18"/>
  <c r="I457" i="18" s="1"/>
  <c r="F456" i="18"/>
  <c r="F455" i="18"/>
  <c r="I455" i="18" s="1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F433" i="18"/>
  <c r="H433" i="18" s="1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F423" i="18"/>
  <c r="G423" i="18" s="1"/>
  <c r="F422" i="18"/>
  <c r="H422" i="18" s="1"/>
  <c r="F421" i="18"/>
  <c r="I421" i="18" s="1"/>
  <c r="F420" i="18"/>
  <c r="F419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F394" i="18"/>
  <c r="H394" i="18" s="1"/>
  <c r="F393" i="18"/>
  <c r="I393" i="18" s="1"/>
  <c r="F392" i="18"/>
  <c r="I392" i="18" s="1"/>
  <c r="F391" i="18"/>
  <c r="F390" i="18"/>
  <c r="G390" i="18" s="1"/>
  <c r="F389" i="18"/>
  <c r="I389" i="18" s="1"/>
  <c r="F388" i="18"/>
  <c r="H388" i="18" s="1"/>
  <c r="F387" i="18"/>
  <c r="F386" i="18"/>
  <c r="I386" i="18" s="1"/>
  <c r="F385" i="18"/>
  <c r="H385" i="18" s="1"/>
  <c r="F384" i="18"/>
  <c r="I384" i="18" s="1"/>
  <c r="F383" i="18"/>
  <c r="I383" i="18" s="1"/>
  <c r="F382" i="18"/>
  <c r="F381" i="18"/>
  <c r="G381" i="18" s="1"/>
  <c r="F380" i="18"/>
  <c r="I380" i="18" s="1"/>
  <c r="F379" i="18"/>
  <c r="H379" i="18" s="1"/>
  <c r="F378" i="18"/>
  <c r="F377" i="18"/>
  <c r="I377" i="18" s="1"/>
  <c r="F376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F336" i="18"/>
  <c r="G336" i="18" s="1"/>
  <c r="F335" i="18"/>
  <c r="I335" i="18" s="1"/>
  <c r="F334" i="18"/>
  <c r="F333" i="18"/>
  <c r="F332" i="18"/>
  <c r="I332" i="18" s="1"/>
  <c r="F331" i="18"/>
  <c r="H331" i="18" s="1"/>
  <c r="F330" i="18"/>
  <c r="I330" i="18" s="1"/>
  <c r="F329" i="18"/>
  <c r="I329" i="18" s="1"/>
  <c r="F328" i="18"/>
  <c r="F327" i="18"/>
  <c r="G327" i="18" s="1"/>
  <c r="F326" i="18"/>
  <c r="I326" i="18" s="1"/>
  <c r="F325" i="18"/>
  <c r="H325" i="18" s="1"/>
  <c r="F324" i="18"/>
  <c r="F323" i="18"/>
  <c r="I323" i="18" s="1"/>
  <c r="F322" i="18"/>
  <c r="H322" i="18" s="1"/>
  <c r="F321" i="18"/>
  <c r="F320" i="18"/>
  <c r="I320" i="18" s="1"/>
  <c r="F319" i="18"/>
  <c r="F318" i="18"/>
  <c r="I318" i="18" s="1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F309" i="18"/>
  <c r="G309" i="18" s="1"/>
  <c r="F308" i="18"/>
  <c r="I308" i="18" s="1"/>
  <c r="F307" i="18"/>
  <c r="H307" i="18" s="1"/>
  <c r="F306" i="18"/>
  <c r="F305" i="18"/>
  <c r="I305" i="18" s="1"/>
  <c r="F304" i="18"/>
  <c r="I304" i="18" s="1"/>
  <c r="F303" i="18"/>
  <c r="I303" i="18" s="1"/>
  <c r="F302" i="18"/>
  <c r="I302" i="18" s="1"/>
  <c r="F301" i="18"/>
  <c r="F300" i="18"/>
  <c r="G300" i="18" s="1"/>
  <c r="F299" i="18"/>
  <c r="I299" i="18" s="1"/>
  <c r="F298" i="18"/>
  <c r="H298" i="18" s="1"/>
  <c r="F297" i="18"/>
  <c r="F296" i="18"/>
  <c r="I296" i="18" s="1"/>
  <c r="F295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F267" i="18"/>
  <c r="I267" i="18" s="1"/>
  <c r="F266" i="18"/>
  <c r="I266" i="18" s="1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F256" i="18"/>
  <c r="H256" i="18" s="1"/>
  <c r="F255" i="18"/>
  <c r="G255" i="18" s="1"/>
  <c r="F254" i="18"/>
  <c r="I254" i="18" s="1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F246" i="18"/>
  <c r="G246" i="18" s="1"/>
  <c r="F245" i="18"/>
  <c r="I245" i="18" s="1"/>
  <c r="F244" i="18"/>
  <c r="H244" i="18" s="1"/>
  <c r="F243" i="18"/>
  <c r="I243" i="18" s="1"/>
  <c r="F242" i="18"/>
  <c r="I242" i="18" s="1"/>
  <c r="F241" i="18"/>
  <c r="F240" i="18"/>
  <c r="I240" i="18" s="1"/>
  <c r="F239" i="18"/>
  <c r="I239" i="18" s="1"/>
  <c r="F238" i="18"/>
  <c r="I238" i="18" s="1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F228" i="18"/>
  <c r="G228" i="18" s="1"/>
  <c r="F227" i="18"/>
  <c r="I227" i="18" s="1"/>
  <c r="F226" i="18"/>
  <c r="H226" i="18" s="1"/>
  <c r="F225" i="18"/>
  <c r="G225" i="18" s="1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F210" i="18"/>
  <c r="G210" i="18" s="1"/>
  <c r="F209" i="18"/>
  <c r="I209" i="18" s="1"/>
  <c r="F208" i="18"/>
  <c r="H208" i="18" s="1"/>
  <c r="F207" i="18"/>
  <c r="I207" i="18" s="1"/>
  <c r="F206" i="18"/>
  <c r="I206" i="18" s="1"/>
  <c r="F205" i="18"/>
  <c r="F204" i="18"/>
  <c r="I204" i="18" s="1"/>
  <c r="F203" i="18"/>
  <c r="I203" i="18" s="1"/>
  <c r="F202" i="18"/>
  <c r="H202" i="18" s="1"/>
  <c r="F201" i="18"/>
  <c r="I201" i="18" s="1"/>
  <c r="F200" i="18"/>
  <c r="I200" i="18" s="1"/>
  <c r="F199" i="18"/>
  <c r="H199" i="18" s="1"/>
  <c r="F198" i="18"/>
  <c r="G198" i="18" s="1"/>
  <c r="F197" i="18"/>
  <c r="I197" i="18" s="1"/>
  <c r="F196" i="18"/>
  <c r="H196" i="18" s="1"/>
  <c r="F195" i="18"/>
  <c r="I195" i="18" s="1"/>
  <c r="F194" i="18"/>
  <c r="I194" i="18" s="1"/>
  <c r="F193" i="18"/>
  <c r="H193" i="18" s="1"/>
  <c r="F192" i="18"/>
  <c r="I192" i="18" s="1"/>
  <c r="F191" i="18"/>
  <c r="I191" i="18" s="1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F181" i="18"/>
  <c r="H181" i="18" s="1"/>
  <c r="F180" i="18"/>
  <c r="G180" i="18" s="1"/>
  <c r="F179" i="18"/>
  <c r="I179" i="18" s="1"/>
  <c r="F178" i="18"/>
  <c r="H178" i="18" s="1"/>
  <c r="F177" i="18"/>
  <c r="G177" i="18" s="1"/>
  <c r="F176" i="18"/>
  <c r="I176" i="18" s="1"/>
  <c r="F175" i="18"/>
  <c r="H175" i="18" s="1"/>
  <c r="F174" i="18"/>
  <c r="I174" i="18" s="1"/>
  <c r="F173" i="18"/>
  <c r="I173" i="18" s="1"/>
  <c r="F172" i="18"/>
  <c r="H172" i="18" s="1"/>
  <c r="F171" i="18"/>
  <c r="G171" i="18" s="1"/>
  <c r="F170" i="18"/>
  <c r="I170" i="18" s="1"/>
  <c r="F169" i="18"/>
  <c r="H169" i="18" s="1"/>
  <c r="F168" i="18"/>
  <c r="I168" i="18" s="1"/>
  <c r="F167" i="18"/>
  <c r="I167" i="18" s="1"/>
  <c r="F166" i="18"/>
  <c r="H166" i="18" s="1"/>
  <c r="F165" i="18"/>
  <c r="I165" i="18" s="1"/>
  <c r="F164" i="18"/>
  <c r="I164" i="18" s="1"/>
  <c r="F163" i="18"/>
  <c r="H163" i="18" s="1"/>
  <c r="F162" i="18"/>
  <c r="H162" i="18" s="1"/>
  <c r="F161" i="18"/>
  <c r="I161" i="18" s="1"/>
  <c r="F160" i="18"/>
  <c r="H160" i="18" s="1"/>
  <c r="F159" i="18"/>
  <c r="I159" i="18" s="1"/>
  <c r="F158" i="18"/>
  <c r="I158" i="18" s="1"/>
  <c r="F157" i="18"/>
  <c r="H157" i="18" s="1"/>
  <c r="F156" i="18"/>
  <c r="I156" i="18" s="1"/>
  <c r="F155" i="18"/>
  <c r="I155" i="18" s="1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F145" i="18"/>
  <c r="H145" i="18" s="1"/>
  <c r="F144" i="18"/>
  <c r="H144" i="18" s="1"/>
  <c r="F143" i="18"/>
  <c r="I143" i="18" s="1"/>
  <c r="F142" i="18"/>
  <c r="H142" i="18" s="1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F127" i="18"/>
  <c r="G127" i="18" s="1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F118" i="18"/>
  <c r="H118" i="18" s="1"/>
  <c r="F117" i="18"/>
  <c r="H117" i="18" s="1"/>
  <c r="F116" i="18"/>
  <c r="I116" i="18" s="1"/>
  <c r="F115" i="18"/>
  <c r="H115" i="18" s="1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F100" i="18"/>
  <c r="H100" i="18" s="1"/>
  <c r="F99" i="18"/>
  <c r="H99" i="18" s="1"/>
  <c r="F98" i="18"/>
  <c r="I98" i="18" s="1"/>
  <c r="F97" i="18"/>
  <c r="H97" i="18" s="1"/>
  <c r="F96" i="18"/>
  <c r="I96" i="18" s="1"/>
  <c r="F95" i="18"/>
  <c r="I95" i="18" s="1"/>
  <c r="F94" i="18"/>
  <c r="H94" i="18" s="1"/>
  <c r="F93" i="18"/>
  <c r="I93" i="18" s="1"/>
  <c r="F92" i="18"/>
  <c r="I92" i="18" s="1"/>
  <c r="F91" i="18"/>
  <c r="H91" i="18" s="1"/>
  <c r="F90" i="18"/>
  <c r="G90" i="18" s="1"/>
  <c r="F89" i="18"/>
  <c r="I89" i="18" s="1"/>
  <c r="F88" i="18"/>
  <c r="H88" i="18" s="1"/>
  <c r="F87" i="18"/>
  <c r="I87" i="18" s="1"/>
  <c r="F86" i="18"/>
  <c r="I86" i="18" s="1"/>
  <c r="F85" i="18"/>
  <c r="H85" i="18" s="1"/>
  <c r="F84" i="18"/>
  <c r="I84" i="18" s="1"/>
  <c r="F83" i="18"/>
  <c r="I83" i="18" s="1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F73" i="18"/>
  <c r="H73" i="18" s="1"/>
  <c r="F72" i="18"/>
  <c r="H72" i="18" s="1"/>
  <c r="F71" i="18"/>
  <c r="I71" i="18" s="1"/>
  <c r="F70" i="18"/>
  <c r="H70" i="18" s="1"/>
  <c r="F69" i="18"/>
  <c r="G69" i="18" s="1"/>
  <c r="F68" i="18"/>
  <c r="I68" i="18" s="1"/>
  <c r="F67" i="18"/>
  <c r="H67" i="18" s="1"/>
  <c r="F66" i="18"/>
  <c r="I66" i="18" s="1"/>
  <c r="F65" i="18"/>
  <c r="I65" i="18" s="1"/>
  <c r="F64" i="18"/>
  <c r="H64" i="18" s="1"/>
  <c r="F63" i="18"/>
  <c r="H63" i="18" s="1"/>
  <c r="F62" i="18"/>
  <c r="I62" i="18" s="1"/>
  <c r="F61" i="18"/>
  <c r="H61" i="18" s="1"/>
  <c r="F60" i="18"/>
  <c r="I60" i="18" s="1"/>
  <c r="F59" i="18"/>
  <c r="I59" i="18" s="1"/>
  <c r="F58" i="18"/>
  <c r="H58" i="18" s="1"/>
  <c r="F57" i="18"/>
  <c r="I57" i="18" s="1"/>
  <c r="F56" i="18"/>
  <c r="I56" i="18" s="1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F42" i="18"/>
  <c r="I42" i="18" s="1"/>
  <c r="F41" i="18"/>
  <c r="I41" i="18" s="1"/>
  <c r="F40" i="18"/>
  <c r="H40" i="18" s="1"/>
  <c r="F39" i="18"/>
  <c r="I39" i="18" s="1"/>
  <c r="F38" i="18"/>
  <c r="I38" i="18" s="1"/>
  <c r="F37" i="18"/>
  <c r="H37" i="18" s="1"/>
  <c r="F36" i="18"/>
  <c r="H36" i="18" s="1"/>
  <c r="F35" i="18"/>
  <c r="I35" i="18" s="1"/>
  <c r="F34" i="18"/>
  <c r="H34" i="18" s="1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F19" i="18"/>
  <c r="H19" i="18" s="1"/>
  <c r="F18" i="18"/>
  <c r="H18" i="18" s="1"/>
  <c r="F17" i="18"/>
  <c r="I17" i="18" s="1"/>
  <c r="F16" i="18"/>
  <c r="H16" i="18" s="1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F2" i="18"/>
  <c r="I2" i="18" s="1"/>
  <c r="H2938" i="18" l="1"/>
  <c r="I3163" i="18"/>
  <c r="H2604" i="18"/>
  <c r="G1767" i="18"/>
  <c r="G631" i="18"/>
  <c r="H502" i="18"/>
  <c r="I1613" i="18"/>
  <c r="H2187" i="18"/>
  <c r="H1484" i="18"/>
  <c r="H805" i="18"/>
  <c r="G876" i="18"/>
  <c r="I1005" i="18"/>
  <c r="H2724" i="18"/>
  <c r="G3213" i="18"/>
  <c r="H2058" i="18"/>
  <c r="H390" i="18"/>
  <c r="G1679" i="18"/>
  <c r="H2079" i="18"/>
  <c r="H2353" i="18"/>
  <c r="H3236" i="18"/>
  <c r="H3247" i="18"/>
  <c r="I484" i="18"/>
  <c r="G628" i="18"/>
  <c r="I924" i="18"/>
  <c r="G1527" i="18"/>
  <c r="G2424" i="18"/>
  <c r="G2458" i="18"/>
  <c r="I2551" i="18"/>
  <c r="G3216" i="18"/>
  <c r="G60" i="18"/>
  <c r="H1329" i="18"/>
  <c r="H2391" i="18"/>
  <c r="H2448" i="18"/>
  <c r="H2481" i="18"/>
  <c r="H2634" i="18"/>
  <c r="I181" i="18"/>
  <c r="I228" i="18"/>
  <c r="I1092" i="18"/>
  <c r="H1365" i="18"/>
  <c r="G1541" i="18"/>
  <c r="G2007" i="18"/>
  <c r="H2041" i="18"/>
  <c r="H457" i="18"/>
  <c r="H929" i="18"/>
  <c r="H2007" i="18"/>
  <c r="I2395" i="18"/>
  <c r="I1476" i="18"/>
  <c r="H2386" i="18"/>
  <c r="G2464" i="18"/>
  <c r="I1802" i="18"/>
  <c r="G640" i="18"/>
  <c r="H673" i="18"/>
  <c r="H1116" i="18"/>
  <c r="I1770" i="18"/>
  <c r="G2094" i="18"/>
  <c r="G2445" i="18"/>
  <c r="G2995" i="18"/>
  <c r="H3126" i="18"/>
  <c r="I3536" i="18"/>
  <c r="G55" i="18"/>
  <c r="G195" i="18"/>
  <c r="I385" i="18"/>
  <c r="I640" i="18"/>
  <c r="I721" i="18"/>
  <c r="I1059" i="18"/>
  <c r="I1515" i="18"/>
  <c r="I2094" i="18"/>
  <c r="H2782" i="18"/>
  <c r="I3229" i="18"/>
  <c r="H924" i="18"/>
  <c r="I933" i="18"/>
  <c r="H1287" i="18"/>
  <c r="H1356" i="18"/>
  <c r="G1484" i="18"/>
  <c r="H1936" i="18"/>
  <c r="H820" i="18"/>
  <c r="H1541" i="18"/>
  <c r="I1799" i="18"/>
  <c r="I1881" i="18"/>
  <c r="H2706" i="18"/>
  <c r="H3213" i="18"/>
  <c r="G2395" i="18"/>
  <c r="H2472" i="18"/>
  <c r="I2706" i="18"/>
  <c r="G646" i="18"/>
  <c r="G181" i="18"/>
  <c r="H520" i="18"/>
  <c r="H1008" i="18"/>
  <c r="G1419" i="18"/>
  <c r="I1579" i="18"/>
  <c r="I256" i="18"/>
  <c r="G267" i="18"/>
  <c r="H345" i="18"/>
  <c r="H571" i="18"/>
  <c r="I987" i="18"/>
  <c r="G1063" i="18"/>
  <c r="I1116" i="18"/>
  <c r="G1493" i="18"/>
  <c r="I1712" i="18"/>
  <c r="G2061" i="18"/>
  <c r="G2313" i="18"/>
  <c r="I2455" i="18"/>
  <c r="H2532" i="18"/>
  <c r="H2670" i="18"/>
  <c r="I2774" i="18"/>
  <c r="H3087" i="18"/>
  <c r="G3504" i="18"/>
  <c r="I336" i="18"/>
  <c r="H381" i="18"/>
  <c r="H401" i="18"/>
  <c r="G697" i="18"/>
  <c r="H900" i="18"/>
  <c r="I978" i="18"/>
  <c r="H1044" i="18"/>
  <c r="G1098" i="18"/>
  <c r="I1452" i="18"/>
  <c r="G1559" i="18"/>
  <c r="G1569" i="18"/>
  <c r="G1635" i="18"/>
  <c r="G1926" i="18"/>
  <c r="H2232" i="18"/>
  <c r="G2325" i="18"/>
  <c r="G2415" i="18"/>
  <c r="I2545" i="18"/>
  <c r="H2797" i="18"/>
  <c r="I3045" i="18"/>
  <c r="G3088" i="18"/>
  <c r="I345" i="18"/>
  <c r="I517" i="18"/>
  <c r="I1056" i="18"/>
  <c r="H1559" i="18"/>
  <c r="I1625" i="18"/>
  <c r="I1635" i="18"/>
  <c r="I1771" i="18"/>
  <c r="I1838" i="18"/>
  <c r="H2415" i="18"/>
  <c r="G2448" i="18"/>
  <c r="H3057" i="18"/>
  <c r="G3588" i="18"/>
  <c r="H267" i="18"/>
  <c r="G294" i="18"/>
  <c r="I722" i="18"/>
  <c r="G1036" i="18"/>
  <c r="I1551" i="18"/>
  <c r="I1817" i="18"/>
  <c r="I1839" i="18"/>
  <c r="I2076" i="18"/>
  <c r="H2106" i="18"/>
  <c r="H3081" i="18"/>
  <c r="G3660" i="18"/>
  <c r="H204" i="18"/>
  <c r="I394" i="18"/>
  <c r="H781" i="18"/>
  <c r="I791" i="18"/>
  <c r="I836" i="18"/>
  <c r="G1026" i="18"/>
  <c r="H1113" i="18"/>
  <c r="G1309" i="18"/>
  <c r="I1467" i="18"/>
  <c r="I1617" i="18"/>
  <c r="I1661" i="18"/>
  <c r="G1683" i="18"/>
  <c r="H2097" i="18"/>
  <c r="I2491" i="18"/>
  <c r="I2848" i="18"/>
  <c r="H2061" i="18"/>
  <c r="I781" i="18"/>
  <c r="H1309" i="18"/>
  <c r="I2097" i="18"/>
  <c r="G118" i="18"/>
  <c r="H195" i="18"/>
  <c r="G307" i="18"/>
  <c r="H556" i="18"/>
  <c r="G772" i="18"/>
  <c r="I872" i="18"/>
  <c r="H905" i="18"/>
  <c r="G1523" i="18"/>
  <c r="G1799" i="18"/>
  <c r="I1841" i="18"/>
  <c r="I2058" i="18"/>
  <c r="G2472" i="18"/>
  <c r="H2561" i="18"/>
  <c r="G3073" i="18"/>
  <c r="G3211" i="18"/>
  <c r="G3558" i="18"/>
  <c r="G3569" i="18"/>
  <c r="I154" i="18"/>
  <c r="G298" i="18"/>
  <c r="I592" i="18"/>
  <c r="I863" i="18"/>
  <c r="G1345" i="18"/>
  <c r="I1599" i="18"/>
  <c r="G1721" i="18"/>
  <c r="I1923" i="18"/>
  <c r="G2322" i="18"/>
  <c r="I2782" i="18"/>
  <c r="G1563" i="18"/>
  <c r="I1573" i="18"/>
  <c r="I1583" i="18"/>
  <c r="G1593" i="18"/>
  <c r="G1712" i="18"/>
  <c r="G1817" i="18"/>
  <c r="H1942" i="18"/>
  <c r="H2368" i="18"/>
  <c r="G3522" i="18"/>
  <c r="G3533" i="18"/>
  <c r="I1463" i="18"/>
  <c r="H1472" i="18"/>
  <c r="G1481" i="18"/>
  <c r="H2214" i="18"/>
  <c r="I2410" i="18"/>
  <c r="G2508" i="18"/>
  <c r="G2561" i="18"/>
  <c r="G2570" i="18"/>
  <c r="H2658" i="18"/>
  <c r="H2712" i="18"/>
  <c r="I2757" i="18"/>
  <c r="H2980" i="18"/>
  <c r="G3087" i="18"/>
  <c r="I118" i="18"/>
  <c r="I246" i="18"/>
  <c r="H309" i="18"/>
  <c r="H628" i="18"/>
  <c r="I713" i="18"/>
  <c r="G733" i="18"/>
  <c r="H868" i="18"/>
  <c r="I951" i="18"/>
  <c r="H1481" i="18"/>
  <c r="G1547" i="18"/>
  <c r="G1605" i="18"/>
  <c r="G1695" i="18"/>
  <c r="G1914" i="18"/>
  <c r="H1987" i="18"/>
  <c r="H2017" i="18"/>
  <c r="H2086" i="18"/>
  <c r="G19" i="18"/>
  <c r="I163" i="18"/>
  <c r="H300" i="18"/>
  <c r="I499" i="18"/>
  <c r="I553" i="18"/>
  <c r="I659" i="18"/>
  <c r="G670" i="18"/>
  <c r="G703" i="18"/>
  <c r="I733" i="18"/>
  <c r="I806" i="18"/>
  <c r="H838" i="18"/>
  <c r="I848" i="18"/>
  <c r="H912" i="18"/>
  <c r="G1027" i="18"/>
  <c r="G1047" i="18"/>
  <c r="H1110" i="18"/>
  <c r="G1235" i="18"/>
  <c r="H1490" i="18"/>
  <c r="I1557" i="18"/>
  <c r="I1676" i="18"/>
  <c r="I1695" i="18"/>
  <c r="G1748" i="18"/>
  <c r="G1882" i="18"/>
  <c r="G1944" i="18"/>
  <c r="H2319" i="18"/>
  <c r="G2360" i="18"/>
  <c r="H2442" i="18"/>
  <c r="G2490" i="18"/>
  <c r="G2499" i="18"/>
  <c r="I2509" i="18"/>
  <c r="H2571" i="18"/>
  <c r="I2604" i="18"/>
  <c r="I2637" i="18"/>
  <c r="I2670" i="18"/>
  <c r="H2748" i="18"/>
  <c r="G2758" i="18"/>
  <c r="H2902" i="18"/>
  <c r="G3060" i="18"/>
  <c r="G3070" i="18"/>
  <c r="H3503" i="18"/>
  <c r="H3578" i="18"/>
  <c r="G3624" i="18"/>
  <c r="I172" i="18"/>
  <c r="I19" i="18"/>
  <c r="I64" i="18"/>
  <c r="G154" i="18"/>
  <c r="G204" i="18"/>
  <c r="I322" i="18"/>
  <c r="G520" i="18"/>
  <c r="I838" i="18"/>
  <c r="G1018" i="18"/>
  <c r="G1279" i="18"/>
  <c r="H1311" i="18"/>
  <c r="I1531" i="18"/>
  <c r="I1615" i="18"/>
  <c r="H1625" i="18"/>
  <c r="I1655" i="18"/>
  <c r="I1686" i="18"/>
  <c r="I1748" i="18"/>
  <c r="G1841" i="18"/>
  <c r="I1851" i="18"/>
  <c r="H2008" i="18"/>
  <c r="H2059" i="18"/>
  <c r="G2106" i="18"/>
  <c r="H2286" i="18"/>
  <c r="G2329" i="18"/>
  <c r="G2481" i="18"/>
  <c r="H2490" i="18"/>
  <c r="G2532" i="18"/>
  <c r="H2848" i="18"/>
  <c r="I3060" i="18"/>
  <c r="I3208" i="18"/>
  <c r="H3536" i="18"/>
  <c r="I800" i="18"/>
  <c r="H954" i="18"/>
  <c r="G1467" i="18"/>
  <c r="G1476" i="18"/>
  <c r="G1503" i="18"/>
  <c r="G1697" i="18"/>
  <c r="G1793" i="18"/>
  <c r="G1802" i="18"/>
  <c r="H1884" i="18"/>
  <c r="H2373" i="18"/>
  <c r="I2564" i="18"/>
  <c r="H2974" i="18"/>
  <c r="H3054" i="18"/>
  <c r="H3072" i="18"/>
  <c r="G3099" i="18"/>
  <c r="I3108" i="18"/>
  <c r="H3650" i="18"/>
  <c r="G2860" i="18"/>
  <c r="H3099" i="18"/>
  <c r="G3217" i="18"/>
  <c r="G114" i="18"/>
  <c r="I1449" i="18"/>
  <c r="I1698" i="18"/>
  <c r="I1814" i="18"/>
  <c r="G1971" i="18"/>
  <c r="H2004" i="18"/>
  <c r="G2022" i="18"/>
  <c r="I2091" i="18"/>
  <c r="H168" i="18"/>
  <c r="I503" i="18"/>
  <c r="I557" i="18"/>
  <c r="H625" i="18"/>
  <c r="I802" i="18"/>
  <c r="H853" i="18"/>
  <c r="H948" i="18"/>
  <c r="G1002" i="18"/>
  <c r="H1062" i="18"/>
  <c r="G1072" i="18"/>
  <c r="H1273" i="18"/>
  <c r="G1348" i="18"/>
  <c r="H1427" i="18"/>
  <c r="G1485" i="18"/>
  <c r="G1535" i="18"/>
  <c r="I1591" i="18"/>
  <c r="G1611" i="18"/>
  <c r="I1637" i="18"/>
  <c r="I1878" i="18"/>
  <c r="I1929" i="18"/>
  <c r="I2004" i="18"/>
  <c r="H2022" i="18"/>
  <c r="H2044" i="18"/>
  <c r="G2055" i="18"/>
  <c r="I2121" i="18"/>
  <c r="H2190" i="18"/>
  <c r="G2280" i="18"/>
  <c r="G2356" i="18"/>
  <c r="G2830" i="18"/>
  <c r="G3084" i="18"/>
  <c r="I3100" i="18"/>
  <c r="G3144" i="18"/>
  <c r="I3190" i="18"/>
  <c r="I3539" i="18"/>
  <c r="G15" i="18"/>
  <c r="I327" i="18"/>
  <c r="G484" i="18"/>
  <c r="H592" i="18"/>
  <c r="G730" i="18"/>
  <c r="I751" i="18"/>
  <c r="I823" i="18"/>
  <c r="I948" i="18"/>
  <c r="G1033" i="18"/>
  <c r="H1231" i="18"/>
  <c r="H1264" i="18"/>
  <c r="G1461" i="18"/>
  <c r="G1517" i="18"/>
  <c r="I1535" i="18"/>
  <c r="G1553" i="18"/>
  <c r="I1611" i="18"/>
  <c r="G1629" i="18"/>
  <c r="I1711" i="18"/>
  <c r="G1950" i="18"/>
  <c r="H1972" i="18"/>
  <c r="H2083" i="18"/>
  <c r="H2356" i="18"/>
  <c r="H2427" i="18"/>
  <c r="I2527" i="18"/>
  <c r="H2589" i="18"/>
  <c r="H2622" i="18"/>
  <c r="H2676" i="18"/>
  <c r="H2908" i="18"/>
  <c r="G3057" i="18"/>
  <c r="I37" i="18"/>
  <c r="H87" i="18"/>
  <c r="H96" i="18"/>
  <c r="I210" i="18"/>
  <c r="H538" i="18"/>
  <c r="I646" i="18"/>
  <c r="I694" i="18"/>
  <c r="I817" i="18"/>
  <c r="I891" i="18"/>
  <c r="H1074" i="18"/>
  <c r="H1315" i="18"/>
  <c r="I1509" i="18"/>
  <c r="I1547" i="18"/>
  <c r="I1671" i="18"/>
  <c r="I1736" i="18"/>
  <c r="I1784" i="18"/>
  <c r="I1811" i="18"/>
  <c r="I1968" i="18"/>
  <c r="H1986" i="18"/>
  <c r="H2043" i="18"/>
  <c r="I2351" i="18"/>
  <c r="H2367" i="18"/>
  <c r="H2421" i="18"/>
  <c r="H2517" i="18"/>
  <c r="H2526" i="18"/>
  <c r="I2554" i="18"/>
  <c r="I2631" i="18"/>
  <c r="I2854" i="18"/>
  <c r="I2860" i="18"/>
  <c r="I3051" i="18"/>
  <c r="H3171" i="18"/>
  <c r="I3222" i="18"/>
  <c r="I538" i="18"/>
  <c r="I1074" i="18"/>
  <c r="I3680" i="18"/>
  <c r="G3600" i="18"/>
  <c r="G3630" i="18"/>
  <c r="H60" i="18"/>
  <c r="G141" i="18"/>
  <c r="G159" i="18"/>
  <c r="H243" i="18"/>
  <c r="I253" i="18"/>
  <c r="I331" i="18"/>
  <c r="I381" i="18"/>
  <c r="I390" i="18"/>
  <c r="H421" i="18"/>
  <c r="H454" i="18"/>
  <c r="I548" i="18"/>
  <c r="G574" i="18"/>
  <c r="G604" i="18"/>
  <c r="I625" i="18"/>
  <c r="H676" i="18"/>
  <c r="I724" i="18"/>
  <c r="I865" i="18"/>
  <c r="G873" i="18"/>
  <c r="H984" i="18"/>
  <c r="I1002" i="18"/>
  <c r="I1020" i="18"/>
  <c r="I1113" i="18"/>
  <c r="G1217" i="18"/>
  <c r="H1275" i="18"/>
  <c r="G1282" i="18"/>
  <c r="H1348" i="18"/>
  <c r="I1461" i="18"/>
  <c r="I1503" i="18"/>
  <c r="H1511" i="18"/>
  <c r="I1527" i="18"/>
  <c r="I1549" i="18"/>
  <c r="I1621" i="18"/>
  <c r="I1629" i="18"/>
  <c r="I1657" i="18"/>
  <c r="I1759" i="18"/>
  <c r="I1767" i="18"/>
  <c r="I1796" i="18"/>
  <c r="H1950" i="18"/>
  <c r="I2055" i="18"/>
  <c r="H2071" i="18"/>
  <c r="I2107" i="18"/>
  <c r="G2187" i="18"/>
  <c r="H2250" i="18"/>
  <c r="G2304" i="18"/>
  <c r="I2333" i="18"/>
  <c r="G2353" i="18"/>
  <c r="I2360" i="18"/>
  <c r="G2442" i="18"/>
  <c r="H2556" i="18"/>
  <c r="H2785" i="18"/>
  <c r="G2839" i="18"/>
  <c r="H3084" i="18"/>
  <c r="H3153" i="18"/>
  <c r="H3262" i="18"/>
  <c r="I3551" i="18"/>
  <c r="H141" i="18"/>
  <c r="I984" i="18"/>
  <c r="G3672" i="18"/>
  <c r="G33" i="18"/>
  <c r="G82" i="18"/>
  <c r="I91" i="18"/>
  <c r="G100" i="18"/>
  <c r="I265" i="18"/>
  <c r="G541" i="18"/>
  <c r="G568" i="18"/>
  <c r="G586" i="18"/>
  <c r="I617" i="18"/>
  <c r="H643" i="18"/>
  <c r="I661" i="18"/>
  <c r="H670" i="18"/>
  <c r="H697" i="18"/>
  <c r="G745" i="18"/>
  <c r="I812" i="18"/>
  <c r="G895" i="18"/>
  <c r="G903" i="18"/>
  <c r="H909" i="18"/>
  <c r="G936" i="18"/>
  <c r="H966" i="18"/>
  <c r="H1077" i="18"/>
  <c r="I1238" i="18"/>
  <c r="H1267" i="18"/>
  <c r="G1276" i="18"/>
  <c r="H1293" i="18"/>
  <c r="G1436" i="18"/>
  <c r="G1454" i="18"/>
  <c r="I1521" i="18"/>
  <c r="I1543" i="18"/>
  <c r="I1605" i="18"/>
  <c r="H1667" i="18"/>
  <c r="I1683" i="18"/>
  <c r="G1700" i="18"/>
  <c r="G1760" i="18"/>
  <c r="G1853" i="18"/>
  <c r="G1862" i="18"/>
  <c r="H1914" i="18"/>
  <c r="H1933" i="18"/>
  <c r="H1951" i="18"/>
  <c r="H1971" i="18"/>
  <c r="H1981" i="18"/>
  <c r="H2040" i="18"/>
  <c r="H2196" i="18"/>
  <c r="H2325" i="18"/>
  <c r="G2380" i="18"/>
  <c r="H2478" i="18"/>
  <c r="H2487" i="18"/>
  <c r="I2634" i="18"/>
  <c r="H2688" i="18"/>
  <c r="H2760" i="18"/>
  <c r="I2780" i="18"/>
  <c r="I2797" i="18"/>
  <c r="G2857" i="18"/>
  <c r="I3070" i="18"/>
  <c r="G3078" i="18"/>
  <c r="I3085" i="18"/>
  <c r="H3144" i="18"/>
  <c r="I3211" i="18"/>
  <c r="I3217" i="18"/>
  <c r="G3226" i="18"/>
  <c r="H3458" i="18"/>
  <c r="G3479" i="18"/>
  <c r="G3512" i="18"/>
  <c r="H3542" i="18"/>
  <c r="G3552" i="18"/>
  <c r="H3572" i="18"/>
  <c r="I3623" i="18"/>
  <c r="H33" i="18"/>
  <c r="G42" i="18"/>
  <c r="I190" i="18"/>
  <c r="G199" i="18"/>
  <c r="G207" i="18"/>
  <c r="G226" i="18"/>
  <c r="G325" i="18"/>
  <c r="H375" i="18"/>
  <c r="H423" i="18"/>
  <c r="G478" i="18"/>
  <c r="H535" i="18"/>
  <c r="H541" i="18"/>
  <c r="I568" i="18"/>
  <c r="I586" i="18"/>
  <c r="I635" i="18"/>
  <c r="I643" i="18"/>
  <c r="I718" i="18"/>
  <c r="I776" i="18"/>
  <c r="G841" i="18"/>
  <c r="H859" i="18"/>
  <c r="G867" i="18"/>
  <c r="I895" i="18"/>
  <c r="H903" i="18"/>
  <c r="I909" i="18"/>
  <c r="H936" i="18"/>
  <c r="I966" i="18"/>
  <c r="G1108" i="18"/>
  <c r="H1276" i="18"/>
  <c r="H1284" i="18"/>
  <c r="G1312" i="18"/>
  <c r="H1320" i="18"/>
  <c r="H1454" i="18"/>
  <c r="G1463" i="18"/>
  <c r="H1505" i="18"/>
  <c r="I1529" i="18"/>
  <c r="H1631" i="18"/>
  <c r="I1659" i="18"/>
  <c r="I1667" i="18"/>
  <c r="I1700" i="18"/>
  <c r="I1760" i="18"/>
  <c r="I1853" i="18"/>
  <c r="I2040" i="18"/>
  <c r="G2286" i="18"/>
  <c r="H2380" i="18"/>
  <c r="H2496" i="18"/>
  <c r="H2505" i="18"/>
  <c r="H2567" i="18"/>
  <c r="H2598" i="18"/>
  <c r="I2688" i="18"/>
  <c r="H2742" i="18"/>
  <c r="I2760" i="18"/>
  <c r="I2821" i="18"/>
  <c r="H2851" i="18"/>
  <c r="H2857" i="18"/>
  <c r="G3061" i="18"/>
  <c r="I3078" i="18"/>
  <c r="H3186" i="18"/>
  <c r="H3195" i="18"/>
  <c r="H3204" i="18"/>
  <c r="I3226" i="18"/>
  <c r="H3245" i="18"/>
  <c r="G3614" i="18"/>
  <c r="H3644" i="18"/>
  <c r="I73" i="18"/>
  <c r="G172" i="18"/>
  <c r="I199" i="18"/>
  <c r="H207" i="18"/>
  <c r="I226" i="18"/>
  <c r="I478" i="18"/>
  <c r="I535" i="18"/>
  <c r="I841" i="18"/>
  <c r="I859" i="18"/>
  <c r="H1005" i="18"/>
  <c r="H1312" i="18"/>
  <c r="G1351" i="18"/>
  <c r="I1537" i="18"/>
  <c r="I1631" i="18"/>
  <c r="G1838" i="18"/>
  <c r="G1884" i="18"/>
  <c r="G2391" i="18"/>
  <c r="G2418" i="18"/>
  <c r="H2514" i="18"/>
  <c r="H2523" i="18"/>
  <c r="I2742" i="18"/>
  <c r="I2851" i="18"/>
  <c r="H2866" i="18"/>
  <c r="H2956" i="18"/>
  <c r="H3177" i="18"/>
  <c r="I3186" i="18"/>
  <c r="I3195" i="18"/>
  <c r="I3204" i="18"/>
  <c r="G3236" i="18"/>
  <c r="I3245" i="18"/>
  <c r="I3471" i="18"/>
  <c r="G3564" i="18"/>
  <c r="G3594" i="18"/>
  <c r="H3614" i="18"/>
  <c r="I3665" i="18"/>
  <c r="G3686" i="18"/>
  <c r="G145" i="18"/>
  <c r="H327" i="18"/>
  <c r="H336" i="18"/>
  <c r="I367" i="18"/>
  <c r="H499" i="18"/>
  <c r="I527" i="18"/>
  <c r="H553" i="18"/>
  <c r="I664" i="18"/>
  <c r="G673" i="18"/>
  <c r="I748" i="18"/>
  <c r="I758" i="18"/>
  <c r="G769" i="18"/>
  <c r="I897" i="18"/>
  <c r="G1044" i="18"/>
  <c r="I1080" i="18"/>
  <c r="G1090" i="18"/>
  <c r="G1110" i="18"/>
  <c r="G1252" i="18"/>
  <c r="H1296" i="18"/>
  <c r="H1373" i="18"/>
  <c r="G1439" i="18"/>
  <c r="G1449" i="18"/>
  <c r="H1499" i="18"/>
  <c r="I1641" i="18"/>
  <c r="H1661" i="18"/>
  <c r="G1686" i="18"/>
  <c r="G3636" i="18"/>
  <c r="G3666" i="18"/>
  <c r="I3587" i="18"/>
  <c r="I145" i="18"/>
  <c r="G37" i="18"/>
  <c r="G87" i="18"/>
  <c r="G96" i="18"/>
  <c r="H210" i="18"/>
  <c r="I309" i="18"/>
  <c r="I358" i="18"/>
  <c r="G379" i="18"/>
  <c r="I407" i="18"/>
  <c r="I418" i="18"/>
  <c r="I509" i="18"/>
  <c r="I545" i="18"/>
  <c r="I563" i="18"/>
  <c r="I571" i="18"/>
  <c r="I581" i="18"/>
  <c r="I683" i="18"/>
  <c r="H694" i="18"/>
  <c r="I799" i="18"/>
  <c r="H817" i="18"/>
  <c r="G844" i="18"/>
  <c r="I853" i="18"/>
  <c r="G891" i="18"/>
  <c r="I905" i="18"/>
  <c r="G1000" i="18"/>
  <c r="H1026" i="18"/>
  <c r="H1279" i="18"/>
  <c r="G1315" i="18"/>
  <c r="H1421" i="18"/>
  <c r="I1440" i="18"/>
  <c r="G1509" i="18"/>
  <c r="H1553" i="18"/>
  <c r="G1671" i="18"/>
  <c r="H1679" i="18"/>
  <c r="G1736" i="18"/>
  <c r="G1784" i="18"/>
  <c r="I1793" i="18"/>
  <c r="G1811" i="18"/>
  <c r="H1968" i="18"/>
  <c r="G1986" i="18"/>
  <c r="H2023" i="18"/>
  <c r="G2043" i="18"/>
  <c r="H2068" i="18"/>
  <c r="H2280" i="18"/>
  <c r="G2351" i="18"/>
  <c r="G2367" i="18"/>
  <c r="I2375" i="18"/>
  <c r="G2421" i="18"/>
  <c r="H2439" i="18"/>
  <c r="I2473" i="18"/>
  <c r="H2499" i="18"/>
  <c r="H2508" i="18"/>
  <c r="G2517" i="18"/>
  <c r="G2526" i="18"/>
  <c r="I2533" i="18"/>
  <c r="G2554" i="18"/>
  <c r="H2570" i="18"/>
  <c r="H2631" i="18"/>
  <c r="I2724" i="18"/>
  <c r="G2764" i="18"/>
  <c r="H2836" i="18"/>
  <c r="H2854" i="18"/>
  <c r="H2926" i="18"/>
  <c r="G3051" i="18"/>
  <c r="I3058" i="18"/>
  <c r="I3073" i="18"/>
  <c r="G3171" i="18"/>
  <c r="H3180" i="18"/>
  <c r="H3198" i="18"/>
  <c r="G3222" i="18"/>
  <c r="I3247" i="18"/>
  <c r="H3268" i="18"/>
  <c r="I3453" i="18"/>
  <c r="G3474" i="18"/>
  <c r="H3608" i="18"/>
  <c r="I3659" i="18"/>
  <c r="W22" i="21"/>
  <c r="C6" i="21" s="1"/>
  <c r="W23" i="21"/>
  <c r="C10" i="21" s="1"/>
  <c r="I28" i="18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l="1"/>
  <c r="N1" i="18" s="1"/>
  <c r="M1" i="18"/>
  <c r="Q3" i="17"/>
  <c r="K3" i="17" s="1"/>
  <c r="L3" i="17" s="1"/>
  <c r="M3" i="17" s="1"/>
  <c r="K4" i="17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l="1"/>
  <c r="A8" i="2"/>
  <c r="A7" i="2"/>
  <c r="A4" i="2"/>
  <c r="A3" i="2"/>
  <c r="D7" i="3" l="1"/>
  <c r="D8" i="3" s="1"/>
  <c r="D7" i="2" l="1"/>
  <c r="D8" i="2"/>
  <c r="Q8" i="23"/>
  <c r="U5" i="23"/>
  <c r="X10" i="23" l="1"/>
  <c r="H8" i="23"/>
  <c r="U10" i="23"/>
  <c r="V10" i="23" s="1"/>
  <c r="V8" i="23"/>
  <c r="T14" i="23"/>
  <c r="W10" i="23" l="1"/>
  <c r="B6" i="23" s="1"/>
  <c r="E10" i="23"/>
  <c r="G8" i="23"/>
  <c r="A6" i="23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  <connection id="11" sourceFile="H:\Gestion documentaire METALHOM\Traitement d'un appel d'offre\Standards\Outillage.accdb" keepAlive="1" name="Outillage1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Rainurage" commandType="3"/>
  </connection>
</connections>
</file>

<file path=xl/sharedStrings.xml><?xml version="1.0" encoding="utf-8"?>
<sst xmlns="http://schemas.openxmlformats.org/spreadsheetml/2006/main" count="7967" uniqueCount="4011">
  <si>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</si>
  <si>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</si>
  <si>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</si>
  <si>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</si>
  <si>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</si>
  <si>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</si>
  <si>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</si>
  <si>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</si>
  <si>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</si>
  <si>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</si>
  <si>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</si>
  <si>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</si>
  <si>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</si>
  <si>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</si>
  <si>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</si>
  <si>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</si>
  <si>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</si>
  <si>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</si>
  <si>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</si>
  <si>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</si>
  <si>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</si>
  <si>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</si>
  <si>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</si>
  <si>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</si>
  <si>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</si>
  <si>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</si>
  <si>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</si>
  <si>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</si>
  <si>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</si>
  <si>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</si>
  <si>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</si>
  <si>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</si>
  <si>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</si>
  <si>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</si>
  <si>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</si>
  <si>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</si>
  <si>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</si>
  <si>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</si>
  <si>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</si>
  <si>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</si>
  <si>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</si>
  <si>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</si>
  <si>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</si>
  <si>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</si>
  <si>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</si>
  <si>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</si>
  <si>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</si>
  <si>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</si>
  <si>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</si>
  <si>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</si>
  <si>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</si>
  <si>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</si>
  <si>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</si>
  <si>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</si>
  <si>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</si>
  <si>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</si>
  <si>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</si>
  <si>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</si>
  <si>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</si>
  <si>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</si>
  <si>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</si>
  <si>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</si>
  <si>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</si>
  <si>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</si>
  <si>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</si>
  <si>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</si>
  <si>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</si>
  <si>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</si>
  <si>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</si>
  <si>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</si>
  <si>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</si>
  <si>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</si>
  <si>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</si>
  <si>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</si>
  <si>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</si>
  <si>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</si>
  <si>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</si>
  <si>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</si>
  <si>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</si>
  <si>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</si>
  <si>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</si>
  <si>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</si>
  <si>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</si>
  <si>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</si>
  <si>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</si>
  <si>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</si>
  <si>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</si>
  <si>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</si>
  <si>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</si>
  <si>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</si>
  <si>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</si>
  <si>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</si>
  <si>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</si>
  <si>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</si>
  <si>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</si>
  <si>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</si>
  <si>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</si>
  <si>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</si>
  <si>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</si>
  <si>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</si>
  <si>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</si>
  <si>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</si>
  <si>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</si>
  <si>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</si>
  <si>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</si>
  <si>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</si>
  <si>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</si>
  <si>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</si>
  <si>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</si>
  <si>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</si>
  <si>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</si>
  <si>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</si>
  <si>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</si>
  <si>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</si>
  <si>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</si>
  <si>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</si>
  <si>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</si>
  <si>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</si>
  <si>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</si>
  <si>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</si>
  <si>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</si>
  <si>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</si>
  <si>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</si>
  <si>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</si>
  <si>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</si>
  <si>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</si>
  <si>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</si>
  <si>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</si>
  <si>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</si>
  <si>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</si>
  <si>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</si>
  <si>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</si>
  <si>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</si>
  <si>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</si>
  <si>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</si>
  <si>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</si>
  <si>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</si>
  <si>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</si>
  <si>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</si>
  <si>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</si>
  <si>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</si>
  <si>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</si>
  <si>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</si>
  <si>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</si>
  <si>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</si>
  <si>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</si>
  <si>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</si>
  <si>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</si>
  <si>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</si>
  <si>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</si>
  <si>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</si>
  <si>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</si>
  <si>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</si>
  <si>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</si>
  <si>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</si>
  <si>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</si>
  <si>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</si>
  <si>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</si>
  <si>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</si>
  <si>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</si>
  <si>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</si>
  <si>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</si>
  <si>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</si>
  <si>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</si>
  <si>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</si>
  <si>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</si>
  <si>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</si>
  <si>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</si>
  <si>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</si>
  <si>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</si>
  <si>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</si>
  <si>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</si>
  <si>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</si>
  <si>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</si>
  <si>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</si>
  <si>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</si>
  <si>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</si>
  <si>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</si>
  <si>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</si>
  <si>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</si>
  <si>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</si>
  <si>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</si>
  <si>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</si>
  <si>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</si>
  <si>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</si>
  <si>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</si>
  <si>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</si>
  <si>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</si>
  <si>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</si>
  <si>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</si>
  <si>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</si>
  <si>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</si>
  <si>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</si>
  <si>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</si>
  <si>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</si>
  <si>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</si>
  <si>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</si>
  <si>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</si>
  <si>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</si>
  <si>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</si>
  <si>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</si>
  <si>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</si>
  <si>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</si>
  <si>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</si>
  <si>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</si>
  <si>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</si>
  <si>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</si>
  <si>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</si>
  <si>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</si>
  <si>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</si>
  <si>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</si>
  <si>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</si>
  <si>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</si>
  <si>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</si>
  <si>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</si>
  <si>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</si>
  <si>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</si>
  <si>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</si>
  <si>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</si>
  <si>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</si>
  <si>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</si>
  <si>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</si>
  <si>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</si>
  <si>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</si>
  <si>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</si>
  <si>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</si>
  <si>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</si>
  <si>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</si>
  <si>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</si>
  <si>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</si>
  <si>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</si>
  <si>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</si>
  <si>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</si>
  <si>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</si>
  <si>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</si>
  <si>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</si>
  <si>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</si>
  <si>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</si>
  <si>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</si>
  <si>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</si>
  <si>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</si>
  <si>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</si>
  <si>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</si>
  <si>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</si>
  <si>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</si>
  <si>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</si>
  <si>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</si>
  <si>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</si>
  <si>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</si>
  <si>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</si>
  <si>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</si>
  <si>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</si>
  <si>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</si>
  <si>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</si>
  <si>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</si>
  <si>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</si>
  <si>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</si>
  <si>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</si>
  <si>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</si>
  <si>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</si>
  <si>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</si>
  <si>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</si>
  <si>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</si>
  <si>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</si>
  <si>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</si>
  <si>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</si>
  <si>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</si>
  <si>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</si>
  <si>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</si>
  <si>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</si>
  <si>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</si>
  <si>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</si>
  <si>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</si>
  <si>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</si>
  <si>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</si>
  <si>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</si>
  <si>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</si>
  <si>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</si>
  <si>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</si>
  <si>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</si>
  <si>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</si>
  <si>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</si>
  <si>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</si>
  <si>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</si>
  <si>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</si>
  <si>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</si>
  <si>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</si>
  <si>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</si>
  <si>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</si>
  <si>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</si>
  <si>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</si>
  <si>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</si>
  <si>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</si>
  <si>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</si>
  <si>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</si>
  <si>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</si>
  <si>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</si>
  <si>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</si>
  <si>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</si>
  <si>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</si>
  <si>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</si>
  <si>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</si>
  <si>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</si>
  <si>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</si>
  <si>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</si>
  <si>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</si>
  <si>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</si>
  <si>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</si>
  <si>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</si>
  <si>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</si>
  <si>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</si>
  <si>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</si>
  <si>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</si>
  <si>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</si>
  <si>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</si>
  <si>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</si>
  <si>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</si>
  <si>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</si>
  <si>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</si>
  <si>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</si>
  <si>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</si>
  <si>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</si>
  <si>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</si>
  <si>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</si>
  <si>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</si>
  <si>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</si>
  <si>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</si>
  <si>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</si>
  <si>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</si>
  <si>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</si>
  <si>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</si>
  <si>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</si>
  <si>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</si>
  <si>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</si>
  <si>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</si>
  <si>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</si>
  <si>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</si>
  <si>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</si>
  <si>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</si>
  <si>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</si>
  <si>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</si>
  <si>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</si>
  <si>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</si>
  <si>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</si>
  <si>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</si>
  <si>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</si>
  <si>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</si>
  <si>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</si>
  <si>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</si>
  <si>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</si>
  <si>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</si>
  <si>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</si>
  <si>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</si>
  <si>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</si>
  <si>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</si>
  <si>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</si>
  <si>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</si>
  <si>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</si>
  <si>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</si>
  <si>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</si>
  <si>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</si>
  <si>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</si>
  <si>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</si>
  <si>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</si>
  <si>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</si>
  <si>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</si>
  <si>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</si>
  <si>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</si>
  <si>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</si>
  <si>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</si>
  <si>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</si>
  <si>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</si>
  <si>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</si>
  <si>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</si>
  <si>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</si>
  <si>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</si>
  <si>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</si>
  <si>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</si>
  <si>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</si>
  <si>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</si>
  <si>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</si>
  <si>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</si>
  <si>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</si>
  <si>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</si>
  <si>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</si>
  <si>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</si>
  <si>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</si>
  <si>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</si>
  <si>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</si>
  <si>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</si>
  <si>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</si>
  <si>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</si>
  <si>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</si>
  <si>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</si>
  <si>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</si>
  <si>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</si>
  <si>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</si>
  <si>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</si>
  <si>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</si>
  <si>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</si>
  <si>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</si>
  <si>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</si>
  <si>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</si>
  <si>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</si>
  <si>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</si>
  <si>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</si>
  <si>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</si>
  <si>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</si>
  <si>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</si>
  <si>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</si>
  <si>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</si>
  <si>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</si>
  <si>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</si>
  <si>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</si>
  <si>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</si>
  <si>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</si>
  <si>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</si>
  <si>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</si>
  <si>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</si>
  <si>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</si>
  <si>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</si>
  <si>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</si>
  <si>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</si>
  <si>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</si>
  <si>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</si>
  <si>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</si>
  <si>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</si>
  <si>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</si>
  <si>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</si>
  <si>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</si>
  <si>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</si>
  <si>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</si>
  <si>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</si>
  <si>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</si>
  <si>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</si>
  <si>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</si>
  <si>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</si>
  <si>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</si>
  <si>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</si>
  <si>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</si>
  <si>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</si>
  <si>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</si>
  <si>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</si>
  <si>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</si>
  <si>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</si>
  <si>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</si>
  <si>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</si>
  <si>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</si>
  <si>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</si>
  <si>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</si>
  <si>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</si>
  <si>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</si>
  <si>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</si>
  <si>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</si>
  <si>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</si>
  <si>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</si>
  <si>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</si>
  <si>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</si>
  <si>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</si>
  <si>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</si>
  <si>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</si>
  <si>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</si>
  <si>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</si>
  <si>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</si>
  <si>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</si>
  <si>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</si>
  <si>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</si>
  <si>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</si>
  <si>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</si>
  <si>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</si>
  <si>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</si>
  <si>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</si>
  <si>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</si>
  <si>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</si>
  <si>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</si>
  <si>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</si>
  <si>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</si>
  <si>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</si>
  <si>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</si>
  <si>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</si>
  <si>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</si>
  <si>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</si>
  <si>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</si>
  <si>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</si>
  <si>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</si>
  <si>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</si>
  <si>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</si>
  <si>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</si>
  <si>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</si>
  <si>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</si>
  <si>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</si>
  <si>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</si>
  <si>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</si>
  <si>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</si>
  <si>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</si>
  <si>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</si>
  <si>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</si>
  <si>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</si>
  <si>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</si>
  <si>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</si>
  <si>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</si>
  <si>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</si>
  <si>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</si>
  <si>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</si>
  <si>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</si>
  <si>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</si>
  <si>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</si>
  <si>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</si>
  <si>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</si>
  <si>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</si>
  <si>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</si>
  <si>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</si>
  <si>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</si>
  <si>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</si>
  <si>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</si>
  <si>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</si>
  <si>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</si>
  <si>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</si>
  <si>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</si>
  <si>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</si>
  <si>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</si>
  <si>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</si>
  <si>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</si>
  <si>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</si>
  <si>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</si>
  <si>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</si>
  <si>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</si>
  <si>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</si>
  <si>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</si>
  <si>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</si>
  <si>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</si>
  <si>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</si>
  <si>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</si>
  <si>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</si>
  <si>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</si>
  <si>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</si>
  <si>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</si>
  <si>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</si>
  <si>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</si>
  <si>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</si>
  <si>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</si>
  <si>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</si>
  <si>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</si>
  <si>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</si>
  <si>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</si>
  <si>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</si>
  <si>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</si>
  <si>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</si>
  <si>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</si>
  <si>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</si>
  <si>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</si>
  <si>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</si>
  <si>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</si>
  <si>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</si>
  <si>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</si>
  <si>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</si>
  <si>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</si>
  <si>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</si>
  <si>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</si>
  <si>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</si>
  <si>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</si>
  <si>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</si>
  <si>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</si>
  <si>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</si>
  <si>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</si>
  <si>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</si>
  <si>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</si>
  <si>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</si>
  <si>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</si>
  <si>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</si>
  <si>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</si>
  <si>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</si>
  <si>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</si>
  <si>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</si>
  <si>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</si>
  <si>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</si>
  <si>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</si>
  <si>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</si>
  <si>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</si>
  <si>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</si>
  <si>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</si>
  <si>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</si>
  <si>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</si>
  <si>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</si>
  <si>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</si>
  <si>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</si>
  <si>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</si>
  <si>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</si>
  <si>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</si>
  <si>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</si>
  <si>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</si>
  <si>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</si>
  <si>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</si>
  <si>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</si>
  <si>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</si>
  <si>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</si>
  <si>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</si>
  <si>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</si>
  <si>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</si>
  <si>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</si>
  <si>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</si>
  <si>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</si>
  <si>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</si>
  <si>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</si>
  <si>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</si>
  <si>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</si>
  <si>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</si>
  <si>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</si>
  <si>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</si>
  <si>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</si>
  <si>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</si>
  <si>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</si>
  <si>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</si>
  <si>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</si>
  <si>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</si>
  <si>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</si>
  <si>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</si>
  <si>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</si>
  <si>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</si>
  <si>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</si>
  <si>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</si>
  <si>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</si>
  <si>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</si>
  <si>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</si>
  <si>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</si>
  <si>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</si>
  <si>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</si>
  <si>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</si>
  <si>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</si>
  <si>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</si>
  <si>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</si>
  <si>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</si>
  <si>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</si>
  <si>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</si>
  <si>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</si>
  <si>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</si>
  <si>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</si>
  <si>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</si>
  <si>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</si>
  <si>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</si>
  <si>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</si>
  <si>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</si>
  <si>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</si>
  <si>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</si>
  <si>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</si>
  <si>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</si>
  <si>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</si>
  <si>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</si>
  <si>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</si>
  <si>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</si>
  <si>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</si>
  <si>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</si>
  <si>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</si>
  <si>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</si>
  <si>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</si>
  <si>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</si>
  <si>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</si>
  <si>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</si>
  <si>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</si>
  <si>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</si>
  <si>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</si>
  <si>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</si>
  <si>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</si>
  <si>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</si>
  <si>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</si>
  <si>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</si>
  <si>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</si>
  <si>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</si>
  <si>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</si>
  <si>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</si>
  <si>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</si>
  <si>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</si>
  <si>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</si>
  <si>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</si>
  <si>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</si>
  <si>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</si>
  <si>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</si>
  <si>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</si>
  <si>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</si>
  <si>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</si>
  <si>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</si>
  <si>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</si>
  <si>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</si>
  <si>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</si>
  <si>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</si>
  <si>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</si>
  <si>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</si>
  <si>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</si>
  <si>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</si>
  <si>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</si>
  <si>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</si>
  <si>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</si>
  <si>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</si>
  <si>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</si>
  <si>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</si>
  <si>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</si>
  <si>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</si>
  <si>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</si>
  <si>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</si>
  <si>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</si>
  <si>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</si>
  <si>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</si>
  <si>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</si>
  <si>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</si>
  <si>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</si>
  <si>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</si>
  <si>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</si>
  <si>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</si>
  <si>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</si>
  <si>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</si>
  <si>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</si>
  <si>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</si>
  <si>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</si>
  <si>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</si>
  <si>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</si>
  <si>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</si>
  <si>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</si>
  <si>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</si>
  <si>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</si>
  <si>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</si>
  <si>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</si>
  <si>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</si>
  <si>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</si>
  <si>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</si>
  <si>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</si>
  <si>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</si>
  <si>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</si>
  <si>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</si>
  <si>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</si>
  <si>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</si>
  <si>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</si>
  <si>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</si>
  <si>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</si>
  <si>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</si>
  <si>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</si>
  <si>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</si>
  <si>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</si>
  <si>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</si>
  <si>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</si>
  <si>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</si>
  <si>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</si>
  <si>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</si>
  <si>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</si>
  <si>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</si>
  <si>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</si>
  <si>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</si>
  <si>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</si>
  <si>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</si>
  <si>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</si>
  <si>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</si>
  <si>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</si>
  <si>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</si>
  <si>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</si>
  <si>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</si>
  <si>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</si>
  <si>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</si>
  <si>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</si>
  <si>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</si>
  <si>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</si>
  <si>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</si>
  <si>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</si>
  <si>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</si>
  <si>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</si>
  <si>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</si>
  <si>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</si>
  <si>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</si>
  <si>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</si>
  <si>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</si>
  <si>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</si>
  <si>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</si>
  <si>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</si>
  <si>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</si>
  <si>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</si>
  <si>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</si>
  <si>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</si>
  <si>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</si>
  <si>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</si>
  <si>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</si>
  <si>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</si>
  <si>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</si>
  <si>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</si>
  <si>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</si>
  <si>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</si>
  <si>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</si>
  <si>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</si>
  <si>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</si>
  <si>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</si>
  <si>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</si>
  <si>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</si>
  <si>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</si>
  <si>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</si>
  <si>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</si>
  <si>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</si>
  <si>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</si>
  <si>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</si>
  <si>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</si>
  <si>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</si>
  <si>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</si>
  <si>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</si>
  <si>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</si>
  <si>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</si>
  <si>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</si>
  <si>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</si>
  <si>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</si>
  <si>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</si>
  <si>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</si>
  <si>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</si>
  <si>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</si>
  <si>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</si>
  <si>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</si>
  <si>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</si>
  <si>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</si>
  <si>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</si>
  <si>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</si>
  <si>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</si>
  <si>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</si>
  <si>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</si>
  <si>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</si>
  <si>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</si>
  <si>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</si>
  <si>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</si>
  <si>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</si>
  <si>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</si>
  <si>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</si>
  <si>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</si>
  <si>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</si>
  <si>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</si>
  <si>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</si>
  <si>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</si>
  <si>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</si>
  <si>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</si>
  <si>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</si>
  <si>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</si>
  <si>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</si>
  <si>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</si>
  <si>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</si>
  <si>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</si>
  <si>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</si>
  <si>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</si>
  <si>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</si>
  <si>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</si>
  <si>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</si>
  <si>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</si>
  <si>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</si>
  <si>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</si>
  <si>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</si>
  <si>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</si>
  <si>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</si>
  <si>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</si>
  <si>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</si>
  <si>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</si>
  <si>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</si>
  <si>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</si>
  <si>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</si>
  <si>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</si>
  <si>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</si>
  <si>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</si>
  <si>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</si>
  <si>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</si>
  <si>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</si>
  <si>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</si>
  <si>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</si>
  <si>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</si>
  <si>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</si>
  <si>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</si>
  <si>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</si>
  <si>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</si>
  <si>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</si>
  <si>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</si>
  <si>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</si>
  <si>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</si>
  <si>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</si>
  <si>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</si>
  <si>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</si>
  <si>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</si>
  <si>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</si>
  <si>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</si>
  <si>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</si>
  <si>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</si>
  <si>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</si>
  <si>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</si>
  <si>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</si>
  <si>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</si>
  <si>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</si>
  <si>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</si>
  <si>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</si>
  <si>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</si>
  <si>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</si>
  <si>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</si>
  <si>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</si>
  <si>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</si>
  <si>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</si>
  <si>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</si>
  <si>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</si>
  <si>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</si>
  <si>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</si>
  <si>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</si>
  <si>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</si>
  <si>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</si>
  <si>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</si>
  <si>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</si>
  <si>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</si>
  <si>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</si>
  <si>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</si>
  <si>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</si>
  <si>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</si>
  <si>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</si>
  <si>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</si>
  <si>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</si>
  <si>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</si>
  <si>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</si>
  <si>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</si>
  <si>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</si>
  <si>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</si>
  <si>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</si>
  <si>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</si>
  <si>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</si>
  <si>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</si>
  <si>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</si>
  <si>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</si>
  <si>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</si>
  <si>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</si>
  <si>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</si>
  <si>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</si>
  <si>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</si>
  <si>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</si>
  <si>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</si>
  <si>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</si>
  <si>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</si>
  <si>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</si>
  <si>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</si>
  <si>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</si>
  <si>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</si>
  <si>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</si>
  <si>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</si>
  <si>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</si>
  <si>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</si>
  <si>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</si>
  <si>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</si>
  <si>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</si>
  <si>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</si>
  <si>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</si>
  <si>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</si>
  <si>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</si>
  <si>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</si>
  <si>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</si>
  <si>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</si>
  <si>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</si>
  <si>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</si>
  <si>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</si>
  <si>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</si>
  <si>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</si>
  <si>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</si>
  <si>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</si>
  <si>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</si>
  <si>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</si>
  <si>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</si>
  <si>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</si>
  <si>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</si>
  <si>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</si>
  <si>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</si>
  <si>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</si>
  <si>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</si>
  <si>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</si>
  <si>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</si>
  <si>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</si>
  <si>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</si>
  <si>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</si>
  <si>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</si>
  <si>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</si>
  <si>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</si>
  <si>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</si>
  <si>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</si>
  <si>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</si>
  <si>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</si>
  <si>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</si>
  <si>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</si>
  <si>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</si>
  <si>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</si>
  <si>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</si>
  <si>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</si>
  <si>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</si>
  <si>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</si>
  <si>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</si>
  <si>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</si>
  <si>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</si>
  <si>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</si>
  <si>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</si>
  <si>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</si>
  <si>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</si>
  <si>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</si>
  <si>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</si>
  <si>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</si>
  <si>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</si>
  <si>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</si>
  <si>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</si>
  <si>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</si>
  <si>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</si>
  <si>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</si>
  <si>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</si>
  <si>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</si>
  <si>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</si>
  <si>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</si>
  <si>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</si>
  <si>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</si>
  <si>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</si>
  <si>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</si>
  <si>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</si>
  <si>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</si>
  <si>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</si>
  <si>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</si>
  <si>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</si>
  <si>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</si>
  <si>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</si>
  <si>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</si>
  <si>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</si>
  <si>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</si>
  <si>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</si>
  <si>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</si>
  <si>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</si>
  <si>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</si>
  <si>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</si>
  <si>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</si>
  <si>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</si>
  <si>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</si>
  <si>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</si>
  <si>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</si>
  <si>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</si>
  <si>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</si>
  <si>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</si>
  <si>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</si>
  <si>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</si>
  <si>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</si>
  <si>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</si>
  <si>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</si>
  <si>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</si>
  <si>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</si>
  <si>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</si>
  <si>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</si>
  <si>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</si>
  <si>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</si>
  <si>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</si>
  <si>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</si>
  <si>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</si>
  <si>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</si>
  <si>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</si>
  <si>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</si>
  <si>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</si>
  <si>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</si>
  <si>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</si>
  <si>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</si>
  <si>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</si>
  <si>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</si>
  <si>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</si>
  <si>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</si>
  <si>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</si>
  <si>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</si>
  <si>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</si>
  <si>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</si>
  <si>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</si>
  <si>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</si>
  <si>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</si>
  <si>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</si>
  <si>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</si>
  <si>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</si>
  <si>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</si>
  <si>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</si>
  <si>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</si>
  <si>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</si>
  <si>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</si>
  <si>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</si>
  <si>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</si>
  <si>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</si>
  <si>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</si>
  <si>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</si>
  <si>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</si>
  <si>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</si>
  <si>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</si>
  <si>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</si>
  <si>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</si>
  <si>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</si>
  <si>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</si>
  <si>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</si>
  <si>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</si>
  <si>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</si>
  <si>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</si>
  <si>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</si>
  <si>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</si>
  <si>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</si>
  <si>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</si>
  <si>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</si>
  <si>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</si>
  <si>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</si>
  <si>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</si>
  <si>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</si>
  <si>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</si>
  <si>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</si>
  <si>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</si>
  <si>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</si>
  <si>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</si>
  <si>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</si>
  <si>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</si>
  <si>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</si>
  <si>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</si>
  <si>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</si>
  <si>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</si>
  <si>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</si>
  <si>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</si>
  <si>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</si>
  <si>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</si>
  <si>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</si>
  <si>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</si>
  <si>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</si>
  <si>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</si>
  <si>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</si>
  <si>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</si>
  <si>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</si>
  <si>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</si>
  <si>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</si>
  <si>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</si>
  <si>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</si>
  <si>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</si>
  <si>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</si>
  <si>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</si>
  <si>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</si>
  <si>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</si>
  <si>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</si>
  <si>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</si>
  <si>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</si>
  <si>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</si>
  <si>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</si>
  <si>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</si>
  <si>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</si>
  <si>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</si>
  <si>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</si>
  <si>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</si>
  <si>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</si>
  <si>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</si>
  <si>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</si>
  <si>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</si>
  <si>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</si>
  <si>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</si>
  <si>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</si>
  <si>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</si>
  <si>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</si>
  <si>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</si>
  <si>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</si>
  <si>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</si>
  <si>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</si>
  <si>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</si>
  <si>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</si>
  <si>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</si>
  <si>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</si>
  <si>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</si>
  <si>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</si>
  <si>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</si>
  <si>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</si>
  <si>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</si>
  <si>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</si>
  <si>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</si>
  <si>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</si>
  <si>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</si>
  <si>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</si>
  <si>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</si>
  <si>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</si>
  <si>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</si>
  <si>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</si>
  <si>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</si>
  <si>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</si>
  <si>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</si>
  <si>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</si>
  <si>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</si>
  <si>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</si>
  <si>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</si>
  <si>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</si>
  <si>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</si>
  <si>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</si>
  <si>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</si>
  <si>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</si>
  <si>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</si>
  <si>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</si>
  <si>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</si>
  <si>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</si>
  <si>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</si>
  <si>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</si>
  <si>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</si>
  <si>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</si>
  <si>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</si>
  <si>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</si>
  <si>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</si>
  <si>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</si>
  <si>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</si>
  <si>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</si>
  <si>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</si>
  <si>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</si>
  <si>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</si>
  <si>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</si>
  <si>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</si>
  <si>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</si>
  <si>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</si>
  <si>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</si>
  <si>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</si>
  <si>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</si>
  <si>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</si>
  <si>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</si>
  <si>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</si>
  <si>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</si>
  <si>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</si>
  <si>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</si>
  <si>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</si>
  <si>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</si>
  <si>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</si>
  <si>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</si>
  <si>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</si>
  <si>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</si>
  <si>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</si>
  <si>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</si>
  <si>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</si>
  <si>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</si>
  <si>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</si>
  <si>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</si>
  <si>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</si>
  <si>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</si>
  <si>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</si>
  <si>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</si>
  <si>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</si>
  <si>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</si>
  <si>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</si>
  <si>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</si>
  <si>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</si>
  <si>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</si>
  <si>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</si>
  <si>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</si>
  <si>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</si>
  <si>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</si>
  <si>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</si>
  <si>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</si>
  <si>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</si>
  <si>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</si>
  <si>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</si>
  <si>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</si>
  <si>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</si>
  <si>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</si>
  <si>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</si>
  <si>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</si>
  <si>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</si>
  <si>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</si>
  <si>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</si>
  <si>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</si>
  <si>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</si>
  <si>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</si>
  <si>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</si>
  <si>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</si>
  <si>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</si>
  <si>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</si>
  <si>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</si>
  <si>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</si>
  <si>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</si>
  <si>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</si>
  <si>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</si>
  <si>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</si>
  <si>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</si>
  <si>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</si>
  <si>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</si>
  <si>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</si>
  <si>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</si>
  <si>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</si>
  <si>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</si>
  <si>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</si>
  <si>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</si>
  <si>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</si>
  <si>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</si>
  <si>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</si>
  <si>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</si>
  <si>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</si>
  <si>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</si>
  <si>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</si>
  <si>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</si>
  <si>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</si>
  <si>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</si>
  <si>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</si>
  <si>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</si>
  <si>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</si>
  <si>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</si>
  <si>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</si>
  <si>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</si>
  <si>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</si>
  <si>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</si>
  <si>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</si>
  <si>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</si>
  <si>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</si>
  <si>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</si>
  <si>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</si>
  <si>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</si>
  <si>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</si>
  <si>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</si>
  <si>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</si>
  <si>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</si>
  <si>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</si>
  <si>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</si>
  <si>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</si>
  <si>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</si>
  <si>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</si>
  <si>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</si>
  <si>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</si>
  <si>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</si>
  <si>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</si>
  <si>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</si>
  <si>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</si>
  <si>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</si>
  <si>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</si>
  <si>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</si>
  <si>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</si>
  <si>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</si>
  <si>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</si>
  <si>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</si>
  <si>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</si>
  <si>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</si>
  <si>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</si>
  <si>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</si>
  <si>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</si>
  <si>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</si>
  <si>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</si>
  <si>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</si>
  <si>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</si>
  <si>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</si>
  <si>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</si>
  <si>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</si>
  <si>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</si>
  <si>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</si>
  <si>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</si>
  <si>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</si>
  <si>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</si>
  <si>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</si>
  <si>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</si>
  <si>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</si>
  <si>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</si>
  <si>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</si>
  <si>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</si>
  <si>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</si>
  <si>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</si>
  <si>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</si>
  <si>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</si>
  <si>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</si>
  <si>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</si>
  <si>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</si>
  <si>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</si>
  <si>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</si>
  <si>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</si>
  <si>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</si>
  <si>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</si>
  <si>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</si>
  <si>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</si>
  <si>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</si>
  <si>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</si>
  <si>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</si>
  <si>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</si>
  <si>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</si>
  <si>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</si>
  <si>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</si>
  <si>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</si>
  <si>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</si>
  <si>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</si>
  <si>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</si>
  <si>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</si>
  <si>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</si>
  <si>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</si>
  <si>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</si>
  <si>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</si>
  <si>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</si>
  <si>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</si>
  <si>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</si>
  <si>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</si>
  <si>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</si>
  <si>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</si>
  <si>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</si>
  <si>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</si>
  <si>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</si>
  <si>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</si>
  <si>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</si>
  <si>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</si>
  <si>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</si>
  <si>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</si>
  <si>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</si>
  <si>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</si>
  <si>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</si>
  <si>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</si>
  <si>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</si>
  <si>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</si>
  <si>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</si>
  <si>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</si>
  <si>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</si>
  <si>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</si>
  <si>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</si>
  <si>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</si>
  <si>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</si>
  <si>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</si>
  <si>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</si>
  <si>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</si>
  <si>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</si>
  <si>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</si>
  <si>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</si>
  <si>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</si>
  <si>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</si>
  <si>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</si>
  <si>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</si>
  <si>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</si>
  <si>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</si>
  <si>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</si>
  <si>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</si>
  <si>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</si>
  <si>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</si>
  <si>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</si>
  <si>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</si>
  <si>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</si>
  <si>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</si>
  <si>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</si>
  <si>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</si>
  <si>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</si>
  <si>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</si>
  <si>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</si>
  <si>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</si>
  <si>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</si>
  <si>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</si>
  <si>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</si>
  <si>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</si>
  <si>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</si>
  <si>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</si>
  <si>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</si>
  <si>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</si>
  <si>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</si>
  <si>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</si>
  <si>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</si>
  <si>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</si>
  <si>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</si>
  <si>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</si>
  <si>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</si>
  <si>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</si>
  <si>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</si>
  <si>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</si>
  <si>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</si>
  <si>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</si>
  <si>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</si>
  <si>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</si>
  <si>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</si>
  <si>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</si>
  <si>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</si>
  <si>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</si>
  <si>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</si>
  <si>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</si>
  <si>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</si>
  <si>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</si>
  <si>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</si>
  <si>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</si>
  <si>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</si>
  <si>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</si>
  <si>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</si>
  <si>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</si>
  <si>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</si>
  <si>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</si>
  <si>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</si>
  <si>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</si>
  <si>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</si>
  <si>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</si>
  <si>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</si>
  <si>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</si>
  <si>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</si>
  <si>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</si>
  <si>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</si>
  <si>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</si>
  <si>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</si>
  <si>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</si>
  <si>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</si>
  <si>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</si>
  <si>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</si>
  <si>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</si>
  <si>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</si>
  <si>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</si>
  <si>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</si>
  <si>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</si>
  <si>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</si>
  <si>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</si>
  <si>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</si>
  <si>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</si>
  <si>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</si>
  <si>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</si>
  <si>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</si>
  <si>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</si>
  <si>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</si>
  <si>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</si>
  <si>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</si>
  <si>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</si>
  <si>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</si>
  <si>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</si>
  <si>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</si>
  <si>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</si>
  <si>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</si>
  <si>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</si>
  <si>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</si>
  <si>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</si>
  <si>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</si>
  <si>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</si>
  <si>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</si>
  <si>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</si>
  <si>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</si>
  <si>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</si>
  <si>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</si>
  <si>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</si>
  <si>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</si>
  <si>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</si>
  <si>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</si>
  <si>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</si>
  <si>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</si>
  <si>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</si>
  <si>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</si>
  <si>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</si>
  <si>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</si>
  <si>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</si>
  <si>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</si>
  <si>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</si>
  <si>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</si>
  <si>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</si>
  <si>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</si>
  <si>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</si>
  <si>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</si>
  <si>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</si>
  <si>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</si>
  <si>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</si>
  <si>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</si>
  <si>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</si>
  <si>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</si>
  <si>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</si>
  <si>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</si>
  <si>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</si>
  <si>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</si>
  <si>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</si>
  <si>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</si>
  <si>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</si>
  <si>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</si>
  <si>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</si>
  <si>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</si>
  <si>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</si>
  <si>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</si>
  <si>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</si>
  <si>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</si>
  <si>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</si>
  <si>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</si>
  <si>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</si>
  <si>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</si>
  <si>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</si>
  <si>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</si>
  <si>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</si>
  <si>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</si>
  <si>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</si>
  <si>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</si>
  <si>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</si>
  <si>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</si>
  <si>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</si>
  <si>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</si>
  <si>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</si>
  <si>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</si>
  <si>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</si>
  <si>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</si>
  <si>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</si>
  <si>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</si>
  <si>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</si>
  <si>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</si>
  <si>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</si>
  <si>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</si>
  <si>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</si>
  <si>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</si>
  <si>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</si>
  <si>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</si>
  <si>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</si>
  <si>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</si>
  <si>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</si>
  <si>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</si>
  <si>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</si>
  <si>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</si>
  <si>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</si>
  <si>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</si>
  <si>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</si>
  <si>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</si>
  <si>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</si>
  <si>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</si>
  <si>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</si>
  <si>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</si>
  <si>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</si>
  <si>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</si>
  <si>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</si>
  <si>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</si>
  <si>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</si>
  <si>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</si>
  <si>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</si>
  <si>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</si>
  <si>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</si>
  <si>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</si>
  <si>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</si>
  <si>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</si>
  <si>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</si>
  <si>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</si>
  <si>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</si>
  <si>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</si>
  <si>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</si>
  <si>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</si>
  <si>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</si>
  <si>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</si>
  <si>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</si>
  <si>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</si>
  <si>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</si>
  <si>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</si>
  <si>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</si>
  <si>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</si>
  <si>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</si>
  <si>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</si>
  <si>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</si>
  <si>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</si>
  <si>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</si>
  <si>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</si>
  <si>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</si>
  <si>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</si>
  <si>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</si>
  <si>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</si>
  <si>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</si>
  <si>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</si>
  <si>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</si>
  <si>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</si>
  <si>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</si>
  <si>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</si>
  <si>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</si>
  <si>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</si>
  <si>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</si>
  <si>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</si>
  <si>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</si>
  <si>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</si>
  <si>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</si>
  <si>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</si>
  <si>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</si>
  <si>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</si>
  <si>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</si>
  <si>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</si>
  <si>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</si>
  <si>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</si>
  <si>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</si>
  <si>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</si>
  <si>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</si>
  <si>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</si>
  <si>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</si>
  <si>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</si>
  <si>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</si>
  <si>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</si>
  <si>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</si>
  <si>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</si>
  <si>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</si>
  <si>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</si>
  <si>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</si>
  <si>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</si>
  <si>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</si>
  <si>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</si>
  <si>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</si>
  <si>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</si>
  <si>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</si>
  <si>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</si>
  <si>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</si>
  <si>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</si>
  <si>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</si>
  <si>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</si>
  <si>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</si>
  <si>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</si>
  <si>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</si>
  <si>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</si>
  <si>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</si>
  <si>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</si>
  <si>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</si>
  <si>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</si>
  <si>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</si>
  <si>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</si>
  <si>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</si>
  <si>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</si>
  <si>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</si>
  <si>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</si>
  <si>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</si>
  <si>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</si>
  <si>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</si>
  <si>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</si>
  <si>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</si>
  <si>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</si>
  <si>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</si>
  <si>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</si>
  <si>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</si>
  <si>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</si>
  <si>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</si>
  <si>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</si>
  <si>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</si>
  <si>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</si>
  <si>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</si>
  <si>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</si>
  <si>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</si>
  <si>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</si>
  <si>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</si>
  <si>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</si>
  <si>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</si>
  <si>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</si>
  <si>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</si>
  <si>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</si>
  <si>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</si>
  <si>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</si>
  <si>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</si>
  <si>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</si>
  <si>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</si>
  <si>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</si>
  <si>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</si>
  <si>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</si>
  <si>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</si>
  <si>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</si>
  <si>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</si>
  <si>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</si>
  <si>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</si>
  <si>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</si>
  <si>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</si>
  <si>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</si>
  <si>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</si>
  <si>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</si>
  <si>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</si>
  <si>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</si>
  <si>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</si>
  <si>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</si>
  <si>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</si>
  <si>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</si>
  <si>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</si>
  <si>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</si>
  <si>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</si>
  <si>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</si>
  <si>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</si>
  <si>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</si>
  <si>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</si>
  <si>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</si>
  <si>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</si>
  <si>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</si>
  <si>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</si>
  <si>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</si>
  <si>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</si>
  <si>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</si>
  <si>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</si>
  <si>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</si>
  <si>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</si>
  <si>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</si>
  <si>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</si>
  <si>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</si>
  <si>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</si>
  <si>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</si>
  <si>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</si>
  <si>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</si>
  <si>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</si>
  <si>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</si>
  <si>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</si>
  <si>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</si>
  <si>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</si>
  <si>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</si>
  <si>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</si>
  <si>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</si>
  <si>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</si>
  <si>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</si>
  <si>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</si>
  <si>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</si>
  <si>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</si>
  <si>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</si>
  <si>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</si>
  <si>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</si>
  <si>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</si>
  <si>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</si>
  <si>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</si>
  <si>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</si>
  <si>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</si>
  <si>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</si>
  <si>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</si>
  <si>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</si>
  <si>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</si>
  <si>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</si>
  <si>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</si>
  <si>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</si>
  <si>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</si>
  <si>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</si>
  <si>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</si>
  <si>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</si>
  <si>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</si>
  <si>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</si>
  <si>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</si>
  <si>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</si>
  <si>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</si>
  <si>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</si>
  <si>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</si>
  <si>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</si>
  <si>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</si>
  <si>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</si>
  <si>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</si>
  <si>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</si>
  <si>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</si>
  <si>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</si>
  <si>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</si>
  <si>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</si>
  <si>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</si>
  <si>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</si>
  <si>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</si>
  <si>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</si>
  <si>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</si>
  <si>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</si>
  <si>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</si>
  <si>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</si>
  <si>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</si>
  <si>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</si>
  <si>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</si>
  <si>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</si>
  <si>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</si>
  <si>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</si>
  <si>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</si>
  <si>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</si>
  <si>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</si>
  <si>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</si>
  <si>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</si>
  <si>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</si>
  <si>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</si>
  <si>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</si>
  <si>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</si>
  <si>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</si>
  <si>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</si>
  <si>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</si>
  <si>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</si>
  <si>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</si>
  <si>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</si>
  <si>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</si>
  <si>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</si>
  <si>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</si>
  <si>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</si>
  <si>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</si>
  <si>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</si>
  <si>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</si>
  <si>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</si>
  <si>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</si>
  <si>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</si>
  <si>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</si>
  <si>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</si>
  <si>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</si>
  <si>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</si>
  <si>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</si>
  <si>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</si>
  <si>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</si>
  <si>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</si>
  <si>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</si>
  <si>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</si>
  <si>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</si>
  <si>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</si>
  <si>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</si>
  <si>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</si>
  <si>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</si>
  <si>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</si>
  <si>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</si>
  <si>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</si>
  <si>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</si>
  <si>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</si>
  <si>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</si>
  <si>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</si>
  <si>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</si>
  <si>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</si>
  <si>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</si>
  <si>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</si>
  <si>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</si>
  <si>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</si>
  <si>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</si>
  <si>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</si>
  <si>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</si>
  <si>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</si>
  <si>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</si>
  <si>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</si>
  <si>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</si>
  <si>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</si>
  <si>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</si>
  <si>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</si>
  <si>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</si>
  <si>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</si>
  <si>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</si>
  <si>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</si>
  <si>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</si>
  <si>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</si>
  <si>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</si>
  <si>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</si>
  <si>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</si>
  <si>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</si>
  <si>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</si>
  <si>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</si>
  <si>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</si>
  <si>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</si>
  <si>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</si>
  <si>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</si>
  <si>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</si>
  <si>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</si>
  <si>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</si>
  <si>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</si>
  <si>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</si>
  <si>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</si>
  <si>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</si>
  <si>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</si>
  <si>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</si>
  <si>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</si>
  <si>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</si>
  <si>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</si>
  <si>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</si>
  <si>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</si>
  <si>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</si>
  <si>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</si>
  <si>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</si>
  <si>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</si>
  <si>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</si>
  <si>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</si>
  <si>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</si>
  <si>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</si>
  <si>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</si>
  <si>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</si>
  <si>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</si>
  <si>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</si>
  <si>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</si>
  <si>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</si>
  <si>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</si>
  <si>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</si>
  <si>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</si>
  <si>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</si>
  <si>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</si>
  <si>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</si>
  <si>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</si>
  <si>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</si>
  <si>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</si>
  <si>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</si>
  <si>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</si>
  <si>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</si>
  <si>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</si>
  <si>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</si>
  <si>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</si>
  <si>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</si>
  <si>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</si>
  <si>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</si>
  <si>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</si>
  <si>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</si>
  <si>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</si>
  <si>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</si>
  <si>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</si>
  <si>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</si>
  <si>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</si>
  <si>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</si>
  <si>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</si>
  <si>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</si>
  <si>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</si>
  <si>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</si>
  <si>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</si>
  <si>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</si>
  <si>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</si>
  <si>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</si>
  <si>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</si>
  <si>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</si>
  <si>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</si>
  <si>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</si>
  <si>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</si>
  <si>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</si>
  <si>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</si>
  <si>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</si>
  <si>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</si>
  <si>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</si>
  <si>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</si>
  <si>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</si>
  <si>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</si>
  <si>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</si>
  <si>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</si>
  <si>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</si>
  <si>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</si>
  <si>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</si>
  <si>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</si>
  <si>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</si>
  <si>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</si>
  <si>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</si>
  <si>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</si>
  <si>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</si>
  <si>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</si>
  <si>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</si>
  <si>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</si>
  <si>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</si>
  <si>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</si>
  <si>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</si>
  <si>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</si>
  <si>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</si>
  <si>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</si>
  <si>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</si>
  <si>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</si>
  <si>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</si>
  <si>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</si>
  <si>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</si>
  <si>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</si>
  <si>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</si>
  <si>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</si>
  <si>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</si>
  <si>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</si>
  <si>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</si>
  <si>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</si>
  <si>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</si>
  <si>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</si>
  <si>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</si>
  <si>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</si>
  <si>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</si>
  <si>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</si>
  <si>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</si>
  <si>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</si>
  <si>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</si>
  <si>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</si>
  <si>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</si>
  <si>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</si>
  <si>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</si>
  <si>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</si>
  <si>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</si>
  <si>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</si>
  <si>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</si>
  <si>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</si>
  <si>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</si>
  <si>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</si>
  <si>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</si>
  <si>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</si>
  <si>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</si>
  <si>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</si>
  <si>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</si>
  <si>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</si>
  <si>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</si>
  <si>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</si>
  <si>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</si>
  <si>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</si>
  <si>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</si>
  <si>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</si>
  <si>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</si>
  <si>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</si>
  <si>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</si>
  <si>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</si>
  <si>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</si>
  <si>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</si>
  <si>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</si>
  <si>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</si>
  <si>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</si>
  <si>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</si>
  <si>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</si>
  <si>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</si>
  <si>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</si>
  <si>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</si>
  <si>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</si>
  <si>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</si>
  <si>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</si>
  <si>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</si>
  <si>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</si>
  <si>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</si>
  <si>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</si>
  <si>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</si>
  <si>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</si>
  <si>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</si>
  <si>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</si>
  <si>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</si>
  <si>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</si>
  <si>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</si>
  <si>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</si>
  <si>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</si>
  <si>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</si>
  <si>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</si>
  <si>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</si>
  <si>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</si>
  <si>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</si>
  <si>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</si>
  <si>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</si>
  <si>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</si>
  <si>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</si>
  <si>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</si>
  <si>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</si>
  <si>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</si>
  <si>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</si>
  <si>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</si>
  <si>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</si>
  <si>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</si>
  <si>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</si>
  <si>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</si>
  <si>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</si>
  <si>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</si>
  <si>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</si>
  <si>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</si>
  <si>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</si>
  <si>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</si>
  <si>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</si>
  <si>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</si>
  <si>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</si>
  <si>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</si>
  <si>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</si>
  <si>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</si>
  <si>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</si>
  <si>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</si>
  <si>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</si>
  <si>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</si>
  <si>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</si>
  <si>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</si>
  <si>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</si>
  <si>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</si>
  <si>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</si>
  <si>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</si>
  <si>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</si>
  <si>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</si>
  <si>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</si>
  <si>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</si>
  <si>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</si>
  <si>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</si>
  <si>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</si>
  <si>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</si>
  <si>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</si>
  <si>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</si>
  <si>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</si>
  <si>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</si>
  <si>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</si>
  <si>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</si>
  <si>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</si>
  <si>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</si>
  <si>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</si>
  <si>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</si>
  <si>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</si>
  <si>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</si>
  <si>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</si>
  <si>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</si>
  <si>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</si>
  <si>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</si>
  <si>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</si>
  <si>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</si>
  <si>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</si>
  <si>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</si>
  <si>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</si>
  <si>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</si>
  <si>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</si>
  <si>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</si>
  <si>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</si>
  <si>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</si>
  <si>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</si>
  <si>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</si>
  <si>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</si>
  <si>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</si>
  <si>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</si>
  <si>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</si>
  <si>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</si>
  <si>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</si>
  <si>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</si>
  <si>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</si>
  <si>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</si>
  <si>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</si>
  <si>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</si>
  <si>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</si>
  <si>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</si>
  <si>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</si>
  <si>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</si>
  <si>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</si>
  <si>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</si>
  <si>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</si>
  <si>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</si>
  <si>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</si>
  <si>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</si>
  <si>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</si>
  <si>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</si>
  <si>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</si>
  <si>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</si>
  <si>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</si>
  <si>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</si>
  <si>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</si>
  <si>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</si>
  <si>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</si>
  <si>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</si>
  <si>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</si>
  <si>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</si>
  <si>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</si>
  <si>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</si>
  <si>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</si>
  <si>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</si>
  <si>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</si>
  <si>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</si>
  <si>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</si>
  <si>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</si>
  <si>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</si>
  <si>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</si>
  <si>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</si>
  <si>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</si>
  <si>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</si>
  <si>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</si>
  <si>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</si>
  <si>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</si>
  <si>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</si>
  <si>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</si>
  <si>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</si>
  <si>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</si>
  <si>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</si>
  <si>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</si>
  <si>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</si>
  <si>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</si>
  <si>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</si>
  <si>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</si>
  <si>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</si>
  <si>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</si>
  <si>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</si>
  <si>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</si>
  <si>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</si>
  <si>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</si>
  <si>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</si>
  <si>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</si>
  <si>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</si>
  <si>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</si>
  <si>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</si>
  <si>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</si>
  <si>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</si>
  <si>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</si>
  <si>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</si>
  <si>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</si>
  <si>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</si>
  <si>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</si>
  <si>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</si>
  <si>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</si>
  <si>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</si>
  <si>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</si>
  <si>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</si>
  <si>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</si>
  <si>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</si>
  <si>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</si>
  <si>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</si>
  <si>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</si>
  <si>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</si>
  <si>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</si>
  <si>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</si>
  <si>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</si>
  <si>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</si>
  <si>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</si>
  <si>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</si>
  <si>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</si>
  <si>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</si>
  <si>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</si>
  <si>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</si>
  <si>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</si>
  <si>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</si>
  <si>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</si>
  <si>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</si>
  <si>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</si>
  <si>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</si>
  <si>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</si>
  <si>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</si>
  <si>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</si>
  <si>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</si>
  <si>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</si>
  <si>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</si>
  <si>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</si>
  <si>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</si>
  <si>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</si>
  <si>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</si>
  <si>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</si>
  <si>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</si>
  <si>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</si>
  <si>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</si>
  <si>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</si>
  <si>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</si>
  <si>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</si>
  <si>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</si>
  <si>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</si>
  <si>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</si>
  <si>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</si>
  <si>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</si>
  <si>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</si>
  <si>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</si>
  <si>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</si>
  <si>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</si>
  <si>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</si>
  <si>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</si>
  <si>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</si>
  <si>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</si>
  <si>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</si>
  <si>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</si>
  <si>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</si>
  <si>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</si>
  <si>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</si>
  <si>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</si>
  <si>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</si>
  <si>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</si>
  <si>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</si>
  <si>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</si>
  <si>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</si>
  <si>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</si>
  <si>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</si>
  <si>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</si>
  <si>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</si>
  <si>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</si>
  <si>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</si>
  <si>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</si>
  <si>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</si>
  <si>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</si>
  <si>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</si>
  <si>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</si>
  <si>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</si>
  <si>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</si>
  <si>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</si>
  <si>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</si>
  <si>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</si>
  <si>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</si>
  <si>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</si>
  <si>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</si>
  <si>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</si>
  <si>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</si>
  <si>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</si>
  <si>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</si>
  <si>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</si>
  <si>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</si>
  <si>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</si>
  <si>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</si>
  <si>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</si>
  <si>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</si>
  <si>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</si>
  <si>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</si>
  <si>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</si>
  <si>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</si>
  <si>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</si>
  <si>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</si>
  <si>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</si>
  <si>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</si>
  <si>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</si>
  <si>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</si>
  <si>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</si>
  <si>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</si>
  <si>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</si>
  <si>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</si>
  <si>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</si>
  <si>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</si>
  <si>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</si>
  <si>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</si>
  <si>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</si>
  <si>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</si>
  <si>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</si>
  <si>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</si>
  <si>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</si>
  <si>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</si>
  <si>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</si>
  <si>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</si>
  <si>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</si>
  <si>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</si>
  <si>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</si>
  <si>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</si>
  <si>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</si>
  <si>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</si>
  <si>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</si>
  <si>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</si>
  <si>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</si>
  <si>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</si>
  <si>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</si>
  <si>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</si>
  <si>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</si>
  <si>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</si>
  <si>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</si>
  <si>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</si>
  <si>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</si>
  <si>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</si>
  <si>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</si>
  <si>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</si>
  <si>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</si>
  <si>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</si>
  <si>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</si>
  <si>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</si>
  <si>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</si>
  <si>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</si>
  <si>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</si>
  <si>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</si>
  <si>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</si>
  <si>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</si>
  <si>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</si>
  <si>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</si>
  <si>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</si>
  <si>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</si>
  <si>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</si>
  <si>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</si>
  <si>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</si>
  <si>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</si>
  <si>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</si>
  <si>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</si>
  <si>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</si>
  <si>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</si>
  <si>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</si>
  <si>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</si>
  <si>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</si>
  <si>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</si>
  <si>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</si>
  <si>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</si>
  <si>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</si>
  <si>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</si>
  <si>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</si>
  <si>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</si>
  <si>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</si>
  <si>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</si>
  <si>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</si>
  <si>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</si>
  <si>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</si>
  <si>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</si>
  <si>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</si>
  <si>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</si>
  <si>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</si>
  <si>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</si>
  <si>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</si>
  <si>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</si>
  <si>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</si>
  <si>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</si>
  <si>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</si>
  <si>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</si>
  <si>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</si>
  <si>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</si>
  <si>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</si>
  <si>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</si>
  <si>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</si>
  <si>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</si>
  <si>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</si>
  <si>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</si>
  <si>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</si>
  <si>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</si>
  <si>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</si>
  <si>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</si>
  <si>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</si>
  <si>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</si>
  <si>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</si>
  <si>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</si>
  <si>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</si>
  <si>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</si>
  <si>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</si>
  <si>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</si>
  <si>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</si>
  <si>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</si>
  <si>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</si>
  <si>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</si>
  <si>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</si>
  <si>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</si>
  <si>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</si>
  <si>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</si>
  <si>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</si>
  <si>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</si>
  <si>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</si>
  <si>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</si>
  <si>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</si>
  <si>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</si>
  <si>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</si>
  <si>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</si>
  <si>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</si>
  <si>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</si>
  <si>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</si>
  <si>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</si>
  <si>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</si>
  <si>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</si>
  <si>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</si>
  <si>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</si>
  <si>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</si>
  <si>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</si>
  <si>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</si>
  <si>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</si>
  <si>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</si>
  <si>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</si>
  <si>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</si>
  <si>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</si>
  <si>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</si>
  <si>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</si>
  <si>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</si>
  <si>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</si>
  <si>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</si>
  <si>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</si>
  <si>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</si>
  <si>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</si>
  <si>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</si>
  <si>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</si>
  <si>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</si>
  <si>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</si>
  <si>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</si>
  <si>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</si>
  <si>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</si>
  <si>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</si>
  <si>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</si>
  <si>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</si>
  <si>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</si>
  <si>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</si>
  <si>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</si>
  <si>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</si>
  <si>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</si>
  <si>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</si>
  <si>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</si>
  <si>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</si>
  <si>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</si>
  <si>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</si>
  <si>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</si>
  <si>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</si>
  <si>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</si>
  <si>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</si>
  <si>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</si>
  <si>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</si>
  <si>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</si>
  <si>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</si>
  <si>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</si>
  <si>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</si>
  <si>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</si>
  <si>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</si>
  <si>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</si>
  <si>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</si>
  <si>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</si>
  <si>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</si>
  <si>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</si>
  <si>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</si>
  <si>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</si>
  <si>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</si>
  <si>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</si>
  <si>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</si>
  <si>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</si>
  <si>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</si>
  <si>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</si>
  <si>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</si>
  <si>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</si>
  <si>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</si>
  <si>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</si>
  <si>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</si>
  <si>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</si>
  <si>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</si>
  <si>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</si>
  <si>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</si>
  <si>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</si>
  <si>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</si>
  <si>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</si>
  <si>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</si>
  <si>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</si>
  <si>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</si>
  <si>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</si>
  <si>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</si>
  <si>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</si>
  <si>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</si>
  <si>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</si>
  <si>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</si>
  <si>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</si>
  <si>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</si>
  <si>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</si>
  <si>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</si>
  <si>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</si>
  <si>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</si>
  <si>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</si>
  <si>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</si>
  <si>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</si>
  <si>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</si>
  <si>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</si>
  <si>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</si>
  <si>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</si>
  <si>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</si>
  <si>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</si>
  <si>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</si>
  <si>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</si>
  <si>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</si>
  <si>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</si>
  <si>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</si>
  <si>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</si>
  <si>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</si>
  <si>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</si>
  <si>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</si>
  <si>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</si>
  <si>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</si>
  <si>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</si>
  <si>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</si>
  <si>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</si>
  <si>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</si>
  <si>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</si>
  <si>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</si>
  <si>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</si>
  <si>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</si>
  <si>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</si>
  <si>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</si>
  <si>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</si>
  <si>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</si>
  <si>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</si>
  <si>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</si>
  <si>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</si>
  <si>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</si>
  <si>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</si>
  <si>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</si>
  <si>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</si>
  <si>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</si>
  <si>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</si>
  <si>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</si>
  <si>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</si>
  <si>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</si>
  <si>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</si>
  <si>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</si>
  <si>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</si>
  <si>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</si>
  <si>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</si>
  <si>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</si>
  <si>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</si>
  <si>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</si>
  <si>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</si>
  <si>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</si>
  <si>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</si>
  <si>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</si>
  <si>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</si>
  <si>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</si>
  <si>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</si>
  <si>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</si>
  <si>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</si>
  <si>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</si>
  <si>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</si>
  <si>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</si>
  <si>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</si>
  <si>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</si>
  <si>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</si>
  <si>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</si>
  <si>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</si>
  <si>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</si>
  <si>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</si>
  <si>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</si>
  <si>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</si>
  <si>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</si>
  <si>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</si>
  <si>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</si>
  <si>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</si>
  <si>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</si>
  <si>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</si>
  <si>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</si>
  <si>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</si>
  <si>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</si>
  <si>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</si>
  <si>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</si>
  <si>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</si>
  <si>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</si>
  <si>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</si>
  <si>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</si>
  <si>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</si>
  <si>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</si>
  <si>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</si>
  <si>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</si>
  <si>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</si>
  <si>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</si>
  <si>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</si>
  <si>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</si>
  <si>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</si>
  <si>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</si>
  <si>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</si>
  <si>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</si>
  <si>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</si>
  <si>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</si>
  <si>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</si>
  <si>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</si>
  <si>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</si>
  <si>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</si>
  <si>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</si>
  <si>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</si>
  <si>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</si>
  <si>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</si>
  <si>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</si>
  <si>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</si>
  <si>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</si>
  <si>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</si>
  <si>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</si>
  <si>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</si>
  <si>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</si>
  <si>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</si>
  <si>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</si>
  <si>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</si>
  <si>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</si>
  <si>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</si>
  <si>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</si>
  <si>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</si>
  <si>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</si>
  <si>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</si>
  <si>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</si>
  <si>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</si>
  <si>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</si>
  <si>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</si>
  <si>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</si>
  <si>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</si>
  <si>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</si>
  <si>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</si>
  <si>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</si>
  <si>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</si>
  <si>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</si>
  <si>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</si>
  <si>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</si>
  <si>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</si>
  <si>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</si>
  <si>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</si>
  <si>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</si>
  <si>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</si>
  <si>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</si>
  <si>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</si>
  <si>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</si>
  <si>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</si>
  <si>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</si>
  <si>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</si>
  <si>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</si>
  <si>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</si>
  <si>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</si>
  <si>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</si>
  <si>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</si>
  <si>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</si>
  <si>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</si>
  <si>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</si>
  <si>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</si>
  <si>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</si>
  <si>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</si>
  <si>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</si>
  <si>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</si>
  <si>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</si>
  <si>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</si>
  <si>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</si>
  <si>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</si>
  <si>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</si>
  <si>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</si>
  <si>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</si>
  <si>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</si>
  <si>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</si>
  <si>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</si>
  <si>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</si>
  <si>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</si>
  <si>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</si>
  <si>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</si>
  <si>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</si>
  <si>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</si>
  <si>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</si>
  <si>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</si>
  <si>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</si>
  <si>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</si>
  <si>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</si>
  <si>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</si>
  <si>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</si>
  <si>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</si>
  <si>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</si>
  <si>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</si>
  <si>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</si>
  <si>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</si>
  <si>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</si>
  <si>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</si>
  <si>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</si>
  <si>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</si>
  <si>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</si>
  <si>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</si>
  <si>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</si>
  <si>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</si>
  <si>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</si>
  <si>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</si>
  <si>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</si>
  <si>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</si>
  <si>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</si>
  <si>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</si>
  <si>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</si>
  <si>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</si>
  <si>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</si>
  <si>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</si>
  <si>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</si>
  <si>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</si>
  <si>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</si>
  <si>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</si>
  <si>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</si>
  <si>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</si>
  <si>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</si>
  <si>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</si>
  <si>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</si>
  <si>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</si>
  <si>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</si>
  <si>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</si>
  <si>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</si>
  <si>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</si>
  <si>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</si>
  <si>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</si>
  <si>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</si>
  <si>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</si>
  <si>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</si>
  <si>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</si>
  <si>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</si>
  <si>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</si>
  <si>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</si>
  <si>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</si>
  <si>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</si>
  <si>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</si>
  <si>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</si>
  <si>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</si>
  <si>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</si>
  <si>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</si>
  <si>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</si>
  <si>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</si>
  <si>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</si>
  <si>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</si>
  <si>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</si>
  <si>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</si>
  <si>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</si>
  <si>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</si>
  <si>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</si>
  <si>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</si>
  <si>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</si>
  <si>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</si>
  <si>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</si>
  <si>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</si>
  <si>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</si>
  <si>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</si>
  <si>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</si>
  <si>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</si>
  <si>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</si>
  <si>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</si>
  <si>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</si>
  <si>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</si>
  <si>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</si>
  <si>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</si>
  <si>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</si>
  <si>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</si>
  <si>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</si>
  <si>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</si>
  <si>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</si>
  <si>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</si>
  <si>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</si>
  <si>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</si>
  <si>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</si>
  <si>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</si>
  <si>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</si>
  <si>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</si>
  <si>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</si>
  <si>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</si>
  <si>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</si>
  <si>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</si>
  <si>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</si>
  <si>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</si>
  <si>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</si>
  <si>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</si>
  <si>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</si>
  <si>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</si>
  <si>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</si>
  <si>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</si>
  <si>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</si>
  <si>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</si>
  <si>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</si>
  <si>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</si>
  <si>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</si>
  <si>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</si>
  <si>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</si>
  <si>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</si>
  <si>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</si>
  <si>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</si>
  <si>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</si>
  <si>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</si>
  <si>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</si>
  <si>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</si>
  <si>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</si>
  <si>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</si>
  <si>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</si>
  <si>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</si>
  <si>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</si>
  <si>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</si>
  <si>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</si>
  <si>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</si>
  <si>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</si>
  <si>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</si>
  <si>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</si>
  <si>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</si>
  <si>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</si>
  <si>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</si>
  <si>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</si>
  <si>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</si>
  <si>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</si>
  <si>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</si>
  <si>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</si>
  <si>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</si>
  <si>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</si>
  <si>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</si>
  <si>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</si>
  <si>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</si>
  <si>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</si>
  <si>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</si>
  <si>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</si>
  <si>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</si>
  <si>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</si>
  <si>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</si>
  <si>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</si>
  <si>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</si>
  <si>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</si>
  <si>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</si>
  <si>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</si>
  <si>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</si>
  <si>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</si>
  <si>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</si>
  <si>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</si>
  <si>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</si>
  <si>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</si>
  <si>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</si>
  <si>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</si>
  <si>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</si>
  <si>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</si>
  <si>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</si>
  <si>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</si>
  <si>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</si>
  <si>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</si>
  <si>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</si>
  <si>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</si>
  <si>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</si>
  <si>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</si>
  <si>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</si>
  <si>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</si>
  <si>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</si>
  <si>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</si>
  <si>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</si>
  <si>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</si>
  <si>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</si>
  <si>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</si>
  <si>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</si>
  <si>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</si>
  <si>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</si>
  <si>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</si>
  <si>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</si>
  <si>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</si>
  <si>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</si>
  <si>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</si>
  <si>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</si>
  <si>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</si>
  <si>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</si>
  <si>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</si>
  <si>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</si>
  <si>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</si>
  <si>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</si>
  <si>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</si>
  <si>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</si>
  <si>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</si>
  <si>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</si>
  <si>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</si>
  <si>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</si>
  <si>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</si>
  <si>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</si>
  <si>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</si>
  <si>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</si>
  <si>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</si>
  <si>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</si>
  <si>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</si>
  <si>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</si>
  <si>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</si>
  <si>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</si>
  <si>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</si>
  <si>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</si>
  <si>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</si>
  <si>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</si>
  <si>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</si>
  <si>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</si>
  <si>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</si>
  <si>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</si>
  <si>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</si>
  <si>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</si>
  <si>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</si>
  <si>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</si>
  <si>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</si>
  <si>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</si>
  <si>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</si>
  <si>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</si>
  <si>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</si>
  <si>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</si>
  <si>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</si>
  <si>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</si>
  <si>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</si>
  <si>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</si>
  <si>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</si>
  <si>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</si>
  <si>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</si>
  <si>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</si>
  <si>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</si>
  <si>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</si>
  <si>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</si>
  <si>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</si>
  <si>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</si>
  <si>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</si>
  <si>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</si>
  <si>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</si>
  <si>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</si>
  <si>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</si>
  <si>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</si>
  <si>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</si>
  <si>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</si>
  <si>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</si>
  <si>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</si>
  <si>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</si>
  <si>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</si>
  <si>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</si>
  <si>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</si>
  <si>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</si>
  <si>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</si>
  <si>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</si>
  <si>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</si>
  <si>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</si>
  <si>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</si>
  <si>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</si>
  <si>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</si>
  <si>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</si>
  <si>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</si>
  <si>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</si>
  <si>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</si>
  <si>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</si>
  <si>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</si>
  <si>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</si>
  <si>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</si>
  <si>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</si>
  <si>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</si>
  <si>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</si>
  <si>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</si>
  <si>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</si>
  <si>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</si>
  <si>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</si>
  <si>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</si>
  <si>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</si>
  <si>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</si>
  <si>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</si>
  <si>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</si>
  <si>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</si>
  <si>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</si>
  <si>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</si>
  <si>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</si>
  <si>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</si>
  <si>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</si>
  <si>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</si>
  <si>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</si>
  <si>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</si>
  <si>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</si>
  <si>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</si>
  <si>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</si>
  <si>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</si>
  <si>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</si>
  <si>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</si>
  <si>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</si>
  <si>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</si>
  <si>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</si>
  <si>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</si>
  <si>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</si>
  <si>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</si>
  <si>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</si>
  <si>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</si>
  <si>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</si>
  <si>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</si>
  <si>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</si>
  <si>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</si>
  <si>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</si>
  <si>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</si>
  <si>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</si>
  <si>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</si>
  <si>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</si>
  <si>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</si>
  <si>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</si>
  <si>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</si>
  <si>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</si>
  <si>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</si>
  <si>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</si>
  <si>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</si>
  <si>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</si>
  <si>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</si>
  <si>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</si>
  <si>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</si>
  <si>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</si>
  <si>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</si>
  <si>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</si>
  <si>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</si>
  <si>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</si>
  <si>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</si>
  <si>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</si>
  <si>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</si>
  <si>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</si>
  <si>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</si>
  <si>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</si>
  <si>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</si>
  <si>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</si>
  <si>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</si>
  <si>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</si>
  <si>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</si>
  <si>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</si>
  <si>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</si>
  <si>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</si>
  <si>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</si>
  <si>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</si>
  <si>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</si>
  <si>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</si>
  <si>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</si>
  <si>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</si>
  <si>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</si>
  <si>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</si>
  <si>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</si>
  <si>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</si>
  <si>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</si>
  <si>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</si>
  <si>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</si>
  <si>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</si>
  <si>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</si>
  <si>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</si>
  <si>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</si>
  <si>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</si>
  <si>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</si>
  <si>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</si>
  <si>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</si>
  <si>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</si>
  <si>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</si>
  <si>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</si>
  <si>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</si>
  <si>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</si>
  <si>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</si>
  <si>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</si>
  <si>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</si>
  <si>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</si>
  <si>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</si>
  <si>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</si>
  <si>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</si>
  <si>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</si>
  <si>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</si>
  <si>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</si>
  <si>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</si>
  <si>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</si>
  <si>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</si>
  <si>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</si>
  <si>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</si>
  <si>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</si>
  <si>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</si>
  <si>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</si>
  <si>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</si>
  <si>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</si>
  <si>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</si>
  <si>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</si>
  <si>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</si>
  <si>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</si>
  <si>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</si>
  <si>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</si>
  <si>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</si>
  <si>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</si>
  <si>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</si>
  <si>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</si>
  <si>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</si>
  <si>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</si>
  <si>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</si>
  <si>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</si>
  <si>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</si>
  <si>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</si>
  <si>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</si>
  <si>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</si>
  <si>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</si>
  <si>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</si>
  <si>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</si>
  <si>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</si>
  <si>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</si>
  <si>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</si>
  <si>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</si>
  <si>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</si>
  <si>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</si>
  <si>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</si>
  <si>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</si>
  <si>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</si>
  <si>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</si>
  <si>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</si>
  <si>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</si>
  <si>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</si>
  <si>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</si>
  <si>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</si>
  <si>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</si>
  <si>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</si>
  <si>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</si>
  <si>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</si>
  <si>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</si>
  <si>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</si>
  <si>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</si>
  <si>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</si>
  <si>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</si>
  <si>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</si>
  <si>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</si>
  <si>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</si>
  <si>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</si>
  <si>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</si>
  <si>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</si>
  <si>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</si>
  <si>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</si>
  <si>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</si>
  <si>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</si>
  <si>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</si>
  <si>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</si>
  <si>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</si>
  <si>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</si>
  <si>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</si>
  <si>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</si>
  <si>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</si>
  <si>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</si>
  <si>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</si>
  <si>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</si>
  <si>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</si>
  <si>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</si>
  <si>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</si>
  <si>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</si>
  <si>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</si>
  <si>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</si>
  <si>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</si>
  <si>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</si>
  <si>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</si>
  <si>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</si>
  <si>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</si>
  <si>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</si>
  <si>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</si>
  <si>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</si>
  <si>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</si>
  <si>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</si>
  <si>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</si>
  <si>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</si>
  <si>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</si>
  <si>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</si>
  <si>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</si>
  <si>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</si>
  <si>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</si>
  <si>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</si>
  <si>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</si>
  <si>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</si>
  <si>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</si>
  <si>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</si>
  <si>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</si>
  <si>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</si>
  <si>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</si>
  <si>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</si>
  <si>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</si>
  <si>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</si>
  <si>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</si>
  <si>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</si>
  <si>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</si>
  <si>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</si>
  <si>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</si>
  <si>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</si>
  <si>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</si>
  <si>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</si>
  <si>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</si>
  <si>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</si>
  <si>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</si>
  <si>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</si>
  <si>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</si>
  <si>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</si>
  <si>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</si>
  <si>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</si>
  <si>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</si>
  <si>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</si>
  <si>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</si>
  <si>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</si>
  <si>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</si>
  <si>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</si>
  <si>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</si>
  <si>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</si>
  <si>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</si>
  <si>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</si>
  <si>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</si>
  <si>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</si>
  <si>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</si>
  <si>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</si>
  <si>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</si>
  <si>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</si>
  <si>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</si>
  <si>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</si>
  <si>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</si>
  <si>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</si>
  <si>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</si>
  <si>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</si>
  <si>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</si>
  <si>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</si>
  <si>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</si>
  <si>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</si>
  <si>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</si>
  <si>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</si>
  <si>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</si>
  <si>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</si>
  <si>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</si>
  <si>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</si>
  <si>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</si>
  <si>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</si>
  <si>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</si>
  <si>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</si>
  <si>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</si>
  <si>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</si>
  <si>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</si>
  <si>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</si>
  <si>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</si>
  <si>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</si>
  <si>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</si>
  <si>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</si>
  <si>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</si>
  <si>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</si>
  <si>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</si>
  <si>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</si>
  <si>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</si>
  <si>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</si>
  <si>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</si>
  <si>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</si>
  <si>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</si>
  <si>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</si>
  <si>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</si>
  <si>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</si>
  <si>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</si>
  <si>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</si>
  <si>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</si>
  <si>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</si>
  <si>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</si>
  <si>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</si>
  <si>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</si>
  <si>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</si>
  <si>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</si>
  <si>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</si>
  <si>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</si>
  <si>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</si>
  <si>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</si>
  <si>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</si>
  <si>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</si>
  <si>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</si>
  <si>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</si>
  <si>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</si>
  <si>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</si>
  <si>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</si>
  <si>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</si>
  <si>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</si>
  <si>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</si>
  <si>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</si>
  <si>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</si>
  <si>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</si>
  <si>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</si>
  <si>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</si>
  <si>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</si>
  <si>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</si>
  <si>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</si>
  <si>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</si>
  <si>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</si>
  <si>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</si>
  <si>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</si>
  <si>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</si>
  <si>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</si>
  <si>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</si>
  <si>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</si>
  <si>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</si>
  <si>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</si>
  <si>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</si>
  <si>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</si>
  <si>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</si>
  <si>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</si>
  <si>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</si>
  <si>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</si>
  <si>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</si>
  <si>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</si>
  <si>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</si>
  <si>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</si>
  <si>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</si>
  <si>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</si>
  <si>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</si>
  <si>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</si>
  <si>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</si>
  <si>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</si>
  <si>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</si>
  <si>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</si>
  <si>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</si>
  <si>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</si>
  <si>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</si>
  <si>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</si>
  <si>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</si>
  <si>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</si>
  <si>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</si>
  <si>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</si>
  <si>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</si>
  <si>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</si>
  <si>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</si>
  <si>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</si>
  <si>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</si>
  <si>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</si>
  <si>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</si>
  <si>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</si>
  <si>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</si>
  <si>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</si>
  <si>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</si>
  <si>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</si>
  <si>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</si>
  <si>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</si>
  <si>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</si>
  <si>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</si>
  <si>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</si>
  <si>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</si>
  <si>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</si>
  <si>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</si>
  <si>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</si>
  <si>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</si>
  <si>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</si>
  <si>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</si>
  <si>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</si>
  <si>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</si>
  <si>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</si>
  <si>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</si>
  <si>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</si>
  <si>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</si>
  <si>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</si>
  <si>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</si>
  <si>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</si>
  <si>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</si>
  <si>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</si>
  <si>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</si>
  <si>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</si>
  <si>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</si>
  <si>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</si>
  <si>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</si>
  <si>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</si>
  <si>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</si>
  <si>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</si>
  <si>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</si>
  <si>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</si>
  <si>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</si>
  <si>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</si>
  <si>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</si>
  <si>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</si>
  <si>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</si>
  <si>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</si>
  <si>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</si>
  <si>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</si>
  <si>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</si>
  <si>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</si>
  <si>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</si>
  <si>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</si>
  <si>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</si>
  <si>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</si>
  <si>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</si>
  <si>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</si>
  <si>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</si>
  <si>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</si>
  <si>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</si>
  <si>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</si>
  <si>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</si>
  <si>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</si>
  <si>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</si>
  <si>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</si>
  <si>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</si>
  <si>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</si>
  <si>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</si>
  <si>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</si>
  <si>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</si>
  <si>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</si>
  <si>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</si>
  <si>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</si>
  <si>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</si>
  <si>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</si>
  <si>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</si>
  <si>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</si>
  <si>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</si>
  <si>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</si>
  <si>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</si>
  <si>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</si>
  <si>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</si>
  <si>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</si>
  <si>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</si>
  <si>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</si>
  <si>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</si>
  <si>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</si>
  <si>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</si>
  <si>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</si>
  <si>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</si>
  <si>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</si>
  <si>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</si>
  <si>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</si>
  <si>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</si>
  <si>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</si>
  <si>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</si>
  <si>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</si>
  <si>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</si>
  <si>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</si>
  <si>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</si>
  <si>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</si>
  <si>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</si>
  <si>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</si>
  <si>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</si>
  <si>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</si>
  <si>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</si>
  <si>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</si>
  <si>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</si>
  <si>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</si>
  <si>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</si>
  <si>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</si>
  <si>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</si>
  <si>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</si>
  <si>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</si>
  <si>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</si>
  <si>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</si>
  <si>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</si>
  <si>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</si>
  <si>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</si>
  <si>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</si>
  <si>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</si>
  <si>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</si>
  <si>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</si>
  <si>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</si>
  <si>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</si>
  <si>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</si>
  <si>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</si>
  <si>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</si>
  <si>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</si>
  <si>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</si>
  <si>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</si>
  <si>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</si>
  <si>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</si>
  <si>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</si>
  <si>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</si>
  <si>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</si>
  <si>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</si>
  <si>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</si>
  <si>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</si>
  <si>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</si>
  <si>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</si>
  <si>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</si>
  <si>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</si>
  <si>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</si>
  <si>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</si>
  <si>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</si>
  <si>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</si>
  <si>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</si>
  <si>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</si>
  <si>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</si>
  <si>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</si>
  <si>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</si>
  <si>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</si>
  <si>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</si>
  <si>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</si>
  <si>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</si>
  <si>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</si>
  <si>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</si>
  <si>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</si>
  <si>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</si>
  <si>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</si>
  <si>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</si>
  <si>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</si>
  <si>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</si>
  <si>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</si>
  <si>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</si>
  <si>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</si>
  <si>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</si>
  <si>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</si>
  <si>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</si>
  <si>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</si>
  <si>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</si>
  <si>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</si>
  <si>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</si>
  <si>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</si>
  <si>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</si>
  <si>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</si>
  <si>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</si>
  <si>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</si>
  <si>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</si>
  <si>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</si>
  <si>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</si>
  <si>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</si>
  <si>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</si>
  <si>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</si>
  <si>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</si>
  <si>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</si>
  <si>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</si>
  <si>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</si>
  <si>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</si>
  <si>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</si>
  <si>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</si>
  <si>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</si>
  <si>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</si>
  <si>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</si>
  <si>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</si>
  <si>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</si>
  <si>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</si>
  <si>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</si>
  <si>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</si>
  <si>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</si>
  <si>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</si>
  <si>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</si>
  <si>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</si>
  <si>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</si>
  <si>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</si>
  <si>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</si>
  <si>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</si>
  <si>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</si>
  <si>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</si>
  <si>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</si>
  <si>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</si>
  <si>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</si>
  <si>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</si>
  <si>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</si>
  <si>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</si>
  <si>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</si>
  <si>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</si>
  <si>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</si>
  <si>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</si>
  <si>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</si>
  <si>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</si>
  <si>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</si>
  <si>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</si>
  <si>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</si>
  <si>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</si>
  <si>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</si>
  <si>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</si>
  <si>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</si>
  <si>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</si>
  <si>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</si>
  <si>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</si>
  <si>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</si>
  <si>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</si>
  <si>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</si>
  <si>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</si>
  <si>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</si>
  <si>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</si>
  <si>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</si>
  <si>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</si>
  <si>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</si>
  <si>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</si>
  <si>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</si>
  <si>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</si>
  <si>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</si>
  <si>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</si>
  <si>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</si>
  <si>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</si>
  <si>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</si>
  <si>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</si>
  <si>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</si>
  <si>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</si>
  <si>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</si>
  <si>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</si>
  <si>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</si>
  <si>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</si>
  <si>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</si>
  <si>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</si>
  <si>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</si>
  <si>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</si>
  <si>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</si>
  <si>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</si>
  <si>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</si>
  <si>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</si>
  <si>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</si>
  <si>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</si>
  <si>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</si>
  <si>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</si>
  <si>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</si>
  <si>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</si>
  <si>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</si>
  <si>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</si>
  <si>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</si>
  <si>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</si>
  <si>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</si>
  <si>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</si>
  <si>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</si>
  <si>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</si>
  <si>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</si>
  <si>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</si>
  <si>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</si>
  <si>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</si>
  <si>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</si>
  <si>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</si>
  <si>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</si>
  <si>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</si>
  <si>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</si>
  <si>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</si>
  <si>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</si>
  <si>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</si>
  <si>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</si>
  <si>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</si>
  <si>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</si>
  <si>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</si>
  <si>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</si>
  <si>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</si>
  <si>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</si>
  <si>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</si>
  <si>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</si>
  <si>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</si>
  <si>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</si>
  <si>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</si>
  <si>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</si>
  <si>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</si>
  <si>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</si>
  <si>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</si>
  <si>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</si>
  <si>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</si>
  <si>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</si>
  <si>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</si>
  <si>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</si>
  <si>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</si>
  <si>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</si>
  <si>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</si>
  <si>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</si>
  <si>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</si>
  <si>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</si>
  <si>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</si>
  <si>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</si>
  <si>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</si>
  <si>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</si>
  <si>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</si>
  <si>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</si>
  <si>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</si>
  <si>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</si>
  <si>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</si>
  <si>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</si>
  <si>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</si>
  <si>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</si>
  <si>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</si>
  <si>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</si>
  <si>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</si>
  <si>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</si>
  <si>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</si>
  <si>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</si>
  <si>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</si>
  <si>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</si>
  <si>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</si>
  <si>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</si>
  <si>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</si>
  <si>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</si>
  <si>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</si>
  <si>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</si>
  <si>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</si>
  <si>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</si>
  <si>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</si>
  <si>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</si>
  <si>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</si>
  <si>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</si>
  <si>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</si>
  <si>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</si>
  <si>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</si>
  <si>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</si>
  <si>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</si>
  <si>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</si>
  <si>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</si>
  <si>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</si>
  <si>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</si>
  <si>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</si>
  <si>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</si>
  <si>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</si>
  <si>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</si>
  <si>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</si>
  <si>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</si>
  <si>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</si>
  <si>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</si>
  <si>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</si>
  <si>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</si>
  <si>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</si>
  <si>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</si>
  <si>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</si>
  <si>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</si>
  <si>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</si>
  <si>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</si>
  <si>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</si>
  <si>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</si>
  <si>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</si>
  <si>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</si>
  <si>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</si>
  <si>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</si>
  <si>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</si>
  <si>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</si>
  <si>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</si>
  <si>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</si>
  <si>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</si>
  <si>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</si>
  <si>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</si>
  <si>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</si>
  <si>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</si>
  <si>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</si>
  <si>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</si>
  <si>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</si>
  <si>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</si>
  <si>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</si>
  <si>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</si>
  <si>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</si>
  <si>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</si>
  <si>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</si>
  <si>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</si>
  <si>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</si>
  <si>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</si>
  <si>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</si>
  <si>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</si>
  <si>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</si>
  <si>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</si>
  <si>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</si>
  <si>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</si>
  <si>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</si>
  <si>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</si>
  <si>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</si>
  <si>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</si>
  <si>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</si>
  <si>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</si>
  <si>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</si>
  <si>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</si>
  <si>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</si>
  <si>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</si>
  <si>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</si>
  <si>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</si>
  <si>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</si>
  <si>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</si>
  <si>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</si>
  <si>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</si>
  <si>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</si>
  <si>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</si>
  <si>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</si>
  <si>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</si>
  <si>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</si>
  <si>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</si>
  <si>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</si>
  <si>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</si>
  <si>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</si>
  <si>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</si>
  <si>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</si>
  <si>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</si>
  <si>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</si>
  <si>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</si>
  <si>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</si>
  <si>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</si>
  <si>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</si>
  <si>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</si>
  <si>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</si>
  <si>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</si>
  <si>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</si>
  <si>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</si>
  <si>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</si>
  <si>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</si>
  <si>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</si>
  <si>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</si>
  <si>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</si>
  <si>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</si>
  <si>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</si>
  <si>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</si>
  <si>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</si>
  <si>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</si>
  <si>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</si>
  <si>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</si>
  <si>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</si>
  <si>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</si>
  <si>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</si>
  <si>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</si>
  <si>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</si>
  <si>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</si>
  <si>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</si>
  <si>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</si>
  <si>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</si>
  <si>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</si>
  <si>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</si>
  <si>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</si>
  <si>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</si>
  <si>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</si>
  <si>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</si>
  <si>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</si>
  <si>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</si>
  <si>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</si>
  <si>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</si>
  <si>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</si>
  <si>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</si>
  <si>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</si>
  <si>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</si>
  <si>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</si>
  <si>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</si>
  <si>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</si>
  <si>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</si>
  <si>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</si>
  <si>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</si>
  <si>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</si>
  <si>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</si>
  <si>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</si>
  <si>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</si>
  <si>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</si>
  <si>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</si>
  <si>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</si>
  <si>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</si>
  <si>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</si>
  <si>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</si>
  <si>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</si>
  <si>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</si>
  <si>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</si>
  <si>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</si>
  <si>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</si>
  <si>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</si>
  <si>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</si>
  <si>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</si>
  <si>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</si>
  <si>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</si>
  <si>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</si>
  <si>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</si>
  <si>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</si>
  <si>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</si>
  <si>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</si>
  <si>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</si>
  <si>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</si>
  <si>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</si>
  <si>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</si>
  <si>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</si>
  <si>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</si>
  <si>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</si>
  <si>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</si>
  <si>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</si>
  <si>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</si>
  <si>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</si>
  <si>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</si>
  <si>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</si>
  <si>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</si>
  <si>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</si>
  <si>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</si>
  <si>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</si>
  <si>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</si>
  <si>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</si>
  <si>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</si>
  <si>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</si>
  <si>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</si>
  <si>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</si>
  <si>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</si>
  <si>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</si>
  <si>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</si>
  <si>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</si>
  <si>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</si>
  <si>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</si>
  <si>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</si>
  <si>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</si>
  <si>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</si>
  <si>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</si>
  <si>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</si>
  <si>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</si>
  <si>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</si>
  <si>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</si>
  <si>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</si>
  <si>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</si>
  <si>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</si>
  <si>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</si>
  <si>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</si>
  <si>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</si>
  <si>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</si>
  <si>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</si>
  <si>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</si>
  <si>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</si>
  <si>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</si>
  <si>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</si>
  <si>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</si>
  <si>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</si>
  <si>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</si>
  <si>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</si>
  <si>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</si>
  <si>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</si>
  <si>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</si>
  <si>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</si>
  <si>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</si>
  <si>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</si>
  <si>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</si>
  <si>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</si>
  <si>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</si>
  <si>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</si>
  <si>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</si>
  <si>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</si>
  <si>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</si>
  <si>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</si>
  <si>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</si>
  <si>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</si>
  <si>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</si>
  <si>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</si>
  <si>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</si>
  <si>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</si>
  <si>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</si>
  <si>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</si>
  <si>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</si>
  <si>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</si>
  <si>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</si>
  <si>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</si>
  <si>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</si>
  <si>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</si>
  <si>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</si>
  <si>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</si>
  <si>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</si>
  <si>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</si>
  <si>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</si>
  <si>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</si>
  <si>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</si>
  <si>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</si>
  <si>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</si>
  <si>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</si>
  <si>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</si>
  <si>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</si>
  <si>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</si>
  <si>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</si>
  <si>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</si>
  <si>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</si>
  <si>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</si>
  <si>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</si>
  <si>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</si>
  <si>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</si>
  <si>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</si>
  <si>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</si>
  <si>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</si>
  <si>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</si>
  <si>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</si>
  <si>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</si>
  <si>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</si>
  <si>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</si>
  <si>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</si>
  <si>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</si>
  <si>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</si>
  <si>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</si>
  <si>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</si>
  <si>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Fraisurage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</si>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</sst>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34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2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2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7" fillId="0" borderId="64" xfId="0" applyFont="1" applyBorder="1" applyAlignment="1" applyProtection="1">
      <alignment horizontal="center"/>
      <protection locked="0"/>
    </xf>
    <xf numFmtId="0" fontId="67" fillId="0" borderId="68" xfId="0" applyFont="1" applyBorder="1" applyAlignment="1" applyProtection="1">
      <protection locked="0"/>
    </xf>
    <xf numFmtId="0" fontId="67" fillId="0" borderId="69" xfId="0" applyFont="1" applyBorder="1" applyAlignment="1" applyProtection="1">
      <protection locked="0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65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60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0" fillId="0" borderId="0" xfId="0"/>
    <xf numFmtId="0" fontId="0" fillId="3" borderId="64" xfId="4" applyFont="1" applyBorder="1" applyAlignment="1" applyProtection="1">
      <protection hidden="1"/>
    </xf>
    <xf numFmtId="0" fontId="67" fillId="0" borderId="64" xfId="0" applyFont="1" applyBorder="1" applyAlignment="1" applyProtection="1">
      <protection locked="0"/>
    </xf>
    <xf numFmtId="0" fontId="44" fillId="10" borderId="78" xfId="8" applyFont="1" applyBorder="1" applyAlignment="1" applyProtection="1">
      <protection hidden="1"/>
    </xf>
    <xf numFmtId="1" fontId="0" fillId="0" borderId="0" xfId="0" applyNumberFormat="1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1" fillId="10" borderId="48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81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6" fillId="0" borderId="51" xfId="0" applyFont="1" applyBorder="1" applyAlignment="1">
      <alignment horizontal="center"/>
    </xf>
    <xf numFmtId="0" fontId="66" fillId="0" borderId="42" xfId="0" applyFont="1" applyBorder="1" applyAlignment="1">
      <alignment horizontal="center"/>
    </xf>
    <xf numFmtId="0" fontId="66" fillId="0" borderId="43" xfId="0" applyFont="1" applyBorder="1" applyAlignment="1">
      <alignment horizontal="center"/>
    </xf>
    <xf numFmtId="170" fontId="63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5" fillId="17" borderId="71" xfId="14" applyFont="1" applyBorder="1" applyAlignment="1" applyProtection="1">
      <alignment horizontal="center"/>
      <protection hidden="1"/>
    </xf>
    <xf numFmtId="0" fontId="66" fillId="0" borderId="51" xfId="0" applyFont="1" applyBorder="1" applyAlignment="1" applyProtection="1">
      <alignment horizontal="center"/>
      <protection locked="0"/>
    </xf>
    <xf numFmtId="0" fontId="66" fillId="0" borderId="42" xfId="0" applyFont="1" applyBorder="1" applyAlignment="1" applyProtection="1">
      <alignment horizontal="center"/>
      <protection locked="0"/>
    </xf>
    <xf numFmtId="0" fontId="66" fillId="0" borderId="43" xfId="0" applyFont="1" applyBorder="1" applyAlignment="1" applyProtection="1">
      <alignment horizontal="center"/>
      <protection locked="0"/>
    </xf>
    <xf numFmtId="0" fontId="62" fillId="0" borderId="65" xfId="0" applyFont="1" applyBorder="1" applyAlignment="1" applyProtection="1">
      <alignment horizontal="center"/>
      <protection locked="0"/>
    </xf>
    <xf numFmtId="0" fontId="62" fillId="0" borderId="66" xfId="0" applyFont="1" applyBorder="1" applyAlignment="1" applyProtection="1">
      <alignment horizontal="center"/>
      <protection locked="0"/>
    </xf>
    <xf numFmtId="0" fontId="56" fillId="0" borderId="0" xfId="0" applyFont="1"/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" fillId="0" borderId="81" xfId="0" applyFont="1" applyBorder="1" applyAlignment="1">
      <alignment horizontal="center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  <xf numFmtId="0" fontId="60" fillId="2" borderId="68" xfId="3" applyFont="1" applyBorder="1" applyAlignment="1" applyProtection="1">
      <alignment horizontal="center"/>
    </xf>
    <xf numFmtId="0" fontId="60" fillId="2" borderId="70" xfId="3" applyFont="1" applyBorder="1" applyAlignment="1" applyProtection="1">
      <alignment horizontal="center"/>
    </xf>
    <xf numFmtId="0" fontId="60" fillId="2" borderId="69" xfId="3" applyFont="1" applyBorder="1" applyAlignment="1" applyProtection="1">
      <alignment horizontal="center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39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75264"/>
        <c:axId val="87499136"/>
      </c:lineChart>
      <c:catAx>
        <c:axId val="91675264"/>
        <c:scaling>
          <c:orientation val="minMax"/>
        </c:scaling>
        <c:delete val="0"/>
        <c:axPos val="b"/>
        <c:majorTickMark val="out"/>
        <c:minorTickMark val="none"/>
        <c:tickLblPos val="nextTo"/>
        <c:crossAx val="87499136"/>
        <c:crosses val="autoZero"/>
        <c:auto val="1"/>
        <c:lblAlgn val="ctr"/>
        <c:lblOffset val="100"/>
        <c:noMultiLvlLbl val="0"/>
      </c:catAx>
      <c:valAx>
        <c:axId val="8749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675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858774</xdr:colOff>
      <xdr:row>26</xdr:row>
      <xdr:rowOff>121666</xdr:rowOff>
    </xdr:from>
    <xdr:to>
      <xdr:col>1</xdr:col>
      <xdr:colOff>858774</xdr:colOff>
      <xdr:row>27</xdr:row>
      <xdr:rowOff>101600</xdr:rowOff>
    </xdr:to>
    <xdr:cxnSp macro="">
      <xdr:nvCxnSpPr>
        <xdr:cNvPr id="2869" name="Connecteur droit 2868"/>
        <xdr:cNvCxnSpPr/>
      </xdr:nvCxnSpPr>
      <xdr:spPr>
        <a:xfrm>
          <a:off x="1620774" y="6370066"/>
          <a:ext cx="0" cy="17043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26</xdr:row>
      <xdr:rowOff>121666</xdr:rowOff>
    </xdr:from>
    <xdr:to>
      <xdr:col>1</xdr:col>
      <xdr:colOff>858774</xdr:colOff>
      <xdr:row>26</xdr:row>
      <xdr:rowOff>121666</xdr:rowOff>
    </xdr:to>
    <xdr:cxnSp macro="">
      <xdr:nvCxnSpPr>
        <xdr:cNvPr id="2870" name="Connecteur droit 2869"/>
        <xdr:cNvCxnSpPr/>
      </xdr:nvCxnSpPr>
      <xdr:spPr>
        <a:xfrm>
          <a:off x="1467104" y="6370066"/>
          <a:ext cx="15367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16</xdr:row>
      <xdr:rowOff>120650</xdr:rowOff>
    </xdr:from>
    <xdr:to>
      <xdr:col>1</xdr:col>
      <xdr:colOff>705104</xdr:colOff>
      <xdr:row>26</xdr:row>
      <xdr:rowOff>121666</xdr:rowOff>
    </xdr:to>
    <xdr:cxnSp macro="">
      <xdr:nvCxnSpPr>
        <xdr:cNvPr id="2871" name="Connecteur droit 2870"/>
        <xdr:cNvCxnSpPr/>
      </xdr:nvCxnSpPr>
      <xdr:spPr>
        <a:xfrm flipV="1">
          <a:off x="1467104" y="4445000"/>
          <a:ext cx="0" cy="192506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17</xdr:row>
      <xdr:rowOff>1651</xdr:rowOff>
    </xdr:from>
    <xdr:to>
      <xdr:col>1</xdr:col>
      <xdr:colOff>705104</xdr:colOff>
      <xdr:row>17</xdr:row>
      <xdr:rowOff>1651</xdr:rowOff>
    </xdr:to>
    <xdr:cxnSp macro="">
      <xdr:nvCxnSpPr>
        <xdr:cNvPr id="2872" name="Connecteur droit 2871"/>
        <xdr:cNvCxnSpPr/>
      </xdr:nvCxnSpPr>
      <xdr:spPr>
        <a:xfrm>
          <a:off x="1143000" y="4526026"/>
          <a:ext cx="32410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28</xdr:row>
      <xdr:rowOff>101600</xdr:rowOff>
    </xdr:from>
    <xdr:to>
      <xdr:col>1</xdr:col>
      <xdr:colOff>863600</xdr:colOff>
      <xdr:row>28</xdr:row>
      <xdr:rowOff>101600</xdr:rowOff>
    </xdr:to>
    <xdr:cxnSp macro="">
      <xdr:nvCxnSpPr>
        <xdr:cNvPr id="2873" name="Connecteur droit 2872"/>
        <xdr:cNvCxnSpPr/>
      </xdr:nvCxnSpPr>
      <xdr:spPr>
        <a:xfrm>
          <a:off x="1143000" y="6731000"/>
          <a:ext cx="4826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27</xdr:row>
      <xdr:rowOff>101600</xdr:rowOff>
    </xdr:from>
    <xdr:ext cx="1943100" cy="264560"/>
    <xdr:sp macro="" textlink="">
      <xdr:nvSpPr>
        <xdr:cNvPr id="2874" name="ZoneTexte 2873"/>
        <xdr:cNvSpPr txBox="1"/>
      </xdr:nvSpPr>
      <xdr:spPr>
        <a:xfrm>
          <a:off x="1270000" y="6540500"/>
          <a:ext cx="1943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342</a:t>
          </a:r>
        </a:p>
      </xdr:txBody>
    </xdr:sp>
    <xdr:clientData/>
  </xdr:oneCellAnchor>
  <xdr:twoCellAnchor>
    <xdr:from>
      <xdr:col>1</xdr:col>
      <xdr:colOff>190500</xdr:colOff>
      <xdr:row>17</xdr:row>
      <xdr:rowOff>1651</xdr:rowOff>
    </xdr:from>
    <xdr:to>
      <xdr:col>1</xdr:col>
      <xdr:colOff>190500</xdr:colOff>
      <xdr:row>27</xdr:row>
      <xdr:rowOff>101600</xdr:rowOff>
    </xdr:to>
    <xdr:cxnSp macro="">
      <xdr:nvCxnSpPr>
        <xdr:cNvPr id="2875" name="Connecteur droit 2874"/>
        <xdr:cNvCxnSpPr/>
      </xdr:nvCxnSpPr>
      <xdr:spPr>
        <a:xfrm flipV="1">
          <a:off x="952500" y="4526026"/>
          <a:ext cx="0" cy="201447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18</xdr:row>
      <xdr:rowOff>1651</xdr:rowOff>
    </xdr:from>
    <xdr:ext cx="356893" cy="635000"/>
    <xdr:sp macro="" textlink="">
      <xdr:nvSpPr>
        <xdr:cNvPr id="2876" name="ZoneTexte 2875"/>
        <xdr:cNvSpPr txBox="1"/>
      </xdr:nvSpPr>
      <xdr:spPr>
        <a:xfrm>
          <a:off x="889000" y="471652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1442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27</xdr:row>
      <xdr:rowOff>101600</xdr:rowOff>
    </xdr:to>
    <xdr:sp macro="" textlink="">
      <xdr:nvSpPr>
        <xdr:cNvPr id="2877" name="Rectangle 2876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878" name="Connecteur droit 2877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879" name="ZoneTexte 2878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27</xdr:row>
      <xdr:rowOff>101600</xdr:rowOff>
    </xdr:to>
    <xdr:cxnSp macro="">
      <xdr:nvCxnSpPr>
        <xdr:cNvPr id="2880" name="Connecteur droit 2879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2881" name="ZoneTexte 2880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396367</xdr:colOff>
      <xdr:row>26</xdr:row>
      <xdr:rowOff>137033</xdr:rowOff>
    </xdr:from>
    <xdr:to>
      <xdr:col>1</xdr:col>
      <xdr:colOff>536067</xdr:colOff>
      <xdr:row>27</xdr:row>
      <xdr:rowOff>86233</xdr:rowOff>
    </xdr:to>
    <xdr:sp macro="" textlink="">
      <xdr:nvSpPr>
        <xdr:cNvPr id="2882" name="Ellipse 2881"/>
        <xdr:cNvSpPr/>
      </xdr:nvSpPr>
      <xdr:spPr>
        <a:xfrm>
          <a:off x="115836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173863</xdr:rowOff>
    </xdr:from>
    <xdr:to>
      <xdr:col>1</xdr:col>
      <xdr:colOff>536067</xdr:colOff>
      <xdr:row>26</xdr:row>
      <xdr:rowOff>123063</xdr:rowOff>
    </xdr:to>
    <xdr:sp macro="" textlink="">
      <xdr:nvSpPr>
        <xdr:cNvPr id="2883" name="Ellipse 2882"/>
        <xdr:cNvSpPr/>
      </xdr:nvSpPr>
      <xdr:spPr>
        <a:xfrm>
          <a:off x="115836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20193</xdr:rowOff>
    </xdr:from>
    <xdr:to>
      <xdr:col>1</xdr:col>
      <xdr:colOff>536067</xdr:colOff>
      <xdr:row>25</xdr:row>
      <xdr:rowOff>159893</xdr:rowOff>
    </xdr:to>
    <xdr:sp macro="" textlink="">
      <xdr:nvSpPr>
        <xdr:cNvPr id="2884" name="Ellipse 2883"/>
        <xdr:cNvSpPr/>
      </xdr:nvSpPr>
      <xdr:spPr>
        <a:xfrm>
          <a:off x="115836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24</xdr:row>
      <xdr:rowOff>57023</xdr:rowOff>
    </xdr:from>
    <xdr:to>
      <xdr:col>1</xdr:col>
      <xdr:colOff>536067</xdr:colOff>
      <xdr:row>25</xdr:row>
      <xdr:rowOff>6223</xdr:rowOff>
    </xdr:to>
    <xdr:sp macro="" textlink="">
      <xdr:nvSpPr>
        <xdr:cNvPr id="2885" name="Ellipse 2884"/>
        <xdr:cNvSpPr/>
      </xdr:nvSpPr>
      <xdr:spPr>
        <a:xfrm>
          <a:off x="115836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23</xdr:row>
      <xdr:rowOff>93853</xdr:rowOff>
    </xdr:from>
    <xdr:to>
      <xdr:col>1</xdr:col>
      <xdr:colOff>536067</xdr:colOff>
      <xdr:row>24</xdr:row>
      <xdr:rowOff>43053</xdr:rowOff>
    </xdr:to>
    <xdr:sp macro="" textlink="">
      <xdr:nvSpPr>
        <xdr:cNvPr id="2886" name="Ellipse 2885"/>
        <xdr:cNvSpPr/>
      </xdr:nvSpPr>
      <xdr:spPr>
        <a:xfrm>
          <a:off x="115836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22</xdr:row>
      <xdr:rowOff>130683</xdr:rowOff>
    </xdr:from>
    <xdr:to>
      <xdr:col>1</xdr:col>
      <xdr:colOff>536067</xdr:colOff>
      <xdr:row>23</xdr:row>
      <xdr:rowOff>79883</xdr:rowOff>
    </xdr:to>
    <xdr:sp macro="" textlink="">
      <xdr:nvSpPr>
        <xdr:cNvPr id="2887" name="Ellipse 2886"/>
        <xdr:cNvSpPr/>
      </xdr:nvSpPr>
      <xdr:spPr>
        <a:xfrm>
          <a:off x="115836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167513</xdr:rowOff>
    </xdr:from>
    <xdr:to>
      <xdr:col>1</xdr:col>
      <xdr:colOff>536067</xdr:colOff>
      <xdr:row>22</xdr:row>
      <xdr:rowOff>116713</xdr:rowOff>
    </xdr:to>
    <xdr:sp macro="" textlink="">
      <xdr:nvSpPr>
        <xdr:cNvPr id="2888" name="Ellipse 2887"/>
        <xdr:cNvSpPr/>
      </xdr:nvSpPr>
      <xdr:spPr>
        <a:xfrm>
          <a:off x="115836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13843</xdr:rowOff>
    </xdr:from>
    <xdr:to>
      <xdr:col>1</xdr:col>
      <xdr:colOff>536067</xdr:colOff>
      <xdr:row>21</xdr:row>
      <xdr:rowOff>153543</xdr:rowOff>
    </xdr:to>
    <xdr:sp macro="" textlink="">
      <xdr:nvSpPr>
        <xdr:cNvPr id="2889" name="Ellipse 2888"/>
        <xdr:cNvSpPr/>
      </xdr:nvSpPr>
      <xdr:spPr>
        <a:xfrm>
          <a:off x="115836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20</xdr:row>
      <xdr:rowOff>50673</xdr:rowOff>
    </xdr:from>
    <xdr:to>
      <xdr:col>1</xdr:col>
      <xdr:colOff>536067</xdr:colOff>
      <xdr:row>20</xdr:row>
      <xdr:rowOff>190373</xdr:rowOff>
    </xdr:to>
    <xdr:sp macro="" textlink="">
      <xdr:nvSpPr>
        <xdr:cNvPr id="2890" name="Ellipse 2889"/>
        <xdr:cNvSpPr/>
      </xdr:nvSpPr>
      <xdr:spPr>
        <a:xfrm>
          <a:off x="115836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19</xdr:row>
      <xdr:rowOff>87503</xdr:rowOff>
    </xdr:from>
    <xdr:to>
      <xdr:col>1</xdr:col>
      <xdr:colOff>536067</xdr:colOff>
      <xdr:row>20</xdr:row>
      <xdr:rowOff>36703</xdr:rowOff>
    </xdr:to>
    <xdr:sp macro="" textlink="">
      <xdr:nvSpPr>
        <xdr:cNvPr id="2891" name="Ellipse 2890"/>
        <xdr:cNvSpPr/>
      </xdr:nvSpPr>
      <xdr:spPr>
        <a:xfrm>
          <a:off x="115836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18</xdr:row>
      <xdr:rowOff>133858</xdr:rowOff>
    </xdr:from>
    <xdr:to>
      <xdr:col>1</xdr:col>
      <xdr:colOff>536067</xdr:colOff>
      <xdr:row>19</xdr:row>
      <xdr:rowOff>73533</xdr:rowOff>
    </xdr:to>
    <xdr:sp macro="" textlink="">
      <xdr:nvSpPr>
        <xdr:cNvPr id="2892" name="Ellipse 2891"/>
        <xdr:cNvSpPr/>
      </xdr:nvSpPr>
      <xdr:spPr>
        <a:xfrm>
          <a:off x="115836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170688</xdr:rowOff>
    </xdr:from>
    <xdr:to>
      <xdr:col>1</xdr:col>
      <xdr:colOff>536067</xdr:colOff>
      <xdr:row>18</xdr:row>
      <xdr:rowOff>119888</xdr:rowOff>
    </xdr:to>
    <xdr:sp macro="" textlink="">
      <xdr:nvSpPr>
        <xdr:cNvPr id="2893" name="Ellipse 2892"/>
        <xdr:cNvSpPr/>
      </xdr:nvSpPr>
      <xdr:spPr>
        <a:xfrm>
          <a:off x="115836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17018</xdr:rowOff>
    </xdr:from>
    <xdr:to>
      <xdr:col>1</xdr:col>
      <xdr:colOff>536067</xdr:colOff>
      <xdr:row>17</xdr:row>
      <xdr:rowOff>156718</xdr:rowOff>
    </xdr:to>
    <xdr:sp macro="" textlink="">
      <xdr:nvSpPr>
        <xdr:cNvPr id="2894" name="Ellipse 2893"/>
        <xdr:cNvSpPr/>
      </xdr:nvSpPr>
      <xdr:spPr>
        <a:xfrm>
          <a:off x="115836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26</xdr:row>
      <xdr:rowOff>137033</xdr:rowOff>
    </xdr:from>
    <xdr:to>
      <xdr:col>1</xdr:col>
      <xdr:colOff>689737</xdr:colOff>
      <xdr:row>27</xdr:row>
      <xdr:rowOff>86233</xdr:rowOff>
    </xdr:to>
    <xdr:sp macro="" textlink="">
      <xdr:nvSpPr>
        <xdr:cNvPr id="2895" name="Ellipse 2894"/>
        <xdr:cNvSpPr/>
      </xdr:nvSpPr>
      <xdr:spPr>
        <a:xfrm>
          <a:off x="131203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173863</xdr:rowOff>
    </xdr:from>
    <xdr:to>
      <xdr:col>1</xdr:col>
      <xdr:colOff>689737</xdr:colOff>
      <xdr:row>26</xdr:row>
      <xdr:rowOff>123063</xdr:rowOff>
    </xdr:to>
    <xdr:sp macro="" textlink="">
      <xdr:nvSpPr>
        <xdr:cNvPr id="2896" name="Ellipse 2895"/>
        <xdr:cNvSpPr/>
      </xdr:nvSpPr>
      <xdr:spPr>
        <a:xfrm>
          <a:off x="131203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20193</xdr:rowOff>
    </xdr:from>
    <xdr:to>
      <xdr:col>1</xdr:col>
      <xdr:colOff>689737</xdr:colOff>
      <xdr:row>25</xdr:row>
      <xdr:rowOff>159893</xdr:rowOff>
    </xdr:to>
    <xdr:sp macro="" textlink="">
      <xdr:nvSpPr>
        <xdr:cNvPr id="2897" name="Ellipse 2896"/>
        <xdr:cNvSpPr/>
      </xdr:nvSpPr>
      <xdr:spPr>
        <a:xfrm>
          <a:off x="131203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24</xdr:row>
      <xdr:rowOff>57023</xdr:rowOff>
    </xdr:from>
    <xdr:to>
      <xdr:col>1</xdr:col>
      <xdr:colOff>689737</xdr:colOff>
      <xdr:row>25</xdr:row>
      <xdr:rowOff>6223</xdr:rowOff>
    </xdr:to>
    <xdr:sp macro="" textlink="">
      <xdr:nvSpPr>
        <xdr:cNvPr id="2898" name="Ellipse 2897"/>
        <xdr:cNvSpPr/>
      </xdr:nvSpPr>
      <xdr:spPr>
        <a:xfrm>
          <a:off x="131203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23</xdr:row>
      <xdr:rowOff>93853</xdr:rowOff>
    </xdr:from>
    <xdr:to>
      <xdr:col>1</xdr:col>
      <xdr:colOff>689737</xdr:colOff>
      <xdr:row>24</xdr:row>
      <xdr:rowOff>43053</xdr:rowOff>
    </xdr:to>
    <xdr:sp macro="" textlink="">
      <xdr:nvSpPr>
        <xdr:cNvPr id="2899" name="Ellipse 2898"/>
        <xdr:cNvSpPr/>
      </xdr:nvSpPr>
      <xdr:spPr>
        <a:xfrm>
          <a:off x="131203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22</xdr:row>
      <xdr:rowOff>130683</xdr:rowOff>
    </xdr:from>
    <xdr:to>
      <xdr:col>1</xdr:col>
      <xdr:colOff>689737</xdr:colOff>
      <xdr:row>23</xdr:row>
      <xdr:rowOff>79883</xdr:rowOff>
    </xdr:to>
    <xdr:sp macro="" textlink="">
      <xdr:nvSpPr>
        <xdr:cNvPr id="2900" name="Ellipse 2899"/>
        <xdr:cNvSpPr/>
      </xdr:nvSpPr>
      <xdr:spPr>
        <a:xfrm>
          <a:off x="131203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167513</xdr:rowOff>
    </xdr:from>
    <xdr:to>
      <xdr:col>1</xdr:col>
      <xdr:colOff>689737</xdr:colOff>
      <xdr:row>22</xdr:row>
      <xdr:rowOff>116713</xdr:rowOff>
    </xdr:to>
    <xdr:sp macro="" textlink="">
      <xdr:nvSpPr>
        <xdr:cNvPr id="2901" name="Ellipse 2900"/>
        <xdr:cNvSpPr/>
      </xdr:nvSpPr>
      <xdr:spPr>
        <a:xfrm>
          <a:off x="131203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13843</xdr:rowOff>
    </xdr:from>
    <xdr:to>
      <xdr:col>1</xdr:col>
      <xdr:colOff>689737</xdr:colOff>
      <xdr:row>21</xdr:row>
      <xdr:rowOff>153543</xdr:rowOff>
    </xdr:to>
    <xdr:sp macro="" textlink="">
      <xdr:nvSpPr>
        <xdr:cNvPr id="2902" name="Ellipse 2901"/>
        <xdr:cNvSpPr/>
      </xdr:nvSpPr>
      <xdr:spPr>
        <a:xfrm>
          <a:off x="131203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20</xdr:row>
      <xdr:rowOff>50673</xdr:rowOff>
    </xdr:from>
    <xdr:to>
      <xdr:col>1</xdr:col>
      <xdr:colOff>689737</xdr:colOff>
      <xdr:row>20</xdr:row>
      <xdr:rowOff>190373</xdr:rowOff>
    </xdr:to>
    <xdr:sp macro="" textlink="">
      <xdr:nvSpPr>
        <xdr:cNvPr id="2903" name="Ellipse 2902"/>
        <xdr:cNvSpPr/>
      </xdr:nvSpPr>
      <xdr:spPr>
        <a:xfrm>
          <a:off x="131203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19</xdr:row>
      <xdr:rowOff>87503</xdr:rowOff>
    </xdr:from>
    <xdr:to>
      <xdr:col>1</xdr:col>
      <xdr:colOff>689737</xdr:colOff>
      <xdr:row>20</xdr:row>
      <xdr:rowOff>36703</xdr:rowOff>
    </xdr:to>
    <xdr:sp macro="" textlink="">
      <xdr:nvSpPr>
        <xdr:cNvPr id="2904" name="Ellipse 2903"/>
        <xdr:cNvSpPr/>
      </xdr:nvSpPr>
      <xdr:spPr>
        <a:xfrm>
          <a:off x="131203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18</xdr:row>
      <xdr:rowOff>133858</xdr:rowOff>
    </xdr:from>
    <xdr:to>
      <xdr:col>1</xdr:col>
      <xdr:colOff>689737</xdr:colOff>
      <xdr:row>19</xdr:row>
      <xdr:rowOff>73533</xdr:rowOff>
    </xdr:to>
    <xdr:sp macro="" textlink="">
      <xdr:nvSpPr>
        <xdr:cNvPr id="2905" name="Ellipse 2904"/>
        <xdr:cNvSpPr/>
      </xdr:nvSpPr>
      <xdr:spPr>
        <a:xfrm>
          <a:off x="131203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170688</xdr:rowOff>
    </xdr:from>
    <xdr:to>
      <xdr:col>1</xdr:col>
      <xdr:colOff>689737</xdr:colOff>
      <xdr:row>18</xdr:row>
      <xdr:rowOff>119888</xdr:rowOff>
    </xdr:to>
    <xdr:sp macro="" textlink="">
      <xdr:nvSpPr>
        <xdr:cNvPr id="2906" name="Ellipse 2905"/>
        <xdr:cNvSpPr/>
      </xdr:nvSpPr>
      <xdr:spPr>
        <a:xfrm>
          <a:off x="131203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17018</xdr:rowOff>
    </xdr:from>
    <xdr:to>
      <xdr:col>1</xdr:col>
      <xdr:colOff>689737</xdr:colOff>
      <xdr:row>17</xdr:row>
      <xdr:rowOff>156718</xdr:rowOff>
    </xdr:to>
    <xdr:sp macro="" textlink="">
      <xdr:nvSpPr>
        <xdr:cNvPr id="2907" name="Ellipse 2906"/>
        <xdr:cNvSpPr/>
      </xdr:nvSpPr>
      <xdr:spPr>
        <a:xfrm>
          <a:off x="131203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703707</xdr:colOff>
      <xdr:row>26</xdr:row>
      <xdr:rowOff>137033</xdr:rowOff>
    </xdr:from>
    <xdr:to>
      <xdr:col>1</xdr:col>
      <xdr:colOff>843407</xdr:colOff>
      <xdr:row>27</xdr:row>
      <xdr:rowOff>86233</xdr:rowOff>
    </xdr:to>
    <xdr:sp macro="" textlink="">
      <xdr:nvSpPr>
        <xdr:cNvPr id="2908" name="Ellipse 2907"/>
        <xdr:cNvSpPr/>
      </xdr:nvSpPr>
      <xdr:spPr>
        <a:xfrm>
          <a:off x="146570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1</xdr:col>
      <xdr:colOff>809054</xdr:colOff>
      <xdr:row>25</xdr:row>
      <xdr:rowOff>41529</xdr:rowOff>
    </xdr:from>
    <xdr:to>
      <xdr:col>1</xdr:col>
      <xdr:colOff>809054</xdr:colOff>
      <xdr:row>27</xdr:row>
      <xdr:rowOff>130175</xdr:rowOff>
    </xdr:to>
    <xdr:cxnSp macro="">
      <xdr:nvCxnSpPr>
        <xdr:cNvPr id="11828" name="Connecteur droit 11827"/>
        <xdr:cNvCxnSpPr/>
      </xdr:nvCxnSpPr>
      <xdr:spPr>
        <a:xfrm>
          <a:off x="1409129" y="6070854"/>
          <a:ext cx="0" cy="46964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557593</xdr:colOff>
      <xdr:row>25</xdr:row>
      <xdr:rowOff>41529</xdr:rowOff>
    </xdr:from>
    <xdr:to>
      <xdr:col>1</xdr:col>
      <xdr:colOff>809054</xdr:colOff>
      <xdr:row>25</xdr:row>
      <xdr:rowOff>41529</xdr:rowOff>
    </xdr:to>
    <xdr:cxnSp macro="">
      <xdr:nvCxnSpPr>
        <xdr:cNvPr id="11829" name="Connecteur droit 11828"/>
        <xdr:cNvCxnSpPr/>
      </xdr:nvCxnSpPr>
      <xdr:spPr>
        <a:xfrm>
          <a:off x="1157668" y="6070854"/>
          <a:ext cx="25146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809625</xdr:colOff>
      <xdr:row>16</xdr:row>
      <xdr:rowOff>130175</xdr:rowOff>
    </xdr:from>
    <xdr:to>
      <xdr:col>1</xdr:col>
      <xdr:colOff>809625</xdr:colOff>
      <xdr:row>25</xdr:row>
      <xdr:rowOff>41529</xdr:rowOff>
    </xdr:to>
    <xdr:cxnSp macro="">
      <xdr:nvCxnSpPr>
        <xdr:cNvPr id="11830" name="Connecteur droit 11829"/>
        <xdr:cNvCxnSpPr/>
      </xdr:nvCxnSpPr>
      <xdr:spPr>
        <a:xfrm flipV="1">
          <a:off x="1409700" y="4445000"/>
          <a:ext cx="0" cy="162585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25</xdr:row>
      <xdr:rowOff>66929</xdr:rowOff>
    </xdr:from>
    <xdr:to>
      <xdr:col>1</xdr:col>
      <xdr:colOff>809625</xdr:colOff>
      <xdr:row>25</xdr:row>
      <xdr:rowOff>66929</xdr:rowOff>
    </xdr:to>
    <xdr:cxnSp macro="">
      <xdr:nvCxnSpPr>
        <xdr:cNvPr id="11831" name="Connecteur droit 11830"/>
        <xdr:cNvCxnSpPr/>
      </xdr:nvCxnSpPr>
      <xdr:spPr>
        <a:xfrm>
          <a:off x="1143000" y="6096254"/>
          <a:ext cx="2667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130175</xdr:rowOff>
    </xdr:from>
    <xdr:to>
      <xdr:col>1</xdr:col>
      <xdr:colOff>809625</xdr:colOff>
      <xdr:row>28</xdr:row>
      <xdr:rowOff>130175</xdr:rowOff>
    </xdr:to>
    <xdr:cxnSp macro="">
      <xdr:nvCxnSpPr>
        <xdr:cNvPr id="11832" name="Connecteur droit 11831"/>
        <xdr:cNvCxnSpPr/>
      </xdr:nvCxnSpPr>
      <xdr:spPr>
        <a:xfrm>
          <a:off x="1143000" y="6731000"/>
          <a:ext cx="2667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130175</xdr:rowOff>
    </xdr:from>
    <xdr:ext cx="1727200" cy="264560"/>
    <xdr:sp macro="" textlink="">
      <xdr:nvSpPr>
        <xdr:cNvPr id="11833" name="ZoneTexte 11832"/>
        <xdr:cNvSpPr txBox="1"/>
      </xdr:nvSpPr>
      <xdr:spPr>
        <a:xfrm>
          <a:off x="1270000" y="6540500"/>
          <a:ext cx="17272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127</a:t>
          </a:r>
        </a:p>
      </xdr:txBody>
    </xdr:sp>
    <xdr:clientData/>
  </xdr:oneCellAnchor>
  <xdr:twoCellAnchor>
    <xdr:from>
      <xdr:col>1</xdr:col>
      <xdr:colOff>352425</xdr:colOff>
      <xdr:row>25</xdr:row>
      <xdr:rowOff>66929</xdr:rowOff>
    </xdr:from>
    <xdr:to>
      <xdr:col>1</xdr:col>
      <xdr:colOff>352425</xdr:colOff>
      <xdr:row>27</xdr:row>
      <xdr:rowOff>130175</xdr:rowOff>
    </xdr:to>
    <xdr:cxnSp macro="">
      <xdr:nvCxnSpPr>
        <xdr:cNvPr id="11834" name="Connecteur droit 11833"/>
        <xdr:cNvCxnSpPr/>
      </xdr:nvCxnSpPr>
      <xdr:spPr>
        <a:xfrm flipV="1">
          <a:off x="952500" y="6096254"/>
          <a:ext cx="0" cy="44424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25</xdr:row>
      <xdr:rowOff>130429</xdr:rowOff>
    </xdr:from>
    <xdr:ext cx="356893" cy="635000"/>
    <xdr:sp macro="" textlink="">
      <xdr:nvSpPr>
        <xdr:cNvPr id="11835" name="ZoneTexte 11834"/>
        <xdr:cNvSpPr txBox="1"/>
      </xdr:nvSpPr>
      <xdr:spPr>
        <a:xfrm>
          <a:off x="889000" y="615975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212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130175</xdr:rowOff>
    </xdr:to>
    <xdr:sp macro="" textlink="">
      <xdr:nvSpPr>
        <xdr:cNvPr id="11836" name="Rectangle 11835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11837" name="Connecteur droit 11836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1838" name="ZoneTexte 11837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130175</xdr:rowOff>
    </xdr:to>
    <xdr:cxnSp macro="">
      <xdr:nvCxnSpPr>
        <xdr:cNvPr id="11839" name="Connecteur droit 11838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66675</xdr:rowOff>
    </xdr:from>
    <xdr:ext cx="356893" cy="635000"/>
    <xdr:sp macro="" textlink="">
      <xdr:nvSpPr>
        <xdr:cNvPr id="11840" name="ZoneTexte 11839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1000</a:t>
          </a:r>
        </a:p>
      </xdr:txBody>
    </xdr:sp>
    <xdr:clientData/>
  </xdr:oneCellAnchor>
  <xdr:twoCellAnchor>
    <xdr:from>
      <xdr:col>1</xdr:col>
      <xdr:colOff>565976</xdr:colOff>
      <xdr:row>26</xdr:row>
      <xdr:rowOff>109029</xdr:rowOff>
    </xdr:from>
    <xdr:to>
      <xdr:col>1</xdr:col>
      <xdr:colOff>775526</xdr:colOff>
      <xdr:row>27</xdr:row>
      <xdr:rowOff>107124</xdr:rowOff>
    </xdr:to>
    <xdr:sp macro="" textlink="">
      <xdr:nvSpPr>
        <xdr:cNvPr id="11841" name="Rectangle 11840"/>
        <xdr:cNvSpPr/>
      </xdr:nvSpPr>
      <xdr:spPr>
        <a:xfrm>
          <a:off x="1166051" y="6328854"/>
          <a:ext cx="209550" cy="1885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565976</xdr:colOff>
      <xdr:row>25</xdr:row>
      <xdr:rowOff>89979</xdr:rowOff>
    </xdr:from>
    <xdr:to>
      <xdr:col>1</xdr:col>
      <xdr:colOff>775526</xdr:colOff>
      <xdr:row>26</xdr:row>
      <xdr:rowOff>88074</xdr:rowOff>
    </xdr:to>
    <xdr:sp macro="" textlink="">
      <xdr:nvSpPr>
        <xdr:cNvPr id="11842" name="Rectangle 11841"/>
        <xdr:cNvSpPr/>
      </xdr:nvSpPr>
      <xdr:spPr>
        <a:xfrm>
          <a:off x="1166051" y="6119304"/>
          <a:ext cx="209550" cy="18859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266141</xdr:colOff>
      <xdr:row>26</xdr:row>
      <xdr:rowOff>58394</xdr:rowOff>
    </xdr:from>
    <xdr:to>
      <xdr:col>1</xdr:col>
      <xdr:colOff>266141</xdr:colOff>
      <xdr:row>27</xdr:row>
      <xdr:rowOff>53975</xdr:rowOff>
    </xdr:to>
    <xdr:cxnSp macro="">
      <xdr:nvCxnSpPr>
        <xdr:cNvPr id="10095" name="Connecteur droit 10094"/>
        <xdr:cNvCxnSpPr/>
      </xdr:nvCxnSpPr>
      <xdr:spPr>
        <a:xfrm>
          <a:off x="1590116" y="5935319"/>
          <a:ext cx="0" cy="186081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1231772</xdr:colOff>
      <xdr:row>26</xdr:row>
      <xdr:rowOff>58394</xdr:rowOff>
    </xdr:from>
    <xdr:to>
      <xdr:col>1</xdr:col>
      <xdr:colOff>266141</xdr:colOff>
      <xdr:row>26</xdr:row>
      <xdr:rowOff>58394</xdr:rowOff>
    </xdr:to>
    <xdr:cxnSp macro="">
      <xdr:nvCxnSpPr>
        <xdr:cNvPr id="10096" name="Connecteur droit 10095"/>
        <xdr:cNvCxnSpPr/>
      </xdr:nvCxnSpPr>
      <xdr:spPr>
        <a:xfrm>
          <a:off x="1231772" y="5935319"/>
          <a:ext cx="35834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1231772</xdr:colOff>
      <xdr:row>18</xdr:row>
      <xdr:rowOff>92075</xdr:rowOff>
    </xdr:from>
    <xdr:to>
      <xdr:col>0</xdr:col>
      <xdr:colOff>1231772</xdr:colOff>
      <xdr:row>26</xdr:row>
      <xdr:rowOff>58394</xdr:rowOff>
    </xdr:to>
    <xdr:cxnSp macro="">
      <xdr:nvCxnSpPr>
        <xdr:cNvPr id="10097" name="Connecteur droit 10096"/>
        <xdr:cNvCxnSpPr/>
      </xdr:nvCxnSpPr>
      <xdr:spPr>
        <a:xfrm flipV="1">
          <a:off x="1231772" y="4445000"/>
          <a:ext cx="0" cy="1490319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53975</xdr:rowOff>
    </xdr:from>
    <xdr:to>
      <xdr:col>1</xdr:col>
      <xdr:colOff>266141</xdr:colOff>
      <xdr:row>28</xdr:row>
      <xdr:rowOff>53975</xdr:rowOff>
    </xdr:to>
    <xdr:cxnSp macro="">
      <xdr:nvCxnSpPr>
        <xdr:cNvPr id="10098" name="Connecteur droit 10097"/>
        <xdr:cNvCxnSpPr/>
      </xdr:nvCxnSpPr>
      <xdr:spPr>
        <a:xfrm>
          <a:off x="508000" y="6311900"/>
          <a:ext cx="1082116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53975</xdr:rowOff>
    </xdr:from>
    <xdr:ext cx="1907616" cy="264560"/>
    <xdr:sp macro="" textlink="">
      <xdr:nvSpPr>
        <xdr:cNvPr id="10099" name="ZoneTexte 10098"/>
        <xdr:cNvSpPr txBox="1"/>
      </xdr:nvSpPr>
      <xdr:spPr>
        <a:xfrm>
          <a:off x="635000" y="6121400"/>
          <a:ext cx="190761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1291</a:t>
          </a:r>
        </a:p>
      </xdr:txBody>
    </xdr:sp>
    <xdr:clientData/>
  </xdr:oneCellAnchor>
  <xdr:twoCellAnchor>
    <xdr:from>
      <xdr:col>0</xdr:col>
      <xdr:colOff>317500</xdr:colOff>
      <xdr:row>18</xdr:row>
      <xdr:rowOff>92075</xdr:rowOff>
    </xdr:from>
    <xdr:to>
      <xdr:col>0</xdr:col>
      <xdr:colOff>317500</xdr:colOff>
      <xdr:row>27</xdr:row>
      <xdr:rowOff>53975</xdr:rowOff>
    </xdr:to>
    <xdr:cxnSp macro="">
      <xdr:nvCxnSpPr>
        <xdr:cNvPr id="10100" name="Connecteur droit 10099"/>
        <xdr:cNvCxnSpPr/>
      </xdr:nvCxnSpPr>
      <xdr:spPr>
        <a:xfrm flipV="1">
          <a:off x="3175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18</xdr:row>
      <xdr:rowOff>155575</xdr:rowOff>
    </xdr:from>
    <xdr:ext cx="356893" cy="635000"/>
    <xdr:sp macro="" textlink="">
      <xdr:nvSpPr>
        <xdr:cNvPr id="10101" name="ZoneTexte 10100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1902</a:t>
          </a:r>
        </a:p>
      </xdr:txBody>
    </xdr:sp>
    <xdr:clientData/>
  </xdr:oneCellAnchor>
  <xdr:twoCellAnchor>
    <xdr:from>
      <xdr:col>0</xdr:col>
      <xdr:colOff>508000</xdr:colOff>
      <xdr:row>18</xdr:row>
      <xdr:rowOff>92075</xdr:rowOff>
    </xdr:from>
    <xdr:to>
      <xdr:col>3</xdr:col>
      <xdr:colOff>717550</xdr:colOff>
      <xdr:row>27</xdr:row>
      <xdr:rowOff>53975</xdr:rowOff>
    </xdr:to>
    <xdr:sp macro="" textlink="">
      <xdr:nvSpPr>
        <xdr:cNvPr id="10102" name="Rectangle 10101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155575</xdr:rowOff>
    </xdr:from>
    <xdr:to>
      <xdr:col>3</xdr:col>
      <xdr:colOff>717550</xdr:colOff>
      <xdr:row>17</xdr:row>
      <xdr:rowOff>155575</xdr:rowOff>
    </xdr:to>
    <xdr:cxnSp macro="">
      <xdr:nvCxnSpPr>
        <xdr:cNvPr id="10103" name="Connecteur droit 10102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155575</xdr:rowOff>
    </xdr:from>
    <xdr:ext cx="5016500" cy="264560"/>
    <xdr:sp macro="" textlink="">
      <xdr:nvSpPr>
        <xdr:cNvPr id="10104" name="ZoneTexte 10103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18</xdr:row>
      <xdr:rowOff>92075</xdr:rowOff>
    </xdr:from>
    <xdr:to>
      <xdr:col>3</xdr:col>
      <xdr:colOff>844550</xdr:colOff>
      <xdr:row>27</xdr:row>
      <xdr:rowOff>53975</xdr:rowOff>
    </xdr:to>
    <xdr:cxnSp macro="">
      <xdr:nvCxnSpPr>
        <xdr:cNvPr id="10105" name="Connecteur droit 10104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20</xdr:row>
      <xdr:rowOff>28575</xdr:rowOff>
    </xdr:from>
    <xdr:ext cx="356893" cy="635000"/>
    <xdr:sp macro="" textlink="">
      <xdr:nvSpPr>
        <xdr:cNvPr id="10106" name="ZoneTexte 10105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26</xdr:row>
      <xdr:rowOff>67615</xdr:rowOff>
    </xdr:from>
    <xdr:to>
      <xdr:col>0</xdr:col>
      <xdr:colOff>852500</xdr:colOff>
      <xdr:row>27</xdr:row>
      <xdr:rowOff>44755</xdr:rowOff>
    </xdr:to>
    <xdr:sp macro="" textlink="">
      <xdr:nvSpPr>
        <xdr:cNvPr id="10107" name="Triangle rectangle 10106"/>
        <xdr:cNvSpPr/>
      </xdr:nvSpPr>
      <xdr:spPr>
        <a:xfrm>
          <a:off x="5172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26</xdr:row>
      <xdr:rowOff>67615</xdr:rowOff>
    </xdr:from>
    <xdr:to>
      <xdr:col>0</xdr:col>
      <xdr:colOff>863600</xdr:colOff>
      <xdr:row>27</xdr:row>
      <xdr:rowOff>44755</xdr:rowOff>
    </xdr:to>
    <xdr:sp macro="" textlink="">
      <xdr:nvSpPr>
        <xdr:cNvPr id="10108" name="Triangle rectangle 10107"/>
        <xdr:cNvSpPr/>
      </xdr:nvSpPr>
      <xdr:spPr>
        <a:xfrm rot="10800000">
          <a:off x="5283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25</xdr:row>
      <xdr:rowOff>82093</xdr:rowOff>
    </xdr:from>
    <xdr:to>
      <xdr:col>0</xdr:col>
      <xdr:colOff>852500</xdr:colOff>
      <xdr:row>26</xdr:row>
      <xdr:rowOff>59233</xdr:rowOff>
    </xdr:to>
    <xdr:sp macro="" textlink="">
      <xdr:nvSpPr>
        <xdr:cNvPr id="10109" name="Triangle rectangle 10108"/>
        <xdr:cNvSpPr/>
      </xdr:nvSpPr>
      <xdr:spPr>
        <a:xfrm>
          <a:off x="5172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25</xdr:row>
      <xdr:rowOff>82093</xdr:rowOff>
    </xdr:from>
    <xdr:to>
      <xdr:col>0</xdr:col>
      <xdr:colOff>863600</xdr:colOff>
      <xdr:row>26</xdr:row>
      <xdr:rowOff>59233</xdr:rowOff>
    </xdr:to>
    <xdr:sp macro="" textlink="">
      <xdr:nvSpPr>
        <xdr:cNvPr id="10110" name="Triangle rectangle 10109"/>
        <xdr:cNvSpPr/>
      </xdr:nvSpPr>
      <xdr:spPr>
        <a:xfrm rot="10800000">
          <a:off x="5283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24</xdr:row>
      <xdr:rowOff>96571</xdr:rowOff>
    </xdr:from>
    <xdr:to>
      <xdr:col>0</xdr:col>
      <xdr:colOff>852500</xdr:colOff>
      <xdr:row>25</xdr:row>
      <xdr:rowOff>73711</xdr:rowOff>
    </xdr:to>
    <xdr:sp macro="" textlink="">
      <xdr:nvSpPr>
        <xdr:cNvPr id="10111" name="Triangle rectangle 10110"/>
        <xdr:cNvSpPr/>
      </xdr:nvSpPr>
      <xdr:spPr>
        <a:xfrm>
          <a:off x="5172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24</xdr:row>
      <xdr:rowOff>96571</xdr:rowOff>
    </xdr:from>
    <xdr:to>
      <xdr:col>0</xdr:col>
      <xdr:colOff>863600</xdr:colOff>
      <xdr:row>25</xdr:row>
      <xdr:rowOff>73711</xdr:rowOff>
    </xdr:to>
    <xdr:sp macro="" textlink="">
      <xdr:nvSpPr>
        <xdr:cNvPr id="10112" name="Triangle rectangle 10111"/>
        <xdr:cNvSpPr/>
      </xdr:nvSpPr>
      <xdr:spPr>
        <a:xfrm rot="10800000">
          <a:off x="5283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23</xdr:row>
      <xdr:rowOff>111049</xdr:rowOff>
    </xdr:from>
    <xdr:to>
      <xdr:col>0</xdr:col>
      <xdr:colOff>852500</xdr:colOff>
      <xdr:row>24</xdr:row>
      <xdr:rowOff>88189</xdr:rowOff>
    </xdr:to>
    <xdr:sp macro="" textlink="">
      <xdr:nvSpPr>
        <xdr:cNvPr id="10113" name="Triangle rectangle 10112"/>
        <xdr:cNvSpPr/>
      </xdr:nvSpPr>
      <xdr:spPr>
        <a:xfrm>
          <a:off x="5172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23</xdr:row>
      <xdr:rowOff>111049</xdr:rowOff>
    </xdr:from>
    <xdr:to>
      <xdr:col>0</xdr:col>
      <xdr:colOff>863600</xdr:colOff>
      <xdr:row>24</xdr:row>
      <xdr:rowOff>88189</xdr:rowOff>
    </xdr:to>
    <xdr:sp macro="" textlink="">
      <xdr:nvSpPr>
        <xdr:cNvPr id="10114" name="Triangle rectangle 10113"/>
        <xdr:cNvSpPr/>
      </xdr:nvSpPr>
      <xdr:spPr>
        <a:xfrm rot="10800000">
          <a:off x="5283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22</xdr:row>
      <xdr:rowOff>125527</xdr:rowOff>
    </xdr:from>
    <xdr:to>
      <xdr:col>0</xdr:col>
      <xdr:colOff>852500</xdr:colOff>
      <xdr:row>23</xdr:row>
      <xdr:rowOff>102667</xdr:rowOff>
    </xdr:to>
    <xdr:sp macro="" textlink="">
      <xdr:nvSpPr>
        <xdr:cNvPr id="10115" name="Triangle rectangle 10114"/>
        <xdr:cNvSpPr/>
      </xdr:nvSpPr>
      <xdr:spPr>
        <a:xfrm>
          <a:off x="5172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22</xdr:row>
      <xdr:rowOff>125527</xdr:rowOff>
    </xdr:from>
    <xdr:to>
      <xdr:col>0</xdr:col>
      <xdr:colOff>863600</xdr:colOff>
      <xdr:row>23</xdr:row>
      <xdr:rowOff>102667</xdr:rowOff>
    </xdr:to>
    <xdr:sp macro="" textlink="">
      <xdr:nvSpPr>
        <xdr:cNvPr id="10116" name="Triangle rectangle 10115"/>
        <xdr:cNvSpPr/>
      </xdr:nvSpPr>
      <xdr:spPr>
        <a:xfrm rot="10800000">
          <a:off x="5283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21</xdr:row>
      <xdr:rowOff>140005</xdr:rowOff>
    </xdr:from>
    <xdr:to>
      <xdr:col>0</xdr:col>
      <xdr:colOff>852500</xdr:colOff>
      <xdr:row>22</xdr:row>
      <xdr:rowOff>117145</xdr:rowOff>
    </xdr:to>
    <xdr:sp macro="" textlink="">
      <xdr:nvSpPr>
        <xdr:cNvPr id="10117" name="Triangle rectangle 10116"/>
        <xdr:cNvSpPr/>
      </xdr:nvSpPr>
      <xdr:spPr>
        <a:xfrm>
          <a:off x="5172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21</xdr:row>
      <xdr:rowOff>140005</xdr:rowOff>
    </xdr:from>
    <xdr:to>
      <xdr:col>0</xdr:col>
      <xdr:colOff>863600</xdr:colOff>
      <xdr:row>22</xdr:row>
      <xdr:rowOff>117145</xdr:rowOff>
    </xdr:to>
    <xdr:sp macro="" textlink="">
      <xdr:nvSpPr>
        <xdr:cNvPr id="10118" name="Triangle rectangle 10117"/>
        <xdr:cNvSpPr/>
      </xdr:nvSpPr>
      <xdr:spPr>
        <a:xfrm rot="10800000">
          <a:off x="5283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20</xdr:row>
      <xdr:rowOff>154483</xdr:rowOff>
    </xdr:from>
    <xdr:to>
      <xdr:col>0</xdr:col>
      <xdr:colOff>852500</xdr:colOff>
      <xdr:row>21</xdr:row>
      <xdr:rowOff>131623</xdr:rowOff>
    </xdr:to>
    <xdr:sp macro="" textlink="">
      <xdr:nvSpPr>
        <xdr:cNvPr id="10119" name="Triangle rectangle 10118"/>
        <xdr:cNvSpPr/>
      </xdr:nvSpPr>
      <xdr:spPr>
        <a:xfrm>
          <a:off x="5172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20</xdr:row>
      <xdr:rowOff>154483</xdr:rowOff>
    </xdr:from>
    <xdr:to>
      <xdr:col>0</xdr:col>
      <xdr:colOff>863600</xdr:colOff>
      <xdr:row>21</xdr:row>
      <xdr:rowOff>131623</xdr:rowOff>
    </xdr:to>
    <xdr:sp macro="" textlink="">
      <xdr:nvSpPr>
        <xdr:cNvPr id="10120" name="Triangle rectangle 10119"/>
        <xdr:cNvSpPr/>
      </xdr:nvSpPr>
      <xdr:spPr>
        <a:xfrm rot="10800000">
          <a:off x="5283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19</xdr:row>
      <xdr:rowOff>168961</xdr:rowOff>
    </xdr:from>
    <xdr:to>
      <xdr:col>0</xdr:col>
      <xdr:colOff>852500</xdr:colOff>
      <xdr:row>20</xdr:row>
      <xdr:rowOff>146101</xdr:rowOff>
    </xdr:to>
    <xdr:sp macro="" textlink="">
      <xdr:nvSpPr>
        <xdr:cNvPr id="10121" name="Triangle rectangle 10120"/>
        <xdr:cNvSpPr/>
      </xdr:nvSpPr>
      <xdr:spPr>
        <a:xfrm>
          <a:off x="5172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19</xdr:row>
      <xdr:rowOff>168961</xdr:rowOff>
    </xdr:from>
    <xdr:to>
      <xdr:col>0</xdr:col>
      <xdr:colOff>863600</xdr:colOff>
      <xdr:row>20</xdr:row>
      <xdr:rowOff>146101</xdr:rowOff>
    </xdr:to>
    <xdr:sp macro="" textlink="">
      <xdr:nvSpPr>
        <xdr:cNvPr id="10122" name="Triangle rectangle 10121"/>
        <xdr:cNvSpPr/>
      </xdr:nvSpPr>
      <xdr:spPr>
        <a:xfrm rot="10800000">
          <a:off x="5283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18</xdr:row>
      <xdr:rowOff>183439</xdr:rowOff>
    </xdr:from>
    <xdr:to>
      <xdr:col>0</xdr:col>
      <xdr:colOff>852500</xdr:colOff>
      <xdr:row>19</xdr:row>
      <xdr:rowOff>160579</xdr:rowOff>
    </xdr:to>
    <xdr:sp macro="" textlink="">
      <xdr:nvSpPr>
        <xdr:cNvPr id="10123" name="Triangle rectangle 10122"/>
        <xdr:cNvSpPr/>
      </xdr:nvSpPr>
      <xdr:spPr>
        <a:xfrm>
          <a:off x="5172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18</xdr:row>
      <xdr:rowOff>183439</xdr:rowOff>
    </xdr:from>
    <xdr:to>
      <xdr:col>0</xdr:col>
      <xdr:colOff>863600</xdr:colOff>
      <xdr:row>19</xdr:row>
      <xdr:rowOff>160579</xdr:rowOff>
    </xdr:to>
    <xdr:sp macro="" textlink="">
      <xdr:nvSpPr>
        <xdr:cNvPr id="10124" name="Triangle rectangle 10123"/>
        <xdr:cNvSpPr/>
      </xdr:nvSpPr>
      <xdr:spPr>
        <a:xfrm rot="10800000">
          <a:off x="5283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26</xdr:row>
      <xdr:rowOff>67615</xdr:rowOff>
    </xdr:from>
    <xdr:to>
      <xdr:col>0</xdr:col>
      <xdr:colOff>1200353</xdr:colOff>
      <xdr:row>27</xdr:row>
      <xdr:rowOff>44755</xdr:rowOff>
    </xdr:to>
    <xdr:sp macro="" textlink="">
      <xdr:nvSpPr>
        <xdr:cNvPr id="10125" name="Triangle rectangle 10124"/>
        <xdr:cNvSpPr/>
      </xdr:nvSpPr>
      <xdr:spPr>
        <a:xfrm>
          <a:off x="8650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26</xdr:row>
      <xdr:rowOff>67615</xdr:rowOff>
    </xdr:from>
    <xdr:to>
      <xdr:col>0</xdr:col>
      <xdr:colOff>1211453</xdr:colOff>
      <xdr:row>27</xdr:row>
      <xdr:rowOff>44755</xdr:rowOff>
    </xdr:to>
    <xdr:sp macro="" textlink="">
      <xdr:nvSpPr>
        <xdr:cNvPr id="10126" name="Triangle rectangle 10125"/>
        <xdr:cNvSpPr/>
      </xdr:nvSpPr>
      <xdr:spPr>
        <a:xfrm rot="10800000">
          <a:off x="8761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25</xdr:row>
      <xdr:rowOff>82093</xdr:rowOff>
    </xdr:from>
    <xdr:to>
      <xdr:col>0</xdr:col>
      <xdr:colOff>1200353</xdr:colOff>
      <xdr:row>26</xdr:row>
      <xdr:rowOff>59233</xdr:rowOff>
    </xdr:to>
    <xdr:sp macro="" textlink="">
      <xdr:nvSpPr>
        <xdr:cNvPr id="10127" name="Triangle rectangle 10126"/>
        <xdr:cNvSpPr/>
      </xdr:nvSpPr>
      <xdr:spPr>
        <a:xfrm>
          <a:off x="8650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25</xdr:row>
      <xdr:rowOff>82093</xdr:rowOff>
    </xdr:from>
    <xdr:to>
      <xdr:col>0</xdr:col>
      <xdr:colOff>1211453</xdr:colOff>
      <xdr:row>26</xdr:row>
      <xdr:rowOff>59233</xdr:rowOff>
    </xdr:to>
    <xdr:sp macro="" textlink="">
      <xdr:nvSpPr>
        <xdr:cNvPr id="10128" name="Triangle rectangle 10127"/>
        <xdr:cNvSpPr/>
      </xdr:nvSpPr>
      <xdr:spPr>
        <a:xfrm rot="10800000">
          <a:off x="8761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24</xdr:row>
      <xdr:rowOff>96571</xdr:rowOff>
    </xdr:from>
    <xdr:to>
      <xdr:col>0</xdr:col>
      <xdr:colOff>1200353</xdr:colOff>
      <xdr:row>25</xdr:row>
      <xdr:rowOff>73711</xdr:rowOff>
    </xdr:to>
    <xdr:sp macro="" textlink="">
      <xdr:nvSpPr>
        <xdr:cNvPr id="10129" name="Triangle rectangle 10128"/>
        <xdr:cNvSpPr/>
      </xdr:nvSpPr>
      <xdr:spPr>
        <a:xfrm>
          <a:off x="8650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24</xdr:row>
      <xdr:rowOff>96571</xdr:rowOff>
    </xdr:from>
    <xdr:to>
      <xdr:col>0</xdr:col>
      <xdr:colOff>1211453</xdr:colOff>
      <xdr:row>25</xdr:row>
      <xdr:rowOff>73711</xdr:rowOff>
    </xdr:to>
    <xdr:sp macro="" textlink="">
      <xdr:nvSpPr>
        <xdr:cNvPr id="10130" name="Triangle rectangle 10129"/>
        <xdr:cNvSpPr/>
      </xdr:nvSpPr>
      <xdr:spPr>
        <a:xfrm rot="10800000">
          <a:off x="8761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23</xdr:row>
      <xdr:rowOff>111049</xdr:rowOff>
    </xdr:from>
    <xdr:to>
      <xdr:col>0</xdr:col>
      <xdr:colOff>1200353</xdr:colOff>
      <xdr:row>24</xdr:row>
      <xdr:rowOff>88189</xdr:rowOff>
    </xdr:to>
    <xdr:sp macro="" textlink="">
      <xdr:nvSpPr>
        <xdr:cNvPr id="10131" name="Triangle rectangle 10130"/>
        <xdr:cNvSpPr/>
      </xdr:nvSpPr>
      <xdr:spPr>
        <a:xfrm>
          <a:off x="8650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23</xdr:row>
      <xdr:rowOff>111049</xdr:rowOff>
    </xdr:from>
    <xdr:to>
      <xdr:col>0</xdr:col>
      <xdr:colOff>1211453</xdr:colOff>
      <xdr:row>24</xdr:row>
      <xdr:rowOff>88189</xdr:rowOff>
    </xdr:to>
    <xdr:sp macro="" textlink="">
      <xdr:nvSpPr>
        <xdr:cNvPr id="10132" name="Triangle rectangle 10131"/>
        <xdr:cNvSpPr/>
      </xdr:nvSpPr>
      <xdr:spPr>
        <a:xfrm rot="10800000">
          <a:off x="8761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22</xdr:row>
      <xdr:rowOff>125527</xdr:rowOff>
    </xdr:from>
    <xdr:to>
      <xdr:col>0</xdr:col>
      <xdr:colOff>1200353</xdr:colOff>
      <xdr:row>23</xdr:row>
      <xdr:rowOff>102667</xdr:rowOff>
    </xdr:to>
    <xdr:sp macro="" textlink="">
      <xdr:nvSpPr>
        <xdr:cNvPr id="10133" name="Triangle rectangle 10132"/>
        <xdr:cNvSpPr/>
      </xdr:nvSpPr>
      <xdr:spPr>
        <a:xfrm>
          <a:off x="8650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22</xdr:row>
      <xdr:rowOff>125527</xdr:rowOff>
    </xdr:from>
    <xdr:to>
      <xdr:col>0</xdr:col>
      <xdr:colOff>1211453</xdr:colOff>
      <xdr:row>23</xdr:row>
      <xdr:rowOff>102667</xdr:rowOff>
    </xdr:to>
    <xdr:sp macro="" textlink="">
      <xdr:nvSpPr>
        <xdr:cNvPr id="10134" name="Triangle rectangle 10133"/>
        <xdr:cNvSpPr/>
      </xdr:nvSpPr>
      <xdr:spPr>
        <a:xfrm rot="10800000">
          <a:off x="8761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21</xdr:row>
      <xdr:rowOff>140005</xdr:rowOff>
    </xdr:from>
    <xdr:to>
      <xdr:col>0</xdr:col>
      <xdr:colOff>1200353</xdr:colOff>
      <xdr:row>22</xdr:row>
      <xdr:rowOff>117145</xdr:rowOff>
    </xdr:to>
    <xdr:sp macro="" textlink="">
      <xdr:nvSpPr>
        <xdr:cNvPr id="10135" name="Triangle rectangle 10134"/>
        <xdr:cNvSpPr/>
      </xdr:nvSpPr>
      <xdr:spPr>
        <a:xfrm>
          <a:off x="8650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21</xdr:row>
      <xdr:rowOff>140005</xdr:rowOff>
    </xdr:from>
    <xdr:to>
      <xdr:col>0</xdr:col>
      <xdr:colOff>1211453</xdr:colOff>
      <xdr:row>22</xdr:row>
      <xdr:rowOff>117145</xdr:rowOff>
    </xdr:to>
    <xdr:sp macro="" textlink="">
      <xdr:nvSpPr>
        <xdr:cNvPr id="10136" name="Triangle rectangle 10135"/>
        <xdr:cNvSpPr/>
      </xdr:nvSpPr>
      <xdr:spPr>
        <a:xfrm rot="10800000">
          <a:off x="8761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20</xdr:row>
      <xdr:rowOff>154483</xdr:rowOff>
    </xdr:from>
    <xdr:to>
      <xdr:col>0</xdr:col>
      <xdr:colOff>1200353</xdr:colOff>
      <xdr:row>21</xdr:row>
      <xdr:rowOff>131623</xdr:rowOff>
    </xdr:to>
    <xdr:sp macro="" textlink="">
      <xdr:nvSpPr>
        <xdr:cNvPr id="10137" name="Triangle rectangle 10136"/>
        <xdr:cNvSpPr/>
      </xdr:nvSpPr>
      <xdr:spPr>
        <a:xfrm>
          <a:off x="8650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20</xdr:row>
      <xdr:rowOff>154483</xdr:rowOff>
    </xdr:from>
    <xdr:to>
      <xdr:col>0</xdr:col>
      <xdr:colOff>1211453</xdr:colOff>
      <xdr:row>21</xdr:row>
      <xdr:rowOff>131623</xdr:rowOff>
    </xdr:to>
    <xdr:sp macro="" textlink="">
      <xdr:nvSpPr>
        <xdr:cNvPr id="10138" name="Triangle rectangle 10137"/>
        <xdr:cNvSpPr/>
      </xdr:nvSpPr>
      <xdr:spPr>
        <a:xfrm rot="10800000">
          <a:off x="8761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19</xdr:row>
      <xdr:rowOff>168961</xdr:rowOff>
    </xdr:from>
    <xdr:to>
      <xdr:col>0</xdr:col>
      <xdr:colOff>1200353</xdr:colOff>
      <xdr:row>20</xdr:row>
      <xdr:rowOff>146101</xdr:rowOff>
    </xdr:to>
    <xdr:sp macro="" textlink="">
      <xdr:nvSpPr>
        <xdr:cNvPr id="10139" name="Triangle rectangle 10138"/>
        <xdr:cNvSpPr/>
      </xdr:nvSpPr>
      <xdr:spPr>
        <a:xfrm>
          <a:off x="8650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19</xdr:row>
      <xdr:rowOff>168961</xdr:rowOff>
    </xdr:from>
    <xdr:to>
      <xdr:col>0</xdr:col>
      <xdr:colOff>1211453</xdr:colOff>
      <xdr:row>20</xdr:row>
      <xdr:rowOff>146101</xdr:rowOff>
    </xdr:to>
    <xdr:sp macro="" textlink="">
      <xdr:nvSpPr>
        <xdr:cNvPr id="10140" name="Triangle rectangle 10139"/>
        <xdr:cNvSpPr/>
      </xdr:nvSpPr>
      <xdr:spPr>
        <a:xfrm rot="10800000">
          <a:off x="8761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18</xdr:row>
      <xdr:rowOff>183439</xdr:rowOff>
    </xdr:from>
    <xdr:to>
      <xdr:col>0</xdr:col>
      <xdr:colOff>1200353</xdr:colOff>
      <xdr:row>19</xdr:row>
      <xdr:rowOff>160579</xdr:rowOff>
    </xdr:to>
    <xdr:sp macro="" textlink="">
      <xdr:nvSpPr>
        <xdr:cNvPr id="10141" name="Triangle rectangle 10140"/>
        <xdr:cNvSpPr/>
      </xdr:nvSpPr>
      <xdr:spPr>
        <a:xfrm>
          <a:off x="8650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18</xdr:row>
      <xdr:rowOff>183439</xdr:rowOff>
    </xdr:from>
    <xdr:to>
      <xdr:col>0</xdr:col>
      <xdr:colOff>1211453</xdr:colOff>
      <xdr:row>19</xdr:row>
      <xdr:rowOff>160579</xdr:rowOff>
    </xdr:to>
    <xdr:sp macro="" textlink="">
      <xdr:nvSpPr>
        <xdr:cNvPr id="10142" name="Triangle rectangle 10141"/>
        <xdr:cNvSpPr/>
      </xdr:nvSpPr>
      <xdr:spPr>
        <a:xfrm rot="10800000">
          <a:off x="8761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26</xdr:row>
      <xdr:rowOff>67615</xdr:rowOff>
    </xdr:from>
    <xdr:to>
      <xdr:col>1</xdr:col>
      <xdr:colOff>224231</xdr:colOff>
      <xdr:row>27</xdr:row>
      <xdr:rowOff>44755</xdr:rowOff>
    </xdr:to>
    <xdr:sp macro="" textlink="">
      <xdr:nvSpPr>
        <xdr:cNvPr id="10143" name="Triangle rectangle 10142"/>
        <xdr:cNvSpPr/>
      </xdr:nvSpPr>
      <xdr:spPr>
        <a:xfrm>
          <a:off x="12129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26</xdr:row>
      <xdr:rowOff>67615</xdr:rowOff>
    </xdr:from>
    <xdr:to>
      <xdr:col>1</xdr:col>
      <xdr:colOff>235331</xdr:colOff>
      <xdr:row>27</xdr:row>
      <xdr:rowOff>44755</xdr:rowOff>
    </xdr:to>
    <xdr:sp macro="" textlink="">
      <xdr:nvSpPr>
        <xdr:cNvPr id="10144" name="Triangle rectangle 10143"/>
        <xdr:cNvSpPr/>
      </xdr:nvSpPr>
      <xdr:spPr>
        <a:xfrm rot="10800000">
          <a:off x="12240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967003</xdr:colOff>
      <xdr:row>19</xdr:row>
      <xdr:rowOff>120650</xdr:rowOff>
    </xdr:from>
    <xdr:to>
      <xdr:col>0</xdr:col>
      <xdr:colOff>967003</xdr:colOff>
      <xdr:row>28</xdr:row>
      <xdr:rowOff>82550</xdr:rowOff>
    </xdr:to>
    <xdr:cxnSp macro="">
      <xdr:nvCxnSpPr>
        <xdr:cNvPr id="97" name="Connecteur droit 96"/>
        <xdr:cNvCxnSpPr/>
      </xdr:nvCxnSpPr>
      <xdr:spPr>
        <a:xfrm>
          <a:off x="967003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70155</xdr:rowOff>
    </xdr:from>
    <xdr:to>
      <xdr:col>0</xdr:col>
      <xdr:colOff>967003</xdr:colOff>
      <xdr:row>25</xdr:row>
      <xdr:rowOff>70155</xdr:rowOff>
    </xdr:to>
    <xdr:cxnSp macro="">
      <xdr:nvCxnSpPr>
        <xdr:cNvPr id="98" name="Connecteur droit 97"/>
        <xdr:cNvCxnSpPr/>
      </xdr:nvCxnSpPr>
      <xdr:spPr>
        <a:xfrm>
          <a:off x="508000" y="5537505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0</xdr:col>
      <xdr:colOff>967003</xdr:colOff>
      <xdr:row>29</xdr:row>
      <xdr:rowOff>82550</xdr:rowOff>
    </xdr:to>
    <xdr:cxnSp macro="">
      <xdr:nvCxnSpPr>
        <xdr:cNvPr id="99" name="Connecteur droit 98"/>
        <xdr:cNvCxnSpPr/>
      </xdr:nvCxnSpPr>
      <xdr:spPr>
        <a:xfrm>
          <a:off x="508000" y="6311900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284503" cy="264560"/>
    <xdr:sp macro="" textlink="">
      <xdr:nvSpPr>
        <xdr:cNvPr id="100" name="ZoneTexte 99"/>
        <xdr:cNvSpPr txBox="1"/>
      </xdr:nvSpPr>
      <xdr:spPr>
        <a:xfrm>
          <a:off x="635000" y="6121400"/>
          <a:ext cx="12845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487</a:t>
          </a:r>
        </a:p>
      </xdr:txBody>
    </xdr:sp>
    <xdr:clientData/>
  </xdr:oneCellAnchor>
  <xdr:twoCellAnchor>
    <xdr:from>
      <xdr:col>0</xdr:col>
      <xdr:colOff>317500</xdr:colOff>
      <xdr:row>25</xdr:row>
      <xdr:rowOff>70155</xdr:rowOff>
    </xdr:from>
    <xdr:to>
      <xdr:col>0</xdr:col>
      <xdr:colOff>317500</xdr:colOff>
      <xdr:row>28</xdr:row>
      <xdr:rowOff>82550</xdr:rowOff>
    </xdr:to>
    <xdr:cxnSp macro="">
      <xdr:nvCxnSpPr>
        <xdr:cNvPr id="101" name="Connecteur droit 100"/>
        <xdr:cNvCxnSpPr/>
      </xdr:nvCxnSpPr>
      <xdr:spPr>
        <a:xfrm flipV="1">
          <a:off x="317500" y="5537505"/>
          <a:ext cx="0" cy="58389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133655</xdr:rowOff>
    </xdr:from>
    <xdr:ext cx="356893" cy="635000"/>
    <xdr:sp macro="" textlink="">
      <xdr:nvSpPr>
        <xdr:cNvPr id="102" name="ZoneTexte 101"/>
        <xdr:cNvSpPr txBox="1"/>
      </xdr:nvSpPr>
      <xdr:spPr>
        <a:xfrm>
          <a:off x="254000" y="5601005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636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25</xdr:row>
      <xdr:rowOff>70155</xdr:rowOff>
    </xdr:to>
    <xdr:cxnSp macro="">
      <xdr:nvCxnSpPr>
        <xdr:cNvPr id="103" name="Connecteur droit 102"/>
        <xdr:cNvCxnSpPr/>
      </xdr:nvCxnSpPr>
      <xdr:spPr>
        <a:xfrm flipV="1">
          <a:off x="317500" y="4445000"/>
          <a:ext cx="0" cy="109250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104" name="ZoneTexte 103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1364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105" name="Rectangle 104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106" name="Connecteur droit 10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107" name="ZoneTexte 10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108" name="Connecteur droit 107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109" name="ZoneTexte 10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25</xdr:row>
      <xdr:rowOff>133528</xdr:rowOff>
    </xdr:from>
    <xdr:to>
      <xdr:col>0</xdr:col>
      <xdr:colOff>768680</xdr:colOff>
      <xdr:row>28</xdr:row>
      <xdr:rowOff>64948</xdr:rowOff>
    </xdr:to>
    <xdr:sp macro="" textlink="">
      <xdr:nvSpPr>
        <xdr:cNvPr id="110" name="Triangle isocèle 109"/>
        <xdr:cNvSpPr/>
      </xdr:nvSpPr>
      <xdr:spPr>
        <a:xfrm>
          <a:off x="517220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649308</xdr:colOff>
      <xdr:row>25</xdr:row>
      <xdr:rowOff>133528</xdr:rowOff>
    </xdr:from>
    <xdr:to>
      <xdr:col>0</xdr:col>
      <xdr:colOff>900768</xdr:colOff>
      <xdr:row>28</xdr:row>
      <xdr:rowOff>64948</xdr:rowOff>
    </xdr:to>
    <xdr:sp macro="" textlink="">
      <xdr:nvSpPr>
        <xdr:cNvPr id="111" name="Triangle isocèle 110"/>
        <xdr:cNvSpPr/>
      </xdr:nvSpPr>
      <xdr:spPr>
        <a:xfrm rot="10800000">
          <a:off x="649308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queryTables/queryTable11.xml><?xml version="1.0" encoding="utf-8"?>
<queryTable xmlns="http://schemas.openxmlformats.org/spreadsheetml/2006/main" name="Outillage.accdb_1" connectionId="11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8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11" totalsRowShown="0">
  <autoFilter ref="A2:A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3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32"/>
    <tableColumn id="4" uniqueName="4" name="Avance" queryTableFieldId="4" dataDxfId="3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10" tableType="queryTable" totalsRowShown="0">
  <autoFilter ref="D2:H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11" tableType="queryTable" totalsRowShown="0">
  <autoFilter ref="BX2:CE11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11" tableType="queryTable" totalsRowShown="0">
  <autoFilter ref="CG2:CO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CQ2:CX9" tableType="queryTable" totalsRowShown="0">
  <autoFilter ref="CQ2:CX9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5" name="Tableau5" displayName="Tableau5" ref="Q2:S12" totalsRowShown="0" headerRowDxfId="37" dataDxfId="36">
  <autoFilter ref="Q2:S12"/>
  <tableColumns count="3">
    <tableColumn id="1" name="Taraud" dataDxfId="35"/>
    <tableColumn id="2" name="Pas" dataDxfId="34"/>
    <tableColumn id="3" name="Vitesse" dataDxfId="3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8.xml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3908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64" t="s">
        <v>52</v>
      </c>
      <c r="D1" s="264"/>
      <c r="E1" s="264"/>
      <c r="F1" s="264"/>
      <c r="G1" s="264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65" t="str">
        <f>IF(ISNA( INDEX(S002_matrice,MATCH(D5,S002_epaisseur)+1,MATCH(E5,S002_rayon)+1)),"Inapte",CONCATENATE("Vé : ",INDEX(S002_matrice,MATCH(D5,S002_epaisseur)+1,MATCH(E5,S002_rayon)+1)))</f>
        <v>Vé : 300</v>
      </c>
      <c r="E10" s="266"/>
    </row>
    <row r="14" spans="2:8" ht="105.75" customHeight="1">
      <c r="B14" s="267" t="s">
        <v>55</v>
      </c>
      <c r="C14" s="267"/>
      <c r="D14" s="267"/>
      <c r="E14" s="267"/>
      <c r="F14" s="267"/>
      <c r="G14" s="267"/>
      <c r="H14" s="267"/>
    </row>
  </sheetData>
  <mergeCells count="3">
    <mergeCell ref="C1:G1"/>
    <mergeCell ref="D10:E10"/>
    <mergeCell ref="B14:H14"/>
  </mergeCells>
  <conditionalFormatting sqref="D10:E10">
    <cfRule type="cellIs" dxfId="29" priority="1" stopIfTrue="1" operator="notEqual">
      <formula>"Inapte"</formula>
    </cfRule>
    <cfRule type="cellIs" dxfId="28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81" t="s">
        <v>3907</v>
      </c>
      <c r="D1" s="281"/>
      <c r="E1" s="281"/>
      <c r="F1" s="281"/>
      <c r="G1" s="281"/>
      <c r="H1" s="281"/>
      <c r="I1" s="281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70" t="s">
        <v>126</v>
      </c>
      <c r="D3" s="270"/>
      <c r="E3" s="270"/>
      <c r="F3" s="270"/>
      <c r="G3" s="271"/>
      <c r="H3" s="272"/>
      <c r="I3" s="272"/>
      <c r="J3" s="273"/>
      <c r="K3" s="274"/>
      <c r="L3" s="276" t="s">
        <v>127</v>
      </c>
      <c r="M3" s="276"/>
      <c r="N3" s="276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70" t="s">
        <v>129</v>
      </c>
      <c r="D4" s="270"/>
      <c r="E4" s="270"/>
      <c r="F4" s="270"/>
      <c r="G4" s="271"/>
      <c r="H4" s="272"/>
      <c r="I4" s="272"/>
      <c r="J4" s="273"/>
      <c r="K4" s="274"/>
      <c r="L4" s="276" t="s">
        <v>130</v>
      </c>
      <c r="M4" s="276"/>
      <c r="N4" s="276"/>
      <c r="O4" s="92">
        <f>O3/60</f>
        <v>0.156</v>
      </c>
    </row>
    <row r="5" spans="1:26" ht="18.75">
      <c r="A5" s="90" t="s">
        <v>131</v>
      </c>
      <c r="B5" s="277"/>
      <c r="C5" s="277"/>
      <c r="D5" s="277"/>
      <c r="E5" s="277"/>
      <c r="F5" s="277"/>
      <c r="G5" s="277"/>
      <c r="H5" s="277"/>
      <c r="I5" s="277"/>
      <c r="J5" s="277"/>
      <c r="K5" s="274"/>
      <c r="L5" s="276" t="s">
        <v>132</v>
      </c>
      <c r="M5" s="276"/>
      <c r="N5" s="276"/>
      <c r="O5" s="94">
        <f>IF(OR(ISBLANK(O3),O3=0),0,3600/O3)</f>
        <v>384.61538461538464</v>
      </c>
    </row>
    <row r="6" spans="1:26" ht="19.5" thickBot="1">
      <c r="A6" s="95"/>
      <c r="B6" s="277"/>
      <c r="C6" s="277"/>
      <c r="D6" s="277"/>
      <c r="E6" s="277"/>
      <c r="F6" s="277"/>
      <c r="G6" s="277"/>
      <c r="H6" s="277"/>
      <c r="I6" s="277"/>
      <c r="J6" s="277"/>
      <c r="K6" s="274"/>
      <c r="L6" s="274"/>
      <c r="M6" s="274"/>
      <c r="N6" s="274"/>
      <c r="O6" s="274"/>
    </row>
    <row r="7" spans="1:26" ht="19.5" thickBot="1">
      <c r="A7" s="90" t="s">
        <v>133</v>
      </c>
      <c r="B7" s="90" t="s">
        <v>134</v>
      </c>
      <c r="C7" s="278"/>
      <c r="D7" s="279"/>
      <c r="E7" s="279"/>
      <c r="F7" s="279"/>
      <c r="G7" s="280"/>
      <c r="H7" s="274"/>
      <c r="I7" s="274"/>
      <c r="J7" s="274"/>
      <c r="K7" s="274"/>
      <c r="L7" s="274"/>
      <c r="M7" s="274"/>
      <c r="N7" s="274"/>
      <c r="O7" s="274"/>
    </row>
    <row r="8" spans="1:26" ht="19.5" thickBot="1">
      <c r="A8" s="90"/>
      <c r="B8" s="90" t="s">
        <v>135</v>
      </c>
      <c r="C8" s="278"/>
      <c r="D8" s="279"/>
      <c r="E8" s="279"/>
      <c r="F8" s="279"/>
      <c r="G8" s="280"/>
      <c r="H8" s="274"/>
      <c r="I8" s="274"/>
      <c r="J8" s="274"/>
      <c r="K8" s="274"/>
      <c r="L8" s="276" t="s">
        <v>136</v>
      </c>
      <c r="M8" s="276"/>
      <c r="N8" s="276"/>
      <c r="O8" s="92">
        <f>10*O9</f>
        <v>0</v>
      </c>
    </row>
    <row r="9" spans="1:26" ht="19.5" thickBot="1">
      <c r="A9" s="95"/>
      <c r="B9" s="90" t="s">
        <v>137</v>
      </c>
      <c r="C9" s="278"/>
      <c r="D9" s="279"/>
      <c r="E9" s="279"/>
      <c r="F9" s="279"/>
      <c r="G9" s="280"/>
      <c r="H9" s="274"/>
      <c r="I9" s="274"/>
      <c r="J9" s="274"/>
      <c r="K9" s="274"/>
      <c r="L9" s="276" t="s">
        <v>138</v>
      </c>
      <c r="M9" s="276"/>
      <c r="N9" s="276"/>
      <c r="O9" s="92">
        <f>ROUNDUP(C8/500,0)</f>
        <v>0</v>
      </c>
    </row>
    <row r="10" spans="1:26" ht="19.5" thickBot="1">
      <c r="A10" s="95"/>
      <c r="B10" s="96" t="s">
        <v>139</v>
      </c>
      <c r="C10" s="278"/>
      <c r="D10" s="279"/>
      <c r="E10" s="279"/>
      <c r="F10" s="279"/>
      <c r="G10" s="280"/>
      <c r="H10" s="274"/>
      <c r="I10" s="274"/>
      <c r="J10" s="274"/>
      <c r="K10" s="274"/>
      <c r="L10" s="274"/>
      <c r="M10" s="274"/>
      <c r="N10" s="274"/>
      <c r="O10" s="274"/>
    </row>
    <row r="11" spans="1:26" ht="19.5" thickBot="1">
      <c r="A11" s="95"/>
      <c r="B11" s="90" t="s">
        <v>140</v>
      </c>
      <c r="C11" s="278"/>
      <c r="D11" s="279"/>
      <c r="E11" s="279"/>
      <c r="F11" s="279"/>
      <c r="G11" s="280"/>
      <c r="H11" s="274"/>
      <c r="I11" s="274"/>
      <c r="J11" s="274"/>
      <c r="K11" s="274"/>
      <c r="L11" s="274"/>
      <c r="M11" s="274"/>
      <c r="N11" s="274"/>
      <c r="O11" s="274"/>
    </row>
    <row r="12" spans="1:26" ht="21.75" thickBot="1">
      <c r="A12" s="97"/>
      <c r="B12" s="90" t="s">
        <v>141</v>
      </c>
      <c r="C12" s="278"/>
      <c r="D12" s="279"/>
      <c r="E12" s="279"/>
      <c r="F12" s="279"/>
      <c r="G12" s="280"/>
      <c r="H12" s="274"/>
      <c r="I12" s="274"/>
      <c r="J12" s="274"/>
      <c r="K12" s="274"/>
      <c r="L12" s="274"/>
      <c r="M12" s="274"/>
      <c r="N12" s="274"/>
      <c r="O12" s="274"/>
    </row>
    <row r="13" spans="1:26" ht="0.2" customHeight="1">
      <c r="A13" s="97"/>
      <c r="B13" s="98"/>
      <c r="C13" s="99"/>
      <c r="D13" s="99"/>
      <c r="E13" s="99"/>
      <c r="F13" s="99"/>
      <c r="G13" s="99"/>
      <c r="H13" s="274"/>
      <c r="I13" s="274"/>
      <c r="J13" s="274"/>
      <c r="K13" s="274"/>
      <c r="L13" s="274"/>
      <c r="M13" s="274"/>
      <c r="N13" s="274"/>
      <c r="O13" s="274"/>
    </row>
    <row r="14" spans="1:26" ht="0.2" customHeight="1">
      <c r="A14" s="97"/>
      <c r="B14" s="98"/>
      <c r="C14" s="99"/>
      <c r="D14" s="99"/>
      <c r="E14" s="99"/>
      <c r="F14" s="99"/>
      <c r="G14" s="99"/>
      <c r="H14" s="274"/>
      <c r="I14" s="274"/>
      <c r="J14" s="274"/>
      <c r="K14" s="274"/>
      <c r="L14" s="274"/>
      <c r="M14" s="274"/>
      <c r="N14" s="274"/>
      <c r="O14" s="274"/>
    </row>
    <row r="15" spans="1:26" ht="0.2" customHeight="1">
      <c r="A15" s="97"/>
      <c r="B15" s="98"/>
      <c r="C15" s="99"/>
      <c r="D15" s="99"/>
      <c r="E15" s="99"/>
      <c r="F15" s="99"/>
      <c r="G15" s="99"/>
      <c r="H15" s="274"/>
      <c r="I15" s="274"/>
      <c r="J15" s="274"/>
      <c r="K15" s="274"/>
      <c r="L15" s="274"/>
      <c r="M15" s="274"/>
      <c r="N15" s="274"/>
      <c r="O15" s="274"/>
    </row>
    <row r="16" spans="1:26" ht="0.2" customHeight="1">
      <c r="A16" s="97"/>
      <c r="B16" s="98"/>
      <c r="C16" s="99"/>
      <c r="D16" s="99"/>
      <c r="E16" s="99"/>
      <c r="F16" s="99"/>
      <c r="G16" s="99"/>
      <c r="H16" s="274"/>
      <c r="I16" s="274"/>
      <c r="J16" s="274"/>
      <c r="K16" s="274"/>
      <c r="L16" s="274"/>
      <c r="M16" s="274"/>
      <c r="N16" s="274"/>
      <c r="O16" s="274"/>
    </row>
    <row r="17" spans="1:15" ht="0.2" customHeight="1">
      <c r="A17" s="97"/>
      <c r="B17" s="98"/>
      <c r="C17" s="99"/>
      <c r="D17" s="99"/>
      <c r="E17" s="99"/>
      <c r="F17" s="99"/>
      <c r="G17" s="99"/>
      <c r="H17" s="274"/>
      <c r="I17" s="274"/>
      <c r="J17" s="274"/>
      <c r="K17" s="274"/>
      <c r="L17" s="274"/>
      <c r="M17" s="274"/>
      <c r="N17" s="274"/>
      <c r="O17" s="274"/>
    </row>
    <row r="18" spans="1:15" ht="0.2" customHeight="1">
      <c r="A18" s="97"/>
      <c r="B18" s="98"/>
      <c r="C18" s="99"/>
      <c r="D18" s="99"/>
      <c r="E18" s="99"/>
      <c r="F18" s="99"/>
      <c r="G18" s="99"/>
      <c r="H18" s="274"/>
      <c r="I18" s="274"/>
      <c r="J18" s="274"/>
      <c r="K18" s="274"/>
      <c r="L18" s="274"/>
      <c r="M18" s="274"/>
      <c r="N18" s="274"/>
      <c r="O18" s="274"/>
    </row>
    <row r="19" spans="1:15" ht="0.2" customHeight="1">
      <c r="A19" s="97"/>
      <c r="B19" s="98"/>
      <c r="C19" s="98"/>
      <c r="D19" s="98"/>
      <c r="E19" s="98"/>
      <c r="F19" s="98"/>
      <c r="G19" s="98"/>
      <c r="H19" s="274"/>
      <c r="I19" s="274"/>
      <c r="J19" s="274"/>
      <c r="K19" s="274"/>
      <c r="L19" s="274"/>
      <c r="M19" s="274"/>
      <c r="N19" s="274"/>
      <c r="O19" s="274"/>
    </row>
    <row r="20" spans="1:15" ht="0.2" customHeight="1">
      <c r="A20" s="97"/>
      <c r="B20" s="98"/>
      <c r="C20" s="98"/>
      <c r="D20" s="98"/>
      <c r="E20" s="98"/>
      <c r="F20" s="98"/>
      <c r="G20" s="98"/>
      <c r="H20" s="274"/>
      <c r="I20" s="274"/>
      <c r="J20" s="274"/>
      <c r="K20" s="274"/>
      <c r="L20" s="274"/>
      <c r="M20" s="274"/>
      <c r="N20" s="274"/>
      <c r="O20" s="274"/>
    </row>
    <row r="21" spans="1:15" ht="409.5" customHeight="1" thickBot="1">
      <c r="A21" s="97"/>
      <c r="B21" s="274"/>
      <c r="C21" s="274"/>
      <c r="D21" s="274"/>
      <c r="E21" s="274"/>
      <c r="F21" s="274"/>
      <c r="G21" s="274"/>
      <c r="H21" s="275"/>
      <c r="I21" s="275"/>
      <c r="J21" s="275"/>
      <c r="K21" s="275"/>
      <c r="L21" s="275"/>
      <c r="M21" s="275"/>
      <c r="N21" s="275"/>
      <c r="O21" s="275"/>
    </row>
    <row r="22" spans="1:15" ht="38.25" thickBot="1">
      <c r="A22" s="98"/>
      <c r="B22" s="100"/>
      <c r="C22" s="289" t="s">
        <v>163</v>
      </c>
      <c r="D22" s="268"/>
      <c r="E22" s="268"/>
      <c r="F22" s="268" t="s">
        <v>94</v>
      </c>
      <c r="G22" s="268"/>
      <c r="H22" s="268"/>
      <c r="I22" s="268" t="s">
        <v>95</v>
      </c>
      <c r="J22" s="268"/>
      <c r="K22" s="101" t="s">
        <v>142</v>
      </c>
      <c r="L22" s="101" t="s">
        <v>143</v>
      </c>
      <c r="M22" s="102" t="s">
        <v>144</v>
      </c>
      <c r="N22" s="268" t="s">
        <v>145</v>
      </c>
      <c r="O22" s="269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88" t="s">
        <v>90</v>
      </c>
      <c r="J23" s="288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86"/>
      <c r="J24" s="287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82"/>
      <c r="J25" s="283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82"/>
      <c r="J26" s="283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82"/>
      <c r="J27" s="283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82"/>
      <c r="J28" s="283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82"/>
      <c r="J29" s="283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82"/>
      <c r="J30" s="283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82">
        <f>ROUNDUP('003_003'!$B$11+(G4*0.02),0)</f>
        <v>16</v>
      </c>
      <c r="J31" s="283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82">
        <f>ROUNDUP('003_003'!$B$11+(G4*0.02),0)</f>
        <v>16</v>
      </c>
      <c r="J32" s="283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84">
        <f>ROUNDUP('003_003'!$B$11+(G4*0.01),0)</f>
        <v>16</v>
      </c>
      <c r="J33" s="285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90" t="s">
        <v>70</v>
      </c>
      <c r="B1" s="290"/>
      <c r="C1" s="290"/>
      <c r="D1" s="290"/>
      <c r="E1" s="290"/>
      <c r="F1" s="290"/>
      <c r="G1" s="290"/>
      <c r="J1" s="75" t="s">
        <v>71</v>
      </c>
      <c r="K1" s="75" t="s">
        <v>62</v>
      </c>
    </row>
    <row r="2" spans="1:16" ht="15.75" thickBot="1">
      <c r="A2" s="76" t="s">
        <v>72</v>
      </c>
      <c r="B2" s="291">
        <v>499</v>
      </c>
      <c r="C2" s="293">
        <v>999</v>
      </c>
      <c r="D2" s="293">
        <v>1499</v>
      </c>
      <c r="E2" s="293">
        <v>1999</v>
      </c>
      <c r="F2" s="293">
        <v>3999</v>
      </c>
      <c r="G2" s="295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92"/>
      <c r="C3" s="294"/>
      <c r="D3" s="294"/>
      <c r="E3" s="294"/>
      <c r="F3" s="294"/>
      <c r="G3" s="296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90" t="s">
        <v>161</v>
      </c>
      <c r="B1" s="290"/>
      <c r="C1" s="290"/>
      <c r="D1" s="290"/>
      <c r="E1" s="290"/>
      <c r="F1" s="290"/>
      <c r="G1" s="290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91">
        <v>500</v>
      </c>
      <c r="C2" s="297">
        <v>999</v>
      </c>
      <c r="D2" s="297">
        <v>1499</v>
      </c>
      <c r="E2" s="297">
        <v>1999</v>
      </c>
      <c r="F2" s="297">
        <v>3999</v>
      </c>
      <c r="G2" s="295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92"/>
      <c r="C3" s="294"/>
      <c r="D3" s="294"/>
      <c r="E3" s="294"/>
      <c r="F3" s="294"/>
      <c r="G3" s="296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>
      <selection activeCell="C11" sqref="C11"/>
    </sheetView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298" t="s">
        <v>3906</v>
      </c>
      <c r="D1" s="298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1</v>
      </c>
    </row>
    <row r="4" spans="1:19" ht="21">
      <c r="A4" s="129"/>
      <c r="B4" s="130"/>
      <c r="C4" s="133" t="s">
        <v>53</v>
      </c>
      <c r="D4" s="139">
        <v>20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f>VLOOKUP(D5,Tableau_NuanceMere[],3,FALSE)</f>
        <v>190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301" t="s">
        <v>190</v>
      </c>
      <c r="D9" s="303" t="s">
        <v>191</v>
      </c>
      <c r="E9" s="305" t="s">
        <v>192</v>
      </c>
      <c r="F9" s="305" t="s">
        <v>193</v>
      </c>
      <c r="G9" s="303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299" t="s">
        <v>199</v>
      </c>
    </row>
    <row r="10" spans="1:19" ht="19.5" thickBot="1">
      <c r="B10" s="128"/>
      <c r="C10" s="302"/>
      <c r="D10" s="304"/>
      <c r="E10" s="304"/>
      <c r="F10" s="304"/>
      <c r="G10" s="304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300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disablePrompts="1"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X59"/>
  <sheetViews>
    <sheetView topLeftCell="BK1" workbookViewId="0">
      <selection activeCell="BW30" sqref="BW30"/>
    </sheetView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9.85546875" customWidth="1"/>
    <col min="5" max="5" width="10" customWidth="1"/>
    <col min="6" max="6" width="9.28515625" customWidth="1"/>
    <col min="7" max="7" width="15.85546875" customWidth="1"/>
    <col min="8" max="9" width="13.28515625" customWidth="1"/>
    <col min="10" max="10" width="14.7109375" customWidth="1"/>
    <col min="11" max="11" width="15.140625" customWidth="1"/>
    <col min="12" max="12" width="10" customWidth="1"/>
    <col min="13" max="13" width="9.28515625" customWidth="1"/>
    <col min="14" max="14" width="15.85546875" customWidth="1"/>
    <col min="15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42578125" customWidth="1"/>
    <col min="58" max="58" width="7.42578125" customWidth="1"/>
    <col min="59" max="59" width="12.140625" customWidth="1"/>
    <col min="60" max="60" width="15.42578125" customWidth="1"/>
    <col min="61" max="61" width="8.140625" customWidth="1"/>
    <col min="62" max="62" width="16" customWidth="1"/>
    <col min="63" max="63" width="13.140625" customWidth="1"/>
    <col min="64" max="64" width="13.28515625" customWidth="1"/>
    <col min="65" max="65" width="14.8554687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28515625" customWidth="1"/>
    <col min="77" max="77" width="11.42578125" customWidth="1"/>
    <col min="78" max="78" width="7.42578125" customWidth="1"/>
    <col min="79" max="79" width="12.140625" customWidth="1"/>
    <col min="80" max="80" width="15.42578125" customWidth="1"/>
    <col min="81" max="81" width="8.140625" customWidth="1"/>
    <col min="82" max="82" width="15.5703125" customWidth="1"/>
    <col min="83" max="83" width="16" customWidth="1"/>
    <col min="85" max="85" width="13.28515625" customWidth="1"/>
    <col min="86" max="86" width="11.42578125" customWidth="1"/>
    <col min="87" max="87" width="7.42578125" customWidth="1"/>
    <col min="88" max="88" width="12.140625" customWidth="1"/>
    <col min="89" max="89" width="15.42578125" customWidth="1"/>
    <col min="90" max="90" width="8.140625" customWidth="1"/>
    <col min="91" max="91" width="16.28515625" customWidth="1"/>
    <col min="92" max="92" width="19" customWidth="1"/>
    <col min="93" max="93" width="13.140625" customWidth="1"/>
    <col min="95" max="95" width="13.28515625" customWidth="1"/>
    <col min="96" max="96" width="11.42578125" customWidth="1"/>
    <col min="97" max="97" width="7.42578125" customWidth="1"/>
    <col min="98" max="98" width="12.140625" customWidth="1"/>
    <col min="99" max="99" width="15.42578125" customWidth="1"/>
    <col min="100" max="100" width="8.140625" customWidth="1"/>
    <col min="101" max="101" width="15.5703125" customWidth="1"/>
    <col min="102" max="102" width="16.28515625" customWidth="1"/>
  </cols>
  <sheetData>
    <row r="1" spans="1:102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MIN(Tableau_GrainFinition[mini])</f>
        <v>9.75</v>
      </c>
      <c r="AM1">
        <f>MAX(Tableau_GrainFinition[maxi])</f>
        <v>164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  <c r="CQ1" t="s">
        <v>3971</v>
      </c>
    </row>
    <row r="2" spans="1:102">
      <c r="A2" t="s">
        <v>174</v>
      </c>
      <c r="D2"/>
      <c r="E2"/>
      <c r="F2"/>
      <c r="G2"/>
      <c r="H2"/>
      <c r="J2"/>
      <c r="K2"/>
      <c r="L2"/>
      <c r="M2"/>
      <c r="N2"/>
      <c r="O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/>
      <c r="AJ2"/>
      <c r="AK2"/>
      <c r="AL2"/>
      <c r="AM2"/>
      <c r="AN2"/>
      <c r="AO2"/>
      <c r="AP2"/>
      <c r="AQ2"/>
      <c r="AR2"/>
      <c r="AS2"/>
      <c r="AT2"/>
      <c r="AV2"/>
      <c r="AW2"/>
      <c r="AX2"/>
      <c r="AY2"/>
      <c r="AZ2"/>
      <c r="BA2"/>
      <c r="BB2"/>
      <c r="BC2"/>
      <c r="BE2"/>
      <c r="BF2"/>
      <c r="BG2"/>
      <c r="BH2"/>
      <c r="BI2"/>
      <c r="BJ2"/>
      <c r="BK2"/>
      <c r="BL2"/>
      <c r="BM2"/>
      <c r="BO2"/>
      <c r="BP2"/>
      <c r="BQ2" s="128"/>
      <c r="BR2" s="128"/>
      <c r="BS2"/>
      <c r="BT2"/>
      <c r="BU2"/>
      <c r="BV2"/>
      <c r="BX2"/>
      <c r="BY2"/>
      <c r="BZ2"/>
      <c r="CA2"/>
      <c r="CB2"/>
      <c r="CC2"/>
      <c r="CD2"/>
      <c r="CE2"/>
      <c r="CG2"/>
      <c r="CH2"/>
      <c r="CI2"/>
      <c r="CJ2"/>
      <c r="CK2"/>
      <c r="CL2"/>
      <c r="CM2"/>
      <c r="CN2"/>
      <c r="CO2"/>
      <c r="CQ2"/>
      <c r="CR2"/>
      <c r="CS2"/>
      <c r="CT2"/>
      <c r="CU2"/>
      <c r="CV2"/>
      <c r="CW2"/>
      <c r="CX2"/>
    </row>
    <row r="3" spans="1:102">
      <c r="A3" t="s">
        <v>21</v>
      </c>
      <c r="D3"/>
      <c r="E3"/>
      <c r="F3"/>
      <c r="G3"/>
      <c r="H3"/>
      <c r="J3"/>
      <c r="K3"/>
      <c r="L3"/>
      <c r="M3"/>
      <c r="N3"/>
      <c r="O3"/>
      <c r="Q3" s="263"/>
      <c r="R3" s="128"/>
      <c r="S3" s="263"/>
      <c r="T3" s="263"/>
      <c r="U3" s="263"/>
      <c r="V3" s="263"/>
      <c r="W3" s="263"/>
      <c r="X3" s="263"/>
      <c r="Z3"/>
      <c r="AA3"/>
      <c r="AB3"/>
      <c r="AC3"/>
      <c r="AE3"/>
      <c r="AF3"/>
      <c r="AG3"/>
      <c r="AH3"/>
      <c r="AJ3"/>
      <c r="AK3"/>
      <c r="AL3"/>
      <c r="AM3"/>
      <c r="AN3"/>
      <c r="AP3"/>
      <c r="AQ3"/>
      <c r="AR3"/>
      <c r="AS3"/>
      <c r="AT3"/>
      <c r="AV3"/>
      <c r="AW3"/>
      <c r="AX3"/>
      <c r="AY3"/>
      <c r="AZ3"/>
      <c r="BA3"/>
      <c r="BB3"/>
      <c r="BC3"/>
      <c r="BE3"/>
      <c r="BF3"/>
      <c r="BG3"/>
      <c r="BH3"/>
      <c r="BI3"/>
      <c r="BJ3"/>
      <c r="BK3"/>
      <c r="BL3"/>
      <c r="BM3"/>
      <c r="BO3"/>
      <c r="BP3"/>
      <c r="BQ3" s="128"/>
      <c r="BR3" s="128"/>
      <c r="BS3"/>
      <c r="BT3"/>
      <c r="BU3"/>
      <c r="BV3"/>
      <c r="BX3"/>
      <c r="BY3"/>
      <c r="BZ3"/>
      <c r="CA3"/>
      <c r="CB3"/>
      <c r="CC3"/>
      <c r="CD3"/>
      <c r="CE3"/>
      <c r="CG3"/>
      <c r="CH3"/>
      <c r="CI3"/>
      <c r="CJ3"/>
      <c r="CK3"/>
      <c r="CL3"/>
      <c r="CM3"/>
      <c r="CN3"/>
      <c r="CO3"/>
      <c r="CQ3"/>
      <c r="CR3"/>
      <c r="CS3"/>
      <c r="CT3"/>
      <c r="CU3"/>
      <c r="CV3"/>
      <c r="CW3"/>
      <c r="CX3"/>
    </row>
    <row r="4" spans="1:102">
      <c r="A4" t="s">
        <v>168</v>
      </c>
      <c r="D4"/>
      <c r="E4"/>
      <c r="F4"/>
      <c r="G4"/>
      <c r="H4"/>
      <c r="J4"/>
      <c r="K4"/>
      <c r="L4"/>
      <c r="M4"/>
      <c r="N4"/>
      <c r="O4"/>
      <c r="Q4" s="263"/>
      <c r="R4" s="128"/>
      <c r="S4" s="263"/>
      <c r="T4" s="263"/>
      <c r="U4" s="263"/>
      <c r="V4" s="263"/>
      <c r="W4" s="263"/>
      <c r="X4" s="263"/>
      <c r="Z4"/>
      <c r="AA4"/>
      <c r="AB4"/>
      <c r="AC4"/>
      <c r="AE4"/>
      <c r="AF4"/>
      <c r="AG4"/>
      <c r="AH4"/>
      <c r="AJ4"/>
      <c r="AK4"/>
      <c r="AL4"/>
      <c r="AM4"/>
      <c r="AN4"/>
      <c r="AP4"/>
      <c r="AQ4"/>
      <c r="AR4"/>
      <c r="AS4"/>
      <c r="AT4"/>
      <c r="AV4"/>
      <c r="AW4"/>
      <c r="AX4"/>
      <c r="AY4"/>
      <c r="AZ4"/>
      <c r="BA4"/>
      <c r="BB4"/>
      <c r="BC4"/>
      <c r="BE4"/>
      <c r="BF4"/>
      <c r="BG4"/>
      <c r="BH4"/>
      <c r="BI4"/>
      <c r="BJ4"/>
      <c r="BK4"/>
      <c r="BL4"/>
      <c r="BM4"/>
      <c r="BO4"/>
      <c r="BP4"/>
      <c r="BQ4" s="128"/>
      <c r="BR4" s="128"/>
      <c r="BS4"/>
      <c r="BT4"/>
      <c r="BU4"/>
      <c r="BV4"/>
      <c r="BX4"/>
      <c r="BY4"/>
      <c r="BZ4"/>
      <c r="CA4"/>
      <c r="CB4"/>
      <c r="CC4"/>
      <c r="CD4"/>
      <c r="CE4"/>
      <c r="CG4"/>
      <c r="CH4"/>
      <c r="CI4"/>
      <c r="CJ4"/>
      <c r="CK4"/>
      <c r="CL4"/>
      <c r="CM4"/>
      <c r="CN4"/>
      <c r="CO4"/>
      <c r="CQ4"/>
      <c r="CR4"/>
      <c r="CS4"/>
      <c r="CT4"/>
      <c r="CU4"/>
      <c r="CV4"/>
      <c r="CW4"/>
      <c r="CX4"/>
    </row>
    <row r="5" spans="1:102">
      <c r="A5" t="s">
        <v>169</v>
      </c>
      <c r="D5"/>
      <c r="E5"/>
      <c r="F5"/>
      <c r="G5"/>
      <c r="H5"/>
      <c r="J5"/>
      <c r="K5"/>
      <c r="L5"/>
      <c r="M5"/>
      <c r="N5"/>
      <c r="O5"/>
      <c r="Q5" s="263"/>
      <c r="R5" s="128"/>
      <c r="S5" s="263"/>
      <c r="T5" s="263"/>
      <c r="U5" s="263"/>
      <c r="V5" s="263"/>
      <c r="W5" s="263"/>
      <c r="X5" s="263"/>
      <c r="Z5"/>
      <c r="AA5"/>
      <c r="AB5"/>
      <c r="AC5"/>
      <c r="AE5"/>
      <c r="AF5"/>
      <c r="AG5"/>
      <c r="AH5"/>
      <c r="AJ5"/>
      <c r="AK5"/>
      <c r="AL5"/>
      <c r="AM5"/>
      <c r="AN5"/>
      <c r="AP5"/>
      <c r="AQ5"/>
      <c r="AR5"/>
      <c r="AS5"/>
      <c r="AT5"/>
      <c r="AV5"/>
      <c r="AW5"/>
      <c r="AX5"/>
      <c r="AY5"/>
      <c r="AZ5"/>
      <c r="BA5"/>
      <c r="BB5"/>
      <c r="BC5"/>
      <c r="BE5"/>
      <c r="BF5"/>
      <c r="BG5"/>
      <c r="BH5"/>
      <c r="BI5"/>
      <c r="BJ5"/>
      <c r="BK5"/>
      <c r="BL5"/>
      <c r="BM5"/>
      <c r="BO5"/>
      <c r="BP5"/>
      <c r="BQ5" s="128"/>
      <c r="BR5" s="128"/>
      <c r="BS5"/>
      <c r="BT5"/>
      <c r="BU5"/>
      <c r="BV5"/>
      <c r="BX5"/>
      <c r="BY5"/>
      <c r="BZ5"/>
      <c r="CA5"/>
      <c r="CB5"/>
      <c r="CC5"/>
      <c r="CD5"/>
      <c r="CE5"/>
      <c r="CG5"/>
      <c r="CH5"/>
      <c r="CI5"/>
      <c r="CJ5"/>
      <c r="CK5"/>
      <c r="CL5"/>
      <c r="CM5"/>
      <c r="CN5"/>
      <c r="CO5"/>
      <c r="CQ5"/>
      <c r="CR5"/>
      <c r="CS5"/>
      <c r="CT5"/>
      <c r="CU5"/>
      <c r="CV5"/>
      <c r="CW5"/>
      <c r="CX5"/>
    </row>
    <row r="6" spans="1:102">
      <c r="A6" t="s">
        <v>167</v>
      </c>
      <c r="D6"/>
      <c r="E6"/>
      <c r="F6"/>
      <c r="G6"/>
      <c r="H6"/>
      <c r="J6"/>
      <c r="K6"/>
      <c r="L6"/>
      <c r="M6"/>
      <c r="N6"/>
      <c r="O6"/>
      <c r="Q6" s="263"/>
      <c r="R6" s="128"/>
      <c r="S6" s="263"/>
      <c r="T6" s="263"/>
      <c r="U6" s="263"/>
      <c r="V6" s="263"/>
      <c r="W6" s="263"/>
      <c r="X6" s="263"/>
      <c r="Z6"/>
      <c r="AA6"/>
      <c r="AB6"/>
      <c r="AC6"/>
      <c r="AE6"/>
      <c r="AF6"/>
      <c r="AG6"/>
      <c r="AH6"/>
      <c r="AJ6"/>
      <c r="AK6"/>
      <c r="AL6"/>
      <c r="AM6"/>
      <c r="AN6"/>
      <c r="AP6"/>
      <c r="AQ6"/>
      <c r="AR6"/>
      <c r="AS6"/>
      <c r="AT6"/>
      <c r="AV6"/>
      <c r="AW6"/>
      <c r="AX6"/>
      <c r="AY6"/>
      <c r="AZ6"/>
      <c r="BA6"/>
      <c r="BB6"/>
      <c r="BC6"/>
      <c r="BE6"/>
      <c r="BF6"/>
      <c r="BG6"/>
      <c r="BH6"/>
      <c r="BI6"/>
      <c r="BJ6"/>
      <c r="BK6"/>
      <c r="BL6"/>
      <c r="BM6"/>
      <c r="BO6"/>
      <c r="BP6"/>
      <c r="BQ6" s="128"/>
      <c r="BR6" s="128"/>
      <c r="BS6"/>
      <c r="BT6"/>
      <c r="BU6"/>
      <c r="BV6"/>
      <c r="BX6"/>
      <c r="BY6"/>
      <c r="BZ6"/>
      <c r="CA6"/>
      <c r="CB6"/>
      <c r="CC6"/>
      <c r="CD6"/>
      <c r="CE6"/>
      <c r="CG6"/>
      <c r="CH6"/>
      <c r="CI6"/>
      <c r="CJ6"/>
      <c r="CK6"/>
      <c r="CL6"/>
      <c r="CM6"/>
      <c r="CN6"/>
      <c r="CO6"/>
      <c r="CQ6" s="237"/>
      <c r="CR6" s="237"/>
      <c r="CS6" s="237"/>
      <c r="CT6" s="237"/>
      <c r="CU6" s="237"/>
      <c r="CV6" s="237"/>
      <c r="CW6" s="237"/>
      <c r="CX6" s="237"/>
    </row>
    <row r="7" spans="1:102">
      <c r="A7" t="s">
        <v>3980</v>
      </c>
      <c r="D7"/>
      <c r="E7"/>
      <c r="F7"/>
      <c r="G7"/>
      <c r="H7"/>
      <c r="J7"/>
      <c r="K7"/>
      <c r="L7"/>
      <c r="M7"/>
      <c r="N7"/>
      <c r="O7"/>
      <c r="Q7" s="263"/>
      <c r="R7" s="128"/>
      <c r="S7" s="263"/>
      <c r="T7" s="263"/>
      <c r="U7" s="263"/>
      <c r="V7" s="263"/>
      <c r="W7" s="263"/>
      <c r="X7" s="263"/>
      <c r="Z7"/>
      <c r="AA7"/>
      <c r="AB7"/>
      <c r="AC7"/>
      <c r="AE7"/>
      <c r="AF7"/>
      <c r="AG7"/>
      <c r="AH7"/>
      <c r="AJ7"/>
      <c r="AK7"/>
      <c r="AL7"/>
      <c r="AM7"/>
      <c r="AN7"/>
      <c r="AP7"/>
      <c r="AQ7"/>
      <c r="AR7"/>
      <c r="AS7"/>
      <c r="AT7"/>
      <c r="BE7"/>
      <c r="BF7"/>
      <c r="BG7"/>
      <c r="BH7"/>
      <c r="BI7"/>
      <c r="BJ7"/>
      <c r="BK7"/>
      <c r="BL7"/>
      <c r="BM7"/>
      <c r="BO7"/>
      <c r="BP7"/>
      <c r="BQ7" s="128"/>
      <c r="BR7" s="128"/>
      <c r="BS7"/>
      <c r="BT7"/>
      <c r="BU7"/>
      <c r="BV7"/>
      <c r="BX7"/>
      <c r="BY7"/>
      <c r="BZ7"/>
      <c r="CA7"/>
      <c r="CB7"/>
      <c r="CC7"/>
      <c r="CD7"/>
      <c r="CE7"/>
      <c r="CG7"/>
      <c r="CH7"/>
      <c r="CI7"/>
      <c r="CJ7"/>
      <c r="CK7"/>
      <c r="CL7"/>
      <c r="CM7"/>
      <c r="CN7"/>
      <c r="CO7"/>
      <c r="CQ7" s="237"/>
      <c r="CR7" s="237"/>
      <c r="CS7" s="237"/>
      <c r="CT7" s="237"/>
      <c r="CU7" s="237"/>
      <c r="CV7" s="237"/>
      <c r="CW7" s="237"/>
      <c r="CX7" s="237"/>
    </row>
    <row r="8" spans="1:102">
      <c r="A8" t="s">
        <v>164</v>
      </c>
      <c r="D8"/>
      <c r="E8"/>
      <c r="F8"/>
      <c r="G8"/>
      <c r="H8"/>
      <c r="J8"/>
      <c r="K8"/>
      <c r="L8"/>
      <c r="M8"/>
      <c r="N8"/>
      <c r="O8"/>
      <c r="Q8" s="263"/>
      <c r="R8" s="128"/>
      <c r="S8" s="263"/>
      <c r="T8" s="263"/>
      <c r="U8" s="263"/>
      <c r="V8" s="263"/>
      <c r="W8" s="263"/>
      <c r="X8" s="263"/>
      <c r="Z8"/>
      <c r="AA8"/>
      <c r="AB8"/>
      <c r="AC8"/>
      <c r="AE8"/>
      <c r="AF8"/>
      <c r="AG8"/>
      <c r="AH8"/>
      <c r="AJ8"/>
      <c r="AK8"/>
      <c r="AL8"/>
      <c r="AM8"/>
      <c r="AN8"/>
      <c r="AP8"/>
      <c r="AQ8"/>
      <c r="AR8"/>
      <c r="AS8"/>
      <c r="AT8"/>
      <c r="BE8"/>
      <c r="BF8"/>
      <c r="BG8"/>
      <c r="BH8"/>
      <c r="BI8"/>
      <c r="BJ8"/>
      <c r="BK8"/>
      <c r="BL8"/>
      <c r="BM8"/>
      <c r="BO8"/>
      <c r="BP8"/>
      <c r="BQ8" s="128"/>
      <c r="BR8" s="128"/>
      <c r="BS8"/>
      <c r="BT8"/>
      <c r="BU8"/>
      <c r="BV8"/>
      <c r="BX8" s="237"/>
      <c r="BY8" s="237"/>
      <c r="BZ8" s="237"/>
      <c r="CA8" s="237"/>
      <c r="CB8" s="237"/>
      <c r="CC8" s="237"/>
      <c r="CD8" s="237"/>
      <c r="CE8" s="237"/>
      <c r="CG8" s="237"/>
      <c r="CH8" s="237"/>
      <c r="CI8" s="237"/>
      <c r="CJ8" s="237"/>
      <c r="CK8" s="237"/>
      <c r="CL8" s="237"/>
      <c r="CM8" s="237"/>
      <c r="CN8" s="237"/>
      <c r="CO8" s="237"/>
      <c r="CQ8" s="237"/>
      <c r="CR8" s="237"/>
      <c r="CS8" s="237"/>
      <c r="CT8" s="237"/>
      <c r="CU8" s="237"/>
      <c r="CV8" s="237"/>
      <c r="CW8" s="237"/>
      <c r="CX8" s="237"/>
    </row>
    <row r="9" spans="1:102">
      <c r="A9" t="s">
        <v>166</v>
      </c>
      <c r="D9" s="251"/>
      <c r="E9" s="251"/>
      <c r="F9" s="251"/>
      <c r="G9" s="251"/>
      <c r="H9" s="251"/>
      <c r="J9"/>
      <c r="K9"/>
      <c r="L9"/>
      <c r="M9"/>
      <c r="N9"/>
      <c r="O9"/>
      <c r="Q9" s="263"/>
      <c r="R9" s="128"/>
      <c r="S9" s="263"/>
      <c r="T9" s="263"/>
      <c r="U9" s="263"/>
      <c r="V9" s="263"/>
      <c r="W9" s="263"/>
      <c r="X9" s="263"/>
      <c r="Z9"/>
      <c r="AA9"/>
      <c r="AB9"/>
      <c r="AC9"/>
      <c r="AE9"/>
      <c r="AF9"/>
      <c r="AG9"/>
      <c r="AH9"/>
      <c r="BE9"/>
      <c r="BF9"/>
      <c r="BG9"/>
      <c r="BH9"/>
      <c r="BI9"/>
      <c r="BJ9"/>
      <c r="BK9"/>
      <c r="BL9"/>
      <c r="BM9"/>
      <c r="BX9" s="237"/>
      <c r="BY9" s="237"/>
      <c r="BZ9" s="237"/>
      <c r="CA9" s="237"/>
      <c r="CB9" s="237"/>
      <c r="CC9" s="237"/>
      <c r="CD9" s="237"/>
      <c r="CE9" s="237"/>
      <c r="CG9" s="237"/>
      <c r="CH9" s="237"/>
      <c r="CI9" s="237"/>
      <c r="CJ9" s="237"/>
      <c r="CK9" s="237"/>
      <c r="CL9" s="237"/>
      <c r="CM9" s="237"/>
      <c r="CN9" s="237"/>
      <c r="CO9" s="237"/>
      <c r="CQ9" s="237"/>
      <c r="CR9" s="237"/>
      <c r="CS9" s="237"/>
      <c r="CT9" s="237"/>
      <c r="CU9" s="237"/>
      <c r="CV9" s="237"/>
      <c r="CW9" s="237"/>
      <c r="CX9" s="237"/>
    </row>
    <row r="10" spans="1:102">
      <c r="A10" t="s">
        <v>165</v>
      </c>
      <c r="D10" s="251"/>
      <c r="E10" s="251"/>
      <c r="F10" s="251"/>
      <c r="G10" s="251"/>
      <c r="H10" s="251"/>
      <c r="J10"/>
      <c r="K10"/>
      <c r="L10"/>
      <c r="M10"/>
      <c r="N10"/>
      <c r="O10"/>
      <c r="Q10" s="263"/>
      <c r="R10" s="128"/>
      <c r="S10" s="263"/>
      <c r="T10" s="263"/>
      <c r="U10" s="263"/>
      <c r="V10" s="263"/>
      <c r="W10" s="263"/>
      <c r="X10" s="263"/>
      <c r="Z10"/>
      <c r="AA10"/>
      <c r="AB10"/>
      <c r="AC10"/>
      <c r="AE10"/>
      <c r="AF10"/>
      <c r="AG10"/>
      <c r="AH10"/>
      <c r="BE10"/>
      <c r="BF10"/>
      <c r="BG10"/>
      <c r="BH10"/>
      <c r="BI10"/>
      <c r="BJ10"/>
      <c r="BK10"/>
      <c r="BL10"/>
      <c r="BM10"/>
      <c r="BX10" s="237"/>
      <c r="BY10" s="237"/>
      <c r="BZ10" s="237"/>
      <c r="CA10" s="237"/>
      <c r="CB10" s="237"/>
      <c r="CC10" s="237"/>
      <c r="CD10" s="237"/>
      <c r="CE10" s="237"/>
      <c r="CG10" s="237"/>
      <c r="CH10" s="237"/>
      <c r="CI10" s="237"/>
      <c r="CJ10" s="237"/>
      <c r="CK10" s="237"/>
      <c r="CL10" s="237"/>
      <c r="CM10" s="237"/>
      <c r="CN10" s="237"/>
      <c r="CO10" s="237"/>
    </row>
    <row r="11" spans="1:102">
      <c r="A11" t="s">
        <v>3971</v>
      </c>
      <c r="J11"/>
      <c r="K11"/>
      <c r="L11"/>
      <c r="M11"/>
      <c r="N11"/>
      <c r="O11"/>
      <c r="Q11" s="263"/>
      <c r="R11" s="128"/>
      <c r="S11" s="263"/>
      <c r="T11" s="263"/>
      <c r="U11" s="263"/>
      <c r="V11" s="263"/>
      <c r="W11" s="263"/>
      <c r="X11" s="263"/>
      <c r="Z11"/>
      <c r="AA11"/>
      <c r="AB11"/>
      <c r="AC11"/>
      <c r="AE11"/>
      <c r="AF11"/>
      <c r="AG11"/>
      <c r="AH11"/>
      <c r="BE11"/>
      <c r="BF11"/>
      <c r="BG11"/>
      <c r="BH11"/>
      <c r="BI11"/>
      <c r="BJ11"/>
      <c r="BK11"/>
      <c r="BL11"/>
      <c r="BM11"/>
      <c r="BX11" s="237"/>
      <c r="BY11" s="237"/>
      <c r="BZ11" s="237"/>
      <c r="CA11" s="237"/>
      <c r="CB11" s="237"/>
      <c r="CC11" s="237"/>
      <c r="CD11" s="237"/>
      <c r="CE11" s="237"/>
      <c r="CG11" s="237"/>
      <c r="CH11" s="237"/>
      <c r="CI11" s="237"/>
      <c r="CJ11" s="237"/>
      <c r="CK11" s="237"/>
      <c r="CL11" s="237"/>
      <c r="CM11" s="237"/>
      <c r="CN11" s="237"/>
      <c r="CO11" s="237"/>
    </row>
    <row r="12" spans="1:102">
      <c r="J12"/>
      <c r="K12"/>
      <c r="L12"/>
      <c r="M12"/>
      <c r="N12"/>
      <c r="O12"/>
      <c r="Q12" s="263"/>
      <c r="R12" s="128"/>
      <c r="S12" s="263"/>
      <c r="T12" s="263"/>
      <c r="U12" s="263"/>
      <c r="V12" s="263"/>
      <c r="W12" s="263"/>
      <c r="X12" s="263"/>
      <c r="Z12"/>
      <c r="AA12"/>
      <c r="AB12"/>
      <c r="AC12"/>
      <c r="AE12"/>
      <c r="AF12"/>
      <c r="AG12"/>
      <c r="AH12"/>
    </row>
    <row r="13" spans="1:102">
      <c r="J13"/>
      <c r="K13"/>
      <c r="L13"/>
      <c r="M13"/>
      <c r="N13"/>
      <c r="O13"/>
      <c r="Q13" s="263"/>
      <c r="R13" s="128"/>
      <c r="S13" s="263"/>
      <c r="T13" s="263"/>
      <c r="U13" s="263"/>
      <c r="V13" s="263"/>
      <c r="W13" s="263"/>
      <c r="X13" s="263"/>
    </row>
    <row r="14" spans="1:102">
      <c r="J14"/>
      <c r="K14"/>
      <c r="L14"/>
      <c r="M14"/>
      <c r="N14"/>
      <c r="O14"/>
      <c r="Q14" s="263"/>
      <c r="R14" s="128"/>
      <c r="S14" s="263"/>
      <c r="T14" s="263"/>
      <c r="U14" s="263"/>
      <c r="V14" s="263"/>
      <c r="W14" s="263"/>
      <c r="X14" s="263"/>
    </row>
    <row r="15" spans="1:102">
      <c r="J15"/>
      <c r="K15"/>
      <c r="L15"/>
      <c r="M15"/>
      <c r="N15"/>
      <c r="O15"/>
      <c r="Q15" s="263"/>
      <c r="R15" s="128"/>
      <c r="S15" s="263"/>
      <c r="T15" s="263"/>
      <c r="U15" s="263"/>
      <c r="V15" s="263"/>
      <c r="W15" s="263"/>
      <c r="X15" s="263"/>
    </row>
    <row r="16" spans="1:102">
      <c r="J16"/>
      <c r="K16"/>
      <c r="L16"/>
      <c r="M16"/>
      <c r="N16"/>
      <c r="O16"/>
      <c r="Q16" s="263"/>
      <c r="R16" s="128"/>
      <c r="S16" s="263"/>
      <c r="T16" s="263"/>
      <c r="U16" s="263"/>
      <c r="V16" s="263"/>
      <c r="W16" s="263"/>
      <c r="X16" s="263"/>
    </row>
    <row r="17" spans="10:75">
      <c r="J17"/>
      <c r="K17"/>
      <c r="L17"/>
      <c r="M17"/>
      <c r="N17"/>
      <c r="O17"/>
      <c r="Q17" s="263"/>
      <c r="R17" s="128"/>
      <c r="S17" s="263"/>
      <c r="T17" s="263"/>
      <c r="U17" s="263"/>
      <c r="V17" s="263"/>
      <c r="W17" s="263"/>
      <c r="X17" s="263"/>
      <c r="BQ17"/>
      <c r="BR17"/>
    </row>
    <row r="18" spans="10:75">
      <c r="J18"/>
      <c r="K18"/>
      <c r="L18"/>
      <c r="M18"/>
      <c r="N18"/>
      <c r="O18"/>
      <c r="Q18" s="263"/>
      <c r="R18" s="128"/>
      <c r="S18" s="263"/>
      <c r="T18" s="263"/>
      <c r="U18" s="263"/>
      <c r="V18" s="263"/>
      <c r="W18" s="263"/>
      <c r="X18" s="263"/>
      <c r="BQ18"/>
      <c r="BR18"/>
    </row>
    <row r="19" spans="10:75">
      <c r="J19"/>
      <c r="K19"/>
      <c r="L19"/>
      <c r="M19"/>
      <c r="N19"/>
      <c r="O19"/>
      <c r="Q19" s="263"/>
      <c r="R19" s="128"/>
      <c r="S19" s="263"/>
      <c r="T19" s="263"/>
      <c r="U19" s="263"/>
      <c r="V19" s="263"/>
      <c r="W19" s="263"/>
      <c r="X19" s="263"/>
      <c r="BQ19"/>
      <c r="BR19"/>
    </row>
    <row r="20" spans="10:75">
      <c r="J20"/>
      <c r="K20"/>
      <c r="L20"/>
      <c r="M20"/>
      <c r="N20"/>
      <c r="O20"/>
      <c r="Q20" s="263"/>
      <c r="R20" s="128"/>
      <c r="S20" s="263"/>
      <c r="T20" s="263"/>
      <c r="U20" s="263"/>
      <c r="V20" s="263"/>
      <c r="W20" s="263"/>
      <c r="X20" s="263"/>
      <c r="BQ20"/>
      <c r="BR20"/>
    </row>
    <row r="21" spans="10:75">
      <c r="J21"/>
      <c r="K21"/>
      <c r="L21"/>
      <c r="M21"/>
      <c r="N21"/>
      <c r="O21"/>
      <c r="Q21" s="263"/>
      <c r="R21" s="128"/>
      <c r="S21" s="263"/>
      <c r="T21" s="263"/>
      <c r="U21" s="263"/>
      <c r="V21" s="263"/>
      <c r="W21" s="263"/>
      <c r="X21" s="263"/>
      <c r="BQ21"/>
      <c r="BR21"/>
    </row>
    <row r="22" spans="10:75">
      <c r="J22"/>
      <c r="K22"/>
      <c r="L22"/>
      <c r="M22"/>
      <c r="N22"/>
      <c r="O22"/>
      <c r="Q22" s="263"/>
      <c r="R22" s="128"/>
      <c r="S22" s="263"/>
      <c r="T22" s="263"/>
      <c r="U22" s="263"/>
      <c r="V22" s="263"/>
      <c r="W22" s="263"/>
      <c r="X22" s="263"/>
      <c r="BQ22"/>
      <c r="BR22"/>
    </row>
    <row r="23" spans="10:75">
      <c r="J23"/>
      <c r="K23"/>
      <c r="L23"/>
      <c r="M23"/>
      <c r="N23"/>
      <c r="O23"/>
      <c r="Q23" s="263"/>
      <c r="R23" s="128"/>
      <c r="S23" s="263"/>
      <c r="T23" s="263"/>
      <c r="U23" s="263"/>
      <c r="V23" s="263"/>
      <c r="W23" s="263"/>
      <c r="X23" s="263"/>
      <c r="BQ23"/>
      <c r="BR23"/>
    </row>
    <row r="24" spans="10:75">
      <c r="J24"/>
      <c r="K24"/>
      <c r="L24"/>
      <c r="M24"/>
      <c r="N24"/>
      <c r="O24"/>
      <c r="Q24" s="263"/>
      <c r="R24" s="128"/>
      <c r="S24" s="263"/>
      <c r="T24" s="263"/>
      <c r="U24" s="263"/>
      <c r="V24" s="263"/>
      <c r="W24" s="263"/>
      <c r="X24" s="263"/>
      <c r="BQ24"/>
      <c r="BR24"/>
    </row>
    <row r="25" spans="10:75">
      <c r="J25"/>
      <c r="K25"/>
      <c r="L25"/>
      <c r="M25"/>
      <c r="N25"/>
      <c r="O25"/>
      <c r="Q25" s="263"/>
      <c r="R25" s="128"/>
      <c r="S25" s="263"/>
      <c r="T25" s="263"/>
      <c r="U25" s="263"/>
      <c r="V25" s="263"/>
      <c r="W25" s="263"/>
      <c r="X25" s="263"/>
      <c r="BQ25"/>
      <c r="BR25"/>
    </row>
    <row r="26" spans="10:75">
      <c r="J26"/>
      <c r="K26"/>
      <c r="L26"/>
      <c r="M26"/>
      <c r="N26"/>
      <c r="O26"/>
      <c r="Q26" s="263"/>
      <c r="R26" s="128"/>
      <c r="S26" s="263"/>
      <c r="T26" s="263"/>
      <c r="U26" s="263"/>
      <c r="V26" s="263"/>
      <c r="W26" s="263"/>
      <c r="X26" s="263"/>
      <c r="BQ26"/>
      <c r="BR26"/>
    </row>
    <row r="27" spans="10:75">
      <c r="J27"/>
      <c r="K27"/>
      <c r="L27"/>
      <c r="M27"/>
      <c r="N27"/>
      <c r="O27"/>
      <c r="Q27" s="263"/>
      <c r="R27" s="128"/>
      <c r="S27" s="263"/>
      <c r="T27" s="263"/>
      <c r="U27" s="263"/>
      <c r="V27" s="263"/>
      <c r="W27" s="263"/>
      <c r="X27" s="263"/>
      <c r="BQ27"/>
      <c r="BR27"/>
    </row>
    <row r="28" spans="10:75">
      <c r="J28"/>
      <c r="K28"/>
      <c r="L28"/>
      <c r="M28"/>
      <c r="N28"/>
      <c r="O28"/>
      <c r="Q28" s="263"/>
      <c r="R28" s="128"/>
      <c r="S28" s="263"/>
      <c r="T28" s="263"/>
      <c r="U28" s="263"/>
      <c r="V28" s="263"/>
      <c r="W28" s="263"/>
      <c r="X28" s="263"/>
      <c r="BQ28"/>
      <c r="BR28"/>
    </row>
    <row r="29" spans="10:75">
      <c r="J29"/>
      <c r="K29"/>
      <c r="L29"/>
      <c r="M29"/>
      <c r="N29"/>
      <c r="O29"/>
      <c r="Q29" s="263"/>
      <c r="R29" s="128"/>
      <c r="S29" s="263"/>
      <c r="T29" s="263"/>
      <c r="U29" s="263"/>
      <c r="V29" s="263"/>
      <c r="W29" s="263"/>
      <c r="X29" s="263"/>
      <c r="BQ29"/>
      <c r="BR29"/>
      <c r="BW29">
        <f>VLOOKUP(40,Tableau_Chanfreinage[Diametre],1,TRUE)</f>
        <v>37</v>
      </c>
    </row>
    <row r="30" spans="10:75">
      <c r="J30"/>
      <c r="K30"/>
      <c r="L30"/>
      <c r="M30"/>
      <c r="N30"/>
      <c r="O30"/>
      <c r="Q30" s="263"/>
      <c r="R30" s="128"/>
      <c r="S30" s="263"/>
      <c r="T30" s="263"/>
      <c r="U30" s="263"/>
      <c r="V30" s="263"/>
      <c r="W30" s="263"/>
      <c r="X30" s="263"/>
      <c r="BQ30"/>
      <c r="BR30"/>
      <c r="BV30">
        <v>70</v>
      </c>
      <c r="BW30">
        <f>INDEX(Tableau_Chanfreinage[Diametre],IF(ISNA( MATCH(BV30,Tableau_Chanfreinage[Diametre],1)),1,MATCH(BV30,Tableau_Chanfreinage[Diametre],1)+1))</f>
        <v>80</v>
      </c>
    </row>
    <row r="31" spans="10:75">
      <c r="J31"/>
      <c r="K31"/>
      <c r="L31"/>
      <c r="M31"/>
      <c r="N31"/>
      <c r="O31"/>
      <c r="Q31" s="263"/>
      <c r="R31" s="128"/>
      <c r="S31" s="263"/>
      <c r="T31" s="263"/>
      <c r="U31" s="263"/>
      <c r="V31" s="263"/>
      <c r="W31" s="263"/>
      <c r="X31" s="263"/>
      <c r="BQ31"/>
      <c r="BR31"/>
    </row>
    <row r="32" spans="10:75">
      <c r="J32"/>
      <c r="K32"/>
      <c r="L32"/>
      <c r="M32"/>
      <c r="N32"/>
      <c r="O32"/>
      <c r="Q32" s="263"/>
      <c r="R32" s="128"/>
      <c r="S32" s="263"/>
      <c r="T32" s="263"/>
      <c r="U32" s="263"/>
      <c r="V32" s="263"/>
      <c r="W32" s="263"/>
      <c r="X32" s="263"/>
      <c r="BQ32"/>
      <c r="BR32"/>
    </row>
    <row r="33" spans="10:70">
      <c r="J33"/>
      <c r="K33"/>
      <c r="L33"/>
      <c r="M33"/>
      <c r="N33"/>
      <c r="O33"/>
      <c r="Q33" s="263"/>
      <c r="R33" s="128"/>
      <c r="S33" s="263"/>
      <c r="T33" s="263"/>
      <c r="U33" s="263"/>
      <c r="V33" s="263"/>
      <c r="W33" s="263"/>
      <c r="X33" s="263"/>
      <c r="BQ33"/>
      <c r="BR33"/>
    </row>
    <row r="34" spans="10:70">
      <c r="J34"/>
      <c r="K34"/>
      <c r="L34"/>
      <c r="M34"/>
      <c r="N34"/>
      <c r="O34"/>
      <c r="Q34" s="263"/>
      <c r="R34" s="128"/>
      <c r="S34" s="263"/>
      <c r="T34" s="263"/>
      <c r="U34" s="263"/>
      <c r="V34" s="263"/>
      <c r="W34" s="263"/>
      <c r="X34" s="263"/>
      <c r="BQ34"/>
      <c r="BR34"/>
    </row>
    <row r="35" spans="10:70">
      <c r="J35"/>
      <c r="K35"/>
      <c r="L35"/>
      <c r="M35"/>
      <c r="N35"/>
      <c r="O35"/>
      <c r="Q35" s="263"/>
      <c r="R35" s="128"/>
      <c r="S35" s="263"/>
      <c r="T35" s="263"/>
      <c r="U35" s="263"/>
      <c r="V35" s="263"/>
      <c r="W35" s="263"/>
      <c r="X35" s="263"/>
      <c r="BQ35"/>
      <c r="BR35"/>
    </row>
    <row r="36" spans="10:70">
      <c r="J36"/>
      <c r="K36"/>
      <c r="L36"/>
      <c r="M36"/>
      <c r="N36"/>
      <c r="O36"/>
      <c r="Q36" s="263"/>
      <c r="R36" s="128"/>
      <c r="S36" s="263"/>
      <c r="T36" s="263"/>
      <c r="U36" s="263"/>
      <c r="V36" s="263"/>
      <c r="W36" s="263"/>
      <c r="X36" s="263"/>
      <c r="BQ36"/>
      <c r="BR36"/>
    </row>
    <row r="37" spans="10:70">
      <c r="J37"/>
      <c r="K37"/>
      <c r="L37"/>
      <c r="M37"/>
      <c r="N37"/>
      <c r="O37"/>
      <c r="Q37" s="263"/>
      <c r="R37" s="128"/>
      <c r="S37" s="263"/>
      <c r="T37" s="263"/>
      <c r="U37" s="263"/>
      <c r="V37" s="263"/>
      <c r="W37" s="263"/>
      <c r="X37" s="263"/>
      <c r="BQ37"/>
      <c r="BR37"/>
    </row>
    <row r="38" spans="10:70">
      <c r="J38"/>
      <c r="K38"/>
      <c r="L38"/>
      <c r="M38"/>
      <c r="N38"/>
      <c r="O38"/>
      <c r="Q38" s="263"/>
      <c r="R38" s="128"/>
      <c r="S38" s="263"/>
      <c r="T38" s="263"/>
      <c r="U38" s="263"/>
      <c r="V38" s="263"/>
      <c r="W38" s="263"/>
      <c r="X38" s="263"/>
      <c r="BQ38"/>
      <c r="BR38"/>
    </row>
    <row r="39" spans="10:70">
      <c r="J39"/>
      <c r="K39"/>
      <c r="L39"/>
      <c r="M39"/>
      <c r="N39"/>
      <c r="O39"/>
      <c r="Q39" s="263"/>
      <c r="R39" s="128"/>
      <c r="S39" s="263"/>
      <c r="T39" s="263"/>
      <c r="U39" s="263"/>
      <c r="V39" s="263"/>
      <c r="W39" s="263"/>
      <c r="X39" s="263"/>
      <c r="BQ39"/>
      <c r="BR39"/>
    </row>
    <row r="40" spans="10:70">
      <c r="J40"/>
      <c r="K40"/>
      <c r="L40"/>
      <c r="M40"/>
      <c r="N40"/>
      <c r="O40"/>
      <c r="Q40" s="263"/>
      <c r="R40" s="128"/>
      <c r="S40" s="263"/>
      <c r="T40" s="263"/>
      <c r="U40" s="263"/>
      <c r="V40" s="263"/>
      <c r="W40" s="263"/>
      <c r="X40" s="263"/>
      <c r="BQ40"/>
      <c r="BR40"/>
    </row>
    <row r="41" spans="10:70">
      <c r="J41"/>
      <c r="K41"/>
      <c r="L41"/>
      <c r="M41"/>
      <c r="N41"/>
      <c r="O41"/>
      <c r="Q41" s="263"/>
      <c r="R41" s="128"/>
      <c r="S41" s="263"/>
      <c r="T41" s="263"/>
      <c r="U41" s="263"/>
      <c r="V41" s="263"/>
      <c r="W41" s="263"/>
      <c r="X41" s="263"/>
      <c r="BQ41"/>
      <c r="BR41"/>
    </row>
    <row r="42" spans="10:70">
      <c r="J42"/>
      <c r="K42"/>
      <c r="L42"/>
      <c r="M42"/>
      <c r="N42"/>
      <c r="O42"/>
      <c r="Q42" s="263"/>
      <c r="R42" s="128"/>
      <c r="S42" s="263"/>
      <c r="T42" s="263"/>
      <c r="U42" s="263"/>
      <c r="V42" s="263"/>
      <c r="W42" s="263"/>
      <c r="X42" s="263"/>
      <c r="BQ42"/>
      <c r="BR42"/>
    </row>
    <row r="43" spans="10:70">
      <c r="J43"/>
      <c r="K43"/>
      <c r="L43"/>
      <c r="M43"/>
      <c r="N43"/>
      <c r="O43"/>
      <c r="Q43" s="263"/>
      <c r="R43" s="128"/>
      <c r="S43" s="263"/>
      <c r="T43" s="263"/>
      <c r="U43" s="263"/>
      <c r="V43" s="263"/>
      <c r="W43" s="263"/>
      <c r="X43" s="263"/>
      <c r="BQ43"/>
      <c r="BR43"/>
    </row>
    <row r="44" spans="10:70">
      <c r="J44"/>
      <c r="K44"/>
      <c r="L44"/>
      <c r="M44"/>
      <c r="N44"/>
      <c r="O44"/>
      <c r="Q44" s="263"/>
      <c r="R44" s="128"/>
      <c r="S44" s="263"/>
      <c r="T44" s="263"/>
      <c r="U44" s="263"/>
      <c r="V44" s="263"/>
      <c r="W44" s="263"/>
      <c r="X44" s="263"/>
      <c r="BQ44"/>
      <c r="BR44"/>
    </row>
    <row r="45" spans="10:70">
      <c r="J45"/>
      <c r="K45"/>
      <c r="L45"/>
      <c r="M45"/>
      <c r="N45"/>
      <c r="O45"/>
      <c r="Q45" s="263"/>
      <c r="R45" s="128"/>
      <c r="S45" s="263"/>
      <c r="T45" s="263"/>
      <c r="U45" s="263"/>
      <c r="V45" s="263"/>
      <c r="W45" s="263"/>
      <c r="X45" s="263"/>
      <c r="BQ45"/>
      <c r="BR45"/>
    </row>
    <row r="46" spans="10:70">
      <c r="J46"/>
      <c r="K46"/>
      <c r="L46"/>
      <c r="M46"/>
      <c r="N46"/>
      <c r="O46"/>
      <c r="Q46" s="263"/>
      <c r="R46" s="128"/>
      <c r="S46" s="263"/>
      <c r="T46" s="263"/>
      <c r="U46" s="263"/>
      <c r="V46" s="263"/>
      <c r="W46" s="263"/>
      <c r="X46" s="263"/>
      <c r="BQ46"/>
      <c r="BR46"/>
    </row>
    <row r="47" spans="10:70">
      <c r="J47"/>
      <c r="K47"/>
      <c r="L47"/>
      <c r="M47"/>
      <c r="N47"/>
      <c r="O47"/>
      <c r="Q47" s="263"/>
      <c r="R47" s="128"/>
      <c r="S47" s="263"/>
      <c r="T47" s="263"/>
      <c r="U47" s="263"/>
      <c r="V47" s="263"/>
      <c r="W47" s="263"/>
      <c r="X47" s="263"/>
      <c r="BQ47"/>
      <c r="BR47"/>
    </row>
    <row r="48" spans="10:70">
      <c r="J48"/>
      <c r="K48"/>
      <c r="L48"/>
      <c r="M48"/>
      <c r="N48"/>
      <c r="O48"/>
      <c r="Q48" s="263"/>
      <c r="R48" s="128"/>
      <c r="S48" s="263"/>
      <c r="T48" s="263"/>
      <c r="U48" s="263"/>
      <c r="V48" s="263"/>
      <c r="W48" s="263"/>
      <c r="X48" s="263"/>
      <c r="BQ48"/>
      <c r="BR48"/>
    </row>
    <row r="49" spans="10:70">
      <c r="J49"/>
      <c r="K49"/>
      <c r="L49"/>
      <c r="M49"/>
      <c r="N49"/>
      <c r="O49"/>
      <c r="BQ49"/>
      <c r="BR49"/>
    </row>
    <row r="50" spans="10:70">
      <c r="J50"/>
      <c r="K50"/>
      <c r="L50"/>
      <c r="M50"/>
      <c r="N50"/>
      <c r="O50"/>
      <c r="BQ50"/>
      <c r="BR50"/>
    </row>
    <row r="51" spans="10:70">
      <c r="J51"/>
      <c r="K51"/>
      <c r="L51"/>
      <c r="M51"/>
      <c r="N51"/>
      <c r="O51"/>
      <c r="BQ51"/>
      <c r="BR51"/>
    </row>
    <row r="52" spans="10:70">
      <c r="J52"/>
      <c r="K52"/>
      <c r="L52"/>
      <c r="M52"/>
      <c r="N52"/>
      <c r="O52"/>
      <c r="BQ52"/>
      <c r="BR52"/>
    </row>
    <row r="53" spans="10:70">
      <c r="J53"/>
      <c r="K53"/>
      <c r="L53"/>
      <c r="M53"/>
      <c r="N53"/>
      <c r="O53"/>
      <c r="BQ53"/>
      <c r="BR53"/>
    </row>
    <row r="54" spans="10:70">
      <c r="J54"/>
      <c r="K54"/>
      <c r="L54"/>
      <c r="M54"/>
      <c r="N54"/>
      <c r="O54"/>
      <c r="BQ54"/>
      <c r="BR54"/>
    </row>
    <row r="55" spans="10:70">
      <c r="J55"/>
      <c r="K55"/>
      <c r="L55"/>
      <c r="M55"/>
      <c r="N55"/>
      <c r="O55"/>
      <c r="BQ55"/>
      <c r="BR55"/>
    </row>
    <row r="56" spans="10:70">
      <c r="J56"/>
      <c r="K56"/>
      <c r="L56"/>
      <c r="M56"/>
      <c r="N56"/>
      <c r="O56"/>
      <c r="BQ56"/>
      <c r="BR56"/>
    </row>
    <row r="57" spans="10:70">
      <c r="J57"/>
      <c r="K57"/>
      <c r="L57"/>
      <c r="M57"/>
      <c r="N57"/>
      <c r="O57"/>
      <c r="BQ57"/>
      <c r="BR57"/>
    </row>
    <row r="58" spans="10:70">
      <c r="J58"/>
      <c r="K58"/>
      <c r="L58"/>
      <c r="M58"/>
      <c r="N58"/>
      <c r="O58"/>
      <c r="BQ58"/>
      <c r="BR58"/>
    </row>
    <row r="59" spans="10:70">
      <c r="J59"/>
      <c r="K59"/>
      <c r="L59"/>
      <c r="M59"/>
      <c r="N59"/>
      <c r="O59"/>
      <c r="BQ59"/>
      <c r="BR59"/>
    </row>
  </sheetData>
  <pageMargins left="0.7" right="0.7" top="0.75" bottom="0.75" header="0.3" footer="0.3"/>
  <pageSetup paperSize="9"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98" t="s">
        <v>1</v>
      </c>
      <c r="D1" s="298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298" t="s">
        <v>3996</v>
      </c>
      <c r="D98" s="298"/>
      <c r="E98" s="298"/>
    </row>
    <row r="99" spans="3:5" ht="16.5" thickTop="1" thickBot="1"/>
    <row r="100" spans="3:5" ht="26.25">
      <c r="C100" s="253" t="s">
        <v>2</v>
      </c>
      <c r="D100" s="254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53" t="s">
        <v>4</v>
      </c>
      <c r="D104" s="255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3997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3998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06" t="s">
        <v>6</v>
      </c>
      <c r="D1" s="306"/>
      <c r="E1" s="306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07" t="s">
        <v>0</v>
      </c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98" t="s">
        <v>7</v>
      </c>
      <c r="D1" s="298"/>
      <c r="E1" s="298"/>
      <c r="F1" s="298"/>
      <c r="G1" s="298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308">
        <f>C9+(2.5*D9)</f>
        <v>4.7500000000000001E-2</v>
      </c>
      <c r="D12" s="309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10" t="str">
        <f>IF(S18,"Matière inapte",CONCATENATE(P20," Ok"))</f>
        <v>Classe 2 Ok</v>
      </c>
      <c r="D15" s="310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mergeCells count="3">
    <mergeCell ref="C1:G1"/>
    <mergeCell ref="C12:D12"/>
    <mergeCell ref="C15:D15"/>
  </mergeCells>
  <conditionalFormatting sqref="G13">
    <cfRule type="expression" dxfId="27" priority="13">
      <formula>$P$14</formula>
    </cfRule>
    <cfRule type="expression" dxfId="26" priority="14">
      <formula>NOT($P$14)</formula>
    </cfRule>
  </conditionalFormatting>
  <conditionalFormatting sqref="H13">
    <cfRule type="expression" dxfId="25" priority="11">
      <formula>$Q$14</formula>
    </cfRule>
    <cfRule type="expression" dxfId="24" priority="12">
      <formula>NOT($Q$14)</formula>
    </cfRule>
  </conditionalFormatting>
  <conditionalFormatting sqref="I13">
    <cfRule type="expression" dxfId="23" priority="9">
      <formula>$R$14</formula>
    </cfRule>
    <cfRule type="expression" dxfId="22" priority="10">
      <formula>NOT($R$14)</formula>
    </cfRule>
  </conditionalFormatting>
  <conditionalFormatting sqref="I15">
    <cfRule type="expression" dxfId="21" priority="7">
      <formula>$R$16</formula>
    </cfRule>
    <cfRule type="expression" dxfId="20" priority="8">
      <formula>NOT($R$14)</formula>
    </cfRule>
  </conditionalFormatting>
  <conditionalFormatting sqref="H14">
    <cfRule type="expression" dxfId="19" priority="5">
      <formula>$Q$15</formula>
    </cfRule>
    <cfRule type="expression" dxfId="18" priority="6">
      <formula>NOT($Q$15)</formula>
    </cfRule>
  </conditionalFormatting>
  <conditionalFormatting sqref="G14">
    <cfRule type="expression" dxfId="17" priority="3">
      <formula>$P$15</formula>
    </cfRule>
    <cfRule type="expression" dxfId="16" priority="4">
      <formula>NOT($P$15)</formula>
    </cfRule>
  </conditionalFormatting>
  <conditionalFormatting sqref="C15:D15">
    <cfRule type="expression" dxfId="15" priority="1">
      <formula>NOT($S$18)</formula>
    </cfRule>
    <cfRule type="expression" dxfId="14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98" t="s">
        <v>23</v>
      </c>
      <c r="C1" s="298"/>
      <c r="D1" s="298"/>
      <c r="E1" s="298"/>
      <c r="F1" s="298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11" t="str">
        <f>IF(D10&lt;0,"Nakamura OK","Nakamura NON acceptable")</f>
        <v>Nakamura OK</v>
      </c>
      <c r="C13" s="311"/>
      <c r="D13" s="311"/>
      <c r="E13" s="311"/>
      <c r="F13" s="311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13" priority="1" stopIfTrue="1">
      <formula>NOT($M$11)</formula>
    </cfRule>
    <cfRule type="expression" dxfId="12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12" t="s">
        <v>28</v>
      </c>
      <c r="E2" s="312"/>
      <c r="F2" s="312"/>
      <c r="G2" s="312"/>
    </row>
    <row r="3" spans="2:16" ht="20.25" thickBot="1">
      <c r="D3" s="298" t="s">
        <v>29</v>
      </c>
      <c r="E3" s="298"/>
      <c r="F3" s="298"/>
      <c r="G3" s="298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313" t="s">
        <v>36</v>
      </c>
      <c r="H11" s="313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314" t="str">
        <f>VLOOKUP(E12,O9:P13,2)</f>
        <v>Très Bon</v>
      </c>
      <c r="H12" s="314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314" t="str">
        <f>VLOOKUP(E14,O9:P13,2)</f>
        <v>Excellent</v>
      </c>
      <c r="H14" s="314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cellIs" dxfId="11" priority="6" stopIfTrue="1" operator="equal">
      <formula>$P$13</formula>
    </cfRule>
    <cfRule type="cellIs" dxfId="10" priority="7" stopIfTrue="1" operator="equal">
      <formula>$P$12</formula>
    </cfRule>
    <cfRule type="cellIs" dxfId="9" priority="8" stopIfTrue="1" operator="equal">
      <formula>$P$11</formula>
    </cfRule>
    <cfRule type="cellIs" dxfId="8" priority="9" stopIfTrue="1" operator="equal">
      <formula>$P$10</formula>
    </cfRule>
    <cfRule type="cellIs" dxfId="7" priority="10" stopIfTrue="1" operator="equal">
      <formula>$P$9</formula>
    </cfRule>
  </conditionalFormatting>
  <conditionalFormatting sqref="G14:H14">
    <cfRule type="cellIs" dxfId="6" priority="1" stopIfTrue="1" operator="equal">
      <formula>$P$13</formula>
    </cfRule>
    <cfRule type="cellIs" dxfId="5" priority="2" stopIfTrue="1" operator="equal">
      <formula>$P$12</formula>
    </cfRule>
    <cfRule type="cellIs" dxfId="4" priority="3" stopIfTrue="1" operator="equal">
      <formula>$P$11</formula>
    </cfRule>
    <cfRule type="cellIs" dxfId="3" priority="4" stopIfTrue="1" operator="equal">
      <formula>$P$10</formula>
    </cfRule>
    <cfRule type="cellIs" dxfId="2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81" t="s">
        <v>56</v>
      </c>
      <c r="C2" s="281"/>
      <c r="D2" s="281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81" t="s">
        <v>63</v>
      </c>
      <c r="C19" s="281"/>
      <c r="D19" s="281"/>
      <c r="E19" s="281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81" t="s">
        <v>3905</v>
      </c>
      <c r="C2" s="281"/>
      <c r="D2" s="281"/>
      <c r="E2" s="281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315" t="s">
        <v>68</v>
      </c>
      <c r="G10" s="316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81" t="s">
        <v>63</v>
      </c>
      <c r="C19" s="281"/>
      <c r="D19" s="281"/>
      <c r="E19" s="281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/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81" t="s">
        <v>3902</v>
      </c>
      <c r="D1" s="281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245</v>
      </c>
      <c r="D6" s="160" t="s">
        <v>3881</v>
      </c>
      <c r="E6" s="162">
        <f>VLOOKUP(D6,S011_DesignationProfileExt,5,FALSE)</f>
        <v>1.6800000000000002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topLeftCell="B1" workbookViewId="0">
      <pane ySplit="1" topLeftCell="A2" activePane="bottomLeft" state="frozen"/>
      <selection pane="bottomLeft" activeCell="C3677" sqref="C3677"/>
    </sheetView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3677</v>
      </c>
      <c r="N1">
        <f>VLOOKUP('011_001'!C6,S011_TypeProfileExt,3,FALSE)</f>
        <v>3697</v>
      </c>
      <c r="P1" t="s">
        <v>3881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3882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3883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3884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3885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3886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3887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3888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3889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3890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3891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3892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3893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3894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3895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3896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3897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3898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3899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3900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3901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  <c r="P54" t="s">
        <v>300</v>
      </c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6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6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6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6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6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6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  <c r="P3094" t="s">
        <v>3870</v>
      </c>
    </row>
    <row r="3095" spans="1:16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6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6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6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6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6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6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6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6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6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5"/>
  <sheetViews>
    <sheetView topLeftCell="E1" zoomScale="82" zoomScaleNormal="82" workbookViewId="0">
      <selection activeCell="W19" sqref="W19"/>
    </sheetView>
  </sheetViews>
  <sheetFormatPr baseColWidth="10" defaultRowHeight="15"/>
  <cols>
    <col min="1" max="1" width="11.42578125" style="25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8" max="52" width="11.42578125" customWidth="1"/>
  </cols>
  <sheetData>
    <row r="2" spans="1:27" ht="15.75">
      <c r="G2" s="165"/>
      <c r="H2" s="165"/>
      <c r="I2" s="166" t="s">
        <v>3920</v>
      </c>
      <c r="J2" s="362">
        <v>41989.615844907406</v>
      </c>
      <c r="K2" s="362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</row>
    <row r="3" spans="1:27">
      <c r="B3" s="165"/>
      <c r="C3" s="165"/>
      <c r="D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</row>
    <row r="4" spans="1:27" ht="27" thickBot="1">
      <c r="A4" s="372" t="s">
        <v>3970</v>
      </c>
      <c r="B4" s="372"/>
      <c r="C4" s="372"/>
      <c r="D4" s="373"/>
      <c r="E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</row>
    <row r="5" spans="1:27" ht="21.75" thickBot="1">
      <c r="A5" s="196" t="s">
        <v>3999</v>
      </c>
      <c r="B5" s="196" t="s">
        <v>3921</v>
      </c>
      <c r="C5" s="197" t="s">
        <v>3922</v>
      </c>
      <c r="D5" s="168" t="s">
        <v>3923</v>
      </c>
      <c r="E5" s="165"/>
      <c r="F5" s="256">
        <f>F8-2*(N8-P8/2)</f>
        <v>2988</v>
      </c>
      <c r="G5" s="256">
        <f>G8-2*(N8-P8/2)</f>
        <v>1488</v>
      </c>
      <c r="H5" s="256"/>
      <c r="I5" s="256"/>
      <c r="J5" s="256">
        <f>J8</f>
        <v>100</v>
      </c>
      <c r="K5" s="256">
        <f>K8</f>
        <v>0</v>
      </c>
      <c r="L5" s="256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</row>
    <row r="6" spans="1:27" ht="19.5" thickBot="1">
      <c r="A6" s="374">
        <f>U22</f>
        <v>0.95287611019615315</v>
      </c>
      <c r="B6" s="363">
        <f>V22</f>
        <v>0.43173107771030694</v>
      </c>
      <c r="C6" s="366">
        <f>W22</f>
        <v>0.41326571823000657</v>
      </c>
      <c r="D6" s="169" t="s">
        <v>3924</v>
      </c>
      <c r="E6" s="369" t="s">
        <v>3925</v>
      </c>
      <c r="F6" s="331" t="s">
        <v>3926</v>
      </c>
      <c r="G6" s="332"/>
      <c r="H6" s="332"/>
      <c r="I6" s="333"/>
      <c r="J6" s="347" t="s">
        <v>3925</v>
      </c>
      <c r="K6" s="348"/>
      <c r="L6" s="345" t="str">
        <f>CONCATENATE("Quantité (max:",U11*V11,")")</f>
        <v>Quantité (max:351)</v>
      </c>
      <c r="M6" s="346"/>
      <c r="N6" s="331" t="s">
        <v>3915</v>
      </c>
      <c r="O6" s="332"/>
      <c r="P6" s="332"/>
      <c r="Q6" s="333"/>
      <c r="R6" s="331" t="s">
        <v>3928</v>
      </c>
      <c r="S6" s="332"/>
      <c r="T6" s="333"/>
      <c r="U6" s="331" t="s">
        <v>3929</v>
      </c>
      <c r="V6" s="332"/>
      <c r="W6" s="333"/>
      <c r="X6" s="331" t="s">
        <v>3930</v>
      </c>
      <c r="Y6" s="332"/>
      <c r="Z6" s="333"/>
      <c r="AA6" s="257" t="s">
        <v>4000</v>
      </c>
    </row>
    <row r="7" spans="1:27" ht="15.75" thickBot="1">
      <c r="A7" s="375"/>
      <c r="B7" s="364"/>
      <c r="C7" s="367"/>
      <c r="D7" s="336">
        <v>1</v>
      </c>
      <c r="E7" s="370"/>
      <c r="F7" s="170" t="s">
        <v>2</v>
      </c>
      <c r="G7" s="171" t="s">
        <v>3</v>
      </c>
      <c r="H7" s="338" t="s">
        <v>3931</v>
      </c>
      <c r="I7" s="339"/>
      <c r="J7" s="170" t="s">
        <v>3932</v>
      </c>
      <c r="K7" s="172" t="s">
        <v>3933</v>
      </c>
      <c r="L7" s="323">
        <v>27</v>
      </c>
      <c r="M7" s="324"/>
      <c r="N7" s="340" t="s">
        <v>3946</v>
      </c>
      <c r="O7" s="341"/>
      <c r="P7" s="342" t="s">
        <v>3947</v>
      </c>
      <c r="Q7" s="339"/>
      <c r="R7" s="173" t="s">
        <v>3934</v>
      </c>
      <c r="S7" s="174" t="s">
        <v>3935</v>
      </c>
      <c r="T7" s="175" t="s">
        <v>3936</v>
      </c>
      <c r="U7" s="173" t="s">
        <v>2</v>
      </c>
      <c r="V7" s="174" t="s">
        <v>3</v>
      </c>
      <c r="W7" s="175" t="s">
        <v>3937</v>
      </c>
      <c r="X7" s="173" t="s">
        <v>2</v>
      </c>
      <c r="Y7" s="174" t="s">
        <v>3</v>
      </c>
      <c r="Z7" s="175" t="s">
        <v>3937</v>
      </c>
      <c r="AA7" s="175" t="str">
        <f>Z7</f>
        <v>Surface</v>
      </c>
    </row>
    <row r="8" spans="1:27" ht="16.5" thickBot="1">
      <c r="A8" s="376"/>
      <c r="B8" s="365"/>
      <c r="C8" s="368"/>
      <c r="D8" s="337"/>
      <c r="E8" s="371"/>
      <c r="F8" s="176">
        <v>3000</v>
      </c>
      <c r="G8" s="176">
        <v>1500</v>
      </c>
      <c r="H8" s="177">
        <f>I8/G8</f>
        <v>3.8666666666666669E-2</v>
      </c>
      <c r="I8" s="178">
        <f>G8-V8</f>
        <v>58</v>
      </c>
      <c r="J8" s="176">
        <v>100</v>
      </c>
      <c r="K8" s="176"/>
      <c r="N8" s="343">
        <v>11</v>
      </c>
      <c r="O8" s="344"/>
      <c r="P8" s="334">
        <v>10</v>
      </c>
      <c r="Q8" s="335"/>
      <c r="R8" s="180">
        <f>(L7*PI()*POWER(J8/2,2))/1000000</f>
        <v>0.21205750411731103</v>
      </c>
      <c r="S8" s="181">
        <f>(L7*PI()*POWER(K8/2,2))/1000000</f>
        <v>0</v>
      </c>
      <c r="T8" s="182">
        <f>R8-S8</f>
        <v>0.21205750411731103</v>
      </c>
      <c r="U8" s="183">
        <f>W17</f>
        <v>342</v>
      </c>
      <c r="V8" s="184">
        <f>W19</f>
        <v>1442</v>
      </c>
      <c r="W8" s="185">
        <f>(U8*V8)/1000000-Q12</f>
        <v>0.373164</v>
      </c>
      <c r="X8" s="183">
        <f>U8</f>
        <v>342</v>
      </c>
      <c r="Y8" s="186">
        <f>G8</f>
        <v>1500</v>
      </c>
      <c r="Z8" s="187">
        <f>(X8*Y8)/1000000</f>
        <v>0.51300000000000001</v>
      </c>
      <c r="AA8" s="185">
        <f>F8*G8/1000000</f>
        <v>4.5</v>
      </c>
    </row>
    <row r="9" spans="1:27" ht="19.5" customHeight="1" thickBot="1">
      <c r="A9" s="357" t="s">
        <v>3938</v>
      </c>
      <c r="B9" s="357"/>
      <c r="C9" s="358"/>
      <c r="D9" s="169" t="s">
        <v>3939</v>
      </c>
      <c r="F9" s="328" t="s">
        <v>3940</v>
      </c>
      <c r="G9" s="329"/>
      <c r="H9" s="329"/>
      <c r="I9" s="330"/>
      <c r="J9" s="345" t="s">
        <v>3941</v>
      </c>
      <c r="K9" s="346"/>
      <c r="N9" s="189"/>
      <c r="O9" s="189"/>
      <c r="P9" s="189"/>
      <c r="Q9" s="189"/>
      <c r="R9" s="328" t="s">
        <v>3941</v>
      </c>
      <c r="S9" s="329"/>
      <c r="T9" s="330"/>
      <c r="U9" s="317" t="s">
        <v>3942</v>
      </c>
      <c r="V9" s="317"/>
      <c r="W9" s="317"/>
      <c r="X9" s="317"/>
      <c r="Y9" s="189"/>
    </row>
    <row r="10" spans="1:27" ht="19.5" thickBot="1">
      <c r="A10" s="209">
        <f>U23</f>
        <v>0.95287611019615315</v>
      </c>
      <c r="B10" s="190">
        <f>V23</f>
        <v>0.43173107771030694</v>
      </c>
      <c r="C10" s="191">
        <f>W23</f>
        <v>0.41326571823000657</v>
      </c>
      <c r="D10" s="192">
        <v>1</v>
      </c>
      <c r="E10" s="193"/>
      <c r="F10" s="318">
        <f>D7*I8</f>
        <v>58</v>
      </c>
      <c r="G10" s="319"/>
      <c r="H10" s="319"/>
      <c r="I10" s="320"/>
      <c r="J10" s="321">
        <f>IF(K8&gt;0,1/SQRT(2)*K8,0)</f>
        <v>0</v>
      </c>
      <c r="K10" s="322"/>
      <c r="N10" s="256">
        <f>ROUNDDOWN(L7/V11,0)</f>
        <v>2</v>
      </c>
      <c r="O10" s="256">
        <f>L7-N10*V11</f>
        <v>1</v>
      </c>
      <c r="P10" s="256">
        <f>N10*V11+O10</f>
        <v>27</v>
      </c>
      <c r="Q10" s="256">
        <f>O35*P35-P10</f>
        <v>12</v>
      </c>
      <c r="R10" s="325">
        <f>(L7*POWER(J10,2))/1000000</f>
        <v>0</v>
      </c>
      <c r="S10" s="326"/>
      <c r="T10" s="327"/>
      <c r="U10">
        <f>U8</f>
        <v>342</v>
      </c>
      <c r="V10">
        <f>(G8-V8)*D7</f>
        <v>58</v>
      </c>
      <c r="W10">
        <v>0</v>
      </c>
      <c r="X10">
        <f>W8+W10*D7</f>
        <v>0.373164</v>
      </c>
      <c r="Y10" s="132">
        <f>G8-V8</f>
        <v>58</v>
      </c>
    </row>
    <row r="11" spans="1:27">
      <c r="N11" s="256">
        <f>2*N8+N10*J8+(N10-1)*P8</f>
        <v>232</v>
      </c>
      <c r="O11" s="256">
        <f>2*N8+(O10-1)*P8+O10*J8</f>
        <v>122</v>
      </c>
      <c r="P11" s="256"/>
      <c r="Q11" s="256">
        <f>Q10*N11*(2*AH4+10+J8)/1000000</f>
        <v>0.30624000000000001</v>
      </c>
      <c r="U11" s="263">
        <f>ROUNDDOWN(F5/(U17),0)</f>
        <v>27</v>
      </c>
      <c r="V11">
        <f>ROUNDDOWN(G5/(U19),0)</f>
        <v>13</v>
      </c>
    </row>
    <row r="12" spans="1:27">
      <c r="N12" s="256"/>
      <c r="O12" s="256"/>
      <c r="P12" s="256"/>
      <c r="Q12" s="256">
        <f>Q10*(J8+2*AH4)*(J8+2*AH4)/1000000</f>
        <v>0.12</v>
      </c>
      <c r="U12" s="317" t="s">
        <v>3945</v>
      </c>
      <c r="V12" s="317"/>
      <c r="W12" s="317"/>
    </row>
    <row r="13" spans="1:27" ht="72" customHeight="1" thickBot="1">
      <c r="N13" s="189"/>
      <c r="O13" s="189"/>
      <c r="P13" s="189"/>
      <c r="Q13" s="189"/>
      <c r="U13" s="188">
        <f>PI()*(J8+K8)*L7/1000</f>
        <v>8.4823001646924414</v>
      </c>
    </row>
    <row r="14" spans="1:27" ht="23.25">
      <c r="B14" s="359" t="s">
        <v>3951</v>
      </c>
      <c r="C14" s="360"/>
      <c r="D14" s="360"/>
      <c r="E14" s="360"/>
      <c r="F14" s="360"/>
      <c r="G14" s="360" t="s">
        <v>3952</v>
      </c>
      <c r="H14" s="360"/>
      <c r="I14" s="360"/>
      <c r="J14" s="360"/>
      <c r="K14" s="360"/>
      <c r="L14" s="360"/>
      <c r="M14" s="361"/>
    </row>
    <row r="15" spans="1:27">
      <c r="B15" s="349"/>
      <c r="C15" s="350"/>
      <c r="D15" s="350"/>
      <c r="E15" s="350"/>
      <c r="F15" s="350"/>
      <c r="G15" s="353"/>
      <c r="H15" s="353"/>
      <c r="I15" s="353"/>
      <c r="J15" s="353"/>
      <c r="K15" s="353"/>
      <c r="L15" s="353"/>
      <c r="M15" s="354"/>
    </row>
    <row r="16" spans="1:27">
      <c r="B16" s="349"/>
      <c r="C16" s="350"/>
      <c r="D16" s="350"/>
      <c r="E16" s="350"/>
      <c r="F16" s="350"/>
      <c r="G16" s="353"/>
      <c r="H16" s="353"/>
      <c r="I16" s="353"/>
      <c r="J16" s="353"/>
      <c r="K16" s="353"/>
      <c r="L16" s="353"/>
      <c r="M16" s="354"/>
      <c r="U16" s="173" t="s">
        <v>4002</v>
      </c>
      <c r="V16" s="173" t="s">
        <v>4003</v>
      </c>
      <c r="W16" s="173" t="s">
        <v>4004</v>
      </c>
    </row>
    <row r="17" spans="2:24" ht="15.75" thickBot="1">
      <c r="B17" s="349"/>
      <c r="C17" s="350"/>
      <c r="D17" s="350"/>
      <c r="E17" s="350"/>
      <c r="F17" s="350"/>
      <c r="G17" s="353"/>
      <c r="H17" s="353"/>
      <c r="I17" s="353"/>
      <c r="J17" s="353"/>
      <c r="K17" s="353"/>
      <c r="L17" s="353"/>
      <c r="M17" s="354"/>
      <c r="U17" s="183">
        <f>J8+P8</f>
        <v>110</v>
      </c>
      <c r="V17" s="183">
        <f>(N8-P8/2)</f>
        <v>6</v>
      </c>
      <c r="W17" s="183">
        <f>U17*O35+2*V17</f>
        <v>342</v>
      </c>
    </row>
    <row r="18" spans="2:24">
      <c r="B18" s="349"/>
      <c r="C18" s="350"/>
      <c r="D18" s="350"/>
      <c r="E18" s="350"/>
      <c r="F18" s="350"/>
      <c r="G18" s="353"/>
      <c r="H18" s="353"/>
      <c r="I18" s="353"/>
      <c r="J18" s="353"/>
      <c r="K18" s="353"/>
      <c r="L18" s="353"/>
      <c r="M18" s="354"/>
      <c r="U18" s="173" t="s">
        <v>4005</v>
      </c>
      <c r="V18" s="173" t="s">
        <v>4006</v>
      </c>
      <c r="W18" s="173" t="s">
        <v>4007</v>
      </c>
    </row>
    <row r="19" spans="2:24" ht="15.75" thickBot="1">
      <c r="B19" s="349"/>
      <c r="C19" s="350"/>
      <c r="D19" s="350"/>
      <c r="E19" s="350"/>
      <c r="F19" s="350"/>
      <c r="G19" s="353"/>
      <c r="H19" s="353"/>
      <c r="I19" s="353"/>
      <c r="J19" s="353"/>
      <c r="K19" s="353"/>
      <c r="L19" s="353"/>
      <c r="M19" s="354"/>
      <c r="U19" s="183">
        <f>U17</f>
        <v>110</v>
      </c>
      <c r="V19" s="183">
        <f>V17</f>
        <v>6</v>
      </c>
      <c r="W19" s="183">
        <f>U19*P35+2*V19</f>
        <v>1442</v>
      </c>
    </row>
    <row r="20" spans="2:24">
      <c r="B20" s="349"/>
      <c r="C20" s="350"/>
      <c r="D20" s="350"/>
      <c r="E20" s="350"/>
      <c r="F20" s="350"/>
      <c r="G20" s="353"/>
      <c r="H20" s="353"/>
      <c r="I20" s="353"/>
      <c r="J20" s="353"/>
      <c r="K20" s="353"/>
      <c r="L20" s="353"/>
      <c r="M20" s="354"/>
    </row>
    <row r="21" spans="2:24">
      <c r="B21" s="349"/>
      <c r="C21" s="350"/>
      <c r="D21" s="350"/>
      <c r="E21" s="350"/>
      <c r="F21" s="350"/>
      <c r="G21" s="353"/>
      <c r="H21" s="353"/>
      <c r="I21" s="353"/>
      <c r="J21" s="353"/>
      <c r="K21" s="353"/>
      <c r="L21" s="353"/>
      <c r="M21" s="354"/>
      <c r="V21" s="188"/>
      <c r="W21" s="199">
        <f>(N11*Y8+(X8-N11)*O11)/1000000-X21</f>
        <v>0.36142000000000002</v>
      </c>
      <c r="X21" s="200">
        <f>(I8*(1-D7)*N11)/1000000</f>
        <v>0</v>
      </c>
    </row>
    <row r="22" spans="2:24">
      <c r="B22" s="349"/>
      <c r="C22" s="350"/>
      <c r="D22" s="350"/>
      <c r="E22" s="350"/>
      <c r="F22" s="350"/>
      <c r="G22" s="353"/>
      <c r="H22" s="353"/>
      <c r="I22" s="353"/>
      <c r="J22" s="353"/>
      <c r="K22" s="353"/>
      <c r="L22" s="353"/>
      <c r="M22" s="354"/>
      <c r="U22" s="189">
        <f>1-(R8/AA8)</f>
        <v>0.95287611019615315</v>
      </c>
      <c r="V22" s="193">
        <f>1-(T8/W8)</f>
        <v>0.43173107771030694</v>
      </c>
      <c r="W22" s="193">
        <f>1-(T8/W21)</f>
        <v>0.41326571823000657</v>
      </c>
      <c r="X22" s="188" t="s">
        <v>3949</v>
      </c>
    </row>
    <row r="23" spans="2:24">
      <c r="B23" s="349"/>
      <c r="C23" s="350"/>
      <c r="D23" s="350"/>
      <c r="E23" s="350"/>
      <c r="F23" s="350"/>
      <c r="G23" s="353"/>
      <c r="H23" s="353"/>
      <c r="I23" s="353"/>
      <c r="J23" s="353"/>
      <c r="K23" s="353"/>
      <c r="L23" s="353"/>
      <c r="M23" s="354"/>
      <c r="U23" s="189">
        <f>1-((R8-(D10)*S8)/AA8)</f>
        <v>0.95287611019615315</v>
      </c>
      <c r="V23" s="193">
        <f>1-((T8+R10*D10)/W8)</f>
        <v>0.43173107771030694</v>
      </c>
      <c r="W23" s="193">
        <f>1-((T8+R10*D10)/W21)</f>
        <v>0.41326571823000657</v>
      </c>
      <c r="X23" s="188" t="s">
        <v>3950</v>
      </c>
    </row>
    <row r="24" spans="2:24">
      <c r="B24" s="349"/>
      <c r="C24" s="350"/>
      <c r="D24" s="350"/>
      <c r="E24" s="350"/>
      <c r="F24" s="350"/>
      <c r="G24" s="353"/>
      <c r="H24" s="353"/>
      <c r="I24" s="353"/>
      <c r="J24" s="353"/>
      <c r="K24" s="353"/>
      <c r="L24" s="353"/>
      <c r="M24" s="354"/>
    </row>
    <row r="25" spans="2:24">
      <c r="B25" s="349"/>
      <c r="C25" s="350"/>
      <c r="D25" s="350"/>
      <c r="E25" s="350"/>
      <c r="F25" s="350"/>
      <c r="G25" s="353"/>
      <c r="H25" s="353"/>
      <c r="I25" s="353"/>
      <c r="J25" s="353"/>
      <c r="K25" s="353"/>
      <c r="L25" s="353"/>
      <c r="M25" s="354"/>
    </row>
    <row r="26" spans="2:24">
      <c r="B26" s="349"/>
      <c r="C26" s="350"/>
      <c r="D26" s="350"/>
      <c r="E26" s="350"/>
      <c r="F26" s="350"/>
      <c r="G26" s="353"/>
      <c r="H26" s="353"/>
      <c r="I26" s="353"/>
      <c r="J26" s="353"/>
      <c r="K26" s="353"/>
      <c r="L26" s="353"/>
      <c r="M26" s="354"/>
    </row>
    <row r="27" spans="2:24">
      <c r="B27" s="349"/>
      <c r="C27" s="350"/>
      <c r="D27" s="350"/>
      <c r="E27" s="350"/>
      <c r="F27" s="350"/>
      <c r="G27" s="353"/>
      <c r="H27" s="353"/>
      <c r="I27" s="353"/>
      <c r="J27" s="353"/>
      <c r="K27" s="353"/>
      <c r="L27" s="353"/>
      <c r="M27" s="354"/>
    </row>
    <row r="28" spans="2:24">
      <c r="B28" s="349"/>
      <c r="C28" s="350"/>
      <c r="D28" s="350"/>
      <c r="E28" s="350"/>
      <c r="F28" s="350"/>
      <c r="G28" s="353"/>
      <c r="H28" s="353"/>
      <c r="I28" s="353"/>
      <c r="J28" s="353"/>
      <c r="K28" s="353"/>
      <c r="L28" s="353"/>
      <c r="M28" s="354"/>
    </row>
    <row r="29" spans="2:24">
      <c r="B29" s="349"/>
      <c r="C29" s="350"/>
      <c r="D29" s="350"/>
      <c r="E29" s="350"/>
      <c r="F29" s="350"/>
      <c r="G29" s="353"/>
      <c r="H29" s="353"/>
      <c r="I29" s="353"/>
      <c r="J29" s="353"/>
      <c r="K29" s="353"/>
      <c r="L29" s="353"/>
      <c r="M29" s="354"/>
    </row>
    <row r="30" spans="2:24" ht="15.75" thickBot="1">
      <c r="B30" s="351"/>
      <c r="C30" s="352"/>
      <c r="D30" s="352"/>
      <c r="E30" s="352"/>
      <c r="F30" s="352"/>
      <c r="G30" s="355"/>
      <c r="H30" s="355"/>
      <c r="I30" s="355"/>
      <c r="J30" s="355"/>
      <c r="K30" s="355"/>
      <c r="L30" s="355"/>
      <c r="M30" s="356"/>
    </row>
    <row r="32" spans="2:24" ht="15.75" thickBot="1"/>
    <row r="33" spans="15:16" ht="18.75">
      <c r="O33" s="347" t="s">
        <v>3927</v>
      </c>
      <c r="P33" s="348"/>
    </row>
    <row r="34" spans="15:16">
      <c r="O34" s="170" t="str">
        <f>CONCATENATE("X:(max:",U11,")")</f>
        <v>X:(max:27)</v>
      </c>
      <c r="P34" s="170" t="str">
        <f>CONCATENATE("Y:(max:",V11,")")</f>
        <v>Y:(max:13)</v>
      </c>
    </row>
    <row r="35" spans="15:16" ht="15.75" thickBot="1">
      <c r="O35" s="179">
        <f>IF(N10=0,1,IF(MOD(L7,V11)=0,N10,N10+1))</f>
        <v>3</v>
      </c>
      <c r="P35" s="179">
        <f>IF(L7&lt;V11,L7,V11)</f>
        <v>13</v>
      </c>
    </row>
  </sheetData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U12:W12"/>
    <mergeCell ref="U9:X9"/>
    <mergeCell ref="F10:I10"/>
    <mergeCell ref="J10:K10"/>
    <mergeCell ref="L7:M7"/>
    <mergeCell ref="R10:T10"/>
    <mergeCell ref="R9:T9"/>
  </mergeCells>
  <conditionalFormatting sqref="J9:K10 N9:T9 R10 B10:E10 D9:E9 A9 A10">
    <cfRule type="expression" dxfId="1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6"/>
  <sheetViews>
    <sheetView topLeftCell="H1" zoomScale="98" zoomScaleNormal="98" workbookViewId="0">
      <selection activeCell="U11" sqref="U11"/>
    </sheetView>
  </sheetViews>
  <sheetFormatPr baseColWidth="10" defaultRowHeight="15"/>
  <cols>
    <col min="1" max="1" width="9" style="25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customWidth="1"/>
    <col min="27" max="27" width="15.140625" customWidth="1"/>
    <col min="28" max="49" width="11.42578125" customWidth="1"/>
  </cols>
  <sheetData>
    <row r="1" spans="1:27"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</row>
    <row r="2" spans="1:27" ht="15.75">
      <c r="G2" s="165"/>
      <c r="H2" s="165"/>
      <c r="I2" s="166" t="s">
        <v>3920</v>
      </c>
      <c r="J2" s="362">
        <v>41990.334930555553</v>
      </c>
      <c r="K2" s="362"/>
      <c r="L2" s="198"/>
      <c r="M2" s="198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</row>
    <row r="3" spans="1:27">
      <c r="B3" s="165"/>
      <c r="C3" s="165"/>
      <c r="D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</row>
    <row r="4" spans="1:27" ht="27" thickBot="1">
      <c r="A4" s="390" t="s">
        <v>3969</v>
      </c>
      <c r="B4" s="390"/>
      <c r="C4" s="390"/>
      <c r="D4" s="391"/>
      <c r="E4" s="165"/>
      <c r="F4" s="198"/>
      <c r="G4" s="198"/>
      <c r="H4" s="198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</row>
    <row r="5" spans="1:27" ht="21.75" thickBot="1">
      <c r="A5" s="196" t="s">
        <v>3999</v>
      </c>
      <c r="B5" s="196" t="s">
        <v>3921</v>
      </c>
      <c r="C5" s="202" t="s">
        <v>3922</v>
      </c>
      <c r="D5" s="168" t="s">
        <v>3923</v>
      </c>
      <c r="E5" s="203"/>
      <c r="F5" s="256">
        <f>F8-2*(N8-P8/2)</f>
        <v>1988</v>
      </c>
      <c r="G5" s="256">
        <f>G8-2*(N8-P8/2)</f>
        <v>988</v>
      </c>
      <c r="H5" s="256"/>
      <c r="I5" s="256"/>
      <c r="J5" s="256">
        <f>J8</f>
        <v>100</v>
      </c>
      <c r="K5" s="256">
        <f>K8</f>
        <v>90</v>
      </c>
      <c r="L5" s="256"/>
      <c r="M5" s="256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</row>
    <row r="6" spans="1:27" ht="19.5" thickBot="1">
      <c r="A6" s="374">
        <f>U22</f>
        <v>0.99099999999999999</v>
      </c>
      <c r="B6" s="374">
        <f>V22</f>
        <v>0.33145149309166544</v>
      </c>
      <c r="C6" s="392">
        <f>W22</f>
        <v>0.44512946979038226</v>
      </c>
      <c r="D6" s="169" t="s">
        <v>3924</v>
      </c>
      <c r="E6" s="395" t="s">
        <v>3953</v>
      </c>
      <c r="F6" s="331" t="s">
        <v>3926</v>
      </c>
      <c r="G6" s="332"/>
      <c r="H6" s="332"/>
      <c r="I6" s="333"/>
      <c r="J6" s="347" t="s">
        <v>3954</v>
      </c>
      <c r="K6" s="348"/>
      <c r="L6" s="347" t="s">
        <v>3955</v>
      </c>
      <c r="M6" s="348"/>
      <c r="N6" s="347" t="s">
        <v>3915</v>
      </c>
      <c r="O6" s="348"/>
      <c r="P6" s="348"/>
      <c r="Q6" s="387"/>
      <c r="R6" s="331" t="s">
        <v>3928</v>
      </c>
      <c r="S6" s="332"/>
      <c r="T6" s="333"/>
      <c r="U6" s="331" t="s">
        <v>3929</v>
      </c>
      <c r="V6" s="332"/>
      <c r="W6" s="333"/>
      <c r="X6" s="331" t="s">
        <v>3930</v>
      </c>
      <c r="Y6" s="332"/>
      <c r="Z6" s="333"/>
      <c r="AA6" s="257" t="s">
        <v>4000</v>
      </c>
    </row>
    <row r="7" spans="1:27" ht="15.75" thickBot="1">
      <c r="A7" s="375"/>
      <c r="B7" s="375"/>
      <c r="C7" s="393"/>
      <c r="D7" s="336">
        <v>1</v>
      </c>
      <c r="E7" s="396"/>
      <c r="F7" s="204" t="s">
        <v>2</v>
      </c>
      <c r="G7" s="171" t="s">
        <v>3</v>
      </c>
      <c r="H7" s="338" t="s">
        <v>3931</v>
      </c>
      <c r="I7" s="339"/>
      <c r="J7" s="204" t="s">
        <v>2</v>
      </c>
      <c r="K7" s="171" t="s">
        <v>3</v>
      </c>
      <c r="L7" s="204" t="s">
        <v>2</v>
      </c>
      <c r="M7" s="171" t="s">
        <v>3</v>
      </c>
      <c r="N7" s="340" t="s">
        <v>3960</v>
      </c>
      <c r="O7" s="341"/>
      <c r="P7" s="342" t="s">
        <v>3947</v>
      </c>
      <c r="Q7" s="377"/>
      <c r="R7" s="173" t="s">
        <v>3934</v>
      </c>
      <c r="S7" s="174" t="s">
        <v>3935</v>
      </c>
      <c r="T7" s="175" t="s">
        <v>3936</v>
      </c>
      <c r="U7" s="173" t="s">
        <v>2</v>
      </c>
      <c r="V7" s="174" t="s">
        <v>3</v>
      </c>
      <c r="W7" s="175" t="s">
        <v>3937</v>
      </c>
      <c r="X7" s="173" t="s">
        <v>2</v>
      </c>
      <c r="Y7" s="174" t="s">
        <v>3</v>
      </c>
      <c r="Z7" s="175" t="s">
        <v>3937</v>
      </c>
      <c r="AA7" s="175" t="str">
        <f>Z7</f>
        <v>Surface</v>
      </c>
    </row>
    <row r="8" spans="1:27" ht="16.5" thickBot="1">
      <c r="A8" s="376"/>
      <c r="B8" s="376"/>
      <c r="C8" s="394"/>
      <c r="D8" s="337"/>
      <c r="E8" s="397"/>
      <c r="F8" s="176">
        <v>2000</v>
      </c>
      <c r="G8" s="176">
        <v>1000</v>
      </c>
      <c r="H8" s="177">
        <f>I8/G8</f>
        <v>0.78800000000000003</v>
      </c>
      <c r="I8" s="178">
        <f>G8-V8</f>
        <v>788</v>
      </c>
      <c r="J8" s="176">
        <v>100</v>
      </c>
      <c r="K8" s="205">
        <v>90</v>
      </c>
      <c r="L8" s="176"/>
      <c r="M8" s="176"/>
      <c r="N8" s="378">
        <v>11</v>
      </c>
      <c r="O8" s="344"/>
      <c r="P8" s="334">
        <v>10</v>
      </c>
      <c r="Q8" s="335"/>
      <c r="R8" s="206">
        <f xml:space="preserve"> (J8*K8*J10)/1000000</f>
        <v>1.7999999999999999E-2</v>
      </c>
      <c r="S8" s="207">
        <f>(L8*M8*J10)/1000000</f>
        <v>0</v>
      </c>
      <c r="T8" s="185">
        <f>R8-S8</f>
        <v>1.7999999999999999E-2</v>
      </c>
      <c r="U8" s="183">
        <f>W17</f>
        <v>127</v>
      </c>
      <c r="V8" s="186">
        <f>W19</f>
        <v>212</v>
      </c>
      <c r="W8" s="185">
        <f>((U8*V8))/1000000-U36</f>
        <v>2.6924E-2</v>
      </c>
      <c r="X8" s="183">
        <f>U8</f>
        <v>127</v>
      </c>
      <c r="Y8" s="184">
        <f>G8</f>
        <v>1000</v>
      </c>
      <c r="Z8" s="185">
        <f>W8+W10</f>
        <v>0.127</v>
      </c>
      <c r="AA8" s="185">
        <f>F8*G8/1000000</f>
        <v>2</v>
      </c>
    </row>
    <row r="9" spans="1:27" ht="19.5" customHeight="1" thickBot="1">
      <c r="A9" s="357" t="s">
        <v>3956</v>
      </c>
      <c r="B9" s="357"/>
      <c r="C9" s="358"/>
      <c r="D9" s="208" t="s">
        <v>3957</v>
      </c>
      <c r="E9" s="198"/>
      <c r="F9" s="385" t="s">
        <v>3940</v>
      </c>
      <c r="G9" s="386"/>
      <c r="H9" s="329"/>
      <c r="I9" s="330"/>
      <c r="J9" s="345" t="str">
        <f>CONCATENATE("Quantité (max:",U11*V11,")")</f>
        <v>Quantité (max:153)</v>
      </c>
      <c r="K9" s="346"/>
      <c r="R9" s="189"/>
      <c r="S9" s="189">
        <f>S8*(1-D10)</f>
        <v>0</v>
      </c>
      <c r="T9" s="189"/>
      <c r="U9" s="384" t="s">
        <v>3942</v>
      </c>
      <c r="V9" s="384"/>
      <c r="W9" s="384"/>
      <c r="X9" s="384"/>
      <c r="Y9" s="198"/>
      <c r="Z9" s="198"/>
    </row>
    <row r="10" spans="1:27" ht="19.5" thickBot="1">
      <c r="A10" s="209">
        <f>U23</f>
        <v>0.99099999999999999</v>
      </c>
      <c r="B10" s="209">
        <f>V23</f>
        <v>0.33145149309166544</v>
      </c>
      <c r="C10" s="210">
        <f>W23</f>
        <v>0.44512946979038226</v>
      </c>
      <c r="D10" s="192">
        <v>0</v>
      </c>
      <c r="E10" s="198"/>
      <c r="F10" s="318">
        <f>D7*I8</f>
        <v>788</v>
      </c>
      <c r="G10" s="319"/>
      <c r="H10" s="319"/>
      <c r="I10" s="320"/>
      <c r="J10" s="382">
        <v>2</v>
      </c>
      <c r="K10" s="383"/>
      <c r="R10" s="189"/>
      <c r="S10" s="189"/>
      <c r="T10" s="189"/>
      <c r="U10" s="189">
        <f>IF(R34=0,U8,R35)</f>
        <v>127</v>
      </c>
      <c r="V10" s="189">
        <f>(G8-V8)*D7</f>
        <v>788</v>
      </c>
      <c r="W10" s="189">
        <f>(U10*V10)/1000000</f>
        <v>0.100076</v>
      </c>
      <c r="X10" s="189">
        <f>W8+W10*D7-U35</f>
        <v>0.127</v>
      </c>
      <c r="Y10" s="198">
        <f>G8-V8</f>
        <v>788</v>
      </c>
      <c r="Z10" s="198"/>
    </row>
    <row r="11" spans="1:27" ht="15.75" customHeight="1">
      <c r="A11"/>
      <c r="B11" s="198"/>
      <c r="C11" s="198"/>
      <c r="D11" s="213"/>
      <c r="E11" s="198"/>
      <c r="L11" s="198"/>
      <c r="M11" s="198"/>
      <c r="R11" s="189"/>
      <c r="S11" s="189"/>
      <c r="T11" s="189"/>
      <c r="U11" s="189">
        <f>ROUNDDOWN(F5/(U17),0)</f>
        <v>17</v>
      </c>
      <c r="V11" s="189">
        <f>ROUNDDOWN(G5/(U19),0)</f>
        <v>9</v>
      </c>
      <c r="W11" s="189">
        <f>2*AH4+K8+10</f>
        <v>100</v>
      </c>
      <c r="X11" s="189"/>
      <c r="Y11" s="198"/>
      <c r="Z11" s="198"/>
    </row>
    <row r="12" spans="1:27">
      <c r="B12" s="198"/>
      <c r="C12" s="198"/>
      <c r="D12" s="198"/>
      <c r="E12" s="198"/>
      <c r="L12" s="198"/>
      <c r="M12" s="198"/>
      <c r="R12" s="189"/>
      <c r="S12" s="189"/>
      <c r="T12" s="189"/>
      <c r="U12" s="384" t="s">
        <v>3959</v>
      </c>
      <c r="V12" s="384"/>
      <c r="W12" s="384"/>
      <c r="X12" s="189"/>
      <c r="Y12" s="198"/>
      <c r="Z12" s="198"/>
    </row>
    <row r="13" spans="1:27" ht="70.5" customHeight="1" thickBot="1">
      <c r="N13" s="189"/>
      <c r="O13" s="189"/>
      <c r="P13" s="189"/>
      <c r="Q13" s="189"/>
      <c r="R13" s="189"/>
      <c r="S13" s="189"/>
      <c r="T13" s="189"/>
      <c r="U13" s="189">
        <f>(J8+K8+L8+M8)*2*O34*Q34/1000</f>
        <v>0.76</v>
      </c>
      <c r="V13" s="189"/>
      <c r="W13" s="189"/>
      <c r="X13" s="189"/>
    </row>
    <row r="14" spans="1:27" ht="23.25">
      <c r="B14" s="379" t="s">
        <v>3951</v>
      </c>
      <c r="C14" s="380"/>
      <c r="D14" s="380"/>
      <c r="E14" s="380"/>
      <c r="F14" s="380"/>
      <c r="G14" s="380" t="s">
        <v>3952</v>
      </c>
      <c r="H14" s="380"/>
      <c r="I14" s="380"/>
      <c r="J14" s="380"/>
      <c r="K14" s="380"/>
      <c r="L14" s="380"/>
      <c r="M14" s="381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</row>
    <row r="15" spans="1:27">
      <c r="B15" s="388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4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/>
    </row>
    <row r="16" spans="1:27">
      <c r="B16" s="388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4"/>
      <c r="N16" s="189"/>
      <c r="O16" s="189"/>
      <c r="P16" s="189"/>
      <c r="Q16" s="189"/>
      <c r="R16" s="189"/>
      <c r="S16" s="189"/>
      <c r="T16" s="189"/>
      <c r="U16" s="173" t="s">
        <v>4002</v>
      </c>
      <c r="V16" s="173" t="s">
        <v>4003</v>
      </c>
      <c r="W16" s="173" t="s">
        <v>4004</v>
      </c>
      <c r="X16" s="189"/>
    </row>
    <row r="17" spans="2:24" ht="15.75" thickBot="1">
      <c r="B17" s="388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4"/>
      <c r="N17" s="189"/>
      <c r="O17" s="189"/>
      <c r="P17" s="189"/>
      <c r="Q17" s="189"/>
      <c r="R17" s="189"/>
      <c r="S17" s="189"/>
      <c r="T17" s="189"/>
      <c r="U17" s="183">
        <f>J8+P8*1.5</f>
        <v>115</v>
      </c>
      <c r="V17" s="183">
        <f>(N8-P8/2)</f>
        <v>6</v>
      </c>
      <c r="W17" s="183">
        <f>U17*O34+2*V17</f>
        <v>127</v>
      </c>
      <c r="X17" s="189"/>
    </row>
    <row r="18" spans="2:24">
      <c r="B18" s="388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4"/>
      <c r="N18" s="189"/>
      <c r="O18" s="189"/>
      <c r="P18" s="189"/>
      <c r="Q18" s="189"/>
      <c r="R18" s="189"/>
      <c r="S18" s="189"/>
      <c r="T18" s="189"/>
      <c r="U18" s="173" t="s">
        <v>4005</v>
      </c>
      <c r="V18" s="173" t="s">
        <v>4006</v>
      </c>
      <c r="W18" s="173" t="s">
        <v>4007</v>
      </c>
      <c r="X18" s="189"/>
    </row>
    <row r="19" spans="2:24" ht="15.75" thickBot="1">
      <c r="B19" s="388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4"/>
      <c r="N19" s="189"/>
      <c r="O19" s="189"/>
      <c r="P19" s="189"/>
      <c r="Q19" s="189"/>
      <c r="R19" s="189"/>
      <c r="S19" s="189"/>
      <c r="T19" s="189"/>
      <c r="U19" s="183">
        <f>K8+P8</f>
        <v>100</v>
      </c>
      <c r="V19" s="183">
        <f>V17</f>
        <v>6</v>
      </c>
      <c r="W19" s="183">
        <f>U19*Q34+2*V19</f>
        <v>212</v>
      </c>
      <c r="X19" s="189"/>
    </row>
    <row r="20" spans="2:24">
      <c r="B20" s="388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4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</row>
    <row r="21" spans="2:24">
      <c r="B21" s="388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4"/>
      <c r="N21" s="189"/>
      <c r="O21" s="189"/>
      <c r="P21" s="189"/>
      <c r="Q21" s="189"/>
      <c r="R21" s="189"/>
      <c r="S21" s="189"/>
      <c r="T21" s="189"/>
      <c r="U21" s="189"/>
      <c r="V21" s="189"/>
      <c r="W21" s="189">
        <f>(R35*Y8+(X8-R35)*S35)/1000000-X21</f>
        <v>3.2439999999999997E-2</v>
      </c>
      <c r="X21" s="189">
        <f>(I8*(1-D7)*R35)/1000000</f>
        <v>0</v>
      </c>
    </row>
    <row r="22" spans="2:24">
      <c r="B22" s="388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4"/>
      <c r="N22" s="189"/>
      <c r="O22" s="189"/>
      <c r="P22" s="189">
        <f>F5/(J5+P8*1.5)</f>
        <v>17.286956521739132</v>
      </c>
      <c r="Q22" s="189"/>
      <c r="R22" s="189"/>
      <c r="S22" s="189"/>
      <c r="T22" s="189"/>
      <c r="U22" s="189">
        <f>1-(R8/AA8)</f>
        <v>0.99099999999999999</v>
      </c>
      <c r="V22" s="189">
        <f>1-(R8/W8)</f>
        <v>0.33145149309166544</v>
      </c>
      <c r="W22" s="189">
        <f>1-(R8/W21)</f>
        <v>0.44512946979038226</v>
      </c>
      <c r="X22" s="189" t="s">
        <v>3949</v>
      </c>
    </row>
    <row r="23" spans="2:24">
      <c r="B23" s="388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4"/>
      <c r="N23" s="189"/>
      <c r="O23" s="189"/>
      <c r="P23" s="189"/>
      <c r="Q23" s="189"/>
      <c r="R23" s="189"/>
      <c r="S23" s="189"/>
      <c r="T23" s="189"/>
      <c r="U23" s="189">
        <f>1-((R8-(D10)*S8)/AA8)</f>
        <v>0.99099999999999999</v>
      </c>
      <c r="V23" s="189">
        <f>1-((R8-(D10)*S8)/W8)</f>
        <v>0.33145149309166544</v>
      </c>
      <c r="W23" s="189">
        <f>1-((R8-(D10)*S8)/W21)</f>
        <v>0.44512946979038226</v>
      </c>
      <c r="X23" s="189" t="s">
        <v>3950</v>
      </c>
    </row>
    <row r="24" spans="2:24">
      <c r="B24" s="388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4"/>
    </row>
    <row r="25" spans="2:24">
      <c r="B25" s="388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4"/>
    </row>
    <row r="26" spans="2:24">
      <c r="B26" s="388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4"/>
    </row>
    <row r="27" spans="2:24">
      <c r="B27" s="388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4"/>
    </row>
    <row r="28" spans="2:24">
      <c r="B28" s="388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4"/>
    </row>
    <row r="29" spans="2:24">
      <c r="B29" s="388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4"/>
    </row>
    <row r="30" spans="2:24" ht="15.75" thickBot="1">
      <c r="B30" s="389"/>
      <c r="C30" s="355"/>
      <c r="D30" s="355"/>
      <c r="E30" s="355"/>
      <c r="F30" s="355"/>
      <c r="G30" s="355"/>
      <c r="H30" s="355"/>
      <c r="I30" s="355"/>
      <c r="J30" s="355"/>
      <c r="K30" s="355"/>
      <c r="L30" s="355"/>
      <c r="M30" s="356"/>
    </row>
    <row r="32" spans="2:24" ht="15.75" thickBot="1"/>
    <row r="33" spans="14:21" ht="18.75">
      <c r="N33" s="347" t="s">
        <v>3958</v>
      </c>
      <c r="O33" s="348"/>
      <c r="P33" s="348"/>
      <c r="Q33" s="387"/>
      <c r="R33" s="189"/>
      <c r="S33" s="189"/>
      <c r="T33" s="189"/>
      <c r="U33" s="189"/>
    </row>
    <row r="34" spans="14:21" ht="15.75" thickBot="1">
      <c r="N34" s="211" t="str">
        <f>CONCATENATE("X:(max:",U11,")")</f>
        <v>X:(max:17)</v>
      </c>
      <c r="O34" s="179">
        <f>IF(OR(R34=0,V11=0),1,IF(MOD(J10,V11)=0,R34,R34+1))</f>
        <v>1</v>
      </c>
      <c r="P34" s="212" t="str">
        <f>CONCATENATE("Y:(max:",V11,")")</f>
        <v>Y:(max:9)</v>
      </c>
      <c r="Q34" s="179">
        <f>IF(J10&lt;V11,J10,V11)</f>
        <v>2</v>
      </c>
      <c r="R34" s="256">
        <f>IF(V11=0,1,ROUNDDOWN(J10/V11,0))</f>
        <v>0</v>
      </c>
      <c r="S34" s="256">
        <f>J10-R34*V11</f>
        <v>2</v>
      </c>
      <c r="T34" s="256">
        <f>R34*V11+S34</f>
        <v>2</v>
      </c>
      <c r="U34" s="256">
        <f>O34*Q34-T34</f>
        <v>0</v>
      </c>
    </row>
    <row r="35" spans="14:21">
      <c r="R35" s="256">
        <f>(N8*2)+(R34-1)*(P8*1.5)+(J8*R34)</f>
        <v>7</v>
      </c>
      <c r="S35" s="256">
        <f>IF(S34=0,0,(N8*2)+(S34-1)*P8+(S34*K8))</f>
        <v>212</v>
      </c>
      <c r="T35" s="256"/>
      <c r="U35" s="256">
        <f>U34*R35*(2*AH4+10+K8)/1000000</f>
        <v>0</v>
      </c>
    </row>
    <row r="36" spans="14:21">
      <c r="R36" s="256"/>
      <c r="S36" s="256"/>
      <c r="T36" s="256"/>
      <c r="U36" s="256">
        <f>U34*(J8+2*AH4)*(K8+2*AH4)/1000000</f>
        <v>0</v>
      </c>
    </row>
  </sheetData>
  <mergeCells count="31"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F9:I9"/>
    <mergeCell ref="N33:Q33"/>
    <mergeCell ref="U9:X9"/>
    <mergeCell ref="F10:I10"/>
    <mergeCell ref="B15:F30"/>
    <mergeCell ref="G15:M30"/>
    <mergeCell ref="N7:O7"/>
    <mergeCell ref="P7:Q7"/>
    <mergeCell ref="N8:O8"/>
    <mergeCell ref="B14:F14"/>
    <mergeCell ref="G14:M14"/>
    <mergeCell ref="J9:K9"/>
    <mergeCell ref="J10:K10"/>
  </mergeCells>
  <conditionalFormatting sqref="A9:D10">
    <cfRule type="expression" dxfId="0" priority="3">
      <formula>OR($L$8&lt;=0,$M$8&lt;=0)</formula>
    </cfRule>
  </conditionalFormatting>
  <dataValidations disablePrompts="1" count="14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AND(V8&lt;=G8,NOT(ISBLANK(K8)),K8&gt;=0,K8&gt;=M8)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AND(U8&lt;=F8,J8&gt;=0,NOT(ISBLANK(J8)),J8&gt;=L8)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AND(J8&gt;L8,L8&gt;=0)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AND(K8&gt;M8,M8&gt;=0)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41"/>
  <sheetViews>
    <sheetView tabSelected="1" topLeftCell="H7" zoomScale="98" zoomScaleNormal="98" workbookViewId="0">
      <selection activeCell="U12" sqref="U12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25" width="11.42578125" customWidth="1"/>
    <col min="26" max="26" width="15.140625" bestFit="1" customWidth="1"/>
    <col min="27" max="39" width="11.42578125" customWidth="1"/>
  </cols>
  <sheetData>
    <row r="1" spans="1:37" ht="15.75" thickBot="1">
      <c r="A1" s="198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</row>
    <row r="2" spans="1:37" ht="21.75" thickBot="1">
      <c r="A2" s="196" t="s">
        <v>3918</v>
      </c>
      <c r="B2" s="406"/>
      <c r="C2" s="407"/>
      <c r="F2" s="165"/>
      <c r="G2" s="165"/>
      <c r="H2" s="166" t="s">
        <v>3920</v>
      </c>
      <c r="I2" s="362"/>
      <c r="J2" s="362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98"/>
    </row>
    <row r="3" spans="1:37" ht="15.75" thickBot="1">
      <c r="A3" s="165"/>
      <c r="B3" s="165"/>
      <c r="C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>
        <v>1</v>
      </c>
      <c r="AF3" s="165"/>
      <c r="AG3" s="165" t="s">
        <v>4001</v>
      </c>
      <c r="AH3" s="198"/>
    </row>
    <row r="4" spans="1:37" ht="27" thickBot="1">
      <c r="A4" s="408" t="s">
        <v>3967</v>
      </c>
      <c r="B4" s="409"/>
      <c r="C4" s="410"/>
      <c r="D4" s="165"/>
      <c r="E4" s="198"/>
      <c r="F4" s="198"/>
      <c r="G4" s="198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>
        <v>2</v>
      </c>
      <c r="AF4" s="165"/>
      <c r="AG4" s="165">
        <f>O8</f>
        <v>10</v>
      </c>
      <c r="AH4" s="198"/>
    </row>
    <row r="5" spans="1:37" ht="21.75" thickBot="1">
      <c r="A5" s="196" t="s">
        <v>3921</v>
      </c>
      <c r="B5" s="197" t="s">
        <v>3922</v>
      </c>
      <c r="C5" s="214" t="s">
        <v>3923</v>
      </c>
      <c r="D5" s="165"/>
      <c r="E5" s="256">
        <f>E8-2*(M8-O8/2)</f>
        <v>4988</v>
      </c>
      <c r="F5" s="256">
        <f>F8-2*(M8-O8/2)</f>
        <v>1988</v>
      </c>
      <c r="G5" s="256"/>
      <c r="H5" s="256"/>
      <c r="I5" s="256">
        <f>I8</f>
        <v>400</v>
      </c>
      <c r="J5" s="256">
        <f>J8</f>
        <v>200</v>
      </c>
      <c r="K5" s="256"/>
      <c r="L5" s="256"/>
      <c r="M5" s="256"/>
      <c r="N5" s="256"/>
      <c r="O5" s="256"/>
      <c r="P5" s="256"/>
      <c r="Q5" s="165"/>
      <c r="R5" s="165"/>
      <c r="S5" s="165"/>
      <c r="T5" s="198">
        <f>ROUNDUP(N40/2,0)</f>
        <v>2</v>
      </c>
      <c r="U5" s="198">
        <f>ROUNDUP(O40/2,0)</f>
        <v>9</v>
      </c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>
        <f>(SQRT(POWER(AG4,2)*2)-0.9)</f>
        <v>13.242135623730951</v>
      </c>
      <c r="AH5" s="198"/>
    </row>
    <row r="6" spans="1:37" ht="19.5" thickBot="1">
      <c r="A6" s="411">
        <f>1-(Q8/V8)</f>
        <v>0.38097693243118869</v>
      </c>
      <c r="B6" s="414">
        <f>1-(Q8/W10)</f>
        <v>0.41130906274206036</v>
      </c>
      <c r="C6" s="169" t="s">
        <v>3924</v>
      </c>
      <c r="D6" s="415" t="s">
        <v>3961</v>
      </c>
      <c r="E6" s="331" t="s">
        <v>3926</v>
      </c>
      <c r="F6" s="332"/>
      <c r="G6" s="332"/>
      <c r="H6" s="333"/>
      <c r="I6" s="347" t="s">
        <v>3947</v>
      </c>
      <c r="J6" s="348"/>
      <c r="K6" s="345" t="str">
        <f>CONCATENATE("Quantité (max:",T11*U11,")")</f>
        <v>Quantité (max:198)</v>
      </c>
      <c r="L6" s="346"/>
      <c r="M6" s="331" t="s">
        <v>3915</v>
      </c>
      <c r="N6" s="332"/>
      <c r="O6" s="332"/>
      <c r="P6" s="333"/>
      <c r="Q6" s="331" t="s">
        <v>3928</v>
      </c>
      <c r="R6" s="332"/>
      <c r="S6" s="333"/>
      <c r="T6" s="347" t="s">
        <v>3929</v>
      </c>
      <c r="U6" s="348"/>
      <c r="V6" s="387"/>
      <c r="W6" s="347" t="s">
        <v>3930</v>
      </c>
      <c r="X6" s="348"/>
      <c r="Y6" s="387"/>
      <c r="Z6" s="261" t="s">
        <v>4000</v>
      </c>
      <c r="AA6" s="165"/>
      <c r="AB6" s="165"/>
      <c r="AC6" s="165"/>
      <c r="AD6" s="165"/>
      <c r="AE6" s="165"/>
      <c r="AF6" s="165"/>
      <c r="AG6" s="165"/>
      <c r="AH6" s="198"/>
    </row>
    <row r="7" spans="1:37" ht="15.75" thickBot="1">
      <c r="A7" s="412"/>
      <c r="B7" s="367"/>
      <c r="C7" s="336">
        <v>1</v>
      </c>
      <c r="D7" s="416"/>
      <c r="E7" s="215" t="s">
        <v>2</v>
      </c>
      <c r="F7" s="216" t="s">
        <v>3</v>
      </c>
      <c r="G7" s="338" t="s">
        <v>3931</v>
      </c>
      <c r="H7" s="339"/>
      <c r="I7" s="217" t="s">
        <v>2</v>
      </c>
      <c r="J7" s="218" t="s">
        <v>3</v>
      </c>
      <c r="K7" s="402">
        <v>38</v>
      </c>
      <c r="L7" s="403"/>
      <c r="M7" s="340" t="s">
        <v>3946</v>
      </c>
      <c r="N7" s="341"/>
      <c r="O7" s="342" t="s">
        <v>3947</v>
      </c>
      <c r="P7" s="377"/>
      <c r="Q7" s="404" t="s">
        <v>3936</v>
      </c>
      <c r="R7" s="405"/>
      <c r="S7" s="339"/>
      <c r="T7" s="173" t="s">
        <v>2</v>
      </c>
      <c r="U7" s="174" t="s">
        <v>3</v>
      </c>
      <c r="V7" s="175" t="s">
        <v>3937</v>
      </c>
      <c r="W7" s="173" t="s">
        <v>2</v>
      </c>
      <c r="X7" s="174" t="s">
        <v>3</v>
      </c>
      <c r="Y7" s="175" t="s">
        <v>3937</v>
      </c>
      <c r="Z7" s="175" t="str">
        <f>Y7</f>
        <v>Surface</v>
      </c>
      <c r="AA7" s="165"/>
      <c r="AB7" s="165"/>
      <c r="AC7" s="165"/>
      <c r="AD7" s="165"/>
      <c r="AE7" s="165"/>
      <c r="AF7" s="165"/>
      <c r="AG7" s="165"/>
      <c r="AH7" s="198"/>
    </row>
    <row r="8" spans="1:37" ht="16.5" thickBot="1">
      <c r="A8" s="413"/>
      <c r="B8" s="368"/>
      <c r="C8" s="337"/>
      <c r="D8" s="417"/>
      <c r="E8" s="219">
        <v>5000</v>
      </c>
      <c r="F8" s="219">
        <v>2000</v>
      </c>
      <c r="G8" s="177">
        <f>H8/F8</f>
        <v>4.9000000000000002E-2</v>
      </c>
      <c r="H8" s="178">
        <f>F8-U8</f>
        <v>98</v>
      </c>
      <c r="I8" s="260">
        <v>400</v>
      </c>
      <c r="J8" s="221">
        <v>200</v>
      </c>
      <c r="M8" s="343">
        <v>11</v>
      </c>
      <c r="N8" s="344"/>
      <c r="O8" s="334">
        <v>10</v>
      </c>
      <c r="P8" s="335"/>
      <c r="Q8" s="399">
        <f>(I8*J8)/2/1000000*K7</f>
        <v>1.52</v>
      </c>
      <c r="R8" s="400"/>
      <c r="S8" s="401"/>
      <c r="T8" s="206">
        <f>ROUNDDOWN(AF23,0)</f>
        <v>1291</v>
      </c>
      <c r="U8" s="207">
        <f>AG23</f>
        <v>1902</v>
      </c>
      <c r="V8" s="185">
        <f>(T8*U8)/1000000</f>
        <v>2.4554819999999999</v>
      </c>
      <c r="W8" s="206">
        <f>T8</f>
        <v>1291</v>
      </c>
      <c r="X8" s="207">
        <f>F8</f>
        <v>2000</v>
      </c>
      <c r="Y8" s="185">
        <f>(W8*X8)/1000000</f>
        <v>2.5819999999999999</v>
      </c>
      <c r="Z8" s="185">
        <f>E8*F8/1000000</f>
        <v>10</v>
      </c>
      <c r="AA8" s="165"/>
      <c r="AB8" s="165"/>
      <c r="AC8" s="165"/>
      <c r="AD8" s="165"/>
      <c r="AE8" s="165"/>
      <c r="AF8" s="13" t="s">
        <v>2</v>
      </c>
      <c r="AG8" s="13" t="s">
        <v>3</v>
      </c>
      <c r="AH8" s="198"/>
    </row>
    <row r="9" spans="1:37" ht="15.75" thickBot="1">
      <c r="A9" s="165"/>
      <c r="B9" s="165"/>
      <c r="C9" s="165"/>
      <c r="D9" s="165"/>
      <c r="E9" s="385" t="s">
        <v>3940</v>
      </c>
      <c r="F9" s="386"/>
      <c r="G9" s="329"/>
      <c r="H9" s="330"/>
      <c r="I9" s="217" t="s">
        <v>3985</v>
      </c>
      <c r="J9" s="259" t="s">
        <v>3986</v>
      </c>
      <c r="M9" s="165"/>
      <c r="N9" s="165"/>
      <c r="O9" s="165"/>
      <c r="P9" s="165"/>
      <c r="Q9" s="165"/>
      <c r="R9" s="165"/>
      <c r="S9" s="165"/>
      <c r="T9" s="398" t="s">
        <v>3942</v>
      </c>
      <c r="U9" s="398"/>
      <c r="V9" s="398"/>
      <c r="W9" s="398"/>
      <c r="X9" s="165"/>
      <c r="Y9" s="165"/>
      <c r="Z9" s="165"/>
      <c r="AA9" s="165"/>
      <c r="AB9" s="165"/>
      <c r="AC9" s="165"/>
      <c r="AD9" s="165"/>
      <c r="AE9" s="165"/>
      <c r="AF9" s="247">
        <f>I8</f>
        <v>400</v>
      </c>
      <c r="AG9" s="247">
        <f>J8</f>
        <v>200</v>
      </c>
      <c r="AH9" s="198"/>
    </row>
    <row r="10" spans="1:37" ht="15.75" thickBot="1">
      <c r="A10" s="165"/>
      <c r="B10" s="165"/>
      <c r="C10" s="165"/>
      <c r="D10" s="165"/>
      <c r="E10" s="318">
        <f>C7*H8</f>
        <v>98</v>
      </c>
      <c r="F10" s="319"/>
      <c r="G10" s="319"/>
      <c r="H10" s="320"/>
      <c r="I10" s="220">
        <v>0</v>
      </c>
      <c r="J10" s="260">
        <v>0</v>
      </c>
      <c r="M10" s="165"/>
      <c r="N10" s="165"/>
      <c r="O10" s="165"/>
      <c r="P10" s="165"/>
      <c r="Q10" s="165"/>
      <c r="R10" s="165"/>
      <c r="S10" s="165"/>
      <c r="T10" s="132">
        <f>T8</f>
        <v>1291</v>
      </c>
      <c r="U10" s="132">
        <f>(F8-U8)*C7</f>
        <v>98</v>
      </c>
      <c r="V10" s="222">
        <f>(T10*U10)/1000000</f>
        <v>0.12651799999999999</v>
      </c>
      <c r="W10" s="223">
        <f>V8+V10*C7</f>
        <v>2.5819999999999999</v>
      </c>
      <c r="X10" s="224">
        <f>F8-U8</f>
        <v>98</v>
      </c>
      <c r="Y10" s="165"/>
      <c r="Z10" s="165"/>
      <c r="AA10" s="165"/>
      <c r="AB10" s="165"/>
      <c r="AC10" s="165"/>
      <c r="AD10" s="165"/>
      <c r="AE10" s="165"/>
      <c r="AF10" s="13" t="s">
        <v>3987</v>
      </c>
      <c r="AG10" s="13" t="s">
        <v>3988</v>
      </c>
      <c r="AH10" s="198"/>
    </row>
    <row r="11" spans="1:37">
      <c r="A11" s="198"/>
      <c r="B11" s="198"/>
      <c r="C11" s="198"/>
      <c r="D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>
        <f>ROUNDDOWN(E5/S22,0)</f>
        <v>11</v>
      </c>
      <c r="U11" s="198">
        <f>ROUNDDOWN(F5/J5,0)*2</f>
        <v>18</v>
      </c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247">
        <f>I10</f>
        <v>0</v>
      </c>
      <c r="AG11" s="247">
        <f>J10</f>
        <v>0</v>
      </c>
      <c r="AH11" s="198"/>
    </row>
    <row r="12" spans="1:37">
      <c r="A12" s="198"/>
      <c r="B12" s="198"/>
      <c r="C12" s="198"/>
      <c r="D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>
        <f>(I8+2*AG4)+IF(MOD(N40,2)=1,AG5,0)</f>
        <v>433.24213562373097</v>
      </c>
      <c r="U12" s="198">
        <f xml:space="preserve"> 2*AG4+J8</f>
        <v>220</v>
      </c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 t="s">
        <v>3989</v>
      </c>
      <c r="AG12" s="198"/>
      <c r="AH12" s="225" t="s">
        <v>3990</v>
      </c>
      <c r="AI12" t="s">
        <v>3991</v>
      </c>
      <c r="AJ12" t="s">
        <v>3992</v>
      </c>
      <c r="AK12" t="s">
        <v>3993</v>
      </c>
    </row>
    <row r="13" spans="1:37" ht="44.25" customHeight="1" thickBot="1">
      <c r="T13" s="198" t="s">
        <v>3959</v>
      </c>
      <c r="AF13">
        <f>AF9-AF11</f>
        <v>400</v>
      </c>
      <c r="AG13">
        <f>AG9-AG11</f>
        <v>200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59" t="s">
        <v>3951</v>
      </c>
      <c r="B14" s="360"/>
      <c r="C14" s="360"/>
      <c r="D14" s="360"/>
      <c r="E14" s="360"/>
      <c r="F14" s="360" t="s">
        <v>3952</v>
      </c>
      <c r="G14" s="360"/>
      <c r="H14" s="360"/>
      <c r="I14" s="360"/>
      <c r="J14" s="360"/>
      <c r="K14" s="360"/>
      <c r="L14" s="361"/>
      <c r="T14" s="198">
        <f>(I8+J8+SQRT(POWER(I8,2)+POWER(J8,2)))*K7/1000</f>
        <v>39.794116628998403</v>
      </c>
      <c r="AJ14">
        <f>AG4/AJ13</f>
        <v>11.180339887498949</v>
      </c>
    </row>
    <row r="15" spans="1:37">
      <c r="A15" s="349"/>
      <c r="B15" s="350"/>
      <c r="C15" s="350"/>
      <c r="D15" s="350"/>
      <c r="E15" s="350"/>
      <c r="F15" s="353"/>
      <c r="G15" s="353"/>
      <c r="H15" s="353"/>
      <c r="I15" s="353"/>
      <c r="J15" s="353"/>
      <c r="K15" s="353"/>
      <c r="L15" s="354"/>
      <c r="AF15" t="s">
        <v>3994</v>
      </c>
      <c r="AG15" t="s">
        <v>3995</v>
      </c>
    </row>
    <row r="16" spans="1:37">
      <c r="A16" s="349"/>
      <c r="B16" s="350"/>
      <c r="C16" s="350"/>
      <c r="D16" s="350"/>
      <c r="E16" s="350"/>
      <c r="F16" s="353"/>
      <c r="G16" s="353"/>
      <c r="H16" s="353"/>
      <c r="I16" s="353"/>
      <c r="J16" s="353"/>
      <c r="K16" s="353"/>
      <c r="L16" s="354"/>
      <c r="U16" t="s">
        <v>4008</v>
      </c>
      <c r="AF16">
        <f>AG16/AK13</f>
        <v>22.360679774997902</v>
      </c>
      <c r="AG16">
        <f>AG11+AJ14</f>
        <v>11.180339887498949</v>
      </c>
    </row>
    <row r="17" spans="1:40">
      <c r="A17" s="349"/>
      <c r="B17" s="350"/>
      <c r="C17" s="350"/>
      <c r="D17" s="350"/>
      <c r="E17" s="350"/>
      <c r="F17" s="353"/>
      <c r="G17" s="353"/>
      <c r="H17" s="353"/>
      <c r="I17" s="353"/>
      <c r="J17" s="353"/>
      <c r="K17" s="353"/>
      <c r="L17" s="354"/>
    </row>
    <row r="18" spans="1:40">
      <c r="A18" s="349"/>
      <c r="B18" s="350"/>
      <c r="C18" s="350"/>
      <c r="D18" s="350"/>
      <c r="E18" s="350"/>
      <c r="F18" s="353"/>
      <c r="G18" s="353"/>
      <c r="H18" s="353"/>
      <c r="I18" s="353"/>
      <c r="J18" s="353"/>
      <c r="K18" s="353"/>
      <c r="L18" s="354"/>
      <c r="AF18" t="b">
        <f>ISODD(N40)</f>
        <v>1</v>
      </c>
    </row>
    <row r="19" spans="1:40">
      <c r="A19" s="349"/>
      <c r="B19" s="350"/>
      <c r="C19" s="350"/>
      <c r="D19" s="350"/>
      <c r="E19" s="350"/>
      <c r="F19" s="353"/>
      <c r="G19" s="353"/>
      <c r="H19" s="353"/>
      <c r="I19" s="353"/>
      <c r="J19" s="353"/>
      <c r="K19" s="353"/>
      <c r="L19" s="354"/>
    </row>
    <row r="20" spans="1:40">
      <c r="A20" s="349"/>
      <c r="B20" s="350"/>
      <c r="C20" s="350"/>
      <c r="D20" s="350"/>
      <c r="E20" s="350"/>
      <c r="F20" s="353"/>
      <c r="G20" s="353"/>
      <c r="H20" s="353"/>
      <c r="I20" s="353"/>
      <c r="J20" s="353"/>
      <c r="K20" s="353"/>
      <c r="L20" s="354"/>
      <c r="AF20">
        <f>AF9+M8+AF16+AF11</f>
        <v>433.36067977499789</v>
      </c>
    </row>
    <row r="21" spans="1:40">
      <c r="A21" s="349"/>
      <c r="B21" s="350"/>
      <c r="C21" s="350"/>
      <c r="D21" s="350"/>
      <c r="E21" s="350"/>
      <c r="F21" s="353"/>
      <c r="G21" s="353"/>
      <c r="H21" s="353"/>
      <c r="I21" s="353"/>
      <c r="J21" s="353"/>
      <c r="K21" s="353"/>
      <c r="L21" s="354"/>
      <c r="S21" t="s">
        <v>4002</v>
      </c>
      <c r="T21" t="s">
        <v>4009</v>
      </c>
      <c r="U21" t="s">
        <v>4010</v>
      </c>
      <c r="AF21">
        <f>ROUNDUP(AF20+AG4,0)</f>
        <v>444</v>
      </c>
    </row>
    <row r="22" spans="1:40">
      <c r="A22" s="349"/>
      <c r="B22" s="350"/>
      <c r="C22" s="350"/>
      <c r="D22" s="350"/>
      <c r="E22" s="350"/>
      <c r="F22" s="353"/>
      <c r="G22" s="353"/>
      <c r="H22" s="353"/>
      <c r="I22" s="353"/>
      <c r="J22" s="353"/>
      <c r="K22" s="353"/>
      <c r="L22" s="354"/>
      <c r="S22">
        <f>I8+AG5+AG4*1.5</f>
        <v>428.24213562373097</v>
      </c>
      <c r="T22">
        <f>S22-AG5</f>
        <v>415</v>
      </c>
      <c r="U22" s="263">
        <f>(M8-O8/2)</f>
        <v>6</v>
      </c>
    </row>
    <row r="23" spans="1:40">
      <c r="A23" s="349"/>
      <c r="B23" s="350"/>
      <c r="C23" s="350"/>
      <c r="D23" s="350"/>
      <c r="E23" s="350"/>
      <c r="F23" s="353"/>
      <c r="G23" s="353"/>
      <c r="H23" s="353"/>
      <c r="I23" s="353"/>
      <c r="J23" s="353"/>
      <c r="K23" s="353"/>
      <c r="L23" s="354"/>
      <c r="S23" t="s">
        <v>4005</v>
      </c>
      <c r="AF23">
        <v>1291.7264404296875</v>
      </c>
      <c r="AG23" s="258">
        <v>1902</v>
      </c>
    </row>
    <row r="24" spans="1:40">
      <c r="A24" s="349"/>
      <c r="B24" s="350"/>
      <c r="C24" s="350"/>
      <c r="D24" s="350"/>
      <c r="E24" s="350"/>
      <c r="F24" s="353"/>
      <c r="G24" s="353"/>
      <c r="H24" s="353"/>
      <c r="I24" s="353"/>
      <c r="J24" s="353"/>
      <c r="K24" s="353"/>
      <c r="L24" s="354"/>
      <c r="S24">
        <f>J8+O8</f>
        <v>210</v>
      </c>
      <c r="U24">
        <f>U22</f>
        <v>6</v>
      </c>
      <c r="AF24">
        <v>863.4842529296875</v>
      </c>
      <c r="AG24">
        <v>222</v>
      </c>
    </row>
    <row r="25" spans="1:40">
      <c r="A25" s="349"/>
      <c r="B25" s="350"/>
      <c r="C25" s="350"/>
      <c r="D25" s="350"/>
      <c r="E25" s="350"/>
      <c r="F25" s="353"/>
      <c r="G25" s="353"/>
      <c r="H25" s="353"/>
      <c r="I25" s="353"/>
      <c r="J25" s="353"/>
      <c r="K25" s="353"/>
      <c r="L25" s="354"/>
    </row>
    <row r="26" spans="1:40">
      <c r="A26" s="349"/>
      <c r="B26" s="350"/>
      <c r="C26" s="350"/>
      <c r="D26" s="350"/>
      <c r="E26" s="350"/>
      <c r="F26" s="353"/>
      <c r="G26" s="353"/>
      <c r="H26" s="353"/>
      <c r="I26" s="353"/>
      <c r="J26" s="353"/>
      <c r="K26" s="353"/>
      <c r="L26" s="354"/>
    </row>
    <row r="27" spans="1:40">
      <c r="A27" s="349"/>
      <c r="B27" s="350"/>
      <c r="C27" s="350"/>
      <c r="D27" s="350"/>
      <c r="E27" s="350"/>
      <c r="F27" s="353"/>
      <c r="G27" s="353"/>
      <c r="H27" s="353"/>
      <c r="I27" s="353"/>
      <c r="J27" s="353"/>
      <c r="K27" s="353"/>
      <c r="L27" s="354"/>
    </row>
    <row r="28" spans="1:40">
      <c r="A28" s="349"/>
      <c r="B28" s="350"/>
      <c r="C28" s="350"/>
      <c r="D28" s="350"/>
      <c r="E28" s="350"/>
      <c r="F28" s="353"/>
      <c r="G28" s="353"/>
      <c r="H28" s="353"/>
      <c r="I28" s="353"/>
      <c r="J28" s="353"/>
      <c r="K28" s="353"/>
      <c r="L28" s="354"/>
      <c r="N28" s="189"/>
      <c r="O28" s="189"/>
      <c r="P28" s="189"/>
      <c r="Q28" s="189"/>
      <c r="R28" s="189"/>
      <c r="S28" s="189"/>
    </row>
    <row r="29" spans="1:40">
      <c r="A29" s="349"/>
      <c r="B29" s="350"/>
      <c r="C29" s="350"/>
      <c r="D29" s="350"/>
      <c r="E29" s="350"/>
      <c r="F29" s="353"/>
      <c r="G29" s="353"/>
      <c r="H29" s="353"/>
      <c r="I29" s="353"/>
      <c r="J29" s="353"/>
      <c r="K29" s="353"/>
      <c r="L29" s="354"/>
      <c r="N29" s="189"/>
      <c r="O29" s="189"/>
      <c r="P29" s="189"/>
      <c r="Q29" s="189"/>
      <c r="R29" s="189"/>
      <c r="S29" s="189"/>
    </row>
    <row r="30" spans="1:40" ht="15.75" thickBot="1">
      <c r="A30" s="351"/>
      <c r="B30" s="352"/>
      <c r="C30" s="352"/>
      <c r="D30" s="352"/>
      <c r="E30" s="352"/>
      <c r="F30" s="355"/>
      <c r="G30" s="355"/>
      <c r="H30" s="355"/>
      <c r="I30" s="355"/>
      <c r="J30" s="355"/>
      <c r="K30" s="355"/>
      <c r="L30" s="356"/>
      <c r="N30" s="189"/>
      <c r="O30" s="189"/>
      <c r="P30" s="189"/>
      <c r="Q30" s="189"/>
      <c r="R30" s="189"/>
      <c r="S30" s="189"/>
    </row>
    <row r="31" spans="1:40">
      <c r="N31" s="229">
        <f>(EVEN(N40)/2)*I8</f>
        <v>800</v>
      </c>
      <c r="O31" s="229">
        <f>(N40/2)*AF16</f>
        <v>33.541019662496851</v>
      </c>
      <c r="P31" s="229">
        <f>AF23</f>
        <v>1291.7264404296875</v>
      </c>
      <c r="Q31" s="250"/>
      <c r="R31" s="250"/>
      <c r="S31" s="250"/>
      <c r="T31" s="250"/>
      <c r="U31" s="250"/>
      <c r="V31" s="250"/>
      <c r="W31" s="250"/>
      <c r="X31" s="250"/>
      <c r="Y31" s="250"/>
      <c r="Z31" s="250"/>
      <c r="AA31" s="250"/>
      <c r="AB31" s="250"/>
      <c r="AC31" s="250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</row>
    <row r="32" spans="1:40">
      <c r="N32" s="189"/>
      <c r="O32" s="189"/>
      <c r="P32" s="189"/>
      <c r="Q32" s="189"/>
      <c r="R32" s="189"/>
      <c r="S32" s="189"/>
    </row>
    <row r="34" spans="14:18">
      <c r="N34">
        <f>ROUNDUP(N33/U11,0)</f>
        <v>0</v>
      </c>
      <c r="O34">
        <f>IF(N33&lt;R34,N33,R34)</f>
        <v>0</v>
      </c>
      <c r="R34">
        <f>ROUNDDOWN(F5/J5,0)*2</f>
        <v>18</v>
      </c>
    </row>
    <row r="37" spans="14:18" ht="15.75" thickBot="1"/>
    <row r="38" spans="14:18" ht="18.75">
      <c r="N38" s="347" t="s">
        <v>3958</v>
      </c>
      <c r="O38" s="348"/>
    </row>
    <row r="39" spans="14:18" ht="15.75" thickBot="1">
      <c r="N39" s="170" t="str">
        <f>CONCATENATE("X:(max:",T11,")")</f>
        <v>X:(max:11)</v>
      </c>
      <c r="O39" s="170" t="str">
        <f>CONCATENATE("Y:(max:",U11,")")</f>
        <v>Y:(max:18)</v>
      </c>
      <c r="Q39" s="262"/>
    </row>
    <row r="40" spans="14:18" ht="15.75" thickBot="1">
      <c r="N40" s="176">
        <f>ROUNDUP(K7/U11,0)</f>
        <v>3</v>
      </c>
      <c r="O40" s="176">
        <f>IF(K7&lt;U11,K7,U11)</f>
        <v>18</v>
      </c>
      <c r="P40" s="262">
        <f>MOD(K7,O40)</f>
        <v>2</v>
      </c>
    </row>
    <row r="41" spans="14:18">
      <c r="N41">
        <f>ROUNDUP(K7/U11,0)*2-IF(P40=1,1,0)-IF(K7=1,1,0)</f>
        <v>6</v>
      </c>
    </row>
  </sheetData>
  <mergeCells count="30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T6:V6"/>
    <mergeCell ref="W6:Y6"/>
    <mergeCell ref="G7:H7"/>
    <mergeCell ref="Q7:S7"/>
    <mergeCell ref="M8:N8"/>
    <mergeCell ref="O8:P8"/>
    <mergeCell ref="M7:N7"/>
    <mergeCell ref="O7:P7"/>
    <mergeCell ref="N38:O38"/>
    <mergeCell ref="M6:P6"/>
    <mergeCell ref="Q6:S6"/>
    <mergeCell ref="Q8:S8"/>
    <mergeCell ref="E9:H9"/>
    <mergeCell ref="K6:L6"/>
    <mergeCell ref="K7:L7"/>
    <mergeCell ref="T9:W9"/>
    <mergeCell ref="A15:E30"/>
    <mergeCell ref="F15:L30"/>
    <mergeCell ref="A14:E14"/>
    <mergeCell ref="F14:L14"/>
    <mergeCell ref="E10:H10"/>
  </mergeCells>
  <dataValidations disablePrompts="1" count="8"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AND(U8&lt;F8,J8&gt;0)</formula1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32" customWidth="1"/>
  </cols>
  <sheetData>
    <row r="1" spans="1:34" ht="15.75" thickBot="1">
      <c r="A1" s="198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AH1" s="198"/>
    </row>
    <row r="2" spans="1:34" ht="21.75" thickBot="1">
      <c r="A2" s="196" t="s">
        <v>3918</v>
      </c>
      <c r="B2" s="406"/>
      <c r="C2" s="430"/>
      <c r="D2" s="196" t="s">
        <v>3919</v>
      </c>
      <c r="E2" s="201">
        <v>3</v>
      </c>
      <c r="F2" s="165"/>
      <c r="G2" s="165"/>
      <c r="H2" s="166" t="s">
        <v>3920</v>
      </c>
      <c r="I2" s="362"/>
      <c r="J2" s="362"/>
      <c r="K2" s="165"/>
      <c r="L2" s="165"/>
      <c r="M2" s="165"/>
      <c r="N2" s="165"/>
      <c r="O2" s="165"/>
      <c r="P2" s="165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198"/>
    </row>
    <row r="3" spans="1:34" ht="21.75" thickBot="1">
      <c r="A3" s="165"/>
      <c r="B3" s="165"/>
      <c r="C3" s="165"/>
      <c r="D3" s="196" t="s">
        <v>3909</v>
      </c>
      <c r="E3" s="167" t="s">
        <v>3910</v>
      </c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229"/>
      <c r="R3" s="229"/>
      <c r="S3" s="229"/>
      <c r="T3" s="229"/>
      <c r="U3" s="229"/>
      <c r="V3" s="229"/>
      <c r="W3" s="229"/>
      <c r="X3" s="229"/>
      <c r="Y3" s="229"/>
      <c r="Z3" s="229"/>
      <c r="AA3" s="229"/>
      <c r="AB3" s="229"/>
      <c r="AC3" s="229"/>
      <c r="AD3" s="229"/>
      <c r="AE3" s="229">
        <v>1</v>
      </c>
      <c r="AF3" s="229"/>
      <c r="AG3" s="229" t="s">
        <v>3963</v>
      </c>
      <c r="AH3" s="198"/>
    </row>
    <row r="4" spans="1:34" ht="27" thickBot="1">
      <c r="A4" s="408" t="s">
        <v>3968</v>
      </c>
      <c r="B4" s="409"/>
      <c r="C4" s="410"/>
      <c r="D4" s="165"/>
      <c r="E4" s="198"/>
      <c r="F4" s="198"/>
      <c r="G4" s="198"/>
      <c r="H4" s="165"/>
      <c r="I4" s="165"/>
      <c r="J4" s="165"/>
      <c r="K4" s="165"/>
      <c r="L4" s="165"/>
      <c r="M4" s="165"/>
      <c r="N4" s="165"/>
      <c r="O4" s="165"/>
      <c r="P4" s="165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>
        <v>2</v>
      </c>
      <c r="AF4" s="229"/>
      <c r="AG4" s="229">
        <v>5</v>
      </c>
      <c r="AH4" s="198"/>
    </row>
    <row r="5" spans="1:34" ht="21.75" thickBot="1">
      <c r="A5" s="196" t="s">
        <v>3921</v>
      </c>
      <c r="B5" s="197" t="s">
        <v>3922</v>
      </c>
      <c r="C5" s="214" t="s">
        <v>3923</v>
      </c>
      <c r="D5" s="165"/>
      <c r="E5" s="229">
        <f>E8-2*M8</f>
        <v>4978</v>
      </c>
      <c r="F5" s="229">
        <f>F8-2*M8</f>
        <v>1978</v>
      </c>
      <c r="G5" s="229"/>
      <c r="H5" s="229"/>
      <c r="I5" s="229">
        <f>I8+O8</f>
        <v>306</v>
      </c>
      <c r="J5" s="229">
        <f>J8+O8</f>
        <v>606</v>
      </c>
      <c r="K5" s="165"/>
      <c r="L5" s="165"/>
      <c r="M5" s="165"/>
      <c r="N5" s="165"/>
      <c r="O5" s="165"/>
      <c r="P5" s="165"/>
      <c r="Q5" s="229"/>
      <c r="R5" s="229"/>
      <c r="S5" s="229"/>
      <c r="T5" s="229">
        <f>ROUNDUP(K8/2,0)</f>
        <v>1</v>
      </c>
      <c r="U5" s="229">
        <f>ROUNDUP(L8/2,0)</f>
        <v>1</v>
      </c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>
        <f>(SQRT(POWER(O8,2)*2)-0.9)</f>
        <v>7.5852813742385692</v>
      </c>
      <c r="AH5" s="198"/>
    </row>
    <row r="6" spans="1:34" ht="19.5" thickBot="1">
      <c r="A6" s="411">
        <f>1-(Q8/V8)</f>
        <v>0.41885242725969551</v>
      </c>
      <c r="B6" s="414">
        <f>1-(Q8/W10)</f>
        <v>0.8151950718685832</v>
      </c>
      <c r="C6" s="169" t="s">
        <v>3924</v>
      </c>
      <c r="D6" s="415" t="s">
        <v>3964</v>
      </c>
      <c r="E6" s="331" t="s">
        <v>3926</v>
      </c>
      <c r="F6" s="332"/>
      <c r="G6" s="332"/>
      <c r="H6" s="333"/>
      <c r="I6" s="347" t="s">
        <v>3947</v>
      </c>
      <c r="J6" s="348"/>
      <c r="K6" s="347" t="s">
        <v>3958</v>
      </c>
      <c r="L6" s="348"/>
      <c r="M6" s="347" t="s">
        <v>3915</v>
      </c>
      <c r="N6" s="348"/>
      <c r="O6" s="348"/>
      <c r="P6" s="387"/>
      <c r="Q6" s="331" t="s">
        <v>3928</v>
      </c>
      <c r="R6" s="332"/>
      <c r="S6" s="333"/>
      <c r="T6" s="347" t="s">
        <v>3929</v>
      </c>
      <c r="U6" s="348"/>
      <c r="V6" s="387"/>
      <c r="W6" s="347" t="s">
        <v>3929</v>
      </c>
      <c r="X6" s="348"/>
      <c r="Y6" s="387"/>
      <c r="Z6" s="229"/>
      <c r="AA6" s="229"/>
      <c r="AB6" s="229"/>
      <c r="AC6" s="229"/>
      <c r="AD6" s="229"/>
      <c r="AE6" s="229"/>
      <c r="AF6" s="229"/>
      <c r="AG6" s="229"/>
      <c r="AH6" s="198"/>
    </row>
    <row r="7" spans="1:34" ht="15.75" thickBot="1">
      <c r="A7" s="412"/>
      <c r="B7" s="367"/>
      <c r="C7" s="336">
        <v>1</v>
      </c>
      <c r="D7" s="416"/>
      <c r="E7" s="215" t="s">
        <v>2</v>
      </c>
      <c r="F7" s="216" t="s">
        <v>3</v>
      </c>
      <c r="G7" s="342" t="s">
        <v>3931</v>
      </c>
      <c r="H7" s="339"/>
      <c r="I7" s="226" t="s">
        <v>3965</v>
      </c>
      <c r="J7" s="227" t="s">
        <v>3966</v>
      </c>
      <c r="K7" s="170" t="str">
        <f>CONCATENATE("X:(max:",T11,")")</f>
        <v>X:(max:30)</v>
      </c>
      <c r="L7" s="170" t="str">
        <f>CONCATENATE("Y:(max:",U11,")")</f>
        <v>Y:(max:6)</v>
      </c>
      <c r="M7" s="340" t="s">
        <v>3946</v>
      </c>
      <c r="N7" s="341"/>
      <c r="O7" s="342" t="s">
        <v>3947</v>
      </c>
      <c r="P7" s="377"/>
      <c r="Q7" s="423" t="s">
        <v>3936</v>
      </c>
      <c r="R7" s="424"/>
      <c r="S7" s="425"/>
      <c r="T7" s="230" t="s">
        <v>2</v>
      </c>
      <c r="U7" s="231" t="s">
        <v>3</v>
      </c>
      <c r="V7" s="232" t="s">
        <v>3937</v>
      </c>
      <c r="W7" s="230" t="s">
        <v>2</v>
      </c>
      <c r="X7" s="231" t="s">
        <v>3</v>
      </c>
      <c r="Y7" s="232" t="s">
        <v>3937</v>
      </c>
      <c r="Z7" s="229"/>
      <c r="AA7" s="229" t="s">
        <v>3921</v>
      </c>
      <c r="AB7" s="229"/>
      <c r="AC7" s="229"/>
      <c r="AD7" s="229"/>
      <c r="AE7" s="229"/>
      <c r="AF7" s="229"/>
      <c r="AG7" s="229"/>
      <c r="AH7" s="198"/>
    </row>
    <row r="8" spans="1:34" ht="16.5" thickBot="1">
      <c r="A8" s="413"/>
      <c r="B8" s="368"/>
      <c r="C8" s="337"/>
      <c r="D8" s="417"/>
      <c r="E8" s="228">
        <v>5000</v>
      </c>
      <c r="F8" s="228">
        <v>2000</v>
      </c>
      <c r="G8" s="177">
        <f>H8/F8</f>
        <v>0.68200000000000005</v>
      </c>
      <c r="H8" s="178">
        <f>F8-U8</f>
        <v>1364</v>
      </c>
      <c r="I8" s="228">
        <v>300</v>
      </c>
      <c r="J8" s="228">
        <v>600</v>
      </c>
      <c r="K8" s="176">
        <v>2</v>
      </c>
      <c r="L8" s="176">
        <v>2</v>
      </c>
      <c r="M8" s="343">
        <f>VLOOKUP(E3,S001_MachineExt,2,FALSE)</f>
        <v>11</v>
      </c>
      <c r="N8" s="344"/>
      <c r="O8" s="334">
        <f>VLOOKUP(CONCATENATE(E3,"_",E2),S001_EcartPiece,2,FALSE)</f>
        <v>6</v>
      </c>
      <c r="P8" s="335"/>
      <c r="Q8" s="427">
        <f>((I8*J8)/2/1000000)*K10</f>
        <v>0.18</v>
      </c>
      <c r="R8" s="428"/>
      <c r="S8" s="429"/>
      <c r="T8" s="233">
        <f>ROUNDUP(T28,0)</f>
        <v>487</v>
      </c>
      <c r="U8" s="234">
        <f>M8+U5*(J8+2*AG4)+3*AG4</f>
        <v>636</v>
      </c>
      <c r="V8" s="235">
        <f>(T8*U8)/1000000</f>
        <v>0.30973200000000001</v>
      </c>
      <c r="W8" s="233">
        <f>T8</f>
        <v>487</v>
      </c>
      <c r="X8" s="234">
        <f>F8</f>
        <v>2000</v>
      </c>
      <c r="Y8" s="235">
        <f>(W8*X8)/1000000</f>
        <v>0.97399999999999998</v>
      </c>
      <c r="Z8" s="236"/>
      <c r="AA8" s="236">
        <f>1-(Q8/V8)</f>
        <v>0.41885242725969551</v>
      </c>
      <c r="AB8" s="236">
        <f>1-(Q8/Y8)</f>
        <v>0.8151950718685832</v>
      </c>
      <c r="AC8" s="229"/>
      <c r="AD8" s="229"/>
      <c r="AE8" s="229"/>
      <c r="AF8" s="229"/>
      <c r="AG8" s="229"/>
      <c r="AH8" s="198"/>
    </row>
    <row r="9" spans="1:34" ht="19.5" thickBot="1">
      <c r="A9" s="165"/>
      <c r="B9" s="165"/>
      <c r="C9" s="165"/>
      <c r="D9" s="165"/>
      <c r="E9" s="385" t="s">
        <v>3940</v>
      </c>
      <c r="F9" s="386"/>
      <c r="G9" s="329"/>
      <c r="H9" s="330"/>
      <c r="I9" s="165"/>
      <c r="J9" s="165"/>
      <c r="K9" s="347" t="s">
        <v>3962</v>
      </c>
      <c r="L9" s="387"/>
      <c r="M9" s="165"/>
      <c r="N9" s="165"/>
      <c r="O9" s="165"/>
      <c r="P9" s="165"/>
      <c r="Q9" s="229"/>
      <c r="R9" s="229"/>
      <c r="S9" s="229"/>
      <c r="T9" s="426" t="s">
        <v>3942</v>
      </c>
      <c r="U9" s="426"/>
      <c r="V9" s="426"/>
      <c r="W9" s="426"/>
      <c r="X9" s="229"/>
      <c r="Y9" s="229"/>
      <c r="Z9" s="229"/>
      <c r="AA9" s="236"/>
      <c r="AB9" s="236"/>
      <c r="AC9" s="229"/>
      <c r="AD9" s="229"/>
      <c r="AE9" s="229"/>
      <c r="AF9" s="229"/>
      <c r="AG9" s="229"/>
      <c r="AH9" s="198"/>
    </row>
    <row r="10" spans="1:34" ht="15.75" thickBot="1">
      <c r="A10" s="165"/>
      <c r="B10" s="165"/>
      <c r="C10" s="165"/>
      <c r="D10" s="165"/>
      <c r="E10" s="321">
        <f>C7*H8</f>
        <v>1364</v>
      </c>
      <c r="F10" s="418"/>
      <c r="G10" s="418"/>
      <c r="H10" s="322"/>
      <c r="I10" s="165"/>
      <c r="J10" s="165"/>
      <c r="K10" s="402">
        <f>ROUNDUP((K8*L8)/2,0)</f>
        <v>2</v>
      </c>
      <c r="L10" s="419"/>
      <c r="M10" s="165"/>
      <c r="N10" s="165"/>
      <c r="O10" s="165"/>
      <c r="P10" s="165"/>
      <c r="Q10" s="229"/>
      <c r="R10" s="229"/>
      <c r="S10" s="229"/>
      <c r="T10" s="132">
        <f>T8</f>
        <v>487</v>
      </c>
      <c r="U10" s="132">
        <f>(F8-U8)*C7</f>
        <v>1364</v>
      </c>
      <c r="V10" s="132">
        <f>(T10*U10)/1000000</f>
        <v>0.66426799999999997</v>
      </c>
      <c r="W10" s="132">
        <f>V8+V10*C7</f>
        <v>0.97399999999999998</v>
      </c>
      <c r="X10" s="140">
        <f>F8-U8</f>
        <v>1364</v>
      </c>
      <c r="Y10" s="229"/>
      <c r="Z10" s="229"/>
      <c r="AA10" s="229"/>
      <c r="AB10" s="229"/>
      <c r="AC10" s="229"/>
      <c r="AD10" s="229"/>
      <c r="AE10" s="229"/>
      <c r="AF10" s="229"/>
      <c r="AG10" s="229"/>
      <c r="AH10" s="198"/>
    </row>
    <row r="11" spans="1:34" ht="15.75" thickBot="1">
      <c r="A11" s="198"/>
      <c r="B11" s="198"/>
      <c r="C11" s="198"/>
      <c r="D11" s="198"/>
      <c r="E11" s="385" t="s">
        <v>3943</v>
      </c>
      <c r="F11" s="386"/>
      <c r="G11" s="329"/>
      <c r="H11" s="330"/>
      <c r="I11" s="345" t="s">
        <v>3944</v>
      </c>
      <c r="J11" s="346"/>
      <c r="K11" s="198"/>
      <c r="L11" s="198"/>
      <c r="M11" s="198"/>
      <c r="N11" s="198"/>
      <c r="O11" s="198"/>
      <c r="P11" s="198"/>
      <c r="T11" s="132">
        <f>(ROUNDDOWN((E8-2*M8)/T12,0)-1)*2</f>
        <v>30</v>
      </c>
      <c r="U11" s="132">
        <f>(ROUNDDOWN((F8-2*M8)/U12,0))*2</f>
        <v>6</v>
      </c>
      <c r="AH11" s="198"/>
    </row>
    <row r="12" spans="1:34" ht="15.75" thickBot="1">
      <c r="A12" s="198"/>
      <c r="B12" s="198"/>
      <c r="C12" s="198"/>
      <c r="D12" s="198"/>
      <c r="E12" s="420">
        <f>T14</f>
        <v>2.7369316876852983</v>
      </c>
      <c r="F12" s="421"/>
      <c r="G12" s="421"/>
      <c r="H12" s="422"/>
      <c r="I12" s="194">
        <f>R22</f>
        <v>0</v>
      </c>
      <c r="J12" s="195">
        <f>R24</f>
        <v>0</v>
      </c>
      <c r="K12" s="198"/>
      <c r="L12" s="198"/>
      <c r="M12" s="198"/>
      <c r="N12" s="198"/>
      <c r="O12" s="198"/>
      <c r="P12" s="198"/>
      <c r="T12" s="132">
        <f>(I8+2*AG4)+IF(MOD(K8,2)=1,AG5,0)</f>
        <v>310</v>
      </c>
      <c r="U12" s="132">
        <f xml:space="preserve"> 2*AG4+J8</f>
        <v>610</v>
      </c>
      <c r="AH12" s="198"/>
    </row>
    <row r="13" spans="1:34" ht="15.75" thickBot="1">
      <c r="T13" s="198" t="s">
        <v>3959</v>
      </c>
    </row>
    <row r="14" spans="1:34" ht="23.25">
      <c r="A14" s="359" t="s">
        <v>3951</v>
      </c>
      <c r="B14" s="360"/>
      <c r="C14" s="360"/>
      <c r="D14" s="360"/>
      <c r="E14" s="360"/>
      <c r="F14" s="360" t="s">
        <v>3952</v>
      </c>
      <c r="G14" s="360"/>
      <c r="H14" s="360"/>
      <c r="I14" s="360"/>
      <c r="J14" s="360"/>
      <c r="K14" s="360"/>
      <c r="L14" s="361"/>
      <c r="T14" s="198">
        <f>(SQRT(POWER((I8/2),2)+POWER(J8,2))+(I8/2)+J8)*K10/1000</f>
        <v>2.7369316876852983</v>
      </c>
    </row>
    <row r="15" spans="1:34">
      <c r="A15" s="349"/>
      <c r="B15" s="350"/>
      <c r="C15" s="350"/>
      <c r="D15" s="350"/>
      <c r="E15" s="350"/>
      <c r="F15" s="353"/>
      <c r="G15" s="353"/>
      <c r="H15" s="353"/>
      <c r="I15" s="353"/>
      <c r="J15" s="353"/>
      <c r="K15" s="353"/>
      <c r="L15" s="354"/>
    </row>
    <row r="16" spans="1:34">
      <c r="A16" s="349"/>
      <c r="B16" s="350"/>
      <c r="C16" s="350"/>
      <c r="D16" s="350"/>
      <c r="E16" s="350"/>
      <c r="F16" s="353"/>
      <c r="G16" s="353"/>
      <c r="H16" s="353"/>
      <c r="I16" s="353"/>
      <c r="J16" s="353"/>
      <c r="K16" s="353"/>
      <c r="L16" s="354"/>
    </row>
    <row r="17" spans="1:20">
      <c r="A17" s="349"/>
      <c r="B17" s="350"/>
      <c r="C17" s="350"/>
      <c r="D17" s="350"/>
      <c r="E17" s="350"/>
      <c r="F17" s="353"/>
      <c r="G17" s="353"/>
      <c r="H17" s="353"/>
      <c r="I17" s="353"/>
      <c r="J17" s="353"/>
      <c r="K17" s="353"/>
      <c r="L17" s="354"/>
    </row>
    <row r="18" spans="1:20">
      <c r="A18" s="349"/>
      <c r="B18" s="350"/>
      <c r="C18" s="350"/>
      <c r="D18" s="350"/>
      <c r="E18" s="350"/>
      <c r="F18" s="353"/>
      <c r="G18" s="353"/>
      <c r="H18" s="353"/>
      <c r="I18" s="353"/>
      <c r="J18" s="353"/>
      <c r="K18" s="353"/>
      <c r="L18" s="354"/>
    </row>
    <row r="19" spans="1:20">
      <c r="A19" s="349"/>
      <c r="B19" s="350"/>
      <c r="C19" s="350"/>
      <c r="D19" s="350"/>
      <c r="E19" s="350"/>
      <c r="F19" s="353"/>
      <c r="G19" s="353"/>
      <c r="H19" s="353"/>
      <c r="I19" s="353"/>
      <c r="J19" s="353"/>
      <c r="K19" s="353"/>
      <c r="L19" s="354"/>
    </row>
    <row r="20" spans="1:20">
      <c r="A20" s="349"/>
      <c r="B20" s="350"/>
      <c r="C20" s="350"/>
      <c r="D20" s="350"/>
      <c r="E20" s="350"/>
      <c r="F20" s="353"/>
      <c r="G20" s="353"/>
      <c r="H20" s="353"/>
      <c r="I20" s="353"/>
      <c r="J20" s="353"/>
      <c r="K20" s="353"/>
      <c r="L20" s="354"/>
    </row>
    <row r="21" spans="1:20">
      <c r="A21" s="349"/>
      <c r="B21" s="350"/>
      <c r="C21" s="350"/>
      <c r="D21" s="350"/>
      <c r="E21" s="350"/>
      <c r="F21" s="353"/>
      <c r="G21" s="353"/>
      <c r="H21" s="353"/>
      <c r="I21" s="353"/>
      <c r="J21" s="353"/>
      <c r="K21" s="353"/>
      <c r="L21" s="354"/>
    </row>
    <row r="22" spans="1:20">
      <c r="A22" s="349"/>
      <c r="B22" s="350"/>
      <c r="C22" s="350"/>
      <c r="D22" s="350"/>
      <c r="E22" s="350"/>
      <c r="F22" s="353"/>
      <c r="G22" s="353"/>
      <c r="H22" s="353"/>
      <c r="I22" s="353"/>
      <c r="J22" s="353"/>
      <c r="K22" s="353"/>
      <c r="L22" s="354"/>
    </row>
    <row r="23" spans="1:20">
      <c r="A23" s="349"/>
      <c r="B23" s="350"/>
      <c r="C23" s="350"/>
      <c r="D23" s="350"/>
      <c r="E23" s="350"/>
      <c r="F23" s="353"/>
      <c r="G23" s="353"/>
      <c r="H23" s="353"/>
      <c r="I23" s="353"/>
      <c r="J23" s="353"/>
      <c r="K23" s="353"/>
      <c r="L23" s="354"/>
    </row>
    <row r="24" spans="1:20">
      <c r="A24" s="349"/>
      <c r="B24" s="350"/>
      <c r="C24" s="350"/>
      <c r="D24" s="350"/>
      <c r="E24" s="350"/>
      <c r="F24" s="353"/>
      <c r="G24" s="353"/>
      <c r="H24" s="353"/>
      <c r="I24" s="353"/>
      <c r="J24" s="353"/>
      <c r="K24" s="353"/>
      <c r="L24" s="354"/>
    </row>
    <row r="25" spans="1:20">
      <c r="A25" s="349"/>
      <c r="B25" s="350"/>
      <c r="C25" s="350"/>
      <c r="D25" s="350"/>
      <c r="E25" s="350"/>
      <c r="F25" s="353"/>
      <c r="G25" s="353"/>
      <c r="H25" s="353"/>
      <c r="I25" s="353"/>
      <c r="J25" s="353"/>
      <c r="K25" s="353"/>
      <c r="L25" s="354"/>
    </row>
    <row r="26" spans="1:20">
      <c r="A26" s="349"/>
      <c r="B26" s="350"/>
      <c r="C26" s="350"/>
      <c r="D26" s="350"/>
      <c r="E26" s="350"/>
      <c r="F26" s="353"/>
      <c r="G26" s="353"/>
      <c r="H26" s="353"/>
      <c r="I26" s="353"/>
      <c r="J26" s="353"/>
      <c r="K26" s="353"/>
      <c r="L26" s="354"/>
    </row>
    <row r="27" spans="1:20">
      <c r="A27" s="349"/>
      <c r="B27" s="350"/>
      <c r="C27" s="350"/>
      <c r="D27" s="350"/>
      <c r="E27" s="350"/>
      <c r="F27" s="353"/>
      <c r="G27" s="353"/>
      <c r="H27" s="353"/>
      <c r="I27" s="353"/>
      <c r="J27" s="353"/>
      <c r="K27" s="353"/>
      <c r="L27" s="354"/>
      <c r="R27" s="132">
        <f>IF(L8=1,O8+(K8/2)*(2*AG5+I8),0)</f>
        <v>0</v>
      </c>
      <c r="T27" s="132">
        <f>O8+ROUNDUP(K8/2,0)*(2*AG5+I8)</f>
        <v>321.17056274847715</v>
      </c>
    </row>
    <row r="28" spans="1:20">
      <c r="A28" s="349"/>
      <c r="B28" s="350"/>
      <c r="C28" s="350"/>
      <c r="D28" s="350"/>
      <c r="E28" s="350"/>
      <c r="F28" s="353"/>
      <c r="G28" s="353"/>
      <c r="H28" s="353"/>
      <c r="I28" s="353"/>
      <c r="J28" s="353"/>
      <c r="K28" s="353"/>
      <c r="L28" s="354"/>
      <c r="R28" s="132">
        <f>IF(L8&gt;1,O8+(K8/2)*(2*AG5+I8)+2*AG5+I8/2,0)</f>
        <v>486.34112549695431</v>
      </c>
      <c r="T28" s="132">
        <f>IF(AND(L8&gt;1,MOD(K8,2)=0),T27+2*AG5+I8/2,T27)</f>
        <v>486.34112549695431</v>
      </c>
    </row>
    <row r="29" spans="1:20">
      <c r="A29" s="349"/>
      <c r="B29" s="350"/>
      <c r="C29" s="350"/>
      <c r="D29" s="350"/>
      <c r="E29" s="350"/>
      <c r="F29" s="353"/>
      <c r="G29" s="353"/>
      <c r="H29" s="353"/>
      <c r="I29" s="353"/>
      <c r="J29" s="353"/>
      <c r="K29" s="353"/>
      <c r="L29" s="354"/>
    </row>
    <row r="30" spans="1:20" ht="15.75" thickBot="1">
      <c r="A30" s="351"/>
      <c r="B30" s="352"/>
      <c r="C30" s="352"/>
      <c r="D30" s="352"/>
      <c r="E30" s="352"/>
      <c r="F30" s="355"/>
      <c r="G30" s="355"/>
      <c r="H30" s="355"/>
      <c r="I30" s="355"/>
      <c r="J30" s="355"/>
      <c r="K30" s="355"/>
      <c r="L30" s="356"/>
    </row>
    <row r="31" spans="1:20">
      <c r="R31" s="132" t="b">
        <f>ISEVEN(K8)</f>
        <v>1</v>
      </c>
    </row>
    <row r="32" spans="1:20">
      <c r="R32" s="132">
        <f>M8+(K8/2)*(I5+IF(ISEVEN(K8),I5/2,0))</f>
        <v>470</v>
      </c>
    </row>
    <row r="34" spans="18:18">
      <c r="R34" s="132">
        <f>M8+K8*I5/2</f>
        <v>317</v>
      </c>
    </row>
  </sheetData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8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8" t="s">
        <v>3948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8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8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8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8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8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8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8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8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8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8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8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8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8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8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8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8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8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8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8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8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8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8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8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8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8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8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8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8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8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8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9" customWidth="1"/>
    <col min="2" max="2" width="20.42578125" style="129" bestFit="1" customWidth="1"/>
    <col min="3" max="12" width="11.42578125" style="129"/>
    <col min="13" max="19" width="0" style="129" hidden="1" customWidth="1"/>
    <col min="20" max="16384" width="11.42578125" style="129"/>
  </cols>
  <sheetData>
    <row r="1" spans="2:19" ht="20.25" thickBot="1">
      <c r="B1" s="281" t="s">
        <v>3977</v>
      </c>
      <c r="C1" s="281"/>
      <c r="D1" s="281"/>
    </row>
    <row r="2" spans="2:19" ht="15.75" thickTop="1">
      <c r="Q2" s="129" t="s">
        <v>3972</v>
      </c>
      <c r="R2" s="129" t="s">
        <v>3974</v>
      </c>
      <c r="S2" s="129" t="s">
        <v>3973</v>
      </c>
    </row>
    <row r="3" spans="2:19" ht="21.75" thickBot="1">
      <c r="B3" s="133" t="s">
        <v>53</v>
      </c>
      <c r="C3" s="239" t="s">
        <v>3978</v>
      </c>
      <c r="M3" s="129">
        <v>0</v>
      </c>
      <c r="N3" s="129">
        <v>8</v>
      </c>
      <c r="O3" s="129">
        <v>750</v>
      </c>
      <c r="Q3" s="241">
        <v>4</v>
      </c>
      <c r="R3" s="242">
        <v>0.7</v>
      </c>
      <c r="S3" s="129">
        <v>750</v>
      </c>
    </row>
    <row r="4" spans="2:19" ht="21.75" thickBot="1">
      <c r="B4" s="133" t="s">
        <v>3975</v>
      </c>
      <c r="C4" s="239">
        <v>6</v>
      </c>
      <c r="M4" s="129">
        <v>10</v>
      </c>
      <c r="N4" s="129">
        <v>14</v>
      </c>
      <c r="O4" s="129">
        <v>300</v>
      </c>
      <c r="Q4" s="243">
        <v>5</v>
      </c>
      <c r="R4" s="244">
        <v>0.8</v>
      </c>
      <c r="S4" s="245">
        <v>750</v>
      </c>
    </row>
    <row r="5" spans="2:19" ht="21.75" thickBot="1">
      <c r="B5" s="133" t="s">
        <v>3972</v>
      </c>
      <c r="C5" s="239">
        <v>12</v>
      </c>
      <c r="M5" s="129">
        <v>16</v>
      </c>
      <c r="N5" s="129">
        <v>24</v>
      </c>
      <c r="O5" s="129">
        <v>90</v>
      </c>
      <c r="Q5" s="241">
        <v>6</v>
      </c>
      <c r="R5" s="242">
        <v>1</v>
      </c>
      <c r="S5" s="129">
        <v>750</v>
      </c>
    </row>
    <row r="6" spans="2:19" ht="19.5" thickBot="1">
      <c r="B6" s="133" t="s">
        <v>3974</v>
      </c>
      <c r="C6" s="238">
        <f>VLOOKUP(C5,S012_TaraudExt,2,FALSE)</f>
        <v>1.8</v>
      </c>
      <c r="Q6" s="243">
        <v>8</v>
      </c>
      <c r="R6" s="244">
        <v>1.2</v>
      </c>
      <c r="S6" s="129">
        <v>750</v>
      </c>
    </row>
    <row r="7" spans="2:19" ht="19.5" thickBot="1">
      <c r="B7" s="133" t="s">
        <v>3973</v>
      </c>
      <c r="C7" s="238">
        <f>VLOOKUP(C5,S012_TaraudExt,3,FALSE)</f>
        <v>300</v>
      </c>
      <c r="Q7" s="241">
        <v>10</v>
      </c>
      <c r="R7" s="242">
        <v>1.5</v>
      </c>
      <c r="S7" s="129">
        <v>300</v>
      </c>
    </row>
    <row r="8" spans="2:19">
      <c r="Q8" s="243">
        <v>12</v>
      </c>
      <c r="R8" s="244">
        <v>1.8</v>
      </c>
      <c r="S8" s="129">
        <v>300</v>
      </c>
    </row>
    <row r="9" spans="2:19" ht="23.25">
      <c r="B9" s="133" t="s">
        <v>3976</v>
      </c>
      <c r="C9" s="240">
        <f>((C3*2)/(C7*C6))*2*C4*1.5</f>
        <v>0.8</v>
      </c>
      <c r="Q9" s="241">
        <v>14</v>
      </c>
      <c r="R9" s="242">
        <v>2</v>
      </c>
      <c r="S9" s="129">
        <v>300</v>
      </c>
    </row>
    <row r="10" spans="2:19">
      <c r="Q10" s="243">
        <v>16</v>
      </c>
      <c r="R10" s="244">
        <v>2</v>
      </c>
      <c r="S10" s="129">
        <v>90</v>
      </c>
    </row>
    <row r="11" spans="2:19">
      <c r="Q11" s="241">
        <v>20</v>
      </c>
      <c r="R11" s="242">
        <v>2.5</v>
      </c>
      <c r="S11" s="129">
        <v>90</v>
      </c>
    </row>
    <row r="12" spans="2:19">
      <c r="Q12" s="243">
        <v>27</v>
      </c>
      <c r="R12" s="244">
        <v>3</v>
      </c>
      <c r="S12" s="129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3979</v>
      </c>
      <c r="K3" t="s">
        <v>3973</v>
      </c>
    </row>
    <row r="4" spans="3:11">
      <c r="C4" s="246">
        <f t="shared" si="0"/>
        <v>200</v>
      </c>
      <c r="I4">
        <v>5</v>
      </c>
      <c r="J4">
        <v>130</v>
      </c>
      <c r="K4">
        <v>2600</v>
      </c>
    </row>
    <row r="5" spans="3:11">
      <c r="C5" s="246">
        <f t="shared" si="0"/>
        <v>200</v>
      </c>
      <c r="I5">
        <v>6</v>
      </c>
      <c r="J5" s="246">
        <v>130</v>
      </c>
      <c r="K5">
        <v>2600</v>
      </c>
    </row>
    <row r="6" spans="3:11">
      <c r="C6" s="246">
        <f t="shared" si="0"/>
        <v>200</v>
      </c>
      <c r="I6">
        <v>8</v>
      </c>
      <c r="J6" s="246">
        <v>130</v>
      </c>
      <c r="K6">
        <v>2500</v>
      </c>
    </row>
    <row r="7" spans="3:11">
      <c r="C7" s="246">
        <f t="shared" si="0"/>
        <v>200</v>
      </c>
      <c r="I7">
        <v>10</v>
      </c>
      <c r="J7" s="246">
        <v>130</v>
      </c>
      <c r="K7">
        <v>2160</v>
      </c>
    </row>
    <row r="8" spans="3:11">
      <c r="C8" s="246">
        <f t="shared" si="0"/>
        <v>200</v>
      </c>
      <c r="I8">
        <v>12</v>
      </c>
      <c r="J8" s="246">
        <v>130</v>
      </c>
      <c r="K8">
        <v>1800</v>
      </c>
    </row>
    <row r="9" spans="3:11">
      <c r="C9" s="246">
        <f t="shared" si="0"/>
        <v>200</v>
      </c>
      <c r="I9">
        <v>10</v>
      </c>
      <c r="J9">
        <v>200</v>
      </c>
      <c r="K9">
        <v>2340</v>
      </c>
    </row>
    <row r="10" spans="3:11">
      <c r="C10" s="246">
        <f t="shared" si="0"/>
        <v>200</v>
      </c>
      <c r="I10">
        <v>12</v>
      </c>
      <c r="J10" s="246">
        <v>200</v>
      </c>
      <c r="K10">
        <v>2160</v>
      </c>
    </row>
    <row r="11" spans="3:11">
      <c r="C11" s="246">
        <f t="shared" si="0"/>
        <v>200</v>
      </c>
      <c r="I11">
        <v>14</v>
      </c>
      <c r="J11" s="246">
        <v>200</v>
      </c>
      <c r="K11">
        <v>1970</v>
      </c>
    </row>
    <row r="12" spans="3:11">
      <c r="I12">
        <v>15</v>
      </c>
      <c r="J12" s="246">
        <v>200</v>
      </c>
      <c r="K12">
        <v>1970</v>
      </c>
    </row>
    <row r="13" spans="3:11">
      <c r="I13">
        <v>16</v>
      </c>
      <c r="J13" s="246">
        <v>200</v>
      </c>
      <c r="K13">
        <v>1900</v>
      </c>
    </row>
    <row r="14" spans="3:11">
      <c r="I14">
        <v>18</v>
      </c>
      <c r="J14" s="246">
        <v>200</v>
      </c>
      <c r="K14">
        <v>1615</v>
      </c>
    </row>
    <row r="15" spans="3:11">
      <c r="I15">
        <v>20</v>
      </c>
      <c r="J15" s="246">
        <v>200</v>
      </c>
      <c r="K15">
        <v>1615</v>
      </c>
    </row>
    <row r="16" spans="3:11">
      <c r="I16">
        <v>22</v>
      </c>
      <c r="J16" s="246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6">
        <v>280</v>
      </c>
      <c r="K18">
        <v>2200</v>
      </c>
    </row>
    <row r="19" spans="9:11">
      <c r="I19">
        <v>18</v>
      </c>
      <c r="J19" s="246">
        <v>280</v>
      </c>
      <c r="K19">
        <v>2100</v>
      </c>
    </row>
    <row r="20" spans="9:11">
      <c r="I20">
        <v>20</v>
      </c>
      <c r="J20" s="246">
        <v>280</v>
      </c>
      <c r="K20">
        <v>2000</v>
      </c>
    </row>
    <row r="21" spans="9:11">
      <c r="I21">
        <v>22</v>
      </c>
      <c r="J21" s="246">
        <v>280</v>
      </c>
      <c r="K21">
        <v>1700</v>
      </c>
    </row>
    <row r="22" spans="9:11">
      <c r="I22">
        <v>25</v>
      </c>
      <c r="J22" s="246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9"/>
    <col min="3" max="3" width="19.140625" style="129" customWidth="1"/>
    <col min="4" max="4" width="18.7109375" style="129" bestFit="1" customWidth="1"/>
    <col min="5" max="5" width="20.42578125" style="129" bestFit="1" customWidth="1"/>
    <col min="6" max="6" width="18.140625" style="129" bestFit="1" customWidth="1"/>
    <col min="7" max="7" width="14.7109375" style="129" bestFit="1" customWidth="1"/>
    <col min="8" max="8" width="17.85546875" style="129" bestFit="1" customWidth="1"/>
    <col min="9" max="16384" width="11.42578125" style="129"/>
  </cols>
  <sheetData>
    <row r="1" spans="3:8" ht="20.25" thickBot="1">
      <c r="C1" s="281" t="s">
        <v>3981</v>
      </c>
      <c r="D1" s="281"/>
      <c r="E1" s="281"/>
      <c r="F1" s="281"/>
      <c r="G1" s="281"/>
    </row>
    <row r="2" spans="3:8" ht="15.75" thickTop="1"/>
    <row r="3" spans="3:8" ht="15.75" thickBot="1"/>
    <row r="4" spans="3:8" ht="24" thickBot="1">
      <c r="F4" s="431" t="s">
        <v>3984</v>
      </c>
      <c r="G4" s="432"/>
      <c r="H4" s="433"/>
    </row>
    <row r="5" spans="3:8" ht="24" thickBot="1">
      <c r="C5" s="248" t="s">
        <v>3903</v>
      </c>
      <c r="D5" s="248" t="s">
        <v>202</v>
      </c>
      <c r="E5" s="248" t="s">
        <v>3982</v>
      </c>
      <c r="F5" s="248" t="s">
        <v>2</v>
      </c>
      <c r="G5" s="248" t="s">
        <v>53</v>
      </c>
      <c r="H5" s="248" t="s">
        <v>3</v>
      </c>
    </row>
    <row r="6" spans="3:8" ht="24" thickBot="1">
      <c r="C6" s="160" t="s">
        <v>245</v>
      </c>
      <c r="D6" s="160" t="s">
        <v>3889</v>
      </c>
      <c r="E6" s="249">
        <f>VLOOKUP(D6,S011_DesignationProfileExt,2,FALSE)</f>
        <v>37.9</v>
      </c>
      <c r="F6" s="160">
        <v>7000</v>
      </c>
      <c r="G6" s="160">
        <v>10</v>
      </c>
      <c r="H6" s="249">
        <f>(E6)/(G6*8)*1000</f>
        <v>473.75</v>
      </c>
    </row>
    <row r="7" spans="3:8" ht="24" thickBot="1">
      <c r="E7" s="248" t="s">
        <v>3983</v>
      </c>
    </row>
    <row r="8" spans="3:8" ht="24" thickBot="1">
      <c r="E8" s="249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46</vt:i4>
      </vt:variant>
    </vt:vector>
  </HeadingPairs>
  <TitlesOfParts>
    <vt:vector size="74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001_001</vt:lpstr>
      <vt:lpstr>001_002</vt:lpstr>
      <vt:lpstr>001_003</vt:lpstr>
      <vt:lpstr>001_004</vt:lpstr>
      <vt:lpstr>001_005</vt:lpstr>
      <vt:lpstr>012</vt:lpstr>
      <vt:lpstr>013</vt:lpstr>
      <vt:lpstr>011_003</vt:lpstr>
      <vt:lpstr>Feuil2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2015-01-16T22:20:54Z</cp:lastPrinted>
  <dcterms:created xsi:type="dcterms:W3CDTF">2014-12-15T07:06:38Z</dcterms:created>
  <dcterms:modified xsi:type="dcterms:W3CDTF">2015-01-20T16:45:21Z</dcterms:modified>
</cp:coreProperties>
</file>