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5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238" firstSheet="19" activeTab="21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r:id="rId20"/>
    <sheet name="001_002" sheetId="22" r:id="rId21"/>
    <sheet name="001_003" sheetId="23" r:id="rId22"/>
    <sheet name="001_004" sheetId="24" state="hidden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'004_002'!$D$2:$H$10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Tableau_GrainFinition[Colonne1]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0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K7" i="23" l="1"/>
  <c r="U8" i="23" l="1"/>
  <c r="T8" i="23"/>
  <c r="AG4" i="23"/>
  <c r="AG5" i="23" s="1"/>
  <c r="J5" i="23"/>
  <c r="I5" i="23"/>
  <c r="Z8" i="23"/>
  <c r="Z7" i="23"/>
  <c r="AA8" i="21" l="1"/>
  <c r="AA7" i="21"/>
  <c r="K5" i="21"/>
  <c r="J5" i="21"/>
  <c r="AA8" i="22"/>
  <c r="AA7" i="22"/>
  <c r="K5" i="22"/>
  <c r="J5" i="22"/>
  <c r="D104" i="2" l="1"/>
  <c r="D105" i="2" s="1"/>
  <c r="AG11" i="23" l="1"/>
  <c r="AF11" i="23"/>
  <c r="AG9" i="23"/>
  <c r="AF9" i="23"/>
  <c r="AF13" i="23" l="1"/>
  <c r="AG13" i="23"/>
  <c r="E6" i="27"/>
  <c r="E8" i="27" s="1"/>
  <c r="BW30" i="16"/>
  <c r="BW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U12" i="23"/>
  <c r="X8" i="23"/>
  <c r="G5" i="22"/>
  <c r="W11" i="22"/>
  <c r="Y8" i="22"/>
  <c r="S8" i="22"/>
  <c r="S9" i="22" s="1"/>
  <c r="R8" i="22"/>
  <c r="U22" i="22" l="1"/>
  <c r="A6" i="22" s="1"/>
  <c r="U23" i="22"/>
  <c r="F5" i="23"/>
  <c r="AF20" i="23"/>
  <c r="AF21" i="23" s="1"/>
  <c r="E5" i="24"/>
  <c r="F5" i="24"/>
  <c r="T14" i="24"/>
  <c r="E12" i="24" s="1"/>
  <c r="R27" i="24"/>
  <c r="U8" i="24"/>
  <c r="U10" i="24" s="1"/>
  <c r="U11" i="24"/>
  <c r="L7" i="24" s="1"/>
  <c r="E5" i="23"/>
  <c r="T8" i="22"/>
  <c r="F5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G5" i="21"/>
  <c r="R34" i="23" l="1"/>
  <c r="O34" i="23" s="1"/>
  <c r="U11" i="23"/>
  <c r="U11" i="22"/>
  <c r="P22" i="22"/>
  <c r="A10" i="22"/>
  <c r="V11" i="22"/>
  <c r="O8" i="24"/>
  <c r="H8" i="24"/>
  <c r="G8" i="24" s="1"/>
  <c r="X10" i="24"/>
  <c r="F5" i="21"/>
  <c r="V11" i="21"/>
  <c r="J10" i="21"/>
  <c r="R10" i="21" s="1"/>
  <c r="Y8" i="21"/>
  <c r="S8" i="21"/>
  <c r="R8" i="21"/>
  <c r="U22" i="21" s="1"/>
  <c r="A6" i="21" s="1"/>
  <c r="N40" i="23" l="1"/>
  <c r="O40" i="23"/>
  <c r="P40" i="23" s="1"/>
  <c r="N41" i="23" s="1"/>
  <c r="N34" i="23"/>
  <c r="O39" i="23"/>
  <c r="U23" i="21"/>
  <c r="A10" i="21" s="1"/>
  <c r="R34" i="22"/>
  <c r="O34" i="22" s="1"/>
  <c r="U8" i="22" s="1"/>
  <c r="P34" i="22"/>
  <c r="Q34" i="22"/>
  <c r="V8" i="22" s="1"/>
  <c r="U11" i="21"/>
  <c r="O34" i="21" s="1"/>
  <c r="AG5" i="24"/>
  <c r="T12" i="24" s="1"/>
  <c r="T11" i="24" s="1"/>
  <c r="K7" i="24" s="1"/>
  <c r="I5" i="24"/>
  <c r="J5" i="24"/>
  <c r="E10" i="24"/>
  <c r="P34" i="21"/>
  <c r="P35" i="21"/>
  <c r="V8" i="21" s="1"/>
  <c r="T8" i="21"/>
  <c r="N10" i="21"/>
  <c r="AF18" i="23" l="1"/>
  <c r="O31" i="23"/>
  <c r="N31" i="23"/>
  <c r="T5" i="23"/>
  <c r="O35" i="21"/>
  <c r="U8" i="21" s="1"/>
  <c r="U10" i="21" s="1"/>
  <c r="N11" i="21"/>
  <c r="S34" i="22"/>
  <c r="T34" i="22" s="1"/>
  <c r="U34" i="22" s="1"/>
  <c r="R35" i="22"/>
  <c r="U13" i="22"/>
  <c r="L6" i="21"/>
  <c r="Y10" i="22"/>
  <c r="T27" i="24"/>
  <c r="T28" i="24" s="1"/>
  <c r="T8" i="24" s="1"/>
  <c r="R28" i="24"/>
  <c r="R32" i="24"/>
  <c r="R34" i="24"/>
  <c r="T12" i="23"/>
  <c r="T11" i="23" s="1"/>
  <c r="O10" i="21"/>
  <c r="O11" i="21" s="1"/>
  <c r="N39" i="23" l="1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X21" i="21" l="1"/>
  <c r="U10" i="22"/>
  <c r="W10" i="22" s="1"/>
  <c r="W8" i="22"/>
  <c r="V22" i="22" s="1"/>
  <c r="B6" i="22" s="1"/>
  <c r="J9" i="22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W22" i="21"/>
  <c r="C6" i="21" s="1"/>
  <c r="W23" i="21"/>
  <c r="C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<sst xmlns="http://schemas.openxmlformats.org/spreadsheetml/2006/main" count="7950" uniqueCount="4002">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</sst>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3" borderId="64" xfId="4" applyFont="1" applyBorder="1" applyAlignment="1" applyProtection="1">
      <protection hidden="1"/>
    </xf>
    <xf numFmtId="0" fontId="67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0" fontId="63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/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0" fontId="4" fillId="0" borderId="81" xfId="0" applyFont="1" applyBorder="1" applyAlignment="1">
      <alignment horizontal="center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9">
    <dxf>
      <numFmt numFmtId="2" formatCode="0.00"/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42688"/>
        <c:axId val="94268800"/>
      </c:lineChart>
      <c:catAx>
        <c:axId val="102642688"/>
        <c:scaling>
          <c:orientation val="minMax"/>
        </c:scaling>
        <c:delete val="0"/>
        <c:axPos val="b"/>
        <c:majorTickMark val="out"/>
        <c:minorTickMark val="none"/>
        <c:tickLblPos val="nextTo"/>
        <c:crossAx val="94268800"/>
        <c:crosses val="autoZero"/>
        <c:auto val="1"/>
        <c:lblAlgn val="ctr"/>
        <c:lblOffset val="100"/>
        <c:noMultiLvlLbl val="0"/>
      </c:catAx>
      <c:valAx>
        <c:axId val="9426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42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2</xdr:col>
      <xdr:colOff>314579</xdr:colOff>
      <xdr:row>24</xdr:row>
      <xdr:rowOff>102616</xdr:rowOff>
    </xdr:from>
    <xdr:to>
      <xdr:col>2</xdr:col>
      <xdr:colOff>314579</xdr:colOff>
      <xdr:row>27</xdr:row>
      <xdr:rowOff>120650</xdr:rowOff>
    </xdr:to>
    <xdr:cxnSp macro="">
      <xdr:nvCxnSpPr>
        <xdr:cNvPr id="2667" name="Connecteur droit 2666"/>
        <xdr:cNvCxnSpPr/>
      </xdr:nvCxnSpPr>
      <xdr:spPr>
        <a:xfrm>
          <a:off x="2305304" y="5950966"/>
          <a:ext cx="0" cy="5895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970534</xdr:colOff>
      <xdr:row>24</xdr:row>
      <xdr:rowOff>102616</xdr:rowOff>
    </xdr:from>
    <xdr:to>
      <xdr:col>2</xdr:col>
      <xdr:colOff>314579</xdr:colOff>
      <xdr:row>24</xdr:row>
      <xdr:rowOff>102616</xdr:rowOff>
    </xdr:to>
    <xdr:cxnSp macro="">
      <xdr:nvCxnSpPr>
        <xdr:cNvPr id="2668" name="Connecteur droit 2667"/>
        <xdr:cNvCxnSpPr/>
      </xdr:nvCxnSpPr>
      <xdr:spPr>
        <a:xfrm>
          <a:off x="1732534" y="5950966"/>
          <a:ext cx="5727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970534</xdr:colOff>
      <xdr:row>16</xdr:row>
      <xdr:rowOff>120650</xdr:rowOff>
    </xdr:from>
    <xdr:to>
      <xdr:col>1</xdr:col>
      <xdr:colOff>970534</xdr:colOff>
      <xdr:row>24</xdr:row>
      <xdr:rowOff>102616</xdr:rowOff>
    </xdr:to>
    <xdr:cxnSp macro="">
      <xdr:nvCxnSpPr>
        <xdr:cNvPr id="2669" name="Connecteur droit 2668"/>
        <xdr:cNvCxnSpPr/>
      </xdr:nvCxnSpPr>
      <xdr:spPr>
        <a:xfrm flipV="1">
          <a:off x="1732534" y="4445000"/>
          <a:ext cx="0" cy="15059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18</xdr:row>
      <xdr:rowOff>100076</xdr:rowOff>
    </xdr:from>
    <xdr:to>
      <xdr:col>1</xdr:col>
      <xdr:colOff>970534</xdr:colOff>
      <xdr:row>18</xdr:row>
      <xdr:rowOff>100076</xdr:rowOff>
    </xdr:to>
    <xdr:cxnSp macro="">
      <xdr:nvCxnSpPr>
        <xdr:cNvPr id="2670" name="Connecteur droit 2669"/>
        <xdr:cNvCxnSpPr/>
      </xdr:nvCxnSpPr>
      <xdr:spPr>
        <a:xfrm>
          <a:off x="1143000" y="4805426"/>
          <a:ext cx="58953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120650</xdr:rowOff>
    </xdr:from>
    <xdr:to>
      <xdr:col>2</xdr:col>
      <xdr:colOff>320675</xdr:colOff>
      <xdr:row>28</xdr:row>
      <xdr:rowOff>120650</xdr:rowOff>
    </xdr:to>
    <xdr:cxnSp macro="">
      <xdr:nvCxnSpPr>
        <xdr:cNvPr id="2671" name="Connecteur droit 2670"/>
        <xdr:cNvCxnSpPr/>
      </xdr:nvCxnSpPr>
      <xdr:spPr>
        <a:xfrm>
          <a:off x="1143000" y="6731000"/>
          <a:ext cx="11684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120650</xdr:rowOff>
    </xdr:from>
    <xdr:ext cx="2628900" cy="264560"/>
    <xdr:sp macro="" textlink="">
      <xdr:nvSpPr>
        <xdr:cNvPr id="2672" name="ZoneTexte 2671"/>
        <xdr:cNvSpPr txBox="1"/>
      </xdr:nvSpPr>
      <xdr:spPr>
        <a:xfrm>
          <a:off x="1270000" y="6540500"/>
          <a:ext cx="26289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832</a:t>
          </a:r>
        </a:p>
      </xdr:txBody>
    </xdr:sp>
    <xdr:clientData/>
  </xdr:oneCellAnchor>
  <xdr:twoCellAnchor>
    <xdr:from>
      <xdr:col>1</xdr:col>
      <xdr:colOff>190500</xdr:colOff>
      <xdr:row>18</xdr:row>
      <xdr:rowOff>100076</xdr:rowOff>
    </xdr:from>
    <xdr:to>
      <xdr:col>1</xdr:col>
      <xdr:colOff>190500</xdr:colOff>
      <xdr:row>27</xdr:row>
      <xdr:rowOff>120650</xdr:rowOff>
    </xdr:to>
    <xdr:cxnSp macro="">
      <xdr:nvCxnSpPr>
        <xdr:cNvPr id="2673" name="Connecteur droit 2672"/>
        <xdr:cNvCxnSpPr/>
      </xdr:nvCxnSpPr>
      <xdr:spPr>
        <a:xfrm flipV="1">
          <a:off x="952500" y="4805426"/>
          <a:ext cx="0" cy="17350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19</xdr:row>
      <xdr:rowOff>100076</xdr:rowOff>
    </xdr:from>
    <xdr:ext cx="356893" cy="635000"/>
    <xdr:sp macro="" textlink="">
      <xdr:nvSpPr>
        <xdr:cNvPr id="2674" name="ZoneTexte 2673"/>
        <xdr:cNvSpPr txBox="1"/>
      </xdr:nvSpPr>
      <xdr:spPr>
        <a:xfrm>
          <a:off x="889000" y="49959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120650</xdr:rowOff>
    </xdr:to>
    <xdr:sp macro="" textlink="">
      <xdr:nvSpPr>
        <xdr:cNvPr id="2675" name="Rectangle 267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676" name="Connecteur droit 267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677" name="ZoneTexte 267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120650</xdr:rowOff>
    </xdr:to>
    <xdr:cxnSp macro="">
      <xdr:nvCxnSpPr>
        <xdr:cNvPr id="2678" name="Connecteur droit 267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57150</xdr:rowOff>
    </xdr:from>
    <xdr:ext cx="356893" cy="635000"/>
    <xdr:sp macro="" textlink="">
      <xdr:nvSpPr>
        <xdr:cNvPr id="2679" name="ZoneTexte 267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24</xdr:row>
      <xdr:rowOff>117983</xdr:rowOff>
    </xdr:from>
    <xdr:to>
      <xdr:col>1</xdr:col>
      <xdr:colOff>955167</xdr:colOff>
      <xdr:row>27</xdr:row>
      <xdr:rowOff>105283</xdr:rowOff>
    </xdr:to>
    <xdr:sp macro="" textlink="">
      <xdr:nvSpPr>
        <xdr:cNvPr id="2680" name="Ellipse 2679"/>
        <xdr:cNvSpPr/>
      </xdr:nvSpPr>
      <xdr:spPr>
        <a:xfrm>
          <a:off x="1158367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25</xdr:row>
      <xdr:rowOff>32258</xdr:rowOff>
    </xdr:from>
    <xdr:to>
      <xdr:col>1</xdr:col>
      <xdr:colOff>850392</xdr:colOff>
      <xdr:row>27</xdr:row>
      <xdr:rowOff>508</xdr:rowOff>
    </xdr:to>
    <xdr:sp macro="" textlink="">
      <xdr:nvSpPr>
        <xdr:cNvPr id="2681" name="Ellipse 2680"/>
        <xdr:cNvSpPr/>
      </xdr:nvSpPr>
      <xdr:spPr>
        <a:xfrm>
          <a:off x="1263142" y="607110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25</xdr:row>
      <xdr:rowOff>83405</xdr:rowOff>
    </xdr:from>
    <xdr:to>
      <xdr:col>1</xdr:col>
      <xdr:colOff>799245</xdr:colOff>
      <xdr:row>26</xdr:row>
      <xdr:rowOff>139862</xdr:rowOff>
    </xdr:to>
    <xdr:sp macro="" textlink="">
      <xdr:nvSpPr>
        <xdr:cNvPr id="2682" name="Rectangle 2681"/>
        <xdr:cNvSpPr/>
      </xdr:nvSpPr>
      <xdr:spPr>
        <a:xfrm>
          <a:off x="1314288" y="612225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116713</xdr:rowOff>
    </xdr:from>
    <xdr:to>
      <xdr:col>1</xdr:col>
      <xdr:colOff>955167</xdr:colOff>
      <xdr:row>24</xdr:row>
      <xdr:rowOff>104013</xdr:rowOff>
    </xdr:to>
    <xdr:sp macro="" textlink="">
      <xdr:nvSpPr>
        <xdr:cNvPr id="2683" name="Ellipse 2682"/>
        <xdr:cNvSpPr/>
      </xdr:nvSpPr>
      <xdr:spPr>
        <a:xfrm>
          <a:off x="1158367" y="539356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22</xdr:row>
      <xdr:rowOff>30988</xdr:rowOff>
    </xdr:from>
    <xdr:to>
      <xdr:col>1</xdr:col>
      <xdr:colOff>850392</xdr:colOff>
      <xdr:row>23</xdr:row>
      <xdr:rowOff>189738</xdr:rowOff>
    </xdr:to>
    <xdr:sp macro="" textlink="">
      <xdr:nvSpPr>
        <xdr:cNvPr id="2684" name="Ellipse 2683"/>
        <xdr:cNvSpPr/>
      </xdr:nvSpPr>
      <xdr:spPr>
        <a:xfrm>
          <a:off x="1263142" y="549833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22</xdr:row>
      <xdr:rowOff>82135</xdr:rowOff>
    </xdr:from>
    <xdr:to>
      <xdr:col>1</xdr:col>
      <xdr:colOff>799245</xdr:colOff>
      <xdr:row>23</xdr:row>
      <xdr:rowOff>138592</xdr:rowOff>
    </xdr:to>
    <xdr:sp macro="" textlink="">
      <xdr:nvSpPr>
        <xdr:cNvPr id="2685" name="Rectangle 2684"/>
        <xdr:cNvSpPr/>
      </xdr:nvSpPr>
      <xdr:spPr>
        <a:xfrm>
          <a:off x="1314288" y="554948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115443</xdr:rowOff>
    </xdr:from>
    <xdr:to>
      <xdr:col>1</xdr:col>
      <xdr:colOff>955167</xdr:colOff>
      <xdr:row>21</xdr:row>
      <xdr:rowOff>102743</xdr:rowOff>
    </xdr:to>
    <xdr:sp macro="" textlink="">
      <xdr:nvSpPr>
        <xdr:cNvPr id="2686" name="Ellipse 2685"/>
        <xdr:cNvSpPr/>
      </xdr:nvSpPr>
      <xdr:spPr>
        <a:xfrm>
          <a:off x="1158367" y="482079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19</xdr:row>
      <xdr:rowOff>29718</xdr:rowOff>
    </xdr:from>
    <xdr:to>
      <xdr:col>1</xdr:col>
      <xdr:colOff>850392</xdr:colOff>
      <xdr:row>20</xdr:row>
      <xdr:rowOff>188468</xdr:rowOff>
    </xdr:to>
    <xdr:sp macro="" textlink="">
      <xdr:nvSpPr>
        <xdr:cNvPr id="2687" name="Ellipse 2686"/>
        <xdr:cNvSpPr/>
      </xdr:nvSpPr>
      <xdr:spPr>
        <a:xfrm>
          <a:off x="1263142" y="492556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19</xdr:row>
      <xdr:rowOff>80864</xdr:rowOff>
    </xdr:from>
    <xdr:to>
      <xdr:col>1</xdr:col>
      <xdr:colOff>799245</xdr:colOff>
      <xdr:row>20</xdr:row>
      <xdr:rowOff>137321</xdr:rowOff>
    </xdr:to>
    <xdr:sp macro="" textlink="">
      <xdr:nvSpPr>
        <xdr:cNvPr id="2688" name="Rectangle 2687"/>
        <xdr:cNvSpPr/>
      </xdr:nvSpPr>
      <xdr:spPr>
        <a:xfrm>
          <a:off x="1314288" y="4976714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969137</xdr:colOff>
      <xdr:row>24</xdr:row>
      <xdr:rowOff>117983</xdr:rowOff>
    </xdr:from>
    <xdr:to>
      <xdr:col>2</xdr:col>
      <xdr:colOff>299212</xdr:colOff>
      <xdr:row>27</xdr:row>
      <xdr:rowOff>105283</xdr:rowOff>
    </xdr:to>
    <xdr:sp macro="" textlink="">
      <xdr:nvSpPr>
        <xdr:cNvPr id="2689" name="Ellipse 2688"/>
        <xdr:cNvSpPr/>
      </xdr:nvSpPr>
      <xdr:spPr>
        <a:xfrm>
          <a:off x="1731137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1073912</xdr:colOff>
      <xdr:row>25</xdr:row>
      <xdr:rowOff>32258</xdr:rowOff>
    </xdr:from>
    <xdr:to>
      <xdr:col>2</xdr:col>
      <xdr:colOff>194437</xdr:colOff>
      <xdr:row>27</xdr:row>
      <xdr:rowOff>508</xdr:rowOff>
    </xdr:to>
    <xdr:sp macro="" textlink="">
      <xdr:nvSpPr>
        <xdr:cNvPr id="2690" name="Ellipse 2689"/>
        <xdr:cNvSpPr/>
      </xdr:nvSpPr>
      <xdr:spPr>
        <a:xfrm>
          <a:off x="1835912" y="607110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1125058</xdr:colOff>
      <xdr:row>25</xdr:row>
      <xdr:rowOff>83405</xdr:rowOff>
    </xdr:from>
    <xdr:to>
      <xdr:col>2</xdr:col>
      <xdr:colOff>143290</xdr:colOff>
      <xdr:row>26</xdr:row>
      <xdr:rowOff>139862</xdr:rowOff>
    </xdr:to>
    <xdr:sp macro="" textlink="">
      <xdr:nvSpPr>
        <xdr:cNvPr id="2691" name="Rectangle 2690"/>
        <xdr:cNvSpPr/>
      </xdr:nvSpPr>
      <xdr:spPr>
        <a:xfrm>
          <a:off x="1887058" y="612225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977392</xdr:colOff>
      <xdr:row>21</xdr:row>
      <xdr:rowOff>114808</xdr:rowOff>
    </xdr:from>
    <xdr:to>
      <xdr:col>1</xdr:col>
      <xdr:colOff>977392</xdr:colOff>
      <xdr:row>24</xdr:row>
      <xdr:rowOff>3175</xdr:rowOff>
    </xdr:to>
    <xdr:cxnSp macro="">
      <xdr:nvCxnSpPr>
        <xdr:cNvPr id="9772" name="Connecteur droit 9771"/>
        <xdr:cNvCxnSpPr/>
      </xdr:nvCxnSpPr>
      <xdr:spPr>
        <a:xfrm>
          <a:off x="1577467" y="5382133"/>
          <a:ext cx="0" cy="459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547815</xdr:colOff>
      <xdr:row>21</xdr:row>
      <xdr:rowOff>114808</xdr:rowOff>
    </xdr:from>
    <xdr:to>
      <xdr:col>1</xdr:col>
      <xdr:colOff>977392</xdr:colOff>
      <xdr:row>21</xdr:row>
      <xdr:rowOff>114808</xdr:rowOff>
    </xdr:to>
    <xdr:cxnSp macro="">
      <xdr:nvCxnSpPr>
        <xdr:cNvPr id="9773" name="Connecteur droit 9772"/>
        <xdr:cNvCxnSpPr/>
      </xdr:nvCxnSpPr>
      <xdr:spPr>
        <a:xfrm>
          <a:off x="1147890" y="5382133"/>
          <a:ext cx="429577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974725</xdr:colOff>
      <xdr:row>16</xdr:row>
      <xdr:rowOff>130175</xdr:rowOff>
    </xdr:from>
    <xdr:to>
      <xdr:col>1</xdr:col>
      <xdr:colOff>974725</xdr:colOff>
      <xdr:row>21</xdr:row>
      <xdr:rowOff>114808</xdr:rowOff>
    </xdr:to>
    <xdr:cxnSp macro="">
      <xdr:nvCxnSpPr>
        <xdr:cNvPr id="9774" name="Connecteur droit 9773"/>
        <xdr:cNvCxnSpPr/>
      </xdr:nvCxnSpPr>
      <xdr:spPr>
        <a:xfrm flipV="1">
          <a:off x="1574800" y="4445000"/>
          <a:ext cx="0" cy="9371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21</xdr:row>
      <xdr:rowOff>140208</xdr:rowOff>
    </xdr:from>
    <xdr:to>
      <xdr:col>1</xdr:col>
      <xdr:colOff>974725</xdr:colOff>
      <xdr:row>21</xdr:row>
      <xdr:rowOff>140208</xdr:rowOff>
    </xdr:to>
    <xdr:cxnSp macro="">
      <xdr:nvCxnSpPr>
        <xdr:cNvPr id="9775" name="Connecteur droit 9774"/>
        <xdr:cNvCxnSpPr/>
      </xdr:nvCxnSpPr>
      <xdr:spPr>
        <a:xfrm>
          <a:off x="1143000" y="5407533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3175</xdr:rowOff>
    </xdr:from>
    <xdr:to>
      <xdr:col>1</xdr:col>
      <xdr:colOff>974725</xdr:colOff>
      <xdr:row>25</xdr:row>
      <xdr:rowOff>3175</xdr:rowOff>
    </xdr:to>
    <xdr:cxnSp macro="">
      <xdr:nvCxnSpPr>
        <xdr:cNvPr id="9776" name="Connecteur droit 9775"/>
        <xdr:cNvCxnSpPr/>
      </xdr:nvCxnSpPr>
      <xdr:spPr>
        <a:xfrm>
          <a:off x="1143000" y="60325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24</xdr:row>
      <xdr:rowOff>3175</xdr:rowOff>
    </xdr:from>
    <xdr:ext cx="1892300" cy="264560"/>
    <xdr:sp macro="" textlink="">
      <xdr:nvSpPr>
        <xdr:cNvPr id="9777" name="ZoneTexte 9776"/>
        <xdr:cNvSpPr txBox="1"/>
      </xdr:nvSpPr>
      <xdr:spPr>
        <a:xfrm>
          <a:off x="1270000" y="5842000"/>
          <a:ext cx="1892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622</a:t>
          </a:r>
        </a:p>
      </xdr:txBody>
    </xdr:sp>
    <xdr:clientData/>
  </xdr:oneCellAnchor>
  <xdr:twoCellAnchor>
    <xdr:from>
      <xdr:col>1</xdr:col>
      <xdr:colOff>352425</xdr:colOff>
      <xdr:row>21</xdr:row>
      <xdr:rowOff>140208</xdr:rowOff>
    </xdr:from>
    <xdr:to>
      <xdr:col>1</xdr:col>
      <xdr:colOff>352425</xdr:colOff>
      <xdr:row>24</xdr:row>
      <xdr:rowOff>3175</xdr:rowOff>
    </xdr:to>
    <xdr:cxnSp macro="">
      <xdr:nvCxnSpPr>
        <xdr:cNvPr id="9778" name="Connecteur droit 9777"/>
        <xdr:cNvCxnSpPr/>
      </xdr:nvCxnSpPr>
      <xdr:spPr>
        <a:xfrm flipV="1">
          <a:off x="952500" y="5407533"/>
          <a:ext cx="0" cy="4344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13208</xdr:rowOff>
    </xdr:from>
    <xdr:ext cx="356893" cy="635000"/>
    <xdr:sp macro="" textlink="">
      <xdr:nvSpPr>
        <xdr:cNvPr id="9779" name="ZoneTexte 9778"/>
        <xdr:cNvSpPr txBox="1"/>
      </xdr:nvSpPr>
      <xdr:spPr>
        <a:xfrm>
          <a:off x="889000" y="547103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622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24</xdr:row>
      <xdr:rowOff>3175</xdr:rowOff>
    </xdr:to>
    <xdr:sp macro="" textlink="">
      <xdr:nvSpPr>
        <xdr:cNvPr id="9780" name="Rectangle 9779"/>
        <xdr:cNvSpPr/>
      </xdr:nvSpPr>
      <xdr:spPr>
        <a:xfrm>
          <a:off x="1143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9781" name="Connecteur droit 9780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9782" name="ZoneTexte 9781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24</xdr:row>
      <xdr:rowOff>3175</xdr:rowOff>
    </xdr:to>
    <xdr:cxnSp macro="">
      <xdr:nvCxnSpPr>
        <xdr:cNvPr id="9783" name="Connecteur droit 9782"/>
        <xdr:cNvCxnSpPr/>
      </xdr:nvCxnSpPr>
      <xdr:spPr>
        <a:xfrm>
          <a:off x="5461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66675</xdr:rowOff>
    </xdr:from>
    <xdr:ext cx="356893" cy="635000"/>
    <xdr:sp macro="" textlink="">
      <xdr:nvSpPr>
        <xdr:cNvPr id="9784" name="ZoneTexte 9783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550609</xdr:colOff>
      <xdr:row>21</xdr:row>
      <xdr:rowOff>147891</xdr:rowOff>
    </xdr:from>
    <xdr:to>
      <xdr:col>1</xdr:col>
      <xdr:colOff>969709</xdr:colOff>
      <xdr:row>23</xdr:row>
      <xdr:rowOff>185991</xdr:rowOff>
    </xdr:to>
    <xdr:sp macro="" textlink="">
      <xdr:nvSpPr>
        <xdr:cNvPr id="9785" name="Rectangle 9784"/>
        <xdr:cNvSpPr/>
      </xdr:nvSpPr>
      <xdr:spPr>
        <a:xfrm>
          <a:off x="1150684" y="5415216"/>
          <a:ext cx="419100" cy="4191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725234</xdr:colOff>
      <xdr:row>22</xdr:row>
      <xdr:rowOff>132016</xdr:rowOff>
    </xdr:from>
    <xdr:to>
      <xdr:col>1</xdr:col>
      <xdr:colOff>795084</xdr:colOff>
      <xdr:row>23</xdr:row>
      <xdr:rowOff>11366</xdr:rowOff>
    </xdr:to>
    <xdr:sp macro="" textlink="">
      <xdr:nvSpPr>
        <xdr:cNvPr id="9786" name="Rectangle 9785"/>
        <xdr:cNvSpPr/>
      </xdr:nvSpPr>
      <xdr:spPr>
        <a:xfrm>
          <a:off x="1325309" y="5589841"/>
          <a:ext cx="69850" cy="69850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725234</xdr:colOff>
      <xdr:row>22</xdr:row>
      <xdr:rowOff>132016</xdr:rowOff>
    </xdr:from>
    <xdr:to>
      <xdr:col>1</xdr:col>
      <xdr:colOff>795084</xdr:colOff>
      <xdr:row>23</xdr:row>
      <xdr:rowOff>11366</xdr:rowOff>
    </xdr:to>
    <xdr:sp macro="" textlink="">
      <xdr:nvSpPr>
        <xdr:cNvPr id="9787" name="Rectangle 9786"/>
        <xdr:cNvSpPr/>
      </xdr:nvSpPr>
      <xdr:spPr>
        <a:xfrm>
          <a:off x="1325309" y="5589841"/>
          <a:ext cx="69850" cy="698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576275</xdr:colOff>
      <xdr:row>18</xdr:row>
      <xdr:rowOff>92075</xdr:rowOff>
    </xdr:from>
    <xdr:to>
      <xdr:col>1</xdr:col>
      <xdr:colOff>576275</xdr:colOff>
      <xdr:row>27</xdr:row>
      <xdr:rowOff>53975</xdr:rowOff>
    </xdr:to>
    <xdr:cxnSp macro="">
      <xdr:nvCxnSpPr>
        <xdr:cNvPr id="8273" name="Connecteur droit 8272"/>
        <xdr:cNvCxnSpPr/>
      </xdr:nvCxnSpPr>
      <xdr:spPr>
        <a:xfrm>
          <a:off x="190025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1</xdr:col>
      <xdr:colOff>576275</xdr:colOff>
      <xdr:row>18</xdr:row>
      <xdr:rowOff>174218</xdr:rowOff>
    </xdr:to>
    <xdr:cxnSp macro="">
      <xdr:nvCxnSpPr>
        <xdr:cNvPr id="8274" name="Connecteur droit 8273"/>
        <xdr:cNvCxnSpPr/>
      </xdr:nvCxnSpPr>
      <xdr:spPr>
        <a:xfrm>
          <a:off x="508000" y="4527143"/>
          <a:ext cx="139225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1</xdr:col>
      <xdr:colOff>576275</xdr:colOff>
      <xdr:row>28</xdr:row>
      <xdr:rowOff>53975</xdr:rowOff>
    </xdr:to>
    <xdr:cxnSp macro="">
      <xdr:nvCxnSpPr>
        <xdr:cNvPr id="8275" name="Connecteur droit 8274"/>
        <xdr:cNvCxnSpPr/>
      </xdr:nvCxnSpPr>
      <xdr:spPr>
        <a:xfrm>
          <a:off x="508000" y="6311900"/>
          <a:ext cx="139225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2217750" cy="264560"/>
    <xdr:sp macro="" textlink="">
      <xdr:nvSpPr>
        <xdr:cNvPr id="8276" name="ZoneTexte 8275"/>
        <xdr:cNvSpPr txBox="1"/>
      </xdr:nvSpPr>
      <xdr:spPr>
        <a:xfrm>
          <a:off x="635000" y="6121400"/>
          <a:ext cx="2217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1661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8277" name="Connecteur droit 8276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8278" name="ZoneTexte 8277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8279" name="Rectangle 8278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8280" name="Connecteur droit 8279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8281" name="ZoneTexte 8280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8282" name="Connecteur droit 8281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8283" name="ZoneTexte 8282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8284" name="Triangle rectangle 8283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8285" name="Triangle rectangle 8284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8286" name="Triangle rectangle 8285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8287" name="Triangle rectangle 8286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8288" name="Triangle rectangle 8287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8289" name="Triangle rectangle 8288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8290" name="Triangle rectangle 8289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8291" name="Triangle rectangle 8290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8292" name="Triangle rectangle 8291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8293" name="Triangle rectangle 8292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8294" name="Triangle rectangle 8293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8295" name="Triangle rectangle 8294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8296" name="Triangle rectangle 8295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8297" name="Triangle rectangle 8296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8298" name="Triangle rectangle 8297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8299" name="Triangle rectangle 8298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8300" name="Triangle rectangle 8299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8301" name="Triangle rectangle 8300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8302" name="Triangle rectangle 8301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8303" name="Triangle rectangle 8302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8304" name="Triangle rectangle 8303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8305" name="Triangle rectangle 8304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8306" name="Triangle rectangle 8305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8307" name="Triangle rectangle 8306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8308" name="Triangle rectangle 8307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8309" name="Triangle rectangle 8308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8310" name="Triangle rectangle 8309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8311" name="Triangle rectangle 8310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8312" name="Triangle rectangle 8311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8313" name="Triangle rectangle 8312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8314" name="Triangle rectangle 8313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8315" name="Triangle rectangle 8314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8316" name="Triangle rectangle 8315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8317" name="Triangle rectangle 8316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8318" name="Triangle rectangle 8317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8319" name="Triangle rectangle 8318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8320" name="Triangle rectangle 8319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8321" name="Triangle rectangle 8320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8322" name="Triangle rectangle 8321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8323" name="Triangle rectangle 8322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8324" name="Triangle rectangle 8323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8325" name="Triangle rectangle 8324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8326" name="Triangle rectangle 8325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8327" name="Triangle rectangle 8326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8328" name="Triangle rectangle 8327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8329" name="Triangle rectangle 8328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8330" name="Triangle rectangle 8329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8331" name="Triangle rectangle 8330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8332" name="Triangle rectangle 8331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8333" name="Triangle rectangle 8332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8334" name="Triangle rectangle 8333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8335" name="Triangle rectangle 8334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8336" name="Triangle rectangle 8335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8337" name="Triangle rectangle 8336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8338" name="Triangle rectangle 8337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8339" name="Triangle rectangle 8338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8340" name="Triangle rectangle 8339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8341" name="Triangle rectangle 8340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8342" name="Triangle rectangle 8341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8343" name="Triangle rectangle 8342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8344" name="Triangle rectangle 8343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8345" name="Triangle rectangle 8344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8346" name="Triangle rectangle 8345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8347" name="Triangle rectangle 8346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8348" name="Triangle rectangle 8347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8349" name="Triangle rectangle 8348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8350" name="Triangle rectangle 8349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8351" name="Triangle rectangle 8350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8352" name="Triangle rectangle 8351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8353" name="Triangle rectangle 8352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8354" name="Triangle rectangle 8353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8355" name="Triangle rectangle 8354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6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1" totalsRowShown="0">
  <autoFilter ref="A2:A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  <tableColumn id="11" uniqueName="11" name="Colonne11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10" tableType="queryTable" totalsRowShown="0">
  <autoFilter ref="D2:H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eau5" displayName="Tableau5" ref="Q2:S12" totalsRowShown="0" headerRowDxfId="7" dataDxfId="6">
  <autoFilter ref="Q2:S12"/>
  <tableColumns count="3">
    <tableColumn id="1" name="Taraud" dataDxfId="5"/>
    <tableColumn id="2" name="Pas" dataDxfId="4"/>
    <tableColumn id="3" name="Vitesse" dataDxfId="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3908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64" t="s">
        <v>52</v>
      </c>
      <c r="D1" s="264"/>
      <c r="E1" s="264"/>
      <c r="F1" s="264"/>
      <c r="G1" s="264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65" t="str">
        <f>IF(ISNA( INDEX(S002_matrice,MATCH(D5,S002_epaisseur)+1,MATCH(E5,S002_rayon)+1)),"Inapte",CONCATENATE("Vé : ",INDEX(S002_matrice,MATCH(D5,S002_epaisseur)+1,MATCH(E5,S002_rayon)+1)))</f>
        <v>Vé : 300</v>
      </c>
      <c r="E10" s="266"/>
    </row>
    <row r="14" spans="2:8" ht="105.75" customHeight="1">
      <c r="B14" s="267" t="s">
        <v>55</v>
      </c>
      <c r="C14" s="267"/>
      <c r="D14" s="267"/>
      <c r="E14" s="267"/>
      <c r="F14" s="267"/>
      <c r="G14" s="267"/>
      <c r="H14" s="267"/>
    </row>
  </sheetData>
  <mergeCells count="3">
    <mergeCell ref="C1:G1"/>
    <mergeCell ref="D10:E10"/>
    <mergeCell ref="B14:H14"/>
  </mergeCells>
  <conditionalFormatting sqref="D10:E10">
    <cfRule type="cellIs" dxfId="38" priority="1" stopIfTrue="1" operator="notEqual">
      <formula>"Inapte"</formula>
    </cfRule>
    <cfRule type="cellIs" dxfId="37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68" t="s">
        <v>3907</v>
      </c>
      <c r="D1" s="268"/>
      <c r="E1" s="268"/>
      <c r="F1" s="268"/>
      <c r="G1" s="268"/>
      <c r="H1" s="268"/>
      <c r="I1" s="268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84" t="s">
        <v>126</v>
      </c>
      <c r="D3" s="284"/>
      <c r="E3" s="284"/>
      <c r="F3" s="284"/>
      <c r="G3" s="285"/>
      <c r="H3" s="286"/>
      <c r="I3" s="286"/>
      <c r="J3" s="287"/>
      <c r="K3" s="279"/>
      <c r="L3" s="288" t="s">
        <v>127</v>
      </c>
      <c r="M3" s="288"/>
      <c r="N3" s="288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84" t="s">
        <v>129</v>
      </c>
      <c r="D4" s="284"/>
      <c r="E4" s="284"/>
      <c r="F4" s="284"/>
      <c r="G4" s="285"/>
      <c r="H4" s="286"/>
      <c r="I4" s="286"/>
      <c r="J4" s="287"/>
      <c r="K4" s="279"/>
      <c r="L4" s="288" t="s">
        <v>130</v>
      </c>
      <c r="M4" s="288"/>
      <c r="N4" s="288"/>
      <c r="O4" s="92">
        <f>O3/60</f>
        <v>0.156</v>
      </c>
    </row>
    <row r="5" spans="1:26" ht="18.75">
      <c r="A5" s="90" t="s">
        <v>131</v>
      </c>
      <c r="B5" s="289"/>
      <c r="C5" s="289"/>
      <c r="D5" s="289"/>
      <c r="E5" s="289"/>
      <c r="F5" s="289"/>
      <c r="G5" s="289"/>
      <c r="H5" s="289"/>
      <c r="I5" s="289"/>
      <c r="J5" s="289"/>
      <c r="K5" s="279"/>
      <c r="L5" s="288" t="s">
        <v>132</v>
      </c>
      <c r="M5" s="288"/>
      <c r="N5" s="288"/>
      <c r="O5" s="94">
        <f>IF(OR(ISBLANK(O3),O3=0),0,3600/O3)</f>
        <v>384.61538461538464</v>
      </c>
    </row>
    <row r="6" spans="1:26" ht="19.5" thickBot="1">
      <c r="A6" s="95"/>
      <c r="B6" s="289"/>
      <c r="C6" s="289"/>
      <c r="D6" s="289"/>
      <c r="E6" s="289"/>
      <c r="F6" s="289"/>
      <c r="G6" s="289"/>
      <c r="H6" s="289"/>
      <c r="I6" s="289"/>
      <c r="J6" s="289"/>
      <c r="K6" s="279"/>
      <c r="L6" s="279"/>
      <c r="M6" s="279"/>
      <c r="N6" s="279"/>
      <c r="O6" s="279"/>
    </row>
    <row r="7" spans="1:26" ht="19.5" thickBot="1">
      <c r="A7" s="90" t="s">
        <v>133</v>
      </c>
      <c r="B7" s="90" t="s">
        <v>134</v>
      </c>
      <c r="C7" s="276"/>
      <c r="D7" s="277"/>
      <c r="E7" s="277"/>
      <c r="F7" s="277"/>
      <c r="G7" s="278"/>
      <c r="H7" s="279"/>
      <c r="I7" s="279"/>
      <c r="J7" s="279"/>
      <c r="K7" s="279"/>
      <c r="L7" s="279"/>
      <c r="M7" s="279"/>
      <c r="N7" s="279"/>
      <c r="O7" s="279"/>
    </row>
    <row r="8" spans="1:26" ht="19.5" thickBot="1">
      <c r="A8" s="90"/>
      <c r="B8" s="90" t="s">
        <v>135</v>
      </c>
      <c r="C8" s="276"/>
      <c r="D8" s="277"/>
      <c r="E8" s="277"/>
      <c r="F8" s="277"/>
      <c r="G8" s="278"/>
      <c r="H8" s="279"/>
      <c r="I8" s="279"/>
      <c r="J8" s="279"/>
      <c r="K8" s="279"/>
      <c r="L8" s="288" t="s">
        <v>136</v>
      </c>
      <c r="M8" s="288"/>
      <c r="N8" s="288"/>
      <c r="O8" s="92">
        <f>10*O9</f>
        <v>0</v>
      </c>
    </row>
    <row r="9" spans="1:26" ht="19.5" thickBot="1">
      <c r="A9" s="95"/>
      <c r="B9" s="90" t="s">
        <v>137</v>
      </c>
      <c r="C9" s="276"/>
      <c r="D9" s="277"/>
      <c r="E9" s="277"/>
      <c r="F9" s="277"/>
      <c r="G9" s="278"/>
      <c r="H9" s="279"/>
      <c r="I9" s="279"/>
      <c r="J9" s="279"/>
      <c r="K9" s="279"/>
      <c r="L9" s="288" t="s">
        <v>138</v>
      </c>
      <c r="M9" s="288"/>
      <c r="N9" s="288"/>
      <c r="O9" s="92">
        <f>ROUNDUP(C8/500,0)</f>
        <v>0</v>
      </c>
    </row>
    <row r="10" spans="1:26" ht="19.5" thickBot="1">
      <c r="A10" s="95"/>
      <c r="B10" s="96" t="s">
        <v>139</v>
      </c>
      <c r="C10" s="276"/>
      <c r="D10" s="277"/>
      <c r="E10" s="277"/>
      <c r="F10" s="277"/>
      <c r="G10" s="278"/>
      <c r="H10" s="279"/>
      <c r="I10" s="279"/>
      <c r="J10" s="279"/>
      <c r="K10" s="279"/>
      <c r="L10" s="279"/>
      <c r="M10" s="279"/>
      <c r="N10" s="279"/>
      <c r="O10" s="279"/>
    </row>
    <row r="11" spans="1:26" ht="19.5" thickBot="1">
      <c r="A11" s="95"/>
      <c r="B11" s="90" t="s">
        <v>140</v>
      </c>
      <c r="C11" s="276"/>
      <c r="D11" s="277"/>
      <c r="E11" s="277"/>
      <c r="F11" s="277"/>
      <c r="G11" s="278"/>
      <c r="H11" s="279"/>
      <c r="I11" s="279"/>
      <c r="J11" s="279"/>
      <c r="K11" s="279"/>
      <c r="L11" s="279"/>
      <c r="M11" s="279"/>
      <c r="N11" s="279"/>
      <c r="O11" s="279"/>
    </row>
    <row r="12" spans="1:26" ht="21.75" thickBot="1">
      <c r="A12" s="97"/>
      <c r="B12" s="90" t="s">
        <v>141</v>
      </c>
      <c r="C12" s="276"/>
      <c r="D12" s="277"/>
      <c r="E12" s="277"/>
      <c r="F12" s="277"/>
      <c r="G12" s="278"/>
      <c r="H12" s="279"/>
      <c r="I12" s="279"/>
      <c r="J12" s="279"/>
      <c r="K12" s="279"/>
      <c r="L12" s="279"/>
      <c r="M12" s="279"/>
      <c r="N12" s="279"/>
      <c r="O12" s="279"/>
    </row>
    <row r="13" spans="1:26" ht="0.2" customHeight="1">
      <c r="A13" s="97"/>
      <c r="B13" s="98"/>
      <c r="C13" s="99"/>
      <c r="D13" s="99"/>
      <c r="E13" s="99"/>
      <c r="F13" s="99"/>
      <c r="G13" s="99"/>
      <c r="H13" s="279"/>
      <c r="I13" s="279"/>
      <c r="J13" s="279"/>
      <c r="K13" s="279"/>
      <c r="L13" s="279"/>
      <c r="M13" s="279"/>
      <c r="N13" s="279"/>
      <c r="O13" s="279"/>
    </row>
    <row r="14" spans="1:26" ht="0.2" customHeight="1">
      <c r="A14" s="97"/>
      <c r="B14" s="98"/>
      <c r="C14" s="99"/>
      <c r="D14" s="99"/>
      <c r="E14" s="99"/>
      <c r="F14" s="99"/>
      <c r="G14" s="99"/>
      <c r="H14" s="279"/>
      <c r="I14" s="279"/>
      <c r="J14" s="279"/>
      <c r="K14" s="279"/>
      <c r="L14" s="279"/>
      <c r="M14" s="279"/>
      <c r="N14" s="279"/>
      <c r="O14" s="279"/>
    </row>
    <row r="15" spans="1:26" ht="0.2" customHeight="1">
      <c r="A15" s="97"/>
      <c r="B15" s="98"/>
      <c r="C15" s="99"/>
      <c r="D15" s="99"/>
      <c r="E15" s="99"/>
      <c r="F15" s="99"/>
      <c r="G15" s="99"/>
      <c r="H15" s="279"/>
      <c r="I15" s="279"/>
      <c r="J15" s="279"/>
      <c r="K15" s="279"/>
      <c r="L15" s="279"/>
      <c r="M15" s="279"/>
      <c r="N15" s="279"/>
      <c r="O15" s="279"/>
    </row>
    <row r="16" spans="1:26" ht="0.2" customHeight="1">
      <c r="A16" s="97"/>
      <c r="B16" s="98"/>
      <c r="C16" s="99"/>
      <c r="D16" s="99"/>
      <c r="E16" s="99"/>
      <c r="F16" s="99"/>
      <c r="G16" s="99"/>
      <c r="H16" s="279"/>
      <c r="I16" s="279"/>
      <c r="J16" s="279"/>
      <c r="K16" s="279"/>
      <c r="L16" s="279"/>
      <c r="M16" s="279"/>
      <c r="N16" s="279"/>
      <c r="O16" s="279"/>
    </row>
    <row r="17" spans="1:15" ht="0.2" customHeight="1">
      <c r="A17" s="97"/>
      <c r="B17" s="98"/>
      <c r="C17" s="99"/>
      <c r="D17" s="99"/>
      <c r="E17" s="99"/>
      <c r="F17" s="99"/>
      <c r="G17" s="99"/>
      <c r="H17" s="279"/>
      <c r="I17" s="279"/>
      <c r="J17" s="279"/>
      <c r="K17" s="279"/>
      <c r="L17" s="279"/>
      <c r="M17" s="279"/>
      <c r="N17" s="279"/>
      <c r="O17" s="279"/>
    </row>
    <row r="18" spans="1:15" ht="0.2" customHeight="1">
      <c r="A18" s="97"/>
      <c r="B18" s="98"/>
      <c r="C18" s="99"/>
      <c r="D18" s="99"/>
      <c r="E18" s="99"/>
      <c r="F18" s="99"/>
      <c r="G18" s="99"/>
      <c r="H18" s="279"/>
      <c r="I18" s="279"/>
      <c r="J18" s="279"/>
      <c r="K18" s="279"/>
      <c r="L18" s="279"/>
      <c r="M18" s="279"/>
      <c r="N18" s="279"/>
      <c r="O18" s="279"/>
    </row>
    <row r="19" spans="1:15" ht="0.2" customHeight="1">
      <c r="A19" s="97"/>
      <c r="B19" s="98"/>
      <c r="C19" s="98"/>
      <c r="D19" s="98"/>
      <c r="E19" s="98"/>
      <c r="F19" s="98"/>
      <c r="G19" s="98"/>
      <c r="H19" s="279"/>
      <c r="I19" s="279"/>
      <c r="J19" s="279"/>
      <c r="K19" s="279"/>
      <c r="L19" s="279"/>
      <c r="M19" s="279"/>
      <c r="N19" s="279"/>
      <c r="O19" s="279"/>
    </row>
    <row r="20" spans="1:15" ht="0.2" customHeight="1">
      <c r="A20" s="97"/>
      <c r="B20" s="98"/>
      <c r="C20" s="98"/>
      <c r="D20" s="98"/>
      <c r="E20" s="98"/>
      <c r="F20" s="98"/>
      <c r="G20" s="98"/>
      <c r="H20" s="279"/>
      <c r="I20" s="279"/>
      <c r="J20" s="279"/>
      <c r="K20" s="279"/>
      <c r="L20" s="279"/>
      <c r="M20" s="279"/>
      <c r="N20" s="279"/>
      <c r="O20" s="279"/>
    </row>
    <row r="21" spans="1:15" ht="409.5" customHeight="1" thickBot="1">
      <c r="A21" s="97"/>
      <c r="B21" s="279"/>
      <c r="C21" s="279"/>
      <c r="D21" s="279"/>
      <c r="E21" s="279"/>
      <c r="F21" s="279"/>
      <c r="G21" s="279"/>
      <c r="H21" s="280"/>
      <c r="I21" s="280"/>
      <c r="J21" s="280"/>
      <c r="K21" s="280"/>
      <c r="L21" s="280"/>
      <c r="M21" s="280"/>
      <c r="N21" s="280"/>
      <c r="O21" s="280"/>
    </row>
    <row r="22" spans="1:15" ht="38.25" thickBot="1">
      <c r="A22" s="98"/>
      <c r="B22" s="100"/>
      <c r="C22" s="281" t="s">
        <v>163</v>
      </c>
      <c r="D22" s="282"/>
      <c r="E22" s="282"/>
      <c r="F22" s="282" t="s">
        <v>94</v>
      </c>
      <c r="G22" s="282"/>
      <c r="H22" s="282"/>
      <c r="I22" s="282" t="s">
        <v>95</v>
      </c>
      <c r="J22" s="282"/>
      <c r="K22" s="101" t="s">
        <v>142</v>
      </c>
      <c r="L22" s="101" t="s">
        <v>143</v>
      </c>
      <c r="M22" s="102" t="s">
        <v>144</v>
      </c>
      <c r="N22" s="282" t="s">
        <v>145</v>
      </c>
      <c r="O22" s="283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75" t="s">
        <v>90</v>
      </c>
      <c r="J23" s="275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73"/>
      <c r="J24" s="274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69"/>
      <c r="J25" s="270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69"/>
      <c r="J26" s="270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69"/>
      <c r="J27" s="270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69"/>
      <c r="J28" s="270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69"/>
      <c r="J29" s="270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69"/>
      <c r="J30" s="270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69">
        <f>ROUNDUP('003_003'!$B$11+(G4*0.02),0)</f>
        <v>16</v>
      </c>
      <c r="J31" s="270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69">
        <f>ROUNDUP('003_003'!$B$11+(G4*0.02),0)</f>
        <v>16</v>
      </c>
      <c r="J32" s="270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71">
        <f>ROUNDUP('003_003'!$B$11+(G4*0.01),0)</f>
        <v>16</v>
      </c>
      <c r="J33" s="272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90" t="s">
        <v>70</v>
      </c>
      <c r="B1" s="290"/>
      <c r="C1" s="290"/>
      <c r="D1" s="290"/>
      <c r="E1" s="290"/>
      <c r="F1" s="290"/>
      <c r="G1" s="290"/>
      <c r="J1" s="75" t="s">
        <v>71</v>
      </c>
      <c r="K1" s="75" t="s">
        <v>62</v>
      </c>
    </row>
    <row r="2" spans="1:16" ht="15.75" thickBot="1">
      <c r="A2" s="76" t="s">
        <v>72</v>
      </c>
      <c r="B2" s="291">
        <v>499</v>
      </c>
      <c r="C2" s="293">
        <v>999</v>
      </c>
      <c r="D2" s="293">
        <v>1499</v>
      </c>
      <c r="E2" s="293">
        <v>1999</v>
      </c>
      <c r="F2" s="293">
        <v>3999</v>
      </c>
      <c r="G2" s="295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92"/>
      <c r="C3" s="294"/>
      <c r="D3" s="294"/>
      <c r="E3" s="294"/>
      <c r="F3" s="294"/>
      <c r="G3" s="296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90" t="s">
        <v>161</v>
      </c>
      <c r="B1" s="290"/>
      <c r="C1" s="290"/>
      <c r="D1" s="290"/>
      <c r="E1" s="290"/>
      <c r="F1" s="290"/>
      <c r="G1" s="290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91">
        <v>500</v>
      </c>
      <c r="C2" s="297">
        <v>999</v>
      </c>
      <c r="D2" s="297">
        <v>1499</v>
      </c>
      <c r="E2" s="297">
        <v>1999</v>
      </c>
      <c r="F2" s="297">
        <v>3999</v>
      </c>
      <c r="G2" s="295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92"/>
      <c r="C3" s="294"/>
      <c r="D3" s="294"/>
      <c r="E3" s="294"/>
      <c r="F3" s="294"/>
      <c r="G3" s="296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>
      <selection activeCell="C11" sqref="C11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98" t="s">
        <v>3906</v>
      </c>
      <c r="D1" s="298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20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301" t="s">
        <v>190</v>
      </c>
      <c r="D9" s="303" t="s">
        <v>191</v>
      </c>
      <c r="E9" s="305" t="s">
        <v>192</v>
      </c>
      <c r="F9" s="305" t="s">
        <v>193</v>
      </c>
      <c r="G9" s="303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99" t="s">
        <v>199</v>
      </c>
    </row>
    <row r="10" spans="1:19" ht="19.5" thickBot="1">
      <c r="B10" s="128"/>
      <c r="C10" s="302"/>
      <c r="D10" s="304"/>
      <c r="E10" s="304"/>
      <c r="F10" s="304"/>
      <c r="G10" s="304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300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disablePrompts="1"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K1" workbookViewId="0">
      <selection activeCell="BW30" sqref="BW30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10" customWidth="1"/>
    <col min="5" max="5" width="10.140625" customWidth="1"/>
    <col min="6" max="6" width="9.42578125" customWidth="1"/>
    <col min="7" max="7" width="16" customWidth="1"/>
    <col min="8" max="8" width="13.42578125" customWidth="1"/>
    <col min="9" max="9" width="13.28515625" customWidth="1"/>
    <col min="10" max="10" width="14.85546875" customWidth="1"/>
    <col min="11" max="11" width="15.140625" customWidth="1"/>
    <col min="12" max="12" width="10.140625" customWidth="1"/>
    <col min="13" max="13" width="9.42578125" customWidth="1"/>
    <col min="14" max="14" width="16" customWidth="1"/>
    <col min="15" max="15" width="13.42578125" customWidth="1"/>
    <col min="16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5703125" customWidth="1"/>
    <col min="58" max="58" width="7.5703125" customWidth="1"/>
    <col min="59" max="59" width="12.140625" customWidth="1"/>
    <col min="60" max="60" width="15.5703125" customWidth="1"/>
    <col min="61" max="61" width="8.28515625" customWidth="1"/>
    <col min="62" max="62" width="16" customWidth="1"/>
    <col min="63" max="63" width="13.28515625" customWidth="1"/>
    <col min="64" max="64" width="13.42578125" customWidth="1"/>
    <col min="65" max="65" width="1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42578125" customWidth="1"/>
    <col min="77" max="77" width="11.5703125" customWidth="1"/>
    <col min="78" max="78" width="7.5703125" customWidth="1"/>
    <col min="79" max="79" width="12.140625" customWidth="1"/>
    <col min="80" max="80" width="15.5703125" customWidth="1"/>
    <col min="81" max="81" width="8.28515625" customWidth="1"/>
    <col min="82" max="82" width="15.5703125" customWidth="1"/>
    <col min="83" max="83" width="16.140625" customWidth="1"/>
    <col min="85" max="85" width="13.42578125" customWidth="1"/>
    <col min="86" max="86" width="11.5703125" customWidth="1"/>
    <col min="87" max="87" width="7.5703125" customWidth="1"/>
    <col min="88" max="88" width="12.140625" customWidth="1"/>
    <col min="89" max="89" width="15.5703125" customWidth="1"/>
    <col min="90" max="90" width="8.28515625" customWidth="1"/>
    <col min="91" max="91" width="16.28515625" customWidth="1"/>
    <col min="92" max="92" width="19.140625" customWidth="1"/>
    <col min="93" max="93" width="13.28515625" customWidth="1"/>
    <col min="95" max="95" width="13.42578125" customWidth="1"/>
    <col min="96" max="96" width="11.5703125" customWidth="1"/>
    <col min="97" max="97" width="7.5703125" customWidth="1"/>
    <col min="98" max="98" width="12.140625" customWidth="1"/>
    <col min="99" max="99" width="15.5703125" customWidth="1"/>
    <col min="100" max="100" width="8.28515625" customWidth="1"/>
    <col min="101" max="101" width="15.5703125" customWidth="1"/>
    <col min="102" max="102" width="16.425781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MIN(Tableau_GrainFinition[Colonne10])</f>
        <v>0</v>
      </c>
      <c r="AM1">
        <f>MAX(Tableau_GrainFinition[Colonne11])</f>
        <v>0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3971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59"/>
      <c r="R3" s="128"/>
      <c r="S3" s="259"/>
      <c r="T3" s="259"/>
      <c r="U3" s="259"/>
      <c r="V3" s="259"/>
      <c r="W3" s="259"/>
      <c r="X3" s="259"/>
      <c r="Z3"/>
      <c r="AA3"/>
      <c r="AB3"/>
      <c r="AC3"/>
      <c r="AE3"/>
      <c r="AF3"/>
      <c r="AG3"/>
      <c r="AH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59"/>
      <c r="R4" s="128"/>
      <c r="S4" s="259"/>
      <c r="T4" s="259"/>
      <c r="U4" s="259"/>
      <c r="V4" s="259"/>
      <c r="W4" s="259"/>
      <c r="X4" s="259"/>
      <c r="Z4"/>
      <c r="AA4"/>
      <c r="AB4"/>
      <c r="AC4"/>
      <c r="AE4"/>
      <c r="AF4"/>
      <c r="AG4"/>
      <c r="AH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59"/>
      <c r="R5" s="128"/>
      <c r="S5" s="259"/>
      <c r="T5" s="259"/>
      <c r="U5" s="259"/>
      <c r="V5" s="259"/>
      <c r="W5" s="259"/>
      <c r="X5" s="259"/>
      <c r="Z5"/>
      <c r="AA5"/>
      <c r="AB5"/>
      <c r="AC5"/>
      <c r="AE5"/>
      <c r="AF5"/>
      <c r="AG5"/>
      <c r="AH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59"/>
      <c r="R6" s="128"/>
      <c r="S6" s="259"/>
      <c r="T6" s="259"/>
      <c r="U6" s="259"/>
      <c r="V6" s="259"/>
      <c r="W6" s="259"/>
      <c r="X6" s="259"/>
      <c r="Z6"/>
      <c r="AA6"/>
      <c r="AB6"/>
      <c r="AC6"/>
      <c r="AE6"/>
      <c r="AF6"/>
      <c r="AG6"/>
      <c r="AH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7"/>
      <c r="CR6" s="237"/>
      <c r="CS6" s="237"/>
      <c r="CT6" s="237"/>
      <c r="CU6" s="237"/>
      <c r="CV6" s="237"/>
      <c r="CW6" s="237"/>
      <c r="CX6" s="237"/>
    </row>
    <row r="7" spans="1:102">
      <c r="A7" t="s">
        <v>3980</v>
      </c>
      <c r="D7"/>
      <c r="E7"/>
      <c r="F7"/>
      <c r="G7"/>
      <c r="H7"/>
      <c r="J7"/>
      <c r="K7"/>
      <c r="L7"/>
      <c r="M7"/>
      <c r="N7"/>
      <c r="O7"/>
      <c r="Q7" s="259"/>
      <c r="R7" s="128"/>
      <c r="S7" s="259"/>
      <c r="T7" s="259"/>
      <c r="U7" s="259"/>
      <c r="V7" s="259"/>
      <c r="W7" s="259"/>
      <c r="X7" s="259"/>
      <c r="Z7"/>
      <c r="AA7"/>
      <c r="AB7"/>
      <c r="AC7"/>
      <c r="AE7"/>
      <c r="AF7"/>
      <c r="AG7"/>
      <c r="AH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7"/>
      <c r="CR7" s="237"/>
      <c r="CS7" s="237"/>
      <c r="CT7" s="237"/>
      <c r="CU7" s="237"/>
      <c r="CV7" s="237"/>
      <c r="CW7" s="237"/>
      <c r="CX7" s="237"/>
    </row>
    <row r="8" spans="1:102">
      <c r="A8" t="s">
        <v>164</v>
      </c>
      <c r="D8"/>
      <c r="E8"/>
      <c r="F8"/>
      <c r="G8"/>
      <c r="H8"/>
      <c r="J8"/>
      <c r="K8"/>
      <c r="L8"/>
      <c r="M8"/>
      <c r="N8"/>
      <c r="O8"/>
      <c r="Q8" s="259"/>
      <c r="R8" s="128"/>
      <c r="S8" s="259"/>
      <c r="T8" s="259"/>
      <c r="U8" s="259"/>
      <c r="V8" s="259"/>
      <c r="W8" s="259"/>
      <c r="X8" s="259"/>
      <c r="Z8"/>
      <c r="AA8"/>
      <c r="AB8"/>
      <c r="AC8"/>
      <c r="AE8"/>
      <c r="AF8"/>
      <c r="AG8"/>
      <c r="AH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7"/>
      <c r="BY8" s="237"/>
      <c r="BZ8" s="237"/>
      <c r="CA8" s="237"/>
      <c r="CB8" s="237"/>
      <c r="CC8" s="237"/>
      <c r="CD8" s="237"/>
      <c r="CE8" s="237"/>
      <c r="CG8" s="237"/>
      <c r="CH8" s="237"/>
      <c r="CI8" s="237"/>
      <c r="CJ8" s="237"/>
      <c r="CK8" s="237"/>
      <c r="CL8" s="237"/>
      <c r="CM8" s="237"/>
      <c r="CN8" s="237"/>
      <c r="CO8" s="237"/>
      <c r="CQ8" s="237"/>
      <c r="CR8" s="237"/>
      <c r="CS8" s="237"/>
      <c r="CT8" s="237"/>
      <c r="CU8" s="237"/>
      <c r="CV8" s="237"/>
      <c r="CW8" s="237"/>
      <c r="CX8" s="237"/>
    </row>
    <row r="9" spans="1:102">
      <c r="A9" t="s">
        <v>166</v>
      </c>
      <c r="D9" s="251"/>
      <c r="E9" s="251"/>
      <c r="F9" s="251"/>
      <c r="G9" s="251"/>
      <c r="H9" s="251"/>
      <c r="J9"/>
      <c r="K9"/>
      <c r="L9"/>
      <c r="M9"/>
      <c r="N9"/>
      <c r="O9"/>
      <c r="Q9" s="259"/>
      <c r="R9" s="128"/>
      <c r="S9" s="259"/>
      <c r="T9" s="259"/>
      <c r="U9" s="259"/>
      <c r="V9" s="259"/>
      <c r="W9" s="259"/>
      <c r="X9" s="259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7"/>
      <c r="BY9" s="237"/>
      <c r="BZ9" s="237"/>
      <c r="CA9" s="237"/>
      <c r="CB9" s="237"/>
      <c r="CC9" s="237"/>
      <c r="CD9" s="237"/>
      <c r="CE9" s="237"/>
      <c r="CG9" s="237"/>
      <c r="CH9" s="237"/>
      <c r="CI9" s="237"/>
      <c r="CJ9" s="237"/>
      <c r="CK9" s="237"/>
      <c r="CL9" s="237"/>
      <c r="CM9" s="237"/>
      <c r="CN9" s="237"/>
      <c r="CO9" s="237"/>
      <c r="CQ9" s="237"/>
      <c r="CR9" s="237"/>
      <c r="CS9" s="237"/>
      <c r="CT9" s="237"/>
      <c r="CU9" s="237"/>
      <c r="CV9" s="237"/>
      <c r="CW9" s="237"/>
      <c r="CX9" s="237"/>
    </row>
    <row r="10" spans="1:102">
      <c r="A10" t="s">
        <v>165</v>
      </c>
      <c r="D10" s="251"/>
      <c r="E10" s="251"/>
      <c r="F10" s="251"/>
      <c r="G10" s="251"/>
      <c r="H10" s="251"/>
      <c r="J10"/>
      <c r="K10"/>
      <c r="L10"/>
      <c r="M10"/>
      <c r="N10"/>
      <c r="O10"/>
      <c r="Q10" s="259"/>
      <c r="R10" s="128"/>
      <c r="S10" s="259"/>
      <c r="T10" s="259"/>
      <c r="U10" s="259"/>
      <c r="V10" s="259"/>
      <c r="W10" s="259"/>
      <c r="X10" s="259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7"/>
      <c r="BY10" s="237"/>
      <c r="BZ10" s="237"/>
      <c r="CA10" s="237"/>
      <c r="CB10" s="237"/>
      <c r="CC10" s="237"/>
      <c r="CD10" s="237"/>
      <c r="CE10" s="237"/>
      <c r="CG10" s="237"/>
      <c r="CH10" s="237"/>
      <c r="CI10" s="237"/>
      <c r="CJ10" s="237"/>
      <c r="CK10" s="237"/>
      <c r="CL10" s="237"/>
      <c r="CM10" s="237"/>
      <c r="CN10" s="237"/>
      <c r="CO10" s="237"/>
    </row>
    <row r="11" spans="1:102">
      <c r="A11" t="s">
        <v>3971</v>
      </c>
      <c r="J11"/>
      <c r="K11"/>
      <c r="L11"/>
      <c r="M11"/>
      <c r="N11"/>
      <c r="O11"/>
      <c r="Q11" s="259"/>
      <c r="R11" s="128"/>
      <c r="S11" s="259"/>
      <c r="T11" s="259"/>
      <c r="U11" s="259"/>
      <c r="V11" s="259"/>
      <c r="W11" s="259"/>
      <c r="X11" s="259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7"/>
      <c r="BY11" s="237"/>
      <c r="BZ11" s="237"/>
      <c r="CA11" s="237"/>
      <c r="CB11" s="237"/>
      <c r="CC11" s="237"/>
      <c r="CD11" s="237"/>
      <c r="CE11" s="237"/>
      <c r="CG11" s="237"/>
      <c r="CH11" s="237"/>
      <c r="CI11" s="237"/>
      <c r="CJ11" s="237"/>
      <c r="CK11" s="237"/>
      <c r="CL11" s="237"/>
      <c r="CM11" s="237"/>
      <c r="CN11" s="237"/>
      <c r="CO11" s="237"/>
    </row>
    <row r="12" spans="1:102">
      <c r="J12"/>
      <c r="K12"/>
      <c r="L12"/>
      <c r="M12"/>
      <c r="N12"/>
      <c r="O12"/>
      <c r="Q12" s="259"/>
      <c r="R12" s="128"/>
      <c r="S12" s="259"/>
      <c r="T12" s="259"/>
      <c r="U12" s="259"/>
      <c r="V12" s="259"/>
      <c r="W12" s="259"/>
      <c r="X12" s="259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59"/>
      <c r="R13" s="128"/>
      <c r="S13" s="259"/>
      <c r="T13" s="259"/>
      <c r="U13" s="259"/>
      <c r="V13" s="259"/>
      <c r="W13" s="259"/>
      <c r="X13" s="259"/>
    </row>
    <row r="14" spans="1:102">
      <c r="J14"/>
      <c r="K14"/>
      <c r="L14"/>
      <c r="M14"/>
      <c r="N14"/>
      <c r="O14"/>
      <c r="Q14" s="259"/>
      <c r="R14" s="128"/>
      <c r="S14" s="259"/>
      <c r="T14" s="259"/>
      <c r="U14" s="259"/>
      <c r="V14" s="259"/>
      <c r="W14" s="259"/>
      <c r="X14" s="259"/>
    </row>
    <row r="15" spans="1:102">
      <c r="J15"/>
      <c r="K15"/>
      <c r="L15"/>
      <c r="M15"/>
      <c r="N15"/>
      <c r="O15"/>
      <c r="Q15" s="259"/>
      <c r="R15" s="128"/>
      <c r="S15" s="259"/>
      <c r="T15" s="259"/>
      <c r="U15" s="259"/>
      <c r="V15" s="259"/>
      <c r="W15" s="259"/>
      <c r="X15" s="259"/>
    </row>
    <row r="16" spans="1:102">
      <c r="J16"/>
      <c r="K16"/>
      <c r="L16"/>
      <c r="M16"/>
      <c r="N16"/>
      <c r="O16"/>
      <c r="Q16" s="259"/>
      <c r="R16" s="128"/>
      <c r="S16" s="259"/>
      <c r="T16" s="259"/>
      <c r="U16" s="259"/>
      <c r="V16" s="259"/>
      <c r="W16" s="259"/>
      <c r="X16" s="259"/>
    </row>
    <row r="17" spans="10:75">
      <c r="J17"/>
      <c r="K17"/>
      <c r="L17"/>
      <c r="M17"/>
      <c r="N17"/>
      <c r="O17"/>
      <c r="Q17" s="259"/>
      <c r="R17" s="128"/>
      <c r="S17" s="259"/>
      <c r="T17" s="259"/>
      <c r="U17" s="259"/>
      <c r="V17" s="259"/>
      <c r="W17" s="259"/>
      <c r="X17" s="259"/>
      <c r="BQ17"/>
      <c r="BR17"/>
    </row>
    <row r="18" spans="10:75">
      <c r="J18"/>
      <c r="K18"/>
      <c r="L18"/>
      <c r="M18"/>
      <c r="N18"/>
      <c r="O18"/>
      <c r="Q18" s="259"/>
      <c r="R18" s="128"/>
      <c r="S18" s="259"/>
      <c r="T18" s="259"/>
      <c r="U18" s="259"/>
      <c r="V18" s="259"/>
      <c r="W18" s="259"/>
      <c r="X18" s="259"/>
      <c r="BQ18"/>
      <c r="BR18"/>
    </row>
    <row r="19" spans="10:75">
      <c r="J19"/>
      <c r="K19"/>
      <c r="L19"/>
      <c r="M19"/>
      <c r="N19"/>
      <c r="O19"/>
      <c r="Q19" s="259"/>
      <c r="R19" s="128"/>
      <c r="S19" s="259"/>
      <c r="T19" s="259"/>
      <c r="U19" s="259"/>
      <c r="V19" s="259"/>
      <c r="W19" s="259"/>
      <c r="X19" s="259"/>
      <c r="BQ19"/>
      <c r="BR19"/>
    </row>
    <row r="20" spans="10:75">
      <c r="J20"/>
      <c r="K20"/>
      <c r="L20"/>
      <c r="M20"/>
      <c r="N20"/>
      <c r="O20"/>
      <c r="Q20" s="259"/>
      <c r="R20" s="128"/>
      <c r="S20" s="259"/>
      <c r="T20" s="259"/>
      <c r="U20" s="259"/>
      <c r="V20" s="259"/>
      <c r="W20" s="259"/>
      <c r="X20" s="259"/>
      <c r="BQ20"/>
      <c r="BR20"/>
    </row>
    <row r="21" spans="10:75">
      <c r="J21"/>
      <c r="K21"/>
      <c r="L21"/>
      <c r="M21"/>
      <c r="N21"/>
      <c r="O21"/>
      <c r="Q21" s="259"/>
      <c r="R21" s="128"/>
      <c r="S21" s="259"/>
      <c r="T21" s="259"/>
      <c r="U21" s="259"/>
      <c r="V21" s="259"/>
      <c r="W21" s="259"/>
      <c r="X21" s="259"/>
      <c r="BQ21"/>
      <c r="BR21"/>
    </row>
    <row r="22" spans="10:75">
      <c r="J22"/>
      <c r="K22"/>
      <c r="L22"/>
      <c r="M22"/>
      <c r="N22"/>
      <c r="O22"/>
      <c r="Q22" s="259"/>
      <c r="R22" s="128"/>
      <c r="S22" s="259"/>
      <c r="T22" s="259"/>
      <c r="U22" s="259"/>
      <c r="V22" s="259"/>
      <c r="W22" s="259"/>
      <c r="X22" s="259"/>
      <c r="BQ22"/>
      <c r="BR22"/>
    </row>
    <row r="23" spans="10:75">
      <c r="J23"/>
      <c r="K23"/>
      <c r="L23"/>
      <c r="M23"/>
      <c r="N23"/>
      <c r="O23"/>
      <c r="Q23" s="259"/>
      <c r="R23" s="128"/>
      <c r="S23" s="259"/>
      <c r="T23" s="259"/>
      <c r="U23" s="259"/>
      <c r="V23" s="259"/>
      <c r="W23" s="259"/>
      <c r="X23" s="259"/>
      <c r="BQ23"/>
      <c r="BR23"/>
    </row>
    <row r="24" spans="10:75">
      <c r="J24"/>
      <c r="K24"/>
      <c r="L24"/>
      <c r="M24"/>
      <c r="N24"/>
      <c r="O24"/>
      <c r="Q24" s="259"/>
      <c r="R24" s="128"/>
      <c r="S24" s="259"/>
      <c r="T24" s="259"/>
      <c r="U24" s="259"/>
      <c r="V24" s="259"/>
      <c r="W24" s="259"/>
      <c r="X24" s="259"/>
      <c r="BQ24"/>
      <c r="BR24"/>
    </row>
    <row r="25" spans="10:75">
      <c r="J25"/>
      <c r="K25"/>
      <c r="L25"/>
      <c r="M25"/>
      <c r="N25"/>
      <c r="O25"/>
      <c r="Q25" s="259"/>
      <c r="R25" s="128"/>
      <c r="S25" s="259"/>
      <c r="T25" s="259"/>
      <c r="U25" s="259"/>
      <c r="V25" s="259"/>
      <c r="W25" s="259"/>
      <c r="X25" s="259"/>
      <c r="BQ25"/>
      <c r="BR25"/>
    </row>
    <row r="26" spans="10:75">
      <c r="J26"/>
      <c r="K26"/>
      <c r="L26"/>
      <c r="M26"/>
      <c r="N26"/>
      <c r="O26"/>
      <c r="Q26" s="259"/>
      <c r="R26" s="128"/>
      <c r="S26" s="259"/>
      <c r="T26" s="259"/>
      <c r="U26" s="259"/>
      <c r="V26" s="259"/>
      <c r="W26" s="259"/>
      <c r="X26" s="259"/>
      <c r="BQ26"/>
      <c r="BR26"/>
    </row>
    <row r="27" spans="10:75">
      <c r="J27"/>
      <c r="K27"/>
      <c r="L27"/>
      <c r="M27"/>
      <c r="N27"/>
      <c r="O27"/>
      <c r="Q27" s="259"/>
      <c r="R27" s="128"/>
      <c r="S27" s="259"/>
      <c r="T27" s="259"/>
      <c r="U27" s="259"/>
      <c r="V27" s="259"/>
      <c r="W27" s="259"/>
      <c r="X27" s="259"/>
      <c r="BQ27"/>
      <c r="BR27"/>
    </row>
    <row r="28" spans="10:75">
      <c r="J28"/>
      <c r="K28"/>
      <c r="L28"/>
      <c r="M28"/>
      <c r="N28"/>
      <c r="O28"/>
      <c r="Q28" s="259"/>
      <c r="R28" s="128"/>
      <c r="S28" s="259"/>
      <c r="T28" s="259"/>
      <c r="U28" s="259"/>
      <c r="V28" s="259"/>
      <c r="W28" s="259"/>
      <c r="X28" s="259"/>
      <c r="BQ28"/>
      <c r="BR28"/>
    </row>
    <row r="29" spans="10:75">
      <c r="J29"/>
      <c r="K29"/>
      <c r="L29"/>
      <c r="M29"/>
      <c r="N29"/>
      <c r="O29"/>
      <c r="Q29" s="259"/>
      <c r="R29" s="128"/>
      <c r="S29" s="259"/>
      <c r="T29" s="259"/>
      <c r="U29" s="259"/>
      <c r="V29" s="259"/>
      <c r="W29" s="259"/>
      <c r="X29" s="259"/>
      <c r="BQ29"/>
      <c r="BR29"/>
      <c r="BW29">
        <f>VLOOKUP(40,Tableau_Chanfreinage[Diametre],1,TRUE)</f>
        <v>37</v>
      </c>
    </row>
    <row r="30" spans="10:75">
      <c r="J30"/>
      <c r="K30"/>
      <c r="L30"/>
      <c r="M30"/>
      <c r="N30"/>
      <c r="O30"/>
      <c r="Q30" s="259"/>
      <c r="R30" s="128"/>
      <c r="S30" s="259"/>
      <c r="T30" s="259"/>
      <c r="U30" s="259"/>
      <c r="V30" s="259"/>
      <c r="W30" s="259"/>
      <c r="X30" s="259"/>
      <c r="BQ30"/>
      <c r="BR30"/>
      <c r="BV30">
        <v>70</v>
      </c>
      <c r="BW30">
        <f>INDEX(Tableau_Chanfreinage[Diametre],IF(ISNA( MATCH(BV30,Tableau_Chanfreinage[Diametre],1)),1,MATCH(BV30,Tableau_Chanfreinage[Diametre],1)+1))</f>
        <v>80</v>
      </c>
    </row>
    <row r="31" spans="10:75">
      <c r="J31"/>
      <c r="K31"/>
      <c r="L31"/>
      <c r="M31"/>
      <c r="N31"/>
      <c r="O31"/>
      <c r="Q31" s="259"/>
      <c r="R31" s="128"/>
      <c r="S31" s="259"/>
      <c r="T31" s="259"/>
      <c r="U31" s="259"/>
      <c r="V31" s="259"/>
      <c r="W31" s="259"/>
      <c r="X31" s="259"/>
      <c r="BQ31"/>
      <c r="BR31"/>
    </row>
    <row r="32" spans="10:75">
      <c r="J32"/>
      <c r="K32"/>
      <c r="L32"/>
      <c r="M32"/>
      <c r="N32"/>
      <c r="O32"/>
      <c r="Q32" s="259"/>
      <c r="R32" s="128"/>
      <c r="S32" s="259"/>
      <c r="T32" s="259"/>
      <c r="U32" s="259"/>
      <c r="V32" s="259"/>
      <c r="W32" s="259"/>
      <c r="X32" s="259"/>
      <c r="BQ32"/>
      <c r="BR32"/>
    </row>
    <row r="33" spans="10:70">
      <c r="J33"/>
      <c r="K33"/>
      <c r="L33"/>
      <c r="M33"/>
      <c r="N33"/>
      <c r="O33"/>
      <c r="Q33" s="259"/>
      <c r="R33" s="128"/>
      <c r="S33" s="259"/>
      <c r="T33" s="259"/>
      <c r="U33" s="259"/>
      <c r="V33" s="259"/>
      <c r="W33" s="259"/>
      <c r="X33" s="259"/>
      <c r="BQ33"/>
      <c r="BR33"/>
    </row>
    <row r="34" spans="10:70">
      <c r="J34"/>
      <c r="K34"/>
      <c r="L34"/>
      <c r="M34"/>
      <c r="N34"/>
      <c r="O34"/>
      <c r="Q34" s="259"/>
      <c r="R34" s="128"/>
      <c r="S34" s="259"/>
      <c r="T34" s="259"/>
      <c r="U34" s="259"/>
      <c r="V34" s="259"/>
      <c r="W34" s="259"/>
      <c r="X34" s="259"/>
      <c r="BQ34"/>
      <c r="BR34"/>
    </row>
    <row r="35" spans="10:70">
      <c r="J35"/>
      <c r="K35"/>
      <c r="L35"/>
      <c r="M35"/>
      <c r="N35"/>
      <c r="O35"/>
      <c r="Q35" s="259"/>
      <c r="R35" s="128"/>
      <c r="S35" s="259"/>
      <c r="T35" s="259"/>
      <c r="U35" s="259"/>
      <c r="V35" s="259"/>
      <c r="W35" s="259"/>
      <c r="X35" s="259"/>
      <c r="BQ35"/>
      <c r="BR35"/>
    </row>
    <row r="36" spans="10:70">
      <c r="J36"/>
      <c r="K36"/>
      <c r="L36"/>
      <c r="M36"/>
      <c r="N36"/>
      <c r="O36"/>
      <c r="Q36" s="259"/>
      <c r="R36" s="128"/>
      <c r="S36" s="259"/>
      <c r="T36" s="259"/>
      <c r="U36" s="259"/>
      <c r="V36" s="259"/>
      <c r="W36" s="259"/>
      <c r="X36" s="259"/>
      <c r="BQ36"/>
      <c r="BR36"/>
    </row>
    <row r="37" spans="10:70">
      <c r="J37"/>
      <c r="K37"/>
      <c r="L37"/>
      <c r="M37"/>
      <c r="N37"/>
      <c r="O37"/>
      <c r="Q37" s="259"/>
      <c r="R37" s="128"/>
      <c r="S37" s="259"/>
      <c r="T37" s="259"/>
      <c r="U37" s="259"/>
      <c r="V37" s="259"/>
      <c r="W37" s="259"/>
      <c r="X37" s="259"/>
      <c r="BQ37"/>
      <c r="BR37"/>
    </row>
    <row r="38" spans="10:70">
      <c r="J38"/>
      <c r="K38"/>
      <c r="L38"/>
      <c r="M38"/>
      <c r="N38"/>
      <c r="O38"/>
      <c r="Q38" s="259"/>
      <c r="R38" s="128"/>
      <c r="S38" s="259"/>
      <c r="T38" s="259"/>
      <c r="U38" s="259"/>
      <c r="V38" s="259"/>
      <c r="W38" s="259"/>
      <c r="X38" s="259"/>
      <c r="BQ38"/>
      <c r="BR38"/>
    </row>
    <row r="39" spans="10:70">
      <c r="J39"/>
      <c r="K39"/>
      <c r="L39"/>
      <c r="M39"/>
      <c r="N39"/>
      <c r="O39"/>
      <c r="Q39" s="259"/>
      <c r="R39" s="128"/>
      <c r="S39" s="259"/>
      <c r="T39" s="259"/>
      <c r="U39" s="259"/>
      <c r="V39" s="259"/>
      <c r="W39" s="259"/>
      <c r="X39" s="259"/>
      <c r="BQ39"/>
      <c r="BR39"/>
    </row>
    <row r="40" spans="10:70">
      <c r="J40"/>
      <c r="K40"/>
      <c r="L40"/>
      <c r="M40"/>
      <c r="N40"/>
      <c r="O40"/>
      <c r="Q40" s="259"/>
      <c r="R40" s="128"/>
      <c r="S40" s="259"/>
      <c r="T40" s="259"/>
      <c r="U40" s="259"/>
      <c r="V40" s="259"/>
      <c r="W40" s="259"/>
      <c r="X40" s="259"/>
      <c r="BQ40"/>
      <c r="BR40"/>
    </row>
    <row r="41" spans="10:70">
      <c r="J41"/>
      <c r="K41"/>
      <c r="L41"/>
      <c r="M41"/>
      <c r="N41"/>
      <c r="O41"/>
      <c r="Q41" s="259"/>
      <c r="R41" s="128"/>
      <c r="S41" s="259"/>
      <c r="T41" s="259"/>
      <c r="U41" s="259"/>
      <c r="V41" s="259"/>
      <c r="W41" s="259"/>
      <c r="X41" s="259"/>
      <c r="BQ41"/>
      <c r="BR41"/>
    </row>
    <row r="42" spans="10:70">
      <c r="J42"/>
      <c r="K42"/>
      <c r="L42"/>
      <c r="M42"/>
      <c r="N42"/>
      <c r="O42"/>
      <c r="Q42" s="259"/>
      <c r="R42" s="128"/>
      <c r="S42" s="259"/>
      <c r="T42" s="259"/>
      <c r="U42" s="259"/>
      <c r="V42" s="259"/>
      <c r="W42" s="259"/>
      <c r="X42" s="259"/>
      <c r="BQ42"/>
      <c r="BR42"/>
    </row>
    <row r="43" spans="10:70">
      <c r="J43"/>
      <c r="K43"/>
      <c r="L43"/>
      <c r="M43"/>
      <c r="N43"/>
      <c r="O43"/>
      <c r="Q43" s="259"/>
      <c r="R43" s="128"/>
      <c r="S43" s="259"/>
      <c r="T43" s="259"/>
      <c r="U43" s="259"/>
      <c r="V43" s="259"/>
      <c r="W43" s="259"/>
      <c r="X43" s="259"/>
      <c r="BQ43"/>
      <c r="BR43"/>
    </row>
    <row r="44" spans="10:70">
      <c r="J44"/>
      <c r="K44"/>
      <c r="L44"/>
      <c r="M44"/>
      <c r="N44"/>
      <c r="O44"/>
      <c r="Q44" s="259"/>
      <c r="R44" s="128"/>
      <c r="S44" s="259"/>
      <c r="T44" s="259"/>
      <c r="U44" s="259"/>
      <c r="V44" s="259"/>
      <c r="W44" s="259"/>
      <c r="X44" s="259"/>
      <c r="BQ44"/>
      <c r="BR44"/>
    </row>
    <row r="45" spans="10:70">
      <c r="J45"/>
      <c r="K45"/>
      <c r="L45"/>
      <c r="M45"/>
      <c r="N45"/>
      <c r="O45"/>
      <c r="Q45" s="259"/>
      <c r="R45" s="128"/>
      <c r="S45" s="259"/>
      <c r="T45" s="259"/>
      <c r="U45" s="259"/>
      <c r="V45" s="259"/>
      <c r="W45" s="259"/>
      <c r="X45" s="259"/>
      <c r="BQ45"/>
      <c r="BR45"/>
    </row>
    <row r="46" spans="10:70">
      <c r="J46"/>
      <c r="K46"/>
      <c r="L46"/>
      <c r="M46"/>
      <c r="N46"/>
      <c r="O46"/>
      <c r="Q46" s="259"/>
      <c r="R46" s="128"/>
      <c r="S46" s="259"/>
      <c r="T46" s="259"/>
      <c r="U46" s="259"/>
      <c r="V46" s="259"/>
      <c r="W46" s="259"/>
      <c r="X46" s="259"/>
      <c r="BQ46"/>
      <c r="BR46"/>
    </row>
    <row r="47" spans="10:70">
      <c r="J47"/>
      <c r="K47"/>
      <c r="L47"/>
      <c r="M47"/>
      <c r="N47"/>
      <c r="O47"/>
      <c r="Q47" s="259"/>
      <c r="R47" s="128"/>
      <c r="S47" s="259"/>
      <c r="T47" s="259"/>
      <c r="U47" s="259"/>
      <c r="V47" s="259"/>
      <c r="W47" s="259"/>
      <c r="X47" s="259"/>
      <c r="BQ47"/>
      <c r="BR47"/>
    </row>
    <row r="48" spans="10:70">
      <c r="J48"/>
      <c r="K48"/>
      <c r="L48"/>
      <c r="M48"/>
      <c r="N48"/>
      <c r="O48"/>
      <c r="Q48" s="259"/>
      <c r="R48" s="128"/>
      <c r="S48" s="259"/>
      <c r="T48" s="259"/>
      <c r="U48" s="259"/>
      <c r="V48" s="259"/>
      <c r="W48" s="259"/>
      <c r="X48" s="259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98" t="s">
        <v>1</v>
      </c>
      <c r="D1" s="298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298" t="s">
        <v>3996</v>
      </c>
      <c r="D98" s="298"/>
      <c r="E98" s="298"/>
    </row>
    <row r="99" spans="3:5" ht="16.5" thickTop="1" thickBot="1"/>
    <row r="100" spans="3:5" ht="26.25">
      <c r="C100" s="253" t="s">
        <v>2</v>
      </c>
      <c r="D100" s="254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53" t="s">
        <v>4</v>
      </c>
      <c r="D104" s="255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3997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3998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06" t="s">
        <v>6</v>
      </c>
      <c r="D1" s="306"/>
      <c r="E1" s="306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07" t="s">
        <v>0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98" t="s">
        <v>7</v>
      </c>
      <c r="D1" s="298"/>
      <c r="E1" s="298"/>
      <c r="F1" s="298"/>
      <c r="G1" s="298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308">
        <f>C9+(2.5*D9)</f>
        <v>4.7500000000000001E-2</v>
      </c>
      <c r="D12" s="309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10" t="str">
        <f>IF(S18,"Matière inapte",CONCATENATE(P20," Ok"))</f>
        <v>Classe 2 Ok</v>
      </c>
      <c r="D15" s="310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mergeCells count="3">
    <mergeCell ref="C1:G1"/>
    <mergeCell ref="C12:D12"/>
    <mergeCell ref="C15:D15"/>
  </mergeCells>
  <conditionalFormatting sqref="G13">
    <cfRule type="expression" dxfId="35" priority="13">
      <formula>$P$14</formula>
    </cfRule>
    <cfRule type="expression" dxfId="34" priority="14">
      <formula>NOT($P$14)</formula>
    </cfRule>
  </conditionalFormatting>
  <conditionalFormatting sqref="H13">
    <cfRule type="expression" dxfId="33" priority="11">
      <formula>$Q$14</formula>
    </cfRule>
    <cfRule type="expression" dxfId="32" priority="12">
      <formula>NOT($Q$14)</formula>
    </cfRule>
  </conditionalFormatting>
  <conditionalFormatting sqref="I13">
    <cfRule type="expression" dxfId="31" priority="9">
      <formula>$R$14</formula>
    </cfRule>
    <cfRule type="expression" dxfId="30" priority="10">
      <formula>NOT($R$14)</formula>
    </cfRule>
  </conditionalFormatting>
  <conditionalFormatting sqref="I15">
    <cfRule type="expression" dxfId="29" priority="7">
      <formula>$R$16</formula>
    </cfRule>
    <cfRule type="expression" dxfId="28" priority="8">
      <formula>NOT($R$14)</formula>
    </cfRule>
  </conditionalFormatting>
  <conditionalFormatting sqref="H14">
    <cfRule type="expression" dxfId="27" priority="5">
      <formula>$Q$15</formula>
    </cfRule>
    <cfRule type="expression" dxfId="26" priority="6">
      <formula>NOT($Q$15)</formula>
    </cfRule>
  </conditionalFormatting>
  <conditionalFormatting sqref="G14">
    <cfRule type="expression" dxfId="25" priority="3">
      <formula>$P$15</formula>
    </cfRule>
    <cfRule type="expression" dxfId="24" priority="4">
      <formula>NOT($P$15)</formula>
    </cfRule>
  </conditionalFormatting>
  <conditionalFormatting sqref="C15:D15">
    <cfRule type="expression" dxfId="23" priority="1">
      <formula>NOT($S$18)</formula>
    </cfRule>
    <cfRule type="expression" dxfId="22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98" t="s">
        <v>23</v>
      </c>
      <c r="C1" s="298"/>
      <c r="D1" s="298"/>
      <c r="E1" s="298"/>
      <c r="F1" s="298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11" t="str">
        <f>IF(D10&lt;0,"Nakamura OK","Nakamura NON acceptable")</f>
        <v>Nakamura OK</v>
      </c>
      <c r="C13" s="311"/>
      <c r="D13" s="311"/>
      <c r="E13" s="311"/>
      <c r="F13" s="311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1" priority="1" stopIfTrue="1">
      <formula>NOT($M$11)</formula>
    </cfRule>
    <cfRule type="expression" dxfId="20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12" t="s">
        <v>28</v>
      </c>
      <c r="E2" s="312"/>
      <c r="F2" s="312"/>
      <c r="G2" s="312"/>
    </row>
    <row r="3" spans="2:16" ht="20.25" thickBot="1">
      <c r="D3" s="298" t="s">
        <v>29</v>
      </c>
      <c r="E3" s="298"/>
      <c r="F3" s="298"/>
      <c r="G3" s="298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13" t="s">
        <v>36</v>
      </c>
      <c r="H11" s="313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14" t="str">
        <f>VLOOKUP(E12,O9:P13,2)</f>
        <v>Très Bon</v>
      </c>
      <c r="H12" s="314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14" t="str">
        <f>VLOOKUP(E14,O9:P13,2)</f>
        <v>Excellent</v>
      </c>
      <c r="H14" s="314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19" priority="6" stopIfTrue="1" operator="equal">
      <formula>$P$13</formula>
    </cfRule>
    <cfRule type="cellIs" dxfId="18" priority="7" stopIfTrue="1" operator="equal">
      <formula>$P$12</formula>
    </cfRule>
    <cfRule type="cellIs" dxfId="17" priority="8" stopIfTrue="1" operator="equal">
      <formula>$P$11</formula>
    </cfRule>
    <cfRule type="cellIs" dxfId="16" priority="9" stopIfTrue="1" operator="equal">
      <formula>$P$10</formula>
    </cfRule>
    <cfRule type="cellIs" dxfId="15" priority="10" stopIfTrue="1" operator="equal">
      <formula>$P$9</formula>
    </cfRule>
  </conditionalFormatting>
  <conditionalFormatting sqref="G14:H14">
    <cfRule type="cellIs" dxfId="14" priority="1" stopIfTrue="1" operator="equal">
      <formula>$P$13</formula>
    </cfRule>
    <cfRule type="cellIs" dxfId="13" priority="2" stopIfTrue="1" operator="equal">
      <formula>$P$12</formula>
    </cfRule>
    <cfRule type="cellIs" dxfId="12" priority="3" stopIfTrue="1" operator="equal">
      <formula>$P$11</formula>
    </cfRule>
    <cfRule type="cellIs" dxfId="11" priority="4" stopIfTrue="1" operator="equal">
      <formula>$P$10</formula>
    </cfRule>
    <cfRule type="cellIs" dxfId="10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68" t="s">
        <v>56</v>
      </c>
      <c r="C2" s="268"/>
      <c r="D2" s="268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68" t="s">
        <v>63</v>
      </c>
      <c r="C19" s="268"/>
      <c r="D19" s="268"/>
      <c r="E19" s="268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68" t="s">
        <v>3905</v>
      </c>
      <c r="C2" s="268"/>
      <c r="D2" s="268"/>
      <c r="E2" s="268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15" t="s">
        <v>68</v>
      </c>
      <c r="G10" s="316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68" t="s">
        <v>63</v>
      </c>
      <c r="C19" s="268"/>
      <c r="D19" s="268"/>
      <c r="E19" s="268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68" t="s">
        <v>3902</v>
      </c>
      <c r="D1" s="268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zoomScale="82" zoomScaleNormal="82" workbookViewId="0">
      <selection activeCell="V11" sqref="V11"/>
    </sheetView>
  </sheetViews>
  <sheetFormatPr baseColWidth="10" defaultRowHeight="15"/>
  <cols>
    <col min="1" max="1" width="11.42578125" style="25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5"/>
      <c r="H2" s="165"/>
      <c r="I2" s="166" t="s">
        <v>3920</v>
      </c>
      <c r="J2" s="317">
        <v>41989.615844907406</v>
      </c>
      <c r="K2" s="317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32" t="s">
        <v>3970</v>
      </c>
      <c r="B4" s="332"/>
      <c r="C4" s="332"/>
      <c r="D4" s="333"/>
      <c r="E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197" t="s">
        <v>3922</v>
      </c>
      <c r="D5" s="168" t="s">
        <v>3923</v>
      </c>
      <c r="E5" s="165"/>
      <c r="F5" s="256">
        <f>F8-2*N8</f>
        <v>2978</v>
      </c>
      <c r="G5" s="256">
        <f>G8-2*N8</f>
        <v>1478</v>
      </c>
      <c r="H5" s="256"/>
      <c r="I5" s="256"/>
      <c r="J5" s="256">
        <f>J8</f>
        <v>400</v>
      </c>
      <c r="K5" s="256">
        <f>K8</f>
        <v>250</v>
      </c>
      <c r="L5" s="256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34">
        <f>U22</f>
        <v>0.88829892787236286</v>
      </c>
      <c r="B6" s="318">
        <f>V22</f>
        <v>0.57060649038191269</v>
      </c>
      <c r="C6" s="321">
        <f>W22</f>
        <v>0.61997806043894088</v>
      </c>
      <c r="D6" s="169" t="s">
        <v>3924</v>
      </c>
      <c r="E6" s="324" t="s">
        <v>3925</v>
      </c>
      <c r="F6" s="327" t="s">
        <v>3926</v>
      </c>
      <c r="G6" s="328"/>
      <c r="H6" s="328"/>
      <c r="I6" s="329"/>
      <c r="J6" s="330" t="s">
        <v>3925</v>
      </c>
      <c r="K6" s="331"/>
      <c r="L6" s="340" t="str">
        <f>CONCATENATE("Quantité (max:",U11*V11,")")</f>
        <v>Quantité (max:21)</v>
      </c>
      <c r="M6" s="341"/>
      <c r="N6" s="327" t="s">
        <v>3915</v>
      </c>
      <c r="O6" s="328"/>
      <c r="P6" s="328"/>
      <c r="Q6" s="329"/>
      <c r="R6" s="327" t="s">
        <v>3928</v>
      </c>
      <c r="S6" s="328"/>
      <c r="T6" s="329"/>
      <c r="U6" s="327" t="s">
        <v>3929</v>
      </c>
      <c r="V6" s="328"/>
      <c r="W6" s="329"/>
      <c r="X6" s="327" t="s">
        <v>3930</v>
      </c>
      <c r="Y6" s="328"/>
      <c r="Z6" s="329"/>
      <c r="AA6" s="257" t="s">
        <v>4000</v>
      </c>
    </row>
    <row r="7" spans="1:27" ht="15.75" thickBot="1">
      <c r="A7" s="335"/>
      <c r="B7" s="319"/>
      <c r="C7" s="322"/>
      <c r="D7" s="357">
        <v>1</v>
      </c>
      <c r="E7" s="325"/>
      <c r="F7" s="170" t="s">
        <v>2</v>
      </c>
      <c r="G7" s="171" t="s">
        <v>3</v>
      </c>
      <c r="H7" s="359" t="s">
        <v>3931</v>
      </c>
      <c r="I7" s="360"/>
      <c r="J7" s="170" t="s">
        <v>3932</v>
      </c>
      <c r="K7" s="172" t="s">
        <v>3933</v>
      </c>
      <c r="L7" s="372">
        <v>4</v>
      </c>
      <c r="M7" s="373"/>
      <c r="N7" s="361" t="s">
        <v>3946</v>
      </c>
      <c r="O7" s="362"/>
      <c r="P7" s="363" t="s">
        <v>3947</v>
      </c>
      <c r="Q7" s="360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36"/>
      <c r="B8" s="320"/>
      <c r="C8" s="323"/>
      <c r="D8" s="358"/>
      <c r="E8" s="326"/>
      <c r="F8" s="176">
        <v>3000</v>
      </c>
      <c r="G8" s="176">
        <v>1500</v>
      </c>
      <c r="H8" s="177">
        <f>I8/G8</f>
        <v>0.17199999999999999</v>
      </c>
      <c r="I8" s="178">
        <f>G8-V8</f>
        <v>258</v>
      </c>
      <c r="J8" s="176">
        <v>400</v>
      </c>
      <c r="K8" s="176">
        <v>250</v>
      </c>
      <c r="N8" s="364">
        <v>11</v>
      </c>
      <c r="O8" s="365"/>
      <c r="P8" s="355">
        <v>10</v>
      </c>
      <c r="Q8" s="356"/>
      <c r="R8" s="180">
        <f>(L7*PI()*POWER(J8/2,2))/1000000</f>
        <v>0.50265482457436694</v>
      </c>
      <c r="S8" s="181">
        <f>(L7*PI()*POWER(K8/2,2))/1000000</f>
        <v>0.19634954084936207</v>
      </c>
      <c r="T8" s="182">
        <f>R8-S8</f>
        <v>0.30630528372500487</v>
      </c>
      <c r="U8" s="183">
        <f>(N8*2)+(O35-1)*P8+(J8*O35)</f>
        <v>832</v>
      </c>
      <c r="V8" s="184">
        <f>(N8*2)+(P35-1)*P8+(P35*J8)</f>
        <v>1242</v>
      </c>
      <c r="W8" s="185">
        <f>(U8*V8)/1000000-Q12</f>
        <v>0.71334399999999998</v>
      </c>
      <c r="X8" s="183">
        <f>U8</f>
        <v>832</v>
      </c>
      <c r="Y8" s="186">
        <f>G8</f>
        <v>1500</v>
      </c>
      <c r="Z8" s="187">
        <f>(X8*Y8)/1000000</f>
        <v>1.248</v>
      </c>
      <c r="AA8" s="185">
        <f>F8*G8/1000000</f>
        <v>4.5</v>
      </c>
    </row>
    <row r="9" spans="1:27" ht="19.5" customHeight="1" thickBot="1">
      <c r="A9" s="350" t="s">
        <v>3938</v>
      </c>
      <c r="B9" s="350"/>
      <c r="C9" s="351"/>
      <c r="D9" s="169" t="s">
        <v>3939</v>
      </c>
      <c r="F9" s="337" t="s">
        <v>3940</v>
      </c>
      <c r="G9" s="338"/>
      <c r="H9" s="338"/>
      <c r="I9" s="339"/>
      <c r="J9" s="340" t="s">
        <v>3941</v>
      </c>
      <c r="K9" s="341"/>
      <c r="N9" s="189"/>
      <c r="O9" s="189"/>
      <c r="P9" s="189"/>
      <c r="Q9" s="189"/>
      <c r="R9" s="337" t="s">
        <v>3941</v>
      </c>
      <c r="S9" s="338"/>
      <c r="T9" s="339"/>
      <c r="U9" s="366" t="s">
        <v>3942</v>
      </c>
      <c r="V9" s="366"/>
      <c r="W9" s="366"/>
      <c r="X9" s="366"/>
      <c r="Y9" s="189"/>
    </row>
    <row r="10" spans="1:27" ht="19.5" thickBot="1">
      <c r="A10" s="209">
        <f>U23</f>
        <v>0.93193215917222116</v>
      </c>
      <c r="B10" s="190">
        <f>V23</f>
        <v>0.39537546579910265</v>
      </c>
      <c r="C10" s="191">
        <f>W23</f>
        <v>0.46489506001711511</v>
      </c>
      <c r="D10" s="192">
        <v>1</v>
      </c>
      <c r="E10" s="193"/>
      <c r="F10" s="367">
        <f>D7*I8</f>
        <v>258</v>
      </c>
      <c r="G10" s="368"/>
      <c r="H10" s="368"/>
      <c r="I10" s="369"/>
      <c r="J10" s="370">
        <f>IF(K8&gt;0,1/SQRT(2)*K8,0)</f>
        <v>176.77669529663686</v>
      </c>
      <c r="K10" s="371"/>
      <c r="N10" s="256">
        <f>ROUNDDOWN(L7/V11,0)</f>
        <v>1</v>
      </c>
      <c r="O10" s="256">
        <f>L7-N10*V11</f>
        <v>1</v>
      </c>
      <c r="P10" s="256">
        <f>N10*V11+O10</f>
        <v>4</v>
      </c>
      <c r="Q10" s="256">
        <f>O35*P35-P10</f>
        <v>2</v>
      </c>
      <c r="R10" s="374">
        <f>(L7*POWER(J10,2))/1000000</f>
        <v>0.12499999999999997</v>
      </c>
      <c r="S10" s="375"/>
      <c r="T10" s="376"/>
      <c r="U10">
        <f>U8</f>
        <v>832</v>
      </c>
      <c r="V10">
        <f>(G8-V8)*D7</f>
        <v>258</v>
      </c>
      <c r="W10">
        <v>0</v>
      </c>
      <c r="X10">
        <f>W8+W10*D7</f>
        <v>0.71334399999999998</v>
      </c>
      <c r="Y10" s="132">
        <f>G8-V8</f>
        <v>258</v>
      </c>
    </row>
    <row r="11" spans="1:27">
      <c r="N11" s="256">
        <f>2*N8+N10*J8+(N10-1)*P8</f>
        <v>422</v>
      </c>
      <c r="O11" s="256">
        <f>2*N8+(O10-1)*P8+O10*J8</f>
        <v>422</v>
      </c>
      <c r="P11" s="256"/>
      <c r="Q11" s="256">
        <f>Q10*N11*(2*AH4+10+J8)/1000000</f>
        <v>0.34604000000000001</v>
      </c>
      <c r="U11">
        <f>ROUNDDOWN(F5/J5,0)</f>
        <v>7</v>
      </c>
      <c r="V11">
        <f>ROUNDDOWN((G8-2*(N8+AH4))/(2*AH4+J8),0)</f>
        <v>3</v>
      </c>
    </row>
    <row r="12" spans="1:27">
      <c r="N12" s="256"/>
      <c r="O12" s="256"/>
      <c r="P12" s="256"/>
      <c r="Q12" s="256">
        <f>Q10*(J8+2*AH4)*(J8+2*AH4)/1000000</f>
        <v>0.32</v>
      </c>
      <c r="U12" s="366" t="s">
        <v>3945</v>
      </c>
      <c r="V12" s="366"/>
      <c r="W12" s="366"/>
    </row>
    <row r="13" spans="1:27" ht="72" customHeight="1" thickBot="1">
      <c r="N13" s="189"/>
      <c r="O13" s="189"/>
      <c r="P13" s="189"/>
      <c r="Q13" s="189"/>
      <c r="U13" s="188">
        <f>PI()*(J8+K8)*L7/1000</f>
        <v>8.1681408993334621</v>
      </c>
    </row>
    <row r="14" spans="1:27" ht="23.25">
      <c r="B14" s="352" t="s">
        <v>3951</v>
      </c>
      <c r="C14" s="353"/>
      <c r="D14" s="353"/>
      <c r="E14" s="353"/>
      <c r="F14" s="353"/>
      <c r="G14" s="353" t="s">
        <v>3952</v>
      </c>
      <c r="H14" s="353"/>
      <c r="I14" s="353"/>
      <c r="J14" s="353"/>
      <c r="K14" s="353"/>
      <c r="L14" s="353"/>
      <c r="M14" s="354"/>
    </row>
    <row r="15" spans="1:27">
      <c r="B15" s="342"/>
      <c r="C15" s="343"/>
      <c r="D15" s="343"/>
      <c r="E15" s="343"/>
      <c r="F15" s="343"/>
      <c r="G15" s="346"/>
      <c r="H15" s="346"/>
      <c r="I15" s="346"/>
      <c r="J15" s="346"/>
      <c r="K15" s="346"/>
      <c r="L15" s="346"/>
      <c r="M15" s="347"/>
    </row>
    <row r="16" spans="1:27">
      <c r="B16" s="342"/>
      <c r="C16" s="343"/>
      <c r="D16" s="343"/>
      <c r="E16" s="343"/>
      <c r="F16" s="343"/>
      <c r="G16" s="346"/>
      <c r="H16" s="346"/>
      <c r="I16" s="346"/>
      <c r="J16" s="346"/>
      <c r="K16" s="346"/>
      <c r="L16" s="346"/>
      <c r="M16" s="347"/>
    </row>
    <row r="17" spans="2:24">
      <c r="B17" s="342"/>
      <c r="C17" s="343"/>
      <c r="D17" s="343"/>
      <c r="E17" s="343"/>
      <c r="F17" s="343"/>
      <c r="G17" s="346"/>
      <c r="H17" s="346"/>
      <c r="I17" s="346"/>
      <c r="J17" s="346"/>
      <c r="K17" s="346"/>
      <c r="L17" s="346"/>
      <c r="M17" s="347"/>
    </row>
    <row r="18" spans="2:24">
      <c r="B18" s="342"/>
      <c r="C18" s="343"/>
      <c r="D18" s="343"/>
      <c r="E18" s="343"/>
      <c r="F18" s="343"/>
      <c r="G18" s="346"/>
      <c r="H18" s="346"/>
      <c r="I18" s="346"/>
      <c r="J18" s="346"/>
      <c r="K18" s="346"/>
      <c r="L18" s="346"/>
      <c r="M18" s="347"/>
    </row>
    <row r="19" spans="2:24">
      <c r="B19" s="342"/>
      <c r="C19" s="343"/>
      <c r="D19" s="343"/>
      <c r="E19" s="343"/>
      <c r="F19" s="343"/>
      <c r="G19" s="346"/>
      <c r="H19" s="346"/>
      <c r="I19" s="346"/>
      <c r="J19" s="346"/>
      <c r="K19" s="346"/>
      <c r="L19" s="346"/>
      <c r="M19" s="347"/>
    </row>
    <row r="20" spans="2:24">
      <c r="B20" s="342"/>
      <c r="C20" s="343"/>
      <c r="D20" s="343"/>
      <c r="E20" s="343"/>
      <c r="F20" s="343"/>
      <c r="G20" s="346"/>
      <c r="H20" s="346"/>
      <c r="I20" s="346"/>
      <c r="J20" s="346"/>
      <c r="K20" s="346"/>
      <c r="L20" s="346"/>
      <c r="M20" s="347"/>
    </row>
    <row r="21" spans="2:24">
      <c r="B21" s="342"/>
      <c r="C21" s="343"/>
      <c r="D21" s="343"/>
      <c r="E21" s="343"/>
      <c r="F21" s="343"/>
      <c r="G21" s="346"/>
      <c r="H21" s="346"/>
      <c r="I21" s="346"/>
      <c r="J21" s="346"/>
      <c r="K21" s="346"/>
      <c r="L21" s="346"/>
      <c r="M21" s="347"/>
      <c r="V21" s="188"/>
      <c r="W21" s="199">
        <f>(N11*Y8+(X8-N11)*O11)/1000000-X21</f>
        <v>0.80601999999999996</v>
      </c>
      <c r="X21" s="200">
        <f>(I8*(1-D7)*N11)/1000000</f>
        <v>0</v>
      </c>
    </row>
    <row r="22" spans="2:24">
      <c r="B22" s="342"/>
      <c r="C22" s="343"/>
      <c r="D22" s="343"/>
      <c r="E22" s="343"/>
      <c r="F22" s="343"/>
      <c r="G22" s="346"/>
      <c r="H22" s="346"/>
      <c r="I22" s="346"/>
      <c r="J22" s="346"/>
      <c r="K22" s="346"/>
      <c r="L22" s="346"/>
      <c r="M22" s="347"/>
      <c r="U22" s="189">
        <f>1-(R8/AA8)</f>
        <v>0.88829892787236286</v>
      </c>
      <c r="V22" s="193">
        <f>1-(T8/W8)</f>
        <v>0.57060649038191269</v>
      </c>
      <c r="W22" s="193">
        <f>1-(T8/W21)</f>
        <v>0.61997806043894088</v>
      </c>
      <c r="X22" s="188" t="s">
        <v>3949</v>
      </c>
    </row>
    <row r="23" spans="2:24">
      <c r="B23" s="342"/>
      <c r="C23" s="343"/>
      <c r="D23" s="343"/>
      <c r="E23" s="343"/>
      <c r="F23" s="343"/>
      <c r="G23" s="346"/>
      <c r="H23" s="346"/>
      <c r="I23" s="346"/>
      <c r="J23" s="346"/>
      <c r="K23" s="346"/>
      <c r="L23" s="346"/>
      <c r="M23" s="347"/>
      <c r="U23" s="189">
        <f>1-((R8-(D10)*S8)/AA8)</f>
        <v>0.93193215917222116</v>
      </c>
      <c r="V23" s="193">
        <f>1-((T8+R10*D10)/W8)</f>
        <v>0.39537546579910265</v>
      </c>
      <c r="W23" s="193">
        <f>1-((T8+R10*D10)/W21)</f>
        <v>0.46489506001711511</v>
      </c>
      <c r="X23" s="188" t="s">
        <v>3950</v>
      </c>
    </row>
    <row r="24" spans="2:24">
      <c r="B24" s="342"/>
      <c r="C24" s="343"/>
      <c r="D24" s="343"/>
      <c r="E24" s="343"/>
      <c r="F24" s="343"/>
      <c r="G24" s="346"/>
      <c r="H24" s="346"/>
      <c r="I24" s="346"/>
      <c r="J24" s="346"/>
      <c r="K24" s="346"/>
      <c r="L24" s="346"/>
      <c r="M24" s="347"/>
    </row>
    <row r="25" spans="2:24">
      <c r="B25" s="342"/>
      <c r="C25" s="343"/>
      <c r="D25" s="343"/>
      <c r="E25" s="343"/>
      <c r="F25" s="343"/>
      <c r="G25" s="346"/>
      <c r="H25" s="346"/>
      <c r="I25" s="346"/>
      <c r="J25" s="346"/>
      <c r="K25" s="346"/>
      <c r="L25" s="346"/>
      <c r="M25" s="347"/>
    </row>
    <row r="26" spans="2:24">
      <c r="B26" s="342"/>
      <c r="C26" s="343"/>
      <c r="D26" s="343"/>
      <c r="E26" s="343"/>
      <c r="F26" s="343"/>
      <c r="G26" s="346"/>
      <c r="H26" s="346"/>
      <c r="I26" s="346"/>
      <c r="J26" s="346"/>
      <c r="K26" s="346"/>
      <c r="L26" s="346"/>
      <c r="M26" s="347"/>
    </row>
    <row r="27" spans="2:24">
      <c r="B27" s="342"/>
      <c r="C27" s="343"/>
      <c r="D27" s="343"/>
      <c r="E27" s="343"/>
      <c r="F27" s="343"/>
      <c r="G27" s="346"/>
      <c r="H27" s="346"/>
      <c r="I27" s="346"/>
      <c r="J27" s="346"/>
      <c r="K27" s="346"/>
      <c r="L27" s="346"/>
      <c r="M27" s="347"/>
    </row>
    <row r="28" spans="2:24">
      <c r="B28" s="342"/>
      <c r="C28" s="343"/>
      <c r="D28" s="343"/>
      <c r="E28" s="343"/>
      <c r="F28" s="343"/>
      <c r="G28" s="346"/>
      <c r="H28" s="346"/>
      <c r="I28" s="346"/>
      <c r="J28" s="346"/>
      <c r="K28" s="346"/>
      <c r="L28" s="346"/>
      <c r="M28" s="347"/>
    </row>
    <row r="29" spans="2:24">
      <c r="B29" s="342"/>
      <c r="C29" s="343"/>
      <c r="D29" s="343"/>
      <c r="E29" s="343"/>
      <c r="F29" s="343"/>
      <c r="G29" s="346"/>
      <c r="H29" s="346"/>
      <c r="I29" s="346"/>
      <c r="J29" s="346"/>
      <c r="K29" s="346"/>
      <c r="L29" s="346"/>
      <c r="M29" s="347"/>
    </row>
    <row r="30" spans="2:24" ht="15.75" thickBot="1">
      <c r="B30" s="344"/>
      <c r="C30" s="345"/>
      <c r="D30" s="345"/>
      <c r="E30" s="345"/>
      <c r="F30" s="345"/>
      <c r="G30" s="348"/>
      <c r="H30" s="348"/>
      <c r="I30" s="348"/>
      <c r="J30" s="348"/>
      <c r="K30" s="348"/>
      <c r="L30" s="348"/>
      <c r="M30" s="349"/>
    </row>
    <row r="32" spans="2:24" ht="15.75" thickBot="1"/>
    <row r="33" spans="15:16" ht="18.75">
      <c r="O33" s="330" t="s">
        <v>3927</v>
      </c>
      <c r="P33" s="331"/>
    </row>
    <row r="34" spans="15:16">
      <c r="O34" s="170" t="str">
        <f>CONCATENATE("X:(max:",U11,")")</f>
        <v>X:(max:7)</v>
      </c>
      <c r="P34" s="170" t="str">
        <f>CONCATENATE("Y:(max:",V11,")")</f>
        <v>Y:(max:3)</v>
      </c>
    </row>
    <row r="35" spans="15:16" ht="15.75" thickBot="1">
      <c r="O35" s="179">
        <f>IF(N10=0,1,IF(MOD(L7,V11)=0,N10,N10+1))</f>
        <v>2</v>
      </c>
      <c r="P35" s="179">
        <f>IF(L7&lt;V11,L7,V11)</f>
        <v>3</v>
      </c>
    </row>
  </sheetData>
  <mergeCells count="34">
    <mergeCell ref="U12:W12"/>
    <mergeCell ref="U9:X9"/>
    <mergeCell ref="F10:I10"/>
    <mergeCell ref="J10:K10"/>
    <mergeCell ref="L7:M7"/>
    <mergeCell ref="R10:T10"/>
    <mergeCell ref="R9:T9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B10:E10 D9:E9 A9 A10">
    <cfRule type="expression" dxfId="9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opLeftCell="C1" zoomScale="98" zoomScaleNormal="98" workbookViewId="0">
      <selection activeCell="V11" sqref="V11"/>
    </sheetView>
  </sheetViews>
  <sheetFormatPr baseColWidth="10" defaultRowHeight="15"/>
  <cols>
    <col min="1" max="1" width="9" style="25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</row>
    <row r="2" spans="1:27" ht="15.75">
      <c r="G2" s="165"/>
      <c r="H2" s="165"/>
      <c r="I2" s="166" t="s">
        <v>3920</v>
      </c>
      <c r="J2" s="317">
        <v>41990.334930555553</v>
      </c>
      <c r="K2" s="317"/>
      <c r="L2" s="198"/>
      <c r="M2" s="198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77" t="s">
        <v>3969</v>
      </c>
      <c r="B4" s="377"/>
      <c r="C4" s="377"/>
      <c r="D4" s="378"/>
      <c r="E4" s="165"/>
      <c r="F4" s="198"/>
      <c r="G4" s="198"/>
      <c r="H4" s="198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202" t="s">
        <v>3922</v>
      </c>
      <c r="D5" s="168" t="s">
        <v>3923</v>
      </c>
      <c r="E5" s="203"/>
      <c r="F5" s="229">
        <f>F8-2*N8</f>
        <v>5978</v>
      </c>
      <c r="G5" s="229">
        <f>G8-2*N8</f>
        <v>1978</v>
      </c>
      <c r="H5" s="229"/>
      <c r="I5" s="229"/>
      <c r="J5" s="229">
        <f>J8</f>
        <v>600</v>
      </c>
      <c r="K5" s="229">
        <f>K8</f>
        <v>600</v>
      </c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34">
        <f>U22</f>
        <v>0.97</v>
      </c>
      <c r="B6" s="334">
        <f>V22</f>
        <v>6.9488528861364141E-2</v>
      </c>
      <c r="C6" s="379">
        <f>W22</f>
        <v>9.2124177237535632E-2</v>
      </c>
      <c r="D6" s="169" t="s">
        <v>3924</v>
      </c>
      <c r="E6" s="382" t="s">
        <v>3953</v>
      </c>
      <c r="F6" s="327" t="s">
        <v>3926</v>
      </c>
      <c r="G6" s="328"/>
      <c r="H6" s="328"/>
      <c r="I6" s="329"/>
      <c r="J6" s="330" t="s">
        <v>3954</v>
      </c>
      <c r="K6" s="331"/>
      <c r="L6" s="330" t="s">
        <v>3955</v>
      </c>
      <c r="M6" s="331"/>
      <c r="N6" s="330" t="s">
        <v>3915</v>
      </c>
      <c r="O6" s="331"/>
      <c r="P6" s="331"/>
      <c r="Q6" s="385"/>
      <c r="R6" s="327" t="s">
        <v>3928</v>
      </c>
      <c r="S6" s="328"/>
      <c r="T6" s="329"/>
      <c r="U6" s="327" t="s">
        <v>3929</v>
      </c>
      <c r="V6" s="328"/>
      <c r="W6" s="329"/>
      <c r="X6" s="327" t="s">
        <v>3930</v>
      </c>
      <c r="Y6" s="328"/>
      <c r="Z6" s="329"/>
      <c r="AA6" s="257" t="s">
        <v>4000</v>
      </c>
    </row>
    <row r="7" spans="1:27" ht="15.75" thickBot="1">
      <c r="A7" s="335"/>
      <c r="B7" s="335"/>
      <c r="C7" s="380"/>
      <c r="D7" s="357">
        <v>1</v>
      </c>
      <c r="E7" s="383"/>
      <c r="F7" s="204" t="s">
        <v>2</v>
      </c>
      <c r="G7" s="171" t="s">
        <v>3</v>
      </c>
      <c r="H7" s="359" t="s">
        <v>3931</v>
      </c>
      <c r="I7" s="360"/>
      <c r="J7" s="204" t="s">
        <v>2</v>
      </c>
      <c r="K7" s="171" t="s">
        <v>3</v>
      </c>
      <c r="L7" s="204" t="s">
        <v>2</v>
      </c>
      <c r="M7" s="171" t="s">
        <v>3</v>
      </c>
      <c r="N7" s="361" t="s">
        <v>3960</v>
      </c>
      <c r="O7" s="362"/>
      <c r="P7" s="363" t="s">
        <v>3947</v>
      </c>
      <c r="Q7" s="391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36"/>
      <c r="B8" s="336"/>
      <c r="C8" s="381"/>
      <c r="D8" s="358"/>
      <c r="E8" s="384"/>
      <c r="F8" s="176">
        <v>6000</v>
      </c>
      <c r="G8" s="176">
        <v>2000</v>
      </c>
      <c r="H8" s="177">
        <f>I8/G8</f>
        <v>0.68899999999999995</v>
      </c>
      <c r="I8" s="178">
        <f>G8-V8</f>
        <v>1378</v>
      </c>
      <c r="J8" s="176">
        <v>600</v>
      </c>
      <c r="K8" s="205">
        <v>600</v>
      </c>
      <c r="L8" s="176">
        <v>100</v>
      </c>
      <c r="M8" s="176">
        <v>100</v>
      </c>
      <c r="N8" s="392">
        <v>11</v>
      </c>
      <c r="O8" s="365"/>
      <c r="P8" s="355">
        <v>10</v>
      </c>
      <c r="Q8" s="356"/>
      <c r="R8" s="206">
        <f xml:space="preserve"> (J8*K8*J10)/1000000</f>
        <v>0.36</v>
      </c>
      <c r="S8" s="207">
        <f>(L8*M8*J10)/1000000</f>
        <v>0.01</v>
      </c>
      <c r="T8" s="185">
        <f>R8-S8</f>
        <v>0.35</v>
      </c>
      <c r="U8" s="183">
        <f>(N8*2)+(O34-1)*(P8*1.5)+(J8*O34)</f>
        <v>622</v>
      </c>
      <c r="V8" s="186">
        <f>(N8*2)+(Q34-1)*P8+(Q34*K8)</f>
        <v>622</v>
      </c>
      <c r="W8" s="185">
        <f>((U8*V8))/1000000-U36</f>
        <v>0.38688400000000001</v>
      </c>
      <c r="X8" s="183">
        <f>U8</f>
        <v>622</v>
      </c>
      <c r="Y8" s="184">
        <f>G8</f>
        <v>2000</v>
      </c>
      <c r="Z8" s="185">
        <f>W8+W10</f>
        <v>1.244</v>
      </c>
      <c r="AA8" s="185">
        <f>F8*G8/1000000</f>
        <v>12</v>
      </c>
    </row>
    <row r="9" spans="1:27" ht="19.5" customHeight="1" thickBot="1">
      <c r="A9" s="350" t="s">
        <v>3956</v>
      </c>
      <c r="B9" s="350"/>
      <c r="C9" s="351"/>
      <c r="D9" s="208" t="s">
        <v>3957</v>
      </c>
      <c r="E9" s="198"/>
      <c r="F9" s="387" t="s">
        <v>3940</v>
      </c>
      <c r="G9" s="388"/>
      <c r="H9" s="338"/>
      <c r="I9" s="339"/>
      <c r="J9" s="340" t="str">
        <f>CONCATENATE("Quantité (max:",U11*V11,")")</f>
        <v>Quantité (max:27)</v>
      </c>
      <c r="K9" s="341"/>
      <c r="R9" s="189"/>
      <c r="S9" s="189">
        <f>S8*(1-D10)</f>
        <v>0.01</v>
      </c>
      <c r="T9" s="189"/>
      <c r="U9" s="386" t="s">
        <v>3942</v>
      </c>
      <c r="V9" s="386"/>
      <c r="W9" s="386"/>
      <c r="X9" s="386"/>
      <c r="Y9" s="198"/>
      <c r="Z9" s="198"/>
    </row>
    <row r="10" spans="1:27" ht="19.5" thickBot="1">
      <c r="A10" s="209">
        <f>U23</f>
        <v>0.97</v>
      </c>
      <c r="B10" s="209">
        <f>V23</f>
        <v>6.9488528861364141E-2</v>
      </c>
      <c r="C10" s="210">
        <f>W23</f>
        <v>9.2124177237535632E-2</v>
      </c>
      <c r="D10" s="192">
        <v>0</v>
      </c>
      <c r="E10" s="198"/>
      <c r="F10" s="367">
        <f>D7*I8</f>
        <v>1378</v>
      </c>
      <c r="G10" s="368"/>
      <c r="H10" s="368"/>
      <c r="I10" s="369"/>
      <c r="J10" s="396">
        <v>1</v>
      </c>
      <c r="K10" s="397"/>
      <c r="R10" s="189"/>
      <c r="S10" s="189"/>
      <c r="T10" s="189"/>
      <c r="U10" s="189">
        <f>IF(R34=0,U8,R35)</f>
        <v>622</v>
      </c>
      <c r="V10" s="189">
        <f>(G8-V8)*D7</f>
        <v>1378</v>
      </c>
      <c r="W10" s="189">
        <f>(U10*V10)/1000000</f>
        <v>0.85711599999999999</v>
      </c>
      <c r="X10" s="189">
        <f>W8+W10*D7-U35</f>
        <v>1.244</v>
      </c>
      <c r="Y10" s="198">
        <f>G8-V8</f>
        <v>1378</v>
      </c>
      <c r="Z10" s="198"/>
    </row>
    <row r="11" spans="1:27" ht="15.75" customHeight="1">
      <c r="A11"/>
      <c r="B11" s="198"/>
      <c r="C11" s="198"/>
      <c r="D11" s="213"/>
      <c r="E11" s="198"/>
      <c r="L11" s="198"/>
      <c r="M11" s="198"/>
      <c r="R11" s="189"/>
      <c r="S11" s="189"/>
      <c r="T11" s="189"/>
      <c r="U11" s="189">
        <f>ROUNDDOWN(F5/(J5),0)</f>
        <v>9</v>
      </c>
      <c r="V11" s="189">
        <f>ROUNDDOWN(G5/K5,0)</f>
        <v>3</v>
      </c>
      <c r="W11" s="189">
        <f>2*AH4+K8+10</f>
        <v>610</v>
      </c>
      <c r="X11" s="189"/>
      <c r="Y11" s="198"/>
      <c r="Z11" s="198"/>
    </row>
    <row r="12" spans="1:27">
      <c r="B12" s="198"/>
      <c r="C12" s="198"/>
      <c r="D12" s="198"/>
      <c r="E12" s="198"/>
      <c r="L12" s="198"/>
      <c r="M12" s="198"/>
      <c r="R12" s="189"/>
      <c r="S12" s="189"/>
      <c r="T12" s="189"/>
      <c r="U12" s="386" t="s">
        <v>3959</v>
      </c>
      <c r="V12" s="386"/>
      <c r="W12" s="386"/>
      <c r="X12" s="189"/>
      <c r="Y12" s="198"/>
      <c r="Z12" s="198"/>
    </row>
    <row r="13" spans="1:27" ht="70.5" customHeight="1" thickBot="1">
      <c r="N13" s="189"/>
      <c r="O13" s="189"/>
      <c r="P13" s="189"/>
      <c r="Q13" s="189"/>
      <c r="R13" s="189"/>
      <c r="S13" s="189"/>
      <c r="T13" s="189"/>
      <c r="U13" s="189">
        <f>(J8+K8+L8+M8)*2*O34*Q34/1000</f>
        <v>2.8</v>
      </c>
      <c r="V13" s="189"/>
      <c r="W13" s="189"/>
      <c r="X13" s="189"/>
    </row>
    <row r="14" spans="1:27" ht="23.25">
      <c r="B14" s="393" t="s">
        <v>3951</v>
      </c>
      <c r="C14" s="394"/>
      <c r="D14" s="394"/>
      <c r="E14" s="394"/>
      <c r="F14" s="394"/>
      <c r="G14" s="394" t="s">
        <v>3952</v>
      </c>
      <c r="H14" s="394"/>
      <c r="I14" s="394"/>
      <c r="J14" s="394"/>
      <c r="K14" s="394"/>
      <c r="L14" s="394"/>
      <c r="M14" s="395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</row>
    <row r="15" spans="1:27">
      <c r="B15" s="389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7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</row>
    <row r="16" spans="1:27">
      <c r="B16" s="389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7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</row>
    <row r="17" spans="2:24">
      <c r="B17" s="389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7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</row>
    <row r="18" spans="2:24">
      <c r="B18" s="389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7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</row>
    <row r="19" spans="2:24">
      <c r="B19" s="389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7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</row>
    <row r="20" spans="2:24">
      <c r="B20" s="389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7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</row>
    <row r="21" spans="2:24">
      <c r="B21" s="389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7"/>
      <c r="N21" s="189"/>
      <c r="O21" s="189"/>
      <c r="P21" s="189"/>
      <c r="Q21" s="189"/>
      <c r="R21" s="189"/>
      <c r="S21" s="189"/>
      <c r="T21" s="189"/>
      <c r="U21" s="189"/>
      <c r="V21" s="189"/>
      <c r="W21" s="189">
        <f>(R35*Y8+(X8-R35)*S35)/1000000-X21</f>
        <v>0.39652999999999999</v>
      </c>
      <c r="X21" s="189">
        <f>(I8*(1-D7)*R35)/1000000</f>
        <v>0</v>
      </c>
    </row>
    <row r="22" spans="2:24">
      <c r="B22" s="389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7"/>
      <c r="N22" s="189"/>
      <c r="O22" s="189"/>
      <c r="P22" s="189">
        <f>F5/(J5+P8*1.5)</f>
        <v>9.7203252032520329</v>
      </c>
      <c r="Q22" s="189"/>
      <c r="R22" s="189"/>
      <c r="S22" s="189"/>
      <c r="T22" s="189"/>
      <c r="U22" s="189">
        <f>1-(R8/AA8)</f>
        <v>0.97</v>
      </c>
      <c r="V22" s="189">
        <f>1-(R8/W8)</f>
        <v>6.9488528861364141E-2</v>
      </c>
      <c r="W22" s="189">
        <f>1-(R8/W21)</f>
        <v>9.2124177237535632E-2</v>
      </c>
      <c r="X22" s="189" t="s">
        <v>3949</v>
      </c>
    </row>
    <row r="23" spans="2:24">
      <c r="B23" s="389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7"/>
      <c r="N23" s="189"/>
      <c r="O23" s="189"/>
      <c r="P23" s="189"/>
      <c r="Q23" s="189"/>
      <c r="R23" s="189"/>
      <c r="S23" s="189"/>
      <c r="T23" s="189"/>
      <c r="U23" s="189">
        <f>1-((R8-(D10)*S8)/AA8)</f>
        <v>0.97</v>
      </c>
      <c r="V23" s="189">
        <f>1-((R8-(D10)*S8)/W8)</f>
        <v>6.9488528861364141E-2</v>
      </c>
      <c r="W23" s="189">
        <f>1-((R8-(D10)*S8)/W21)</f>
        <v>9.2124177237535632E-2</v>
      </c>
      <c r="X23" s="189" t="s">
        <v>3950</v>
      </c>
    </row>
    <row r="24" spans="2:24">
      <c r="B24" s="389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7"/>
    </row>
    <row r="25" spans="2:24">
      <c r="B25" s="389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7"/>
    </row>
    <row r="26" spans="2:24">
      <c r="B26" s="389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7"/>
    </row>
    <row r="27" spans="2:24">
      <c r="B27" s="389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7"/>
    </row>
    <row r="28" spans="2:24">
      <c r="B28" s="389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7"/>
    </row>
    <row r="29" spans="2:24">
      <c r="B29" s="389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7"/>
    </row>
    <row r="30" spans="2:24" ht="15.75" thickBot="1">
      <c r="B30" s="390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9"/>
    </row>
    <row r="32" spans="2:24" ht="15.75" thickBot="1"/>
    <row r="33" spans="14:21" ht="18.75">
      <c r="N33" s="330" t="s">
        <v>3958</v>
      </c>
      <c r="O33" s="331"/>
      <c r="P33" s="331"/>
      <c r="Q33" s="385"/>
      <c r="R33" s="189"/>
      <c r="S33" s="189"/>
      <c r="T33" s="189"/>
      <c r="U33" s="189"/>
    </row>
    <row r="34" spans="14:21" ht="15.75" thickBot="1">
      <c r="N34" s="211" t="str">
        <f>CONCATENATE("X:(max:",U11,")")</f>
        <v>X:(max:9)</v>
      </c>
      <c r="O34" s="179">
        <f>IF(OR(R34=0,V11=0),1,IF(MOD(J10,V11)=0,R34,R34+1))</f>
        <v>1</v>
      </c>
      <c r="P34" s="212" t="str">
        <f>CONCATENATE("Y:(max:",V11,")")</f>
        <v>Y:(max:3)</v>
      </c>
      <c r="Q34" s="179">
        <f>IF(J10&lt;V11,J10,V11)</f>
        <v>1</v>
      </c>
      <c r="R34" s="256">
        <f>IF(V11=0,1,ROUNDDOWN(J10/V11,0))</f>
        <v>0</v>
      </c>
      <c r="S34" s="256">
        <f>J10-R34*V11</f>
        <v>1</v>
      </c>
      <c r="T34" s="256">
        <f>R34*V11+S34</f>
        <v>1</v>
      </c>
      <c r="U34" s="256">
        <f>O34*Q34-T34</f>
        <v>0</v>
      </c>
    </row>
    <row r="35" spans="14:21">
      <c r="R35" s="256">
        <f>(N8*2)+(R34-1)*(P8*1.5)+(J8*R34)</f>
        <v>7</v>
      </c>
      <c r="S35" s="256">
        <f>IF(S34=0,0,(N8*2)+(S34-1)*P8+(S34*K8))</f>
        <v>622</v>
      </c>
      <c r="T35" s="256"/>
      <c r="U35" s="256">
        <f>U34*R35*(2*AH4+10+K8)/1000000</f>
        <v>0</v>
      </c>
    </row>
    <row r="36" spans="14:21">
      <c r="R36" s="256"/>
      <c r="S36" s="256"/>
      <c r="T36" s="256"/>
      <c r="U36" s="256">
        <f>U34*(J8+2*AH4)*(K8+2*AH4)/1000000</f>
        <v>0</v>
      </c>
    </row>
  </sheetData>
  <mergeCells count="31">
    <mergeCell ref="N7:O7"/>
    <mergeCell ref="P7:Q7"/>
    <mergeCell ref="N8:O8"/>
    <mergeCell ref="B14:F14"/>
    <mergeCell ref="G14:M14"/>
    <mergeCell ref="J9:K9"/>
    <mergeCell ref="J10:K10"/>
    <mergeCell ref="U12:W12"/>
    <mergeCell ref="P8:Q8"/>
    <mergeCell ref="F9:I9"/>
    <mergeCell ref="N33:Q33"/>
    <mergeCell ref="U9:X9"/>
    <mergeCell ref="F10:I10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A9:D10">
    <cfRule type="expression" dxfId="8" priority="3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n'est pas assez large ou long_x000a_Et la quantite&gt;0_x000a_" sqref="J10:K10">
      <formula1>AND(U10&lt;=F8,J10&gt;=0,U8&lt;=F8,V8&lt;=G8)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tabSelected="1" topLeftCell="A7" zoomScaleNormal="100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</row>
    <row r="2" spans="1:37" ht="21.75" thickBot="1">
      <c r="A2" s="196" t="s">
        <v>3918</v>
      </c>
      <c r="B2" s="398"/>
      <c r="C2" s="399"/>
      <c r="F2" s="165"/>
      <c r="G2" s="165"/>
      <c r="H2" s="166" t="s">
        <v>3920</v>
      </c>
      <c r="I2" s="317"/>
      <c r="J2" s="317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98"/>
    </row>
    <row r="3" spans="1:37" ht="15.75" thickBot="1">
      <c r="A3" s="165"/>
      <c r="B3" s="165"/>
      <c r="C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>
        <v>1</v>
      </c>
      <c r="AF3" s="165"/>
      <c r="AG3" s="165" t="s">
        <v>4001</v>
      </c>
      <c r="AH3" s="198"/>
    </row>
    <row r="4" spans="1:37" ht="27" thickBot="1">
      <c r="A4" s="400" t="s">
        <v>3967</v>
      </c>
      <c r="B4" s="401"/>
      <c r="C4" s="402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>
        <v>2</v>
      </c>
      <c r="AF4" s="165"/>
      <c r="AG4" s="165">
        <f>O8</f>
        <v>10</v>
      </c>
      <c r="AH4" s="198"/>
    </row>
    <row r="5" spans="1:37" ht="21.75" thickBot="1">
      <c r="A5" s="196" t="s">
        <v>3921</v>
      </c>
      <c r="B5" s="197" t="s">
        <v>3922</v>
      </c>
      <c r="C5" s="214" t="s">
        <v>3923</v>
      </c>
      <c r="D5" s="165"/>
      <c r="E5" s="256">
        <f>E8-2*M8</f>
        <v>4978</v>
      </c>
      <c r="F5" s="256">
        <f>F8-2*M8</f>
        <v>1978</v>
      </c>
      <c r="G5" s="256"/>
      <c r="H5" s="256"/>
      <c r="I5" s="256">
        <f>I8</f>
        <v>400</v>
      </c>
      <c r="J5" s="256">
        <f>J8</f>
        <v>200</v>
      </c>
      <c r="K5" s="256"/>
      <c r="L5" s="256"/>
      <c r="M5" s="256"/>
      <c r="N5" s="256"/>
      <c r="O5" s="256"/>
      <c r="P5" s="256"/>
      <c r="Q5" s="165"/>
      <c r="R5" s="165"/>
      <c r="S5" s="165"/>
      <c r="T5" s="198">
        <f>ROUNDUP(N40/2,0)</f>
        <v>2</v>
      </c>
      <c r="U5" s="198">
        <f>ROUNDUP(O40/2,0)</f>
        <v>9</v>
      </c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>
        <f>(SQRT(POWER(AG4,2)*2)-0.9)</f>
        <v>13.242135623730951</v>
      </c>
      <c r="AH5" s="198"/>
    </row>
    <row r="6" spans="1:37" ht="19.5" thickBot="1">
      <c r="A6" s="403">
        <f>1-(Q8/V8)</f>
        <v>8.8383152560978728E-2</v>
      </c>
      <c r="B6" s="406">
        <f>1-(Q8/W10)</f>
        <v>0.13305237808549075</v>
      </c>
      <c r="C6" s="169" t="s">
        <v>3924</v>
      </c>
      <c r="D6" s="407" t="s">
        <v>3961</v>
      </c>
      <c r="E6" s="327" t="s">
        <v>3926</v>
      </c>
      <c r="F6" s="328"/>
      <c r="G6" s="328"/>
      <c r="H6" s="329"/>
      <c r="I6" s="330" t="s">
        <v>3947</v>
      </c>
      <c r="J6" s="331"/>
      <c r="K6" s="340" t="str">
        <f>CONCATENATE("Quantité (max:",T11*U11,")")</f>
        <v>Quantité (max:198)</v>
      </c>
      <c r="L6" s="341"/>
      <c r="M6" s="327" t="s">
        <v>3915</v>
      </c>
      <c r="N6" s="328"/>
      <c r="O6" s="328"/>
      <c r="P6" s="329"/>
      <c r="Q6" s="327" t="s">
        <v>3928</v>
      </c>
      <c r="R6" s="328"/>
      <c r="S6" s="329"/>
      <c r="T6" s="330" t="s">
        <v>3929</v>
      </c>
      <c r="U6" s="331"/>
      <c r="V6" s="385"/>
      <c r="W6" s="330" t="s">
        <v>3930</v>
      </c>
      <c r="X6" s="331"/>
      <c r="Y6" s="385"/>
      <c r="Z6" s="262" t="s">
        <v>4000</v>
      </c>
      <c r="AA6" s="165"/>
      <c r="AB6" s="165"/>
      <c r="AC6" s="165"/>
      <c r="AD6" s="165"/>
      <c r="AE6" s="165"/>
      <c r="AF6" s="165"/>
      <c r="AG6" s="165"/>
      <c r="AH6" s="198"/>
    </row>
    <row r="7" spans="1:37" ht="15.75" thickBot="1">
      <c r="A7" s="404"/>
      <c r="B7" s="322"/>
      <c r="C7" s="357">
        <v>1</v>
      </c>
      <c r="D7" s="408"/>
      <c r="E7" s="215" t="s">
        <v>2</v>
      </c>
      <c r="F7" s="216" t="s">
        <v>3</v>
      </c>
      <c r="G7" s="359" t="s">
        <v>3931</v>
      </c>
      <c r="H7" s="360"/>
      <c r="I7" s="217" t="s">
        <v>2</v>
      </c>
      <c r="J7" s="218" t="s">
        <v>3</v>
      </c>
      <c r="K7" s="416">
        <f>18*4</f>
        <v>72</v>
      </c>
      <c r="L7" s="417"/>
      <c r="M7" s="361" t="s">
        <v>3946</v>
      </c>
      <c r="N7" s="362"/>
      <c r="O7" s="363" t="s">
        <v>3947</v>
      </c>
      <c r="P7" s="391"/>
      <c r="Q7" s="410" t="s">
        <v>3936</v>
      </c>
      <c r="R7" s="411"/>
      <c r="S7" s="360"/>
      <c r="T7" s="173" t="s">
        <v>2</v>
      </c>
      <c r="U7" s="174" t="s">
        <v>3</v>
      </c>
      <c r="V7" s="175" t="s">
        <v>3937</v>
      </c>
      <c r="W7" s="173" t="s">
        <v>2</v>
      </c>
      <c r="X7" s="174" t="s">
        <v>3</v>
      </c>
      <c r="Y7" s="175" t="s">
        <v>3937</v>
      </c>
      <c r="Z7" s="175" t="str">
        <f>Y7</f>
        <v>Surface</v>
      </c>
      <c r="AA7" s="165"/>
      <c r="AB7" s="165"/>
      <c r="AC7" s="165"/>
      <c r="AD7" s="165"/>
      <c r="AE7" s="165"/>
      <c r="AF7" s="165"/>
      <c r="AG7" s="165"/>
      <c r="AH7" s="198"/>
    </row>
    <row r="8" spans="1:37" ht="16.5" thickBot="1">
      <c r="A8" s="405"/>
      <c r="B8" s="323"/>
      <c r="C8" s="358"/>
      <c r="D8" s="409"/>
      <c r="E8" s="219">
        <v>5000</v>
      </c>
      <c r="F8" s="219">
        <v>2000</v>
      </c>
      <c r="G8" s="177">
        <f>H8/F8</f>
        <v>4.9000000000000002E-2</v>
      </c>
      <c r="H8" s="178">
        <f>F8-U8</f>
        <v>98</v>
      </c>
      <c r="I8" s="261">
        <v>400</v>
      </c>
      <c r="J8" s="221">
        <v>200</v>
      </c>
      <c r="M8" s="364">
        <v>11</v>
      </c>
      <c r="N8" s="365"/>
      <c r="O8" s="355">
        <v>10</v>
      </c>
      <c r="P8" s="356"/>
      <c r="Q8" s="412">
        <f>(I8*J8)/2/1000000*K7</f>
        <v>2.88</v>
      </c>
      <c r="R8" s="413"/>
      <c r="S8" s="414"/>
      <c r="T8" s="206">
        <f>ROUNDDOWN(AF23,0)</f>
        <v>1661</v>
      </c>
      <c r="U8" s="207">
        <f>AG23</f>
        <v>1902</v>
      </c>
      <c r="V8" s="185">
        <f>(T8*U8)/1000000</f>
        <v>3.1592220000000002</v>
      </c>
      <c r="W8" s="206">
        <f>T8</f>
        <v>1661</v>
      </c>
      <c r="X8" s="207">
        <f>F8</f>
        <v>2000</v>
      </c>
      <c r="Y8" s="185">
        <f>(W8*X8)/1000000</f>
        <v>3.3220000000000001</v>
      </c>
      <c r="Z8" s="185">
        <f>E8*F8/1000000</f>
        <v>10</v>
      </c>
      <c r="AA8" s="165"/>
      <c r="AB8" s="165"/>
      <c r="AC8" s="165"/>
      <c r="AD8" s="165"/>
      <c r="AE8" s="165"/>
      <c r="AF8" s="13" t="s">
        <v>2</v>
      </c>
      <c r="AG8" s="13" t="s">
        <v>3</v>
      </c>
      <c r="AH8" s="198"/>
    </row>
    <row r="9" spans="1:37" ht="15.75" thickBot="1">
      <c r="A9" s="165"/>
      <c r="B9" s="165"/>
      <c r="C9" s="165"/>
      <c r="D9" s="165"/>
      <c r="E9" s="387" t="s">
        <v>3940</v>
      </c>
      <c r="F9" s="388"/>
      <c r="G9" s="338"/>
      <c r="H9" s="339"/>
      <c r="I9" s="217" t="s">
        <v>3985</v>
      </c>
      <c r="J9" s="260" t="s">
        <v>3986</v>
      </c>
      <c r="M9" s="165"/>
      <c r="N9" s="165"/>
      <c r="O9" s="165"/>
      <c r="P9" s="165"/>
      <c r="Q9" s="165"/>
      <c r="R9" s="165"/>
      <c r="S9" s="165"/>
      <c r="T9" s="415" t="s">
        <v>3942</v>
      </c>
      <c r="U9" s="415"/>
      <c r="V9" s="415"/>
      <c r="W9" s="415"/>
      <c r="X9" s="165"/>
      <c r="Y9" s="165"/>
      <c r="Z9" s="165"/>
      <c r="AA9" s="165"/>
      <c r="AB9" s="165"/>
      <c r="AC9" s="165"/>
      <c r="AD9" s="165"/>
      <c r="AE9" s="165"/>
      <c r="AF9" s="247">
        <f>I8</f>
        <v>400</v>
      </c>
      <c r="AG9" s="247">
        <f>J8</f>
        <v>200</v>
      </c>
      <c r="AH9" s="198"/>
    </row>
    <row r="10" spans="1:37" ht="15.75" thickBot="1">
      <c r="A10" s="165"/>
      <c r="B10" s="165"/>
      <c r="C10" s="165"/>
      <c r="D10" s="165"/>
      <c r="E10" s="367">
        <f>C7*H8</f>
        <v>98</v>
      </c>
      <c r="F10" s="368"/>
      <c r="G10" s="368"/>
      <c r="H10" s="369"/>
      <c r="I10" s="220">
        <v>0</v>
      </c>
      <c r="J10" s="261">
        <v>0</v>
      </c>
      <c r="M10" s="165"/>
      <c r="N10" s="165"/>
      <c r="O10" s="165"/>
      <c r="P10" s="165"/>
      <c r="Q10" s="165"/>
      <c r="R10" s="165"/>
      <c r="S10" s="165"/>
      <c r="T10" s="132">
        <f>T8</f>
        <v>1661</v>
      </c>
      <c r="U10" s="132">
        <f>(F8-U8)*C7</f>
        <v>98</v>
      </c>
      <c r="V10" s="222">
        <f>(T10*U10)/1000000</f>
        <v>0.16277800000000001</v>
      </c>
      <c r="W10" s="223">
        <f>V8+V10*C7</f>
        <v>3.3220000000000001</v>
      </c>
      <c r="X10" s="224">
        <f>F8-U8</f>
        <v>98</v>
      </c>
      <c r="Y10" s="165"/>
      <c r="Z10" s="165"/>
      <c r="AA10" s="165"/>
      <c r="AB10" s="165"/>
      <c r="AC10" s="165"/>
      <c r="AD10" s="165"/>
      <c r="AE10" s="165"/>
      <c r="AF10" s="13" t="s">
        <v>3987</v>
      </c>
      <c r="AG10" s="13" t="s">
        <v>3988</v>
      </c>
      <c r="AH10" s="198"/>
    </row>
    <row r="11" spans="1:37">
      <c r="A11" s="198"/>
      <c r="B11" s="198"/>
      <c r="C11" s="198"/>
      <c r="D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>
        <f>(ROUNDDOWN((E8-2*M8)/T12,0))</f>
        <v>11</v>
      </c>
      <c r="U11" s="198">
        <f>ROUNDDOWN(F5/J5,0)*2</f>
        <v>18</v>
      </c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247">
        <f>I10</f>
        <v>0</v>
      </c>
      <c r="AG11" s="247">
        <f>J10</f>
        <v>0</v>
      </c>
      <c r="AH11" s="198"/>
    </row>
    <row r="12" spans="1:37">
      <c r="A12" s="198"/>
      <c r="B12" s="198"/>
      <c r="C12" s="198"/>
      <c r="D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>
        <f>(I8+2*AG4)+IF(MOD(N40,2)=1,AG5,0)</f>
        <v>420</v>
      </c>
      <c r="U12" s="198">
        <f xml:space="preserve"> 2*AG4+J8</f>
        <v>220</v>
      </c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 t="s">
        <v>3989</v>
      </c>
      <c r="AG12" s="198"/>
      <c r="AH12" s="225" t="s">
        <v>3990</v>
      </c>
      <c r="AI12" t="s">
        <v>3991</v>
      </c>
      <c r="AJ12" t="s">
        <v>3992</v>
      </c>
      <c r="AK12" t="s">
        <v>3993</v>
      </c>
    </row>
    <row r="13" spans="1:37" ht="44.25" customHeight="1" thickBot="1">
      <c r="T13" s="198" t="s">
        <v>3959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52" t="s">
        <v>3951</v>
      </c>
      <c r="B14" s="353"/>
      <c r="C14" s="353"/>
      <c r="D14" s="353"/>
      <c r="E14" s="353"/>
      <c r="F14" s="353" t="s">
        <v>3952</v>
      </c>
      <c r="G14" s="353"/>
      <c r="H14" s="353"/>
      <c r="I14" s="353"/>
      <c r="J14" s="353"/>
      <c r="K14" s="353"/>
      <c r="L14" s="354"/>
      <c r="T14" s="198">
        <f>(I8+J8+SQRT(POWER(I8,2)+POWER(J8,2)))*K7/1000</f>
        <v>75.399378875996973</v>
      </c>
      <c r="AJ14">
        <f>AG4/AJ13</f>
        <v>11.180339887498949</v>
      </c>
    </row>
    <row r="15" spans="1:37">
      <c r="A15" s="342"/>
      <c r="B15" s="343"/>
      <c r="C15" s="343"/>
      <c r="D15" s="343"/>
      <c r="E15" s="343"/>
      <c r="F15" s="346"/>
      <c r="G15" s="346"/>
      <c r="H15" s="346"/>
      <c r="I15" s="346"/>
      <c r="J15" s="346"/>
      <c r="K15" s="346"/>
      <c r="L15" s="347"/>
      <c r="AF15" t="s">
        <v>3994</v>
      </c>
      <c r="AG15" t="s">
        <v>3995</v>
      </c>
    </row>
    <row r="16" spans="1:37">
      <c r="A16" s="342"/>
      <c r="B16" s="343"/>
      <c r="C16" s="343"/>
      <c r="D16" s="343"/>
      <c r="E16" s="343"/>
      <c r="F16" s="346"/>
      <c r="G16" s="346"/>
      <c r="H16" s="346"/>
      <c r="I16" s="346"/>
      <c r="J16" s="346"/>
      <c r="K16" s="346"/>
      <c r="L16" s="347"/>
      <c r="AF16">
        <f>AG16/AK13</f>
        <v>22.360679774997902</v>
      </c>
      <c r="AG16">
        <f>AG11+AJ14</f>
        <v>11.180339887498949</v>
      </c>
    </row>
    <row r="17" spans="1:40">
      <c r="A17" s="342"/>
      <c r="B17" s="343"/>
      <c r="C17" s="343"/>
      <c r="D17" s="343"/>
      <c r="E17" s="343"/>
      <c r="F17" s="346"/>
      <c r="G17" s="346"/>
      <c r="H17" s="346"/>
      <c r="I17" s="346"/>
      <c r="J17" s="346"/>
      <c r="K17" s="346"/>
      <c r="L17" s="347"/>
    </row>
    <row r="18" spans="1:40">
      <c r="A18" s="342"/>
      <c r="B18" s="343"/>
      <c r="C18" s="343"/>
      <c r="D18" s="343"/>
      <c r="E18" s="343"/>
      <c r="F18" s="346"/>
      <c r="G18" s="346"/>
      <c r="H18" s="346"/>
      <c r="I18" s="346"/>
      <c r="J18" s="346"/>
      <c r="K18" s="346"/>
      <c r="L18" s="347"/>
      <c r="AF18" t="b">
        <f>ISODD(N40)</f>
        <v>0</v>
      </c>
    </row>
    <row r="19" spans="1:40">
      <c r="A19" s="342"/>
      <c r="B19" s="343"/>
      <c r="C19" s="343"/>
      <c r="D19" s="343"/>
      <c r="E19" s="343"/>
      <c r="F19" s="346"/>
      <c r="G19" s="346"/>
      <c r="H19" s="346"/>
      <c r="I19" s="346"/>
      <c r="J19" s="346"/>
      <c r="K19" s="346"/>
      <c r="L19" s="347"/>
    </row>
    <row r="20" spans="1:40">
      <c r="A20" s="342"/>
      <c r="B20" s="343"/>
      <c r="C20" s="343"/>
      <c r="D20" s="343"/>
      <c r="E20" s="343"/>
      <c r="F20" s="346"/>
      <c r="G20" s="346"/>
      <c r="H20" s="346"/>
      <c r="I20" s="346"/>
      <c r="J20" s="346"/>
      <c r="K20" s="346"/>
      <c r="L20" s="347"/>
      <c r="AF20">
        <f>AF9+M8+AF16+AF11</f>
        <v>433.36067977499789</v>
      </c>
    </row>
    <row r="21" spans="1:40">
      <c r="A21" s="342"/>
      <c r="B21" s="343"/>
      <c r="C21" s="343"/>
      <c r="D21" s="343"/>
      <c r="E21" s="343"/>
      <c r="F21" s="346"/>
      <c r="G21" s="346"/>
      <c r="H21" s="346"/>
      <c r="I21" s="346"/>
      <c r="J21" s="346"/>
      <c r="K21" s="346"/>
      <c r="L21" s="347"/>
      <c r="AF21">
        <f>ROUNDUP(AF20+AG4,0)</f>
        <v>444</v>
      </c>
    </row>
    <row r="22" spans="1:40">
      <c r="A22" s="342"/>
      <c r="B22" s="343"/>
      <c r="C22" s="343"/>
      <c r="D22" s="343"/>
      <c r="E22" s="343"/>
      <c r="F22" s="346"/>
      <c r="G22" s="346"/>
      <c r="H22" s="346"/>
      <c r="I22" s="346"/>
      <c r="J22" s="346"/>
      <c r="K22" s="346"/>
      <c r="L22" s="347"/>
    </row>
    <row r="23" spans="1:40">
      <c r="A23" s="342"/>
      <c r="B23" s="343"/>
      <c r="C23" s="343"/>
      <c r="D23" s="343"/>
      <c r="E23" s="343"/>
      <c r="F23" s="346"/>
      <c r="G23" s="346"/>
      <c r="H23" s="346"/>
      <c r="I23" s="346"/>
      <c r="J23" s="346"/>
      <c r="K23" s="346"/>
      <c r="L23" s="347"/>
      <c r="AF23">
        <v>1661.7265625</v>
      </c>
      <c r="AG23" s="258">
        <v>1902</v>
      </c>
    </row>
    <row r="24" spans="1:40">
      <c r="A24" s="342"/>
      <c r="B24" s="343"/>
      <c r="C24" s="343"/>
      <c r="D24" s="343"/>
      <c r="E24" s="343"/>
      <c r="F24" s="346"/>
      <c r="G24" s="346"/>
      <c r="H24" s="346"/>
      <c r="I24" s="346"/>
      <c r="J24" s="346"/>
      <c r="K24" s="346"/>
      <c r="L24" s="347"/>
      <c r="AF24">
        <v>0</v>
      </c>
      <c r="AG24">
        <v>0</v>
      </c>
    </row>
    <row r="25" spans="1:40">
      <c r="A25" s="342"/>
      <c r="B25" s="343"/>
      <c r="C25" s="343"/>
      <c r="D25" s="343"/>
      <c r="E25" s="343"/>
      <c r="F25" s="346"/>
      <c r="G25" s="346"/>
      <c r="H25" s="346"/>
      <c r="I25" s="346"/>
      <c r="J25" s="346"/>
      <c r="K25" s="346"/>
      <c r="L25" s="347"/>
    </row>
    <row r="26" spans="1:40">
      <c r="A26" s="342"/>
      <c r="B26" s="343"/>
      <c r="C26" s="343"/>
      <c r="D26" s="343"/>
      <c r="E26" s="343"/>
      <c r="F26" s="346"/>
      <c r="G26" s="346"/>
      <c r="H26" s="346"/>
      <c r="I26" s="346"/>
      <c r="J26" s="346"/>
      <c r="K26" s="346"/>
      <c r="L26" s="347"/>
    </row>
    <row r="27" spans="1:40">
      <c r="A27" s="342"/>
      <c r="B27" s="343"/>
      <c r="C27" s="343"/>
      <c r="D27" s="343"/>
      <c r="E27" s="343"/>
      <c r="F27" s="346"/>
      <c r="G27" s="346"/>
      <c r="H27" s="346"/>
      <c r="I27" s="346"/>
      <c r="J27" s="346"/>
      <c r="K27" s="346"/>
      <c r="L27" s="347"/>
    </row>
    <row r="28" spans="1:40">
      <c r="A28" s="342"/>
      <c r="B28" s="343"/>
      <c r="C28" s="343"/>
      <c r="D28" s="343"/>
      <c r="E28" s="343"/>
      <c r="F28" s="346"/>
      <c r="G28" s="346"/>
      <c r="H28" s="346"/>
      <c r="I28" s="346"/>
      <c r="J28" s="346"/>
      <c r="K28" s="346"/>
      <c r="L28" s="347"/>
      <c r="N28" s="189"/>
      <c r="O28" s="189"/>
      <c r="P28" s="189"/>
      <c r="Q28" s="189"/>
      <c r="R28" s="189"/>
      <c r="S28" s="189"/>
    </row>
    <row r="29" spans="1:40">
      <c r="A29" s="342"/>
      <c r="B29" s="343"/>
      <c r="C29" s="343"/>
      <c r="D29" s="343"/>
      <c r="E29" s="343"/>
      <c r="F29" s="346"/>
      <c r="G29" s="346"/>
      <c r="H29" s="346"/>
      <c r="I29" s="346"/>
      <c r="J29" s="346"/>
      <c r="K29" s="346"/>
      <c r="L29" s="347"/>
      <c r="N29" s="189"/>
      <c r="O29" s="189"/>
      <c r="P29" s="189"/>
      <c r="Q29" s="189"/>
      <c r="R29" s="189"/>
      <c r="S29" s="189"/>
    </row>
    <row r="30" spans="1:40" ht="15.75" thickBot="1">
      <c r="A30" s="344"/>
      <c r="B30" s="345"/>
      <c r="C30" s="345"/>
      <c r="D30" s="345"/>
      <c r="E30" s="345"/>
      <c r="F30" s="348"/>
      <c r="G30" s="348"/>
      <c r="H30" s="348"/>
      <c r="I30" s="348"/>
      <c r="J30" s="348"/>
      <c r="K30" s="348"/>
      <c r="L30" s="349"/>
      <c r="N30" s="189"/>
      <c r="O30" s="189"/>
      <c r="P30" s="189"/>
      <c r="Q30" s="189"/>
      <c r="R30" s="189"/>
      <c r="S30" s="189"/>
    </row>
    <row r="31" spans="1:40">
      <c r="N31" s="229">
        <f>(EVEN(N40)/2)*I8</f>
        <v>800</v>
      </c>
      <c r="O31" s="229">
        <f>(N40/2)*AF16</f>
        <v>44.721359549995803</v>
      </c>
      <c r="P31" s="229">
        <f>AF23</f>
        <v>1661.7265625</v>
      </c>
      <c r="Q31" s="250"/>
      <c r="R31" s="250"/>
      <c r="S31" s="250"/>
      <c r="T31" s="250"/>
      <c r="U31" s="250"/>
      <c r="V31" s="250"/>
      <c r="W31" s="250"/>
      <c r="X31" s="250"/>
      <c r="Y31" s="250"/>
      <c r="Z31" s="250"/>
      <c r="AA31" s="250"/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</row>
    <row r="32" spans="1:40">
      <c r="N32" s="189"/>
      <c r="O32" s="189"/>
      <c r="P32" s="189"/>
      <c r="Q32" s="189"/>
      <c r="R32" s="189"/>
      <c r="S32" s="189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30" t="s">
        <v>3958</v>
      </c>
      <c r="O38" s="331"/>
    </row>
    <row r="39" spans="14:18" ht="15.75" thickBot="1">
      <c r="N39" s="170" t="str">
        <f>CONCATENATE("X:(max:",T11,")")</f>
        <v>X:(max:11)</v>
      </c>
      <c r="O39" s="170" t="str">
        <f>CONCATENATE("Y:(max:",U11,")")</f>
        <v>Y:(max:18)</v>
      </c>
      <c r="Q39" s="263"/>
    </row>
    <row r="40" spans="14:18" ht="15.75" thickBot="1">
      <c r="N40" s="176">
        <f>ROUNDUP(K7/U11,0)</f>
        <v>4</v>
      </c>
      <c r="O40" s="176">
        <f>IF(K7&lt;U11,K7,U11)</f>
        <v>18</v>
      </c>
      <c r="P40" s="263">
        <f>MOD(K7,O40)</f>
        <v>0</v>
      </c>
    </row>
    <row r="41" spans="14:18">
      <c r="N41">
        <f>ROUNDUP(K7/U11,0)*2-IF(P40=1,1,0)-IF(K7=1,1,0)</f>
        <v>8</v>
      </c>
    </row>
  </sheetData>
  <mergeCells count="30">
    <mergeCell ref="T9:W9"/>
    <mergeCell ref="A15:E30"/>
    <mergeCell ref="F15:L30"/>
    <mergeCell ref="A14:E14"/>
    <mergeCell ref="F14:L14"/>
    <mergeCell ref="E10:H10"/>
    <mergeCell ref="N38:O38"/>
    <mergeCell ref="M6:P6"/>
    <mergeCell ref="Q6:S6"/>
    <mergeCell ref="Q8:S8"/>
    <mergeCell ref="E9:H9"/>
    <mergeCell ref="K6:L6"/>
    <mergeCell ref="K7:L7"/>
    <mergeCell ref="T6:V6"/>
    <mergeCell ref="W6:Y6"/>
    <mergeCell ref="G7:H7"/>
    <mergeCell ref="Q7:S7"/>
    <mergeCell ref="M8:N8"/>
    <mergeCell ref="O8:P8"/>
    <mergeCell ref="M7:N7"/>
    <mergeCell ref="O7:P7"/>
    <mergeCell ref="B2:C2"/>
    <mergeCell ref="I2:J2"/>
    <mergeCell ref="A4:C4"/>
    <mergeCell ref="A6:A8"/>
    <mergeCell ref="B6:B8"/>
    <mergeCell ref="D6:D8"/>
    <mergeCell ref="E6:H6"/>
    <mergeCell ref="I6:J6"/>
    <mergeCell ref="C7:C8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AH1" s="198"/>
    </row>
    <row r="2" spans="1:34" ht="21.75" thickBot="1">
      <c r="A2" s="196" t="s">
        <v>3918</v>
      </c>
      <c r="B2" s="398"/>
      <c r="C2" s="418"/>
      <c r="D2" s="196" t="s">
        <v>3919</v>
      </c>
      <c r="E2" s="201">
        <v>3</v>
      </c>
      <c r="F2" s="165"/>
      <c r="G2" s="165"/>
      <c r="H2" s="166" t="s">
        <v>3920</v>
      </c>
      <c r="I2" s="317"/>
      <c r="J2" s="317"/>
      <c r="K2" s="165"/>
      <c r="L2" s="165"/>
      <c r="M2" s="165"/>
      <c r="N2" s="165"/>
      <c r="O2" s="165"/>
      <c r="P2" s="165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198"/>
    </row>
    <row r="3" spans="1:34" ht="21.75" thickBot="1">
      <c r="A3" s="165"/>
      <c r="B3" s="165"/>
      <c r="C3" s="165"/>
      <c r="D3" s="196" t="s">
        <v>3909</v>
      </c>
      <c r="E3" s="167" t="s">
        <v>3910</v>
      </c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>
        <v>1</v>
      </c>
      <c r="AF3" s="229"/>
      <c r="AG3" s="229" t="s">
        <v>3963</v>
      </c>
      <c r="AH3" s="198"/>
    </row>
    <row r="4" spans="1:34" ht="27" thickBot="1">
      <c r="A4" s="400" t="s">
        <v>3968</v>
      </c>
      <c r="B4" s="401"/>
      <c r="C4" s="402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>
        <v>2</v>
      </c>
      <c r="AF4" s="229"/>
      <c r="AG4" s="229">
        <v>5</v>
      </c>
      <c r="AH4" s="198"/>
    </row>
    <row r="5" spans="1:34" ht="21.75" thickBot="1">
      <c r="A5" s="196" t="s">
        <v>3921</v>
      </c>
      <c r="B5" s="197" t="s">
        <v>3922</v>
      </c>
      <c r="C5" s="214" t="s">
        <v>3923</v>
      </c>
      <c r="D5" s="165"/>
      <c r="E5" s="229">
        <f>E8-2*M8</f>
        <v>4978</v>
      </c>
      <c r="F5" s="229">
        <f>F8-2*M8</f>
        <v>1978</v>
      </c>
      <c r="G5" s="229"/>
      <c r="H5" s="229"/>
      <c r="I5" s="229">
        <f>I8+O8</f>
        <v>306</v>
      </c>
      <c r="J5" s="229">
        <f>J8+O8</f>
        <v>606</v>
      </c>
      <c r="K5" s="165"/>
      <c r="L5" s="165"/>
      <c r="M5" s="165"/>
      <c r="N5" s="165"/>
      <c r="O5" s="165"/>
      <c r="P5" s="165"/>
      <c r="Q5" s="229"/>
      <c r="R5" s="229"/>
      <c r="S5" s="229"/>
      <c r="T5" s="229">
        <f>ROUNDUP(K8/2,0)</f>
        <v>1</v>
      </c>
      <c r="U5" s="229">
        <f>ROUNDUP(L8/2,0)</f>
        <v>1</v>
      </c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>
        <f>(SQRT(POWER(O8,2)*2)-0.9)</f>
        <v>7.5852813742385692</v>
      </c>
      <c r="AH5" s="198"/>
    </row>
    <row r="6" spans="1:34" ht="19.5" thickBot="1">
      <c r="A6" s="403">
        <f>1-(Q8/V8)</f>
        <v>0.41885242725969551</v>
      </c>
      <c r="B6" s="406">
        <f>1-(Q8/W10)</f>
        <v>0.8151950718685832</v>
      </c>
      <c r="C6" s="169" t="s">
        <v>3924</v>
      </c>
      <c r="D6" s="407" t="s">
        <v>3964</v>
      </c>
      <c r="E6" s="327" t="s">
        <v>3926</v>
      </c>
      <c r="F6" s="328"/>
      <c r="G6" s="328"/>
      <c r="H6" s="329"/>
      <c r="I6" s="330" t="s">
        <v>3947</v>
      </c>
      <c r="J6" s="331"/>
      <c r="K6" s="330" t="s">
        <v>3958</v>
      </c>
      <c r="L6" s="331"/>
      <c r="M6" s="330" t="s">
        <v>3915</v>
      </c>
      <c r="N6" s="331"/>
      <c r="O6" s="331"/>
      <c r="P6" s="385"/>
      <c r="Q6" s="327" t="s">
        <v>3928</v>
      </c>
      <c r="R6" s="328"/>
      <c r="S6" s="329"/>
      <c r="T6" s="330" t="s">
        <v>3929</v>
      </c>
      <c r="U6" s="331"/>
      <c r="V6" s="385"/>
      <c r="W6" s="330" t="s">
        <v>3929</v>
      </c>
      <c r="X6" s="331"/>
      <c r="Y6" s="385"/>
      <c r="Z6" s="229"/>
      <c r="AA6" s="229"/>
      <c r="AB6" s="229"/>
      <c r="AC6" s="229"/>
      <c r="AD6" s="229"/>
      <c r="AE6" s="229"/>
      <c r="AF6" s="229"/>
      <c r="AG6" s="229"/>
      <c r="AH6" s="198"/>
    </row>
    <row r="7" spans="1:34" ht="15.75" thickBot="1">
      <c r="A7" s="404"/>
      <c r="B7" s="322"/>
      <c r="C7" s="357">
        <v>1</v>
      </c>
      <c r="D7" s="408"/>
      <c r="E7" s="215" t="s">
        <v>2</v>
      </c>
      <c r="F7" s="216" t="s">
        <v>3</v>
      </c>
      <c r="G7" s="363" t="s">
        <v>3931</v>
      </c>
      <c r="H7" s="360"/>
      <c r="I7" s="226" t="s">
        <v>3965</v>
      </c>
      <c r="J7" s="227" t="s">
        <v>3966</v>
      </c>
      <c r="K7" s="170" t="str">
        <f>CONCATENATE("X:(max:",T11,")")</f>
        <v>X:(max:30)</v>
      </c>
      <c r="L7" s="170" t="str">
        <f>CONCATENATE("Y:(max:",U11,")")</f>
        <v>Y:(max:6)</v>
      </c>
      <c r="M7" s="361" t="s">
        <v>3946</v>
      </c>
      <c r="N7" s="362"/>
      <c r="O7" s="363" t="s">
        <v>3947</v>
      </c>
      <c r="P7" s="391"/>
      <c r="Q7" s="419" t="s">
        <v>3936</v>
      </c>
      <c r="R7" s="420"/>
      <c r="S7" s="421"/>
      <c r="T7" s="230" t="s">
        <v>2</v>
      </c>
      <c r="U7" s="231" t="s">
        <v>3</v>
      </c>
      <c r="V7" s="232" t="s">
        <v>3937</v>
      </c>
      <c r="W7" s="230" t="s">
        <v>2</v>
      </c>
      <c r="X7" s="231" t="s">
        <v>3</v>
      </c>
      <c r="Y7" s="232" t="s">
        <v>3937</v>
      </c>
      <c r="Z7" s="229"/>
      <c r="AA7" s="229" t="s">
        <v>3921</v>
      </c>
      <c r="AB7" s="229"/>
      <c r="AC7" s="229"/>
      <c r="AD7" s="229"/>
      <c r="AE7" s="229"/>
      <c r="AF7" s="229"/>
      <c r="AG7" s="229"/>
      <c r="AH7" s="198"/>
    </row>
    <row r="8" spans="1:34" ht="16.5" thickBot="1">
      <c r="A8" s="405"/>
      <c r="B8" s="323"/>
      <c r="C8" s="358"/>
      <c r="D8" s="409"/>
      <c r="E8" s="228">
        <v>5000</v>
      </c>
      <c r="F8" s="228">
        <v>2000</v>
      </c>
      <c r="G8" s="177">
        <f>H8/F8</f>
        <v>0.68200000000000005</v>
      </c>
      <c r="H8" s="178">
        <f>F8-U8</f>
        <v>1364</v>
      </c>
      <c r="I8" s="228">
        <v>300</v>
      </c>
      <c r="J8" s="228">
        <v>600</v>
      </c>
      <c r="K8" s="176">
        <v>2</v>
      </c>
      <c r="L8" s="176">
        <v>2</v>
      </c>
      <c r="M8" s="364">
        <f>VLOOKUP(E3,S001_MachineExt,2,FALSE)</f>
        <v>11</v>
      </c>
      <c r="N8" s="365"/>
      <c r="O8" s="355">
        <f>VLOOKUP(CONCATENATE(E3,"_",E2),S001_EcartPiece,2,FALSE)</f>
        <v>6</v>
      </c>
      <c r="P8" s="356"/>
      <c r="Q8" s="423">
        <f>((I8*J8)/2/1000000)*K10</f>
        <v>0.18</v>
      </c>
      <c r="R8" s="424"/>
      <c r="S8" s="425"/>
      <c r="T8" s="233">
        <f>ROUNDUP(T28,0)</f>
        <v>487</v>
      </c>
      <c r="U8" s="234">
        <f>M8+U5*(J8+2*AG4)+3*AG4</f>
        <v>636</v>
      </c>
      <c r="V8" s="235">
        <f>(T8*U8)/1000000</f>
        <v>0.30973200000000001</v>
      </c>
      <c r="W8" s="233">
        <f>T8</f>
        <v>487</v>
      </c>
      <c r="X8" s="234">
        <f>F8</f>
        <v>2000</v>
      </c>
      <c r="Y8" s="235">
        <f>(W8*X8)/1000000</f>
        <v>0.97399999999999998</v>
      </c>
      <c r="Z8" s="236"/>
      <c r="AA8" s="236">
        <f>1-(Q8/V8)</f>
        <v>0.41885242725969551</v>
      </c>
      <c r="AB8" s="236">
        <f>1-(Q8/Y8)</f>
        <v>0.8151950718685832</v>
      </c>
      <c r="AC8" s="229"/>
      <c r="AD8" s="229"/>
      <c r="AE8" s="229"/>
      <c r="AF8" s="229"/>
      <c r="AG8" s="229"/>
      <c r="AH8" s="198"/>
    </row>
    <row r="9" spans="1:34" ht="19.5" thickBot="1">
      <c r="A9" s="165"/>
      <c r="B9" s="165"/>
      <c r="C9" s="165"/>
      <c r="D9" s="165"/>
      <c r="E9" s="387" t="s">
        <v>3940</v>
      </c>
      <c r="F9" s="388"/>
      <c r="G9" s="338"/>
      <c r="H9" s="339"/>
      <c r="I9" s="165"/>
      <c r="J9" s="165"/>
      <c r="K9" s="330" t="s">
        <v>3962</v>
      </c>
      <c r="L9" s="385"/>
      <c r="M9" s="165"/>
      <c r="N9" s="165"/>
      <c r="O9" s="165"/>
      <c r="P9" s="165"/>
      <c r="Q9" s="229"/>
      <c r="R9" s="229"/>
      <c r="S9" s="229"/>
      <c r="T9" s="422" t="s">
        <v>3942</v>
      </c>
      <c r="U9" s="422"/>
      <c r="V9" s="422"/>
      <c r="W9" s="422"/>
      <c r="X9" s="229"/>
      <c r="Y9" s="229"/>
      <c r="Z9" s="229"/>
      <c r="AA9" s="236"/>
      <c r="AB9" s="236"/>
      <c r="AC9" s="229"/>
      <c r="AD9" s="229"/>
      <c r="AE9" s="229"/>
      <c r="AF9" s="229"/>
      <c r="AG9" s="229"/>
      <c r="AH9" s="198"/>
    </row>
    <row r="10" spans="1:34" ht="15.75" thickBot="1">
      <c r="A10" s="165"/>
      <c r="B10" s="165"/>
      <c r="C10" s="165"/>
      <c r="D10" s="165"/>
      <c r="E10" s="370">
        <f>C7*H8</f>
        <v>1364</v>
      </c>
      <c r="F10" s="426"/>
      <c r="G10" s="426"/>
      <c r="H10" s="371"/>
      <c r="I10" s="165"/>
      <c r="J10" s="165"/>
      <c r="K10" s="416">
        <f>ROUNDUP((K8*L8)/2,0)</f>
        <v>2</v>
      </c>
      <c r="L10" s="427"/>
      <c r="M10" s="165"/>
      <c r="N10" s="165"/>
      <c r="O10" s="165"/>
      <c r="P10" s="165"/>
      <c r="Q10" s="229"/>
      <c r="R10" s="229"/>
      <c r="S10" s="229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29"/>
      <c r="Z10" s="229"/>
      <c r="AA10" s="229"/>
      <c r="AB10" s="229"/>
      <c r="AC10" s="229"/>
      <c r="AD10" s="229"/>
      <c r="AE10" s="229"/>
      <c r="AF10" s="229"/>
      <c r="AG10" s="229"/>
      <c r="AH10" s="198"/>
    </row>
    <row r="11" spans="1:34" ht="15.75" thickBot="1">
      <c r="A11" s="198"/>
      <c r="B11" s="198"/>
      <c r="C11" s="198"/>
      <c r="D11" s="198"/>
      <c r="E11" s="387" t="s">
        <v>3943</v>
      </c>
      <c r="F11" s="388"/>
      <c r="G11" s="338"/>
      <c r="H11" s="339"/>
      <c r="I11" s="340" t="s">
        <v>3944</v>
      </c>
      <c r="J11" s="341"/>
      <c r="K11" s="198"/>
      <c r="L11" s="198"/>
      <c r="M11" s="198"/>
      <c r="N11" s="198"/>
      <c r="O11" s="198"/>
      <c r="P11" s="198"/>
      <c r="T11" s="132">
        <f>(ROUNDDOWN((E8-2*M8)/T12,0)-1)*2</f>
        <v>30</v>
      </c>
      <c r="U11" s="132">
        <f>(ROUNDDOWN((F8-2*M8)/U12,0))*2</f>
        <v>6</v>
      </c>
      <c r="AH11" s="198"/>
    </row>
    <row r="12" spans="1:34" ht="15.75" thickBot="1">
      <c r="A12" s="198"/>
      <c r="B12" s="198"/>
      <c r="C12" s="198"/>
      <c r="D12" s="198"/>
      <c r="E12" s="428">
        <f>T14</f>
        <v>2.7369316876852983</v>
      </c>
      <c r="F12" s="429"/>
      <c r="G12" s="429"/>
      <c r="H12" s="430"/>
      <c r="I12" s="194">
        <f>R22</f>
        <v>0</v>
      </c>
      <c r="J12" s="195">
        <f>R24</f>
        <v>0</v>
      </c>
      <c r="K12" s="198"/>
      <c r="L12" s="198"/>
      <c r="M12" s="198"/>
      <c r="N12" s="198"/>
      <c r="O12" s="198"/>
      <c r="P12" s="198"/>
      <c r="T12" s="132">
        <f>(I8+2*AG4)+IF(MOD(K8,2)=1,AG5,0)</f>
        <v>310</v>
      </c>
      <c r="U12" s="132">
        <f xml:space="preserve"> 2*AG4+J8</f>
        <v>610</v>
      </c>
      <c r="AH12" s="198"/>
    </row>
    <row r="13" spans="1:34" ht="15.75" thickBot="1">
      <c r="T13" s="198" t="s">
        <v>3959</v>
      </c>
    </row>
    <row r="14" spans="1:34" ht="23.25">
      <c r="A14" s="352" t="s">
        <v>3951</v>
      </c>
      <c r="B14" s="353"/>
      <c r="C14" s="353"/>
      <c r="D14" s="353"/>
      <c r="E14" s="353"/>
      <c r="F14" s="353" t="s">
        <v>3952</v>
      </c>
      <c r="G14" s="353"/>
      <c r="H14" s="353"/>
      <c r="I14" s="353"/>
      <c r="J14" s="353"/>
      <c r="K14" s="353"/>
      <c r="L14" s="354"/>
      <c r="T14" s="198">
        <f>(SQRT(POWER((I8/2),2)+POWER(J8,2))+(I8/2)+J8)*K10/1000</f>
        <v>2.7369316876852983</v>
      </c>
    </row>
    <row r="15" spans="1:34">
      <c r="A15" s="342"/>
      <c r="B15" s="343"/>
      <c r="C15" s="343"/>
      <c r="D15" s="343"/>
      <c r="E15" s="343"/>
      <c r="F15" s="346"/>
      <c r="G15" s="346"/>
      <c r="H15" s="346"/>
      <c r="I15" s="346"/>
      <c r="J15" s="346"/>
      <c r="K15" s="346"/>
      <c r="L15" s="347"/>
    </row>
    <row r="16" spans="1:34">
      <c r="A16" s="342"/>
      <c r="B16" s="343"/>
      <c r="C16" s="343"/>
      <c r="D16" s="343"/>
      <c r="E16" s="343"/>
      <c r="F16" s="346"/>
      <c r="G16" s="346"/>
      <c r="H16" s="346"/>
      <c r="I16" s="346"/>
      <c r="J16" s="346"/>
      <c r="K16" s="346"/>
      <c r="L16" s="347"/>
    </row>
    <row r="17" spans="1:20">
      <c r="A17" s="342"/>
      <c r="B17" s="343"/>
      <c r="C17" s="343"/>
      <c r="D17" s="343"/>
      <c r="E17" s="343"/>
      <c r="F17" s="346"/>
      <c r="G17" s="346"/>
      <c r="H17" s="346"/>
      <c r="I17" s="346"/>
      <c r="J17" s="346"/>
      <c r="K17" s="346"/>
      <c r="L17" s="347"/>
    </row>
    <row r="18" spans="1:20">
      <c r="A18" s="342"/>
      <c r="B18" s="343"/>
      <c r="C18" s="343"/>
      <c r="D18" s="343"/>
      <c r="E18" s="343"/>
      <c r="F18" s="346"/>
      <c r="G18" s="346"/>
      <c r="H18" s="346"/>
      <c r="I18" s="346"/>
      <c r="J18" s="346"/>
      <c r="K18" s="346"/>
      <c r="L18" s="347"/>
    </row>
    <row r="19" spans="1:20">
      <c r="A19" s="342"/>
      <c r="B19" s="343"/>
      <c r="C19" s="343"/>
      <c r="D19" s="343"/>
      <c r="E19" s="343"/>
      <c r="F19" s="346"/>
      <c r="G19" s="346"/>
      <c r="H19" s="346"/>
      <c r="I19" s="346"/>
      <c r="J19" s="346"/>
      <c r="K19" s="346"/>
      <c r="L19" s="347"/>
    </row>
    <row r="20" spans="1:20">
      <c r="A20" s="342"/>
      <c r="B20" s="343"/>
      <c r="C20" s="343"/>
      <c r="D20" s="343"/>
      <c r="E20" s="343"/>
      <c r="F20" s="346"/>
      <c r="G20" s="346"/>
      <c r="H20" s="346"/>
      <c r="I20" s="346"/>
      <c r="J20" s="346"/>
      <c r="K20" s="346"/>
      <c r="L20" s="347"/>
    </row>
    <row r="21" spans="1:20">
      <c r="A21" s="342"/>
      <c r="B21" s="343"/>
      <c r="C21" s="343"/>
      <c r="D21" s="343"/>
      <c r="E21" s="343"/>
      <c r="F21" s="346"/>
      <c r="G21" s="346"/>
      <c r="H21" s="346"/>
      <c r="I21" s="346"/>
      <c r="J21" s="346"/>
      <c r="K21" s="346"/>
      <c r="L21" s="347"/>
    </row>
    <row r="22" spans="1:20">
      <c r="A22" s="342"/>
      <c r="B22" s="343"/>
      <c r="C22" s="343"/>
      <c r="D22" s="343"/>
      <c r="E22" s="343"/>
      <c r="F22" s="346"/>
      <c r="G22" s="346"/>
      <c r="H22" s="346"/>
      <c r="I22" s="346"/>
      <c r="J22" s="346"/>
      <c r="K22" s="346"/>
      <c r="L22" s="347"/>
    </row>
    <row r="23" spans="1:20">
      <c r="A23" s="342"/>
      <c r="B23" s="343"/>
      <c r="C23" s="343"/>
      <c r="D23" s="343"/>
      <c r="E23" s="343"/>
      <c r="F23" s="346"/>
      <c r="G23" s="346"/>
      <c r="H23" s="346"/>
      <c r="I23" s="346"/>
      <c r="J23" s="346"/>
      <c r="K23" s="346"/>
      <c r="L23" s="347"/>
    </row>
    <row r="24" spans="1:20">
      <c r="A24" s="342"/>
      <c r="B24" s="343"/>
      <c r="C24" s="343"/>
      <c r="D24" s="343"/>
      <c r="E24" s="343"/>
      <c r="F24" s="346"/>
      <c r="G24" s="346"/>
      <c r="H24" s="346"/>
      <c r="I24" s="346"/>
      <c r="J24" s="346"/>
      <c r="K24" s="346"/>
      <c r="L24" s="347"/>
    </row>
    <row r="25" spans="1:20">
      <c r="A25" s="342"/>
      <c r="B25" s="343"/>
      <c r="C25" s="343"/>
      <c r="D25" s="343"/>
      <c r="E25" s="343"/>
      <c r="F25" s="346"/>
      <c r="G25" s="346"/>
      <c r="H25" s="346"/>
      <c r="I25" s="346"/>
      <c r="J25" s="346"/>
      <c r="K25" s="346"/>
      <c r="L25" s="347"/>
    </row>
    <row r="26" spans="1:20">
      <c r="A26" s="342"/>
      <c r="B26" s="343"/>
      <c r="C26" s="343"/>
      <c r="D26" s="343"/>
      <c r="E26" s="343"/>
      <c r="F26" s="346"/>
      <c r="G26" s="346"/>
      <c r="H26" s="346"/>
      <c r="I26" s="346"/>
      <c r="J26" s="346"/>
      <c r="K26" s="346"/>
      <c r="L26" s="347"/>
    </row>
    <row r="27" spans="1:20">
      <c r="A27" s="342"/>
      <c r="B27" s="343"/>
      <c r="C27" s="343"/>
      <c r="D27" s="343"/>
      <c r="E27" s="343"/>
      <c r="F27" s="346"/>
      <c r="G27" s="346"/>
      <c r="H27" s="346"/>
      <c r="I27" s="346"/>
      <c r="J27" s="346"/>
      <c r="K27" s="346"/>
      <c r="L27" s="347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42"/>
      <c r="B28" s="343"/>
      <c r="C28" s="343"/>
      <c r="D28" s="343"/>
      <c r="E28" s="343"/>
      <c r="F28" s="346"/>
      <c r="G28" s="346"/>
      <c r="H28" s="346"/>
      <c r="I28" s="346"/>
      <c r="J28" s="346"/>
      <c r="K28" s="346"/>
      <c r="L28" s="347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42"/>
      <c r="B29" s="343"/>
      <c r="C29" s="343"/>
      <c r="D29" s="343"/>
      <c r="E29" s="343"/>
      <c r="F29" s="346"/>
      <c r="G29" s="346"/>
      <c r="H29" s="346"/>
      <c r="I29" s="346"/>
      <c r="J29" s="346"/>
      <c r="K29" s="346"/>
      <c r="L29" s="347"/>
    </row>
    <row r="30" spans="1:20" ht="15.75" thickBot="1">
      <c r="A30" s="344"/>
      <c r="B30" s="345"/>
      <c r="C30" s="345"/>
      <c r="D30" s="345"/>
      <c r="E30" s="345"/>
      <c r="F30" s="348"/>
      <c r="G30" s="348"/>
      <c r="H30" s="348"/>
      <c r="I30" s="348"/>
      <c r="J30" s="348"/>
      <c r="K30" s="348"/>
      <c r="L30" s="349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mergeCells count="33"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8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8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8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8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8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8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8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8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8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8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8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8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8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8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8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8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8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8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8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8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8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8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8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8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8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8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8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8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8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8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8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68" t="s">
        <v>3977</v>
      </c>
      <c r="C1" s="268"/>
      <c r="D1" s="268"/>
    </row>
    <row r="2" spans="2:19" ht="15.75" thickTop="1">
      <c r="Q2" s="129" t="s">
        <v>3972</v>
      </c>
      <c r="R2" s="129" t="s">
        <v>3974</v>
      </c>
      <c r="S2" s="129" t="s">
        <v>3973</v>
      </c>
    </row>
    <row r="3" spans="2:19" ht="21.75" thickBot="1">
      <c r="B3" s="133" t="s">
        <v>53</v>
      </c>
      <c r="C3" s="239" t="s">
        <v>3978</v>
      </c>
      <c r="M3" s="129">
        <v>0</v>
      </c>
      <c r="N3" s="129">
        <v>8</v>
      </c>
      <c r="O3" s="129">
        <v>750</v>
      </c>
      <c r="Q3" s="241">
        <v>4</v>
      </c>
      <c r="R3" s="242">
        <v>0.7</v>
      </c>
      <c r="S3" s="129">
        <v>750</v>
      </c>
    </row>
    <row r="4" spans="2:19" ht="21.75" thickBot="1">
      <c r="B4" s="133" t="s">
        <v>3975</v>
      </c>
      <c r="C4" s="239">
        <v>6</v>
      </c>
      <c r="M4" s="129">
        <v>10</v>
      </c>
      <c r="N4" s="129">
        <v>14</v>
      </c>
      <c r="O4" s="129">
        <v>300</v>
      </c>
      <c r="Q4" s="243">
        <v>5</v>
      </c>
      <c r="R4" s="244">
        <v>0.8</v>
      </c>
      <c r="S4" s="245">
        <v>750</v>
      </c>
    </row>
    <row r="5" spans="2:19" ht="21.75" thickBot="1">
      <c r="B5" s="133" t="s">
        <v>3972</v>
      </c>
      <c r="C5" s="239">
        <v>12</v>
      </c>
      <c r="M5" s="129">
        <v>16</v>
      </c>
      <c r="N5" s="129">
        <v>24</v>
      </c>
      <c r="O5" s="129">
        <v>90</v>
      </c>
      <c r="Q5" s="241">
        <v>6</v>
      </c>
      <c r="R5" s="242">
        <v>1</v>
      </c>
      <c r="S5" s="129">
        <v>750</v>
      </c>
    </row>
    <row r="6" spans="2:19" ht="19.5" thickBot="1">
      <c r="B6" s="133" t="s">
        <v>3974</v>
      </c>
      <c r="C6" s="238">
        <f>VLOOKUP(C5,S012_TaraudExt,2,FALSE)</f>
        <v>1.8</v>
      </c>
      <c r="Q6" s="243">
        <v>8</v>
      </c>
      <c r="R6" s="244">
        <v>1.2</v>
      </c>
      <c r="S6" s="129">
        <v>750</v>
      </c>
    </row>
    <row r="7" spans="2:19" ht="19.5" thickBot="1">
      <c r="B7" s="133" t="s">
        <v>3973</v>
      </c>
      <c r="C7" s="238">
        <f>VLOOKUP(C5,S012_TaraudExt,3,FALSE)</f>
        <v>300</v>
      </c>
      <c r="Q7" s="241">
        <v>10</v>
      </c>
      <c r="R7" s="242">
        <v>1.5</v>
      </c>
      <c r="S7" s="129">
        <v>300</v>
      </c>
    </row>
    <row r="8" spans="2:19">
      <c r="Q8" s="243">
        <v>12</v>
      </c>
      <c r="R8" s="244">
        <v>1.8</v>
      </c>
      <c r="S8" s="129">
        <v>300</v>
      </c>
    </row>
    <row r="9" spans="2:19" ht="23.25">
      <c r="B9" s="133" t="s">
        <v>3976</v>
      </c>
      <c r="C9" s="240">
        <f>((C3*2)/(C7*C6))*2*C4*1.5</f>
        <v>0.8</v>
      </c>
      <c r="Q9" s="241">
        <v>14</v>
      </c>
      <c r="R9" s="242">
        <v>2</v>
      </c>
      <c r="S9" s="129">
        <v>300</v>
      </c>
    </row>
    <row r="10" spans="2:19">
      <c r="Q10" s="243">
        <v>16</v>
      </c>
      <c r="R10" s="244">
        <v>2</v>
      </c>
      <c r="S10" s="129">
        <v>90</v>
      </c>
    </row>
    <row r="11" spans="2:19">
      <c r="Q11" s="241">
        <v>20</v>
      </c>
      <c r="R11" s="242">
        <v>2.5</v>
      </c>
      <c r="S11" s="129">
        <v>90</v>
      </c>
    </row>
    <row r="12" spans="2:19">
      <c r="Q12" s="243">
        <v>27</v>
      </c>
      <c r="R12" s="244">
        <v>3</v>
      </c>
      <c r="S12" s="129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3979</v>
      </c>
      <c r="K3" t="s">
        <v>3973</v>
      </c>
    </row>
    <row r="4" spans="3:11">
      <c r="C4" s="246">
        <f t="shared" si="0"/>
        <v>200</v>
      </c>
      <c r="I4">
        <v>5</v>
      </c>
      <c r="J4">
        <v>130</v>
      </c>
      <c r="K4">
        <v>2600</v>
      </c>
    </row>
    <row r="5" spans="3:11">
      <c r="C5" s="246">
        <f t="shared" si="0"/>
        <v>200</v>
      </c>
      <c r="I5">
        <v>6</v>
      </c>
      <c r="J5" s="246">
        <v>130</v>
      </c>
      <c r="K5">
        <v>2600</v>
      </c>
    </row>
    <row r="6" spans="3:11">
      <c r="C6" s="246">
        <f t="shared" si="0"/>
        <v>200</v>
      </c>
      <c r="I6">
        <v>8</v>
      </c>
      <c r="J6" s="246">
        <v>130</v>
      </c>
      <c r="K6">
        <v>2500</v>
      </c>
    </row>
    <row r="7" spans="3:11">
      <c r="C7" s="246">
        <f t="shared" si="0"/>
        <v>200</v>
      </c>
      <c r="I7">
        <v>10</v>
      </c>
      <c r="J7" s="246">
        <v>130</v>
      </c>
      <c r="K7">
        <v>2160</v>
      </c>
    </row>
    <row r="8" spans="3:11">
      <c r="C8" s="246">
        <f t="shared" si="0"/>
        <v>200</v>
      </c>
      <c r="I8">
        <v>12</v>
      </c>
      <c r="J8" s="246">
        <v>130</v>
      </c>
      <c r="K8">
        <v>1800</v>
      </c>
    </row>
    <row r="9" spans="3:11">
      <c r="C9" s="246">
        <f t="shared" si="0"/>
        <v>200</v>
      </c>
      <c r="I9">
        <v>10</v>
      </c>
      <c r="J9">
        <v>200</v>
      </c>
      <c r="K9">
        <v>2340</v>
      </c>
    </row>
    <row r="10" spans="3:11">
      <c r="C10" s="246">
        <f t="shared" si="0"/>
        <v>200</v>
      </c>
      <c r="I10">
        <v>12</v>
      </c>
      <c r="J10" s="246">
        <v>200</v>
      </c>
      <c r="K10">
        <v>2160</v>
      </c>
    </row>
    <row r="11" spans="3:11">
      <c r="C11" s="246">
        <f t="shared" si="0"/>
        <v>200</v>
      </c>
      <c r="I11">
        <v>14</v>
      </c>
      <c r="J11" s="246">
        <v>200</v>
      </c>
      <c r="K11">
        <v>1970</v>
      </c>
    </row>
    <row r="12" spans="3:11">
      <c r="I12">
        <v>15</v>
      </c>
      <c r="J12" s="246">
        <v>200</v>
      </c>
      <c r="K12">
        <v>1970</v>
      </c>
    </row>
    <row r="13" spans="3:11">
      <c r="I13">
        <v>16</v>
      </c>
      <c r="J13" s="246">
        <v>200</v>
      </c>
      <c r="K13">
        <v>1900</v>
      </c>
    </row>
    <row r="14" spans="3:11">
      <c r="I14">
        <v>18</v>
      </c>
      <c r="J14" s="246">
        <v>200</v>
      </c>
      <c r="K14">
        <v>1615</v>
      </c>
    </row>
    <row r="15" spans="3:11">
      <c r="I15">
        <v>20</v>
      </c>
      <c r="J15" s="246">
        <v>200</v>
      </c>
      <c r="K15">
        <v>1615</v>
      </c>
    </row>
    <row r="16" spans="3:11">
      <c r="I16">
        <v>22</v>
      </c>
      <c r="J16" s="246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6">
        <v>280</v>
      </c>
      <c r="K18">
        <v>2200</v>
      </c>
    </row>
    <row r="19" spans="9:11">
      <c r="I19">
        <v>18</v>
      </c>
      <c r="J19" s="246">
        <v>280</v>
      </c>
      <c r="K19">
        <v>2100</v>
      </c>
    </row>
    <row r="20" spans="9:11">
      <c r="I20">
        <v>20</v>
      </c>
      <c r="J20" s="246">
        <v>280</v>
      </c>
      <c r="K20">
        <v>2000</v>
      </c>
    </row>
    <row r="21" spans="9:11">
      <c r="I21">
        <v>22</v>
      </c>
      <c r="J21" s="246">
        <v>280</v>
      </c>
      <c r="K21">
        <v>1700</v>
      </c>
    </row>
    <row r="22" spans="9:11">
      <c r="I22">
        <v>25</v>
      </c>
      <c r="J22" s="246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68" t="s">
        <v>3981</v>
      </c>
      <c r="D1" s="268"/>
      <c r="E1" s="268"/>
      <c r="F1" s="268"/>
      <c r="G1" s="268"/>
    </row>
    <row r="2" spans="3:8" ht="15.75" thickTop="1"/>
    <row r="3" spans="3:8" ht="15.75" thickBot="1"/>
    <row r="4" spans="3:8" ht="24" thickBot="1">
      <c r="F4" s="431" t="s">
        <v>3984</v>
      </c>
      <c r="G4" s="432"/>
      <c r="H4" s="433"/>
    </row>
    <row r="5" spans="3:8" ht="24" thickBot="1">
      <c r="C5" s="248" t="s">
        <v>3903</v>
      </c>
      <c r="D5" s="248" t="s">
        <v>202</v>
      </c>
      <c r="E5" s="248" t="s">
        <v>3982</v>
      </c>
      <c r="F5" s="248" t="s">
        <v>2</v>
      </c>
      <c r="G5" s="248" t="s">
        <v>53</v>
      </c>
      <c r="H5" s="248" t="s">
        <v>3</v>
      </c>
    </row>
    <row r="6" spans="3:8" ht="24" thickBot="1">
      <c r="C6" s="160" t="s">
        <v>245</v>
      </c>
      <c r="D6" s="160" t="s">
        <v>3889</v>
      </c>
      <c r="E6" s="249">
        <f>VLOOKUP(D6,S011_DesignationProfileExt,2,FALSE)</f>
        <v>37.9</v>
      </c>
      <c r="F6" s="160">
        <v>7000</v>
      </c>
      <c r="G6" s="160">
        <v>10</v>
      </c>
      <c r="H6" s="249">
        <f>(E6)/(G6*8)*1000</f>
        <v>473.75</v>
      </c>
    </row>
    <row r="7" spans="3:8" ht="24" thickBot="1">
      <c r="E7" s="248" t="s">
        <v>3983</v>
      </c>
    </row>
    <row r="8" spans="3:8" ht="24" thickBot="1">
      <c r="E8" s="249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46</vt:i4>
      </vt:variant>
    </vt:vector>
  </HeadingPairs>
  <TitlesOfParts>
    <vt:vector size="74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Ambert Jc</cp:lastModifiedBy>
  <cp:lastPrinted>2015-01-16T22:20:54Z</cp:lastPrinted>
  <dcterms:created xsi:type="dcterms:W3CDTF">2014-12-15T07:06:38Z</dcterms:created>
  <dcterms:modified xsi:type="dcterms:W3CDTF">2015-01-19T21:49:22Z</dcterms:modified>
</cp:coreProperties>
</file>